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5" yWindow="-15" windowWidth="12015" windowHeight="10095" tabRatio="821"/>
  </bookViews>
  <sheets>
    <sheet name="Table S1" sheetId="18" r:id="rId1"/>
    <sheet name="Table S2" sheetId="19" r:id="rId2"/>
    <sheet name="Table S3" sheetId="8" r:id="rId3"/>
    <sheet name="Table S4" sheetId="1" r:id="rId4"/>
    <sheet name="Table S5 to S11" sheetId="3" r:id="rId5"/>
    <sheet name="Table S12 and S13" sheetId="9" r:id="rId6"/>
    <sheet name="Table_S14 to S76 (RIs Age)" sheetId="11" r:id="rId7"/>
    <sheet name="Table S77 to S139 (RIs BH)" sheetId="4" r:id="rId8"/>
  </sheets>
  <definedNames>
    <definedName name="_xlnm._FilterDatabase" localSheetId="2" hidden="1">'Table S3'!$B$4:$D$22</definedName>
  </definedNames>
  <calcPr calcId="124519"/>
</workbook>
</file>

<file path=xl/calcChain.xml><?xml version="1.0" encoding="utf-8"?>
<calcChain xmlns="http://schemas.openxmlformats.org/spreadsheetml/2006/main">
  <c r="AEG6" i="4"/>
  <c r="AEH6"/>
  <c r="AEI6"/>
  <c r="AEG7"/>
  <c r="AEH7"/>
  <c r="AEI7"/>
  <c r="AEG8"/>
  <c r="AEH8"/>
  <c r="AEI8"/>
  <c r="AEG9"/>
  <c r="AEH9"/>
  <c r="AEI9"/>
  <c r="AEG10"/>
  <c r="AEH10"/>
  <c r="AEI10"/>
  <c r="AEG11"/>
  <c r="AEH11"/>
  <c r="AEI11"/>
  <c r="AEG12"/>
  <c r="AEH12"/>
  <c r="AEI12"/>
  <c r="AEG13"/>
  <c r="AEH13"/>
  <c r="AEI13"/>
  <c r="AEG14"/>
  <c r="AEH14"/>
  <c r="AEI14"/>
  <c r="AEI5"/>
  <c r="AEG5"/>
  <c r="AEH5"/>
  <c r="AEF5"/>
  <c r="AEM14"/>
  <c r="AEL14"/>
  <c r="AEK14"/>
  <c r="AEJ14"/>
  <c r="AEF14"/>
  <c r="AEE14"/>
  <c r="AED14"/>
  <c r="AEC14"/>
  <c r="AEM13"/>
  <c r="AEL13"/>
  <c r="AEK13"/>
  <c r="AEJ13"/>
  <c r="AEF13"/>
  <c r="AEE13"/>
  <c r="AED13"/>
  <c r="AEC13"/>
  <c r="AEM12"/>
  <c r="AEL12"/>
  <c r="AEK12"/>
  <c r="AEJ12"/>
  <c r="AEF12"/>
  <c r="AEE12"/>
  <c r="AED12"/>
  <c r="AEC12"/>
  <c r="AEM11"/>
  <c r="AEL11"/>
  <c r="AEK11"/>
  <c r="AEJ11"/>
  <c r="AEF11"/>
  <c r="AEE11"/>
  <c r="AED11"/>
  <c r="AEC11"/>
  <c r="AEM10"/>
  <c r="AEL10"/>
  <c r="AEK10"/>
  <c r="AEJ10"/>
  <c r="AEF10"/>
  <c r="AEE10"/>
  <c r="AED10"/>
  <c r="AEC10"/>
  <c r="AEM9"/>
  <c r="AEL9"/>
  <c r="AEK9"/>
  <c r="AEJ9"/>
  <c r="AEF9"/>
  <c r="AEE9"/>
  <c r="AED9"/>
  <c r="AEC9"/>
  <c r="AEM8"/>
  <c r="AEL8"/>
  <c r="AEK8"/>
  <c r="AEJ8"/>
  <c r="AEF8"/>
  <c r="AEE8"/>
  <c r="AED8"/>
  <c r="AEC8"/>
  <c r="AEM7"/>
  <c r="AEL7"/>
  <c r="AEK7"/>
  <c r="AEJ7"/>
  <c r="AEF7"/>
  <c r="AEE7"/>
  <c r="AED7"/>
  <c r="AEC7"/>
  <c r="AEM6"/>
  <c r="AEL6"/>
  <c r="AEK6"/>
  <c r="AEJ6"/>
  <c r="AEF6"/>
  <c r="AEE6"/>
  <c r="AED6"/>
  <c r="AEC6"/>
  <c r="AEM5"/>
  <c r="AEL5"/>
  <c r="AEK5"/>
  <c r="AEJ5"/>
  <c r="AEE5"/>
  <c r="AED5"/>
  <c r="AEC5"/>
  <c r="ADT6"/>
  <c r="ADU6"/>
  <c r="ADV6"/>
  <c r="ADT7"/>
  <c r="ADU7"/>
  <c r="ADV7"/>
  <c r="ADT8"/>
  <c r="ADU8"/>
  <c r="ADV8"/>
  <c r="ADT9"/>
  <c r="ADU9"/>
  <c r="ADV9"/>
  <c r="ADT10"/>
  <c r="ADU10"/>
  <c r="ADV10"/>
  <c r="ADT11"/>
  <c r="ADU11"/>
  <c r="ADV11"/>
  <c r="ADT12"/>
  <c r="ADU12"/>
  <c r="ADV12"/>
  <c r="ADT13"/>
  <c r="ADU13"/>
  <c r="ADV13"/>
  <c r="ADT14"/>
  <c r="ADU14"/>
  <c r="ADV14"/>
  <c r="ADV5"/>
  <c r="ADT5"/>
  <c r="ADU5"/>
  <c r="ADS5"/>
  <c r="ADZ14"/>
  <c r="ADY14"/>
  <c r="ADX14"/>
  <c r="ADW14"/>
  <c r="ADS14"/>
  <c r="ADR14"/>
  <c r="ADQ14"/>
  <c r="ADP14"/>
  <c r="ADZ13"/>
  <c r="ADY13"/>
  <c r="ADX13"/>
  <c r="ADW13"/>
  <c r="ADS13"/>
  <c r="ADR13"/>
  <c r="ADQ13"/>
  <c r="ADP13"/>
  <c r="ADZ12"/>
  <c r="ADY12"/>
  <c r="ADX12"/>
  <c r="ADW12"/>
  <c r="ADS12"/>
  <c r="ADR12"/>
  <c r="ADQ12"/>
  <c r="ADP12"/>
  <c r="ADZ11"/>
  <c r="ADY11"/>
  <c r="ADX11"/>
  <c r="ADW11"/>
  <c r="ADS11"/>
  <c r="ADR11"/>
  <c r="ADQ11"/>
  <c r="ADP11"/>
  <c r="ADZ10"/>
  <c r="ADY10"/>
  <c r="ADX10"/>
  <c r="ADW10"/>
  <c r="ADS10"/>
  <c r="ADR10"/>
  <c r="ADQ10"/>
  <c r="ADP10"/>
  <c r="ADZ9"/>
  <c r="ADY9"/>
  <c r="ADX9"/>
  <c r="ADW9"/>
  <c r="ADS9"/>
  <c r="ADR9"/>
  <c r="ADQ9"/>
  <c r="ADP9"/>
  <c r="ADZ8"/>
  <c r="ADY8"/>
  <c r="ADX8"/>
  <c r="ADW8"/>
  <c r="ADS8"/>
  <c r="ADR8"/>
  <c r="ADQ8"/>
  <c r="ADP8"/>
  <c r="ADZ7"/>
  <c r="ADY7"/>
  <c r="ADX7"/>
  <c r="ADW7"/>
  <c r="ADS7"/>
  <c r="ADR7"/>
  <c r="ADQ7"/>
  <c r="ADP7"/>
  <c r="ADZ6"/>
  <c r="ADY6"/>
  <c r="ADX6"/>
  <c r="ADW6"/>
  <c r="ADS6"/>
  <c r="ADR6"/>
  <c r="ADQ6"/>
  <c r="ADP6"/>
  <c r="ADZ5"/>
  <c r="ADY5"/>
  <c r="ADX5"/>
  <c r="ADW5"/>
  <c r="ADR5"/>
  <c r="ADQ5"/>
  <c r="ADP5"/>
  <c r="ADG6"/>
  <c r="ADH6"/>
  <c r="ADI6"/>
  <c r="ADG7"/>
  <c r="ADH7"/>
  <c r="ADI7"/>
  <c r="ADG8"/>
  <c r="ADH8"/>
  <c r="ADI8"/>
  <c r="ADG9"/>
  <c r="ADH9"/>
  <c r="ADI9"/>
  <c r="ADG10"/>
  <c r="ADH10"/>
  <c r="ADI10"/>
  <c r="ADG11"/>
  <c r="ADH11"/>
  <c r="ADI11"/>
  <c r="ADG12"/>
  <c r="ADH12"/>
  <c r="ADI12"/>
  <c r="ADG13"/>
  <c r="ADH13"/>
  <c r="ADI13"/>
  <c r="ADG14"/>
  <c r="ADH14"/>
  <c r="ADI14"/>
  <c r="ADG15"/>
  <c r="ADH15"/>
  <c r="ADI15"/>
  <c r="ADI5"/>
  <c r="ADG5"/>
  <c r="ADH5"/>
  <c r="ADF5"/>
  <c r="ADM15"/>
  <c r="ADL15"/>
  <c r="ADK15"/>
  <c r="ADJ15"/>
  <c r="ADF15"/>
  <c r="ADE15"/>
  <c r="ADD15"/>
  <c r="ADC15"/>
  <c r="ADM14"/>
  <c r="ADL14"/>
  <c r="ADK14"/>
  <c r="ADJ14"/>
  <c r="ADF14"/>
  <c r="ADE14"/>
  <c r="ADD14"/>
  <c r="ADC14"/>
  <c r="ADM13"/>
  <c r="ADL13"/>
  <c r="ADK13"/>
  <c r="ADJ13"/>
  <c r="ADF13"/>
  <c r="ADE13"/>
  <c r="ADD13"/>
  <c r="ADC13"/>
  <c r="ADM12"/>
  <c r="ADL12"/>
  <c r="ADK12"/>
  <c r="ADJ12"/>
  <c r="ADF12"/>
  <c r="ADE12"/>
  <c r="ADD12"/>
  <c r="ADC12"/>
  <c r="ADM11"/>
  <c r="ADL11"/>
  <c r="ADK11"/>
  <c r="ADJ11"/>
  <c r="ADF11"/>
  <c r="ADE11"/>
  <c r="ADD11"/>
  <c r="ADC11"/>
  <c r="ADM10"/>
  <c r="ADL10"/>
  <c r="ADK10"/>
  <c r="ADJ10"/>
  <c r="ADF10"/>
  <c r="ADE10"/>
  <c r="ADD10"/>
  <c r="ADC10"/>
  <c r="ADM9"/>
  <c r="ADL9"/>
  <c r="ADK9"/>
  <c r="ADJ9"/>
  <c r="ADF9"/>
  <c r="ADE9"/>
  <c r="ADD9"/>
  <c r="ADC9"/>
  <c r="ADM8"/>
  <c r="ADL8"/>
  <c r="ADK8"/>
  <c r="ADJ8"/>
  <c r="ADF8"/>
  <c r="ADE8"/>
  <c r="ADD8"/>
  <c r="ADC8"/>
  <c r="ADM7"/>
  <c r="ADL7"/>
  <c r="ADK7"/>
  <c r="ADJ7"/>
  <c r="ADF7"/>
  <c r="ADE7"/>
  <c r="ADD7"/>
  <c r="ADC7"/>
  <c r="ADM6"/>
  <c r="ADL6"/>
  <c r="ADK6"/>
  <c r="ADJ6"/>
  <c r="ADF6"/>
  <c r="ADE6"/>
  <c r="ADD6"/>
  <c r="ADC6"/>
  <c r="ADM5"/>
  <c r="ADL5"/>
  <c r="ADK5"/>
  <c r="ADJ5"/>
  <c r="ADE5"/>
  <c r="ADD5"/>
  <c r="ADC5"/>
  <c r="ACG6"/>
  <c r="ACH6"/>
  <c r="ACI6"/>
  <c r="ACG7"/>
  <c r="ACH7"/>
  <c r="ACI7"/>
  <c r="ACG8"/>
  <c r="ACH8"/>
  <c r="ACI8"/>
  <c r="ACG9"/>
  <c r="ACH9"/>
  <c r="ACI9"/>
  <c r="ACG10"/>
  <c r="ACH10"/>
  <c r="ACI10"/>
  <c r="ACG11"/>
  <c r="ACH11"/>
  <c r="ACI11"/>
  <c r="ACG12"/>
  <c r="ACH12"/>
  <c r="ACI12"/>
  <c r="ACG13"/>
  <c r="ACH13"/>
  <c r="ACI13"/>
  <c r="ACG14"/>
  <c r="ACH14"/>
  <c r="ACI14"/>
  <c r="ACI5"/>
  <c r="ACG5"/>
  <c r="ACH5"/>
  <c r="ACF5"/>
  <c r="ACM14"/>
  <c r="ACL14"/>
  <c r="ACK14"/>
  <c r="ACJ14"/>
  <c r="ACF14"/>
  <c r="ACE14"/>
  <c r="ACD14"/>
  <c r="ACC14"/>
  <c r="ACM13"/>
  <c r="ACL13"/>
  <c r="ACK13"/>
  <c r="ACJ13"/>
  <c r="ACF13"/>
  <c r="ACE13"/>
  <c r="ACD13"/>
  <c r="ACC13"/>
  <c r="ACM12"/>
  <c r="ACL12"/>
  <c r="ACK12"/>
  <c r="ACJ12"/>
  <c r="ACF12"/>
  <c r="ACE12"/>
  <c r="ACD12"/>
  <c r="ACC12"/>
  <c r="ACM11"/>
  <c r="ACL11"/>
  <c r="ACK11"/>
  <c r="ACJ11"/>
  <c r="ACF11"/>
  <c r="ACE11"/>
  <c r="ACD11"/>
  <c r="ACC11"/>
  <c r="ACM10"/>
  <c r="ACL10"/>
  <c r="ACK10"/>
  <c r="ACJ10"/>
  <c r="ACF10"/>
  <c r="ACE10"/>
  <c r="ACD10"/>
  <c r="ACC10"/>
  <c r="ACM9"/>
  <c r="ACL9"/>
  <c r="ACK9"/>
  <c r="ACJ9"/>
  <c r="ACF9"/>
  <c r="ACE9"/>
  <c r="ACD9"/>
  <c r="ACC9"/>
  <c r="ACM8"/>
  <c r="ACL8"/>
  <c r="ACK8"/>
  <c r="ACJ8"/>
  <c r="ACF8"/>
  <c r="ACE8"/>
  <c r="ACD8"/>
  <c r="ACC8"/>
  <c r="ACM7"/>
  <c r="ACL7"/>
  <c r="ACK7"/>
  <c r="ACJ7"/>
  <c r="ACF7"/>
  <c r="ACE7"/>
  <c r="ACD7"/>
  <c r="ACC7"/>
  <c r="ACM6"/>
  <c r="ACL6"/>
  <c r="ACK6"/>
  <c r="ACJ6"/>
  <c r="ACF6"/>
  <c r="ACE6"/>
  <c r="ACD6"/>
  <c r="ACC6"/>
  <c r="ACM5"/>
  <c r="ACL5"/>
  <c r="ACK5"/>
  <c r="ACJ5"/>
  <c r="ACE5"/>
  <c r="ACD5"/>
  <c r="ACC5"/>
  <c r="ACT6"/>
  <c r="ACU6"/>
  <c r="ACV6"/>
  <c r="ACT7"/>
  <c r="ACU7"/>
  <c r="ACV7"/>
  <c r="ACT8"/>
  <c r="ACU8"/>
  <c r="ACV8"/>
  <c r="ACT9"/>
  <c r="ACU9"/>
  <c r="ACV9"/>
  <c r="ACT10"/>
  <c r="ACU10"/>
  <c r="ACV10"/>
  <c r="ACT11"/>
  <c r="ACU11"/>
  <c r="ACV11"/>
  <c r="ACT12"/>
  <c r="ACU12"/>
  <c r="ACV12"/>
  <c r="ACT13"/>
  <c r="ACU13"/>
  <c r="ACV13"/>
  <c r="ACT14"/>
  <c r="ACU14"/>
  <c r="ACV14"/>
  <c r="ACV5"/>
  <c r="ACT5"/>
  <c r="ACU5"/>
  <c r="ACS5"/>
  <c r="ACZ14"/>
  <c r="ACY14"/>
  <c r="ACX14"/>
  <c r="ACW14"/>
  <c r="ACS14"/>
  <c r="ACR14"/>
  <c r="ACQ14"/>
  <c r="ACP14"/>
  <c r="ACZ13"/>
  <c r="ACY13"/>
  <c r="ACX13"/>
  <c r="ACW13"/>
  <c r="ACS13"/>
  <c r="ACR13"/>
  <c r="ACQ13"/>
  <c r="ACP13"/>
  <c r="ACZ12"/>
  <c r="ACY12"/>
  <c r="ACX12"/>
  <c r="ACW12"/>
  <c r="ACS12"/>
  <c r="ACR12"/>
  <c r="ACQ12"/>
  <c r="ACP12"/>
  <c r="ACZ11"/>
  <c r="ACY11"/>
  <c r="ACX11"/>
  <c r="ACW11"/>
  <c r="ACS11"/>
  <c r="ACR11"/>
  <c r="ACQ11"/>
  <c r="ACP11"/>
  <c r="ACZ10"/>
  <c r="ACY10"/>
  <c r="ACX10"/>
  <c r="ACW10"/>
  <c r="ACS10"/>
  <c r="ACR10"/>
  <c r="ACQ10"/>
  <c r="ACP10"/>
  <c r="ACZ9"/>
  <c r="ACY9"/>
  <c r="ACX9"/>
  <c r="ACW9"/>
  <c r="ACS9"/>
  <c r="ACR9"/>
  <c r="ACQ9"/>
  <c r="ACP9"/>
  <c r="ACZ8"/>
  <c r="ACY8"/>
  <c r="ACX8"/>
  <c r="ACW8"/>
  <c r="ACS8"/>
  <c r="ACR8"/>
  <c r="ACQ8"/>
  <c r="ACP8"/>
  <c r="ACZ7"/>
  <c r="ACY7"/>
  <c r="ACX7"/>
  <c r="ACW7"/>
  <c r="ACS7"/>
  <c r="ACR7"/>
  <c r="ACQ7"/>
  <c r="ACP7"/>
  <c r="ACZ6"/>
  <c r="ACY6"/>
  <c r="ACX6"/>
  <c r="ACW6"/>
  <c r="ACS6"/>
  <c r="ACR6"/>
  <c r="ACQ6"/>
  <c r="ACP6"/>
  <c r="ACZ5"/>
  <c r="ACY5"/>
  <c r="ACX5"/>
  <c r="ACW5"/>
  <c r="ACR5"/>
  <c r="ACQ5"/>
  <c r="ACP5"/>
  <c r="ABT6"/>
  <c r="ABU6"/>
  <c r="ABV6"/>
  <c r="ABT7"/>
  <c r="ABU7"/>
  <c r="ABV7"/>
  <c r="ABT8"/>
  <c r="ABU8"/>
  <c r="ABV8"/>
  <c r="ABT9"/>
  <c r="ABU9"/>
  <c r="ABV9"/>
  <c r="ABT10"/>
  <c r="ABU10"/>
  <c r="ABV10"/>
  <c r="ABT11"/>
  <c r="ABU11"/>
  <c r="ABV11"/>
  <c r="ABT12"/>
  <c r="ABU12"/>
  <c r="ABV12"/>
  <c r="ABT13"/>
  <c r="ABU13"/>
  <c r="ABV13"/>
  <c r="ABT14"/>
  <c r="ABU14"/>
  <c r="ABV14"/>
  <c r="ABT15"/>
  <c r="ABU15"/>
  <c r="ABV15"/>
  <c r="ABV5"/>
  <c r="ABT5"/>
  <c r="ABU5"/>
  <c r="ABS5"/>
  <c r="ABZ15"/>
  <c r="ABY15"/>
  <c r="ABX15"/>
  <c r="ABW15"/>
  <c r="ABS15"/>
  <c r="ABR15"/>
  <c r="ABQ15"/>
  <c r="ABP15"/>
  <c r="ABZ14"/>
  <c r="ABY14"/>
  <c r="ABX14"/>
  <c r="ABW14"/>
  <c r="ABS14"/>
  <c r="ABR14"/>
  <c r="ABQ14"/>
  <c r="ABP14"/>
  <c r="ABZ13"/>
  <c r="ABY13"/>
  <c r="ABX13"/>
  <c r="ABW13"/>
  <c r="ABS13"/>
  <c r="ABR13"/>
  <c r="ABQ13"/>
  <c r="ABP13"/>
  <c r="ABZ12"/>
  <c r="ABY12"/>
  <c r="ABX12"/>
  <c r="ABW12"/>
  <c r="ABS12"/>
  <c r="ABR12"/>
  <c r="ABQ12"/>
  <c r="ABP12"/>
  <c r="ABZ11"/>
  <c r="ABY11"/>
  <c r="ABX11"/>
  <c r="ABW11"/>
  <c r="ABS11"/>
  <c r="ABR11"/>
  <c r="ABQ11"/>
  <c r="ABP11"/>
  <c r="ABZ10"/>
  <c r="ABY10"/>
  <c r="ABX10"/>
  <c r="ABW10"/>
  <c r="ABS10"/>
  <c r="ABR10"/>
  <c r="ABQ10"/>
  <c r="ABP10"/>
  <c r="ABZ9"/>
  <c r="ABY9"/>
  <c r="ABX9"/>
  <c r="ABW9"/>
  <c r="ABS9"/>
  <c r="ABR9"/>
  <c r="ABQ9"/>
  <c r="ABP9"/>
  <c r="ABZ8"/>
  <c r="ABY8"/>
  <c r="ABX8"/>
  <c r="ABW8"/>
  <c r="ABS8"/>
  <c r="ABR8"/>
  <c r="ABQ8"/>
  <c r="ABP8"/>
  <c r="ABZ7"/>
  <c r="ABY7"/>
  <c r="ABX7"/>
  <c r="ABW7"/>
  <c r="ABS7"/>
  <c r="ABR7"/>
  <c r="ABQ7"/>
  <c r="ABP7"/>
  <c r="ABZ6"/>
  <c r="ABY6"/>
  <c r="ABX6"/>
  <c r="ABW6"/>
  <c r="ABS6"/>
  <c r="ABR6"/>
  <c r="ABQ6"/>
  <c r="ABP6"/>
  <c r="ABZ5"/>
  <c r="ABY5"/>
  <c r="ABX5"/>
  <c r="ABW5"/>
  <c r="ABR5"/>
  <c r="ABQ5"/>
  <c r="ABP5"/>
  <c r="ABG6"/>
  <c r="ABH6"/>
  <c r="ABI6"/>
  <c r="ABG7"/>
  <c r="ABH7"/>
  <c r="ABI7"/>
  <c r="ABG8"/>
  <c r="ABH8"/>
  <c r="ABI8"/>
  <c r="ABG9"/>
  <c r="ABH9"/>
  <c r="ABI9"/>
  <c r="ABG10"/>
  <c r="ABH10"/>
  <c r="ABI10"/>
  <c r="ABG11"/>
  <c r="ABH11"/>
  <c r="ABI11"/>
  <c r="ABG12"/>
  <c r="ABH12"/>
  <c r="ABI12"/>
  <c r="ABG13"/>
  <c r="ABH13"/>
  <c r="ABI13"/>
  <c r="ABG14"/>
  <c r="ABH14"/>
  <c r="ABI14"/>
  <c r="ABI5"/>
  <c r="ABG5"/>
  <c r="ABH5"/>
  <c r="ABF5"/>
  <c r="ABM14"/>
  <c r="ABL14"/>
  <c r="ABK14"/>
  <c r="ABJ14"/>
  <c r="ABF14"/>
  <c r="ABE14"/>
  <c r="ABD14"/>
  <c r="ABC14"/>
  <c r="ABM13"/>
  <c r="ABL13"/>
  <c r="ABK13"/>
  <c r="ABJ13"/>
  <c r="ABF13"/>
  <c r="ABE13"/>
  <c r="ABD13"/>
  <c r="ABC13"/>
  <c r="ABM12"/>
  <c r="ABL12"/>
  <c r="ABK12"/>
  <c r="ABJ12"/>
  <c r="ABF12"/>
  <c r="ABE12"/>
  <c r="ABD12"/>
  <c r="ABC12"/>
  <c r="ABM11"/>
  <c r="ABL11"/>
  <c r="ABK11"/>
  <c r="ABJ11"/>
  <c r="ABF11"/>
  <c r="ABE11"/>
  <c r="ABD11"/>
  <c r="ABC11"/>
  <c r="ABM10"/>
  <c r="ABL10"/>
  <c r="ABK10"/>
  <c r="ABJ10"/>
  <c r="ABF10"/>
  <c r="ABE10"/>
  <c r="ABD10"/>
  <c r="ABC10"/>
  <c r="ABM9"/>
  <c r="ABL9"/>
  <c r="ABK9"/>
  <c r="ABJ9"/>
  <c r="ABF9"/>
  <c r="ABE9"/>
  <c r="ABD9"/>
  <c r="ABC9"/>
  <c r="ABM8"/>
  <c r="ABL8"/>
  <c r="ABK8"/>
  <c r="ABJ8"/>
  <c r="ABF8"/>
  <c r="ABE8"/>
  <c r="ABD8"/>
  <c r="ABC8"/>
  <c r="ABM7"/>
  <c r="ABL7"/>
  <c r="ABK7"/>
  <c r="ABJ7"/>
  <c r="ABF7"/>
  <c r="ABE7"/>
  <c r="ABD7"/>
  <c r="ABC7"/>
  <c r="ABM6"/>
  <c r="ABL6"/>
  <c r="ABK6"/>
  <c r="ABJ6"/>
  <c r="ABF6"/>
  <c r="ABE6"/>
  <c r="ABD6"/>
  <c r="ABC6"/>
  <c r="ABM5"/>
  <c r="ABL5"/>
  <c r="ABK5"/>
  <c r="ABJ5"/>
  <c r="ABE5"/>
  <c r="ABD5"/>
  <c r="ABC5"/>
  <c r="AAT6"/>
  <c r="AAU6"/>
  <c r="AAV6"/>
  <c r="AAT7"/>
  <c r="AAU7"/>
  <c r="AAV7"/>
  <c r="AAT8"/>
  <c r="AAU8"/>
  <c r="AAV8"/>
  <c r="AAT9"/>
  <c r="AAU9"/>
  <c r="AAV9"/>
  <c r="AAT10"/>
  <c r="AAU10"/>
  <c r="AAV10"/>
  <c r="AAT11"/>
  <c r="AAU11"/>
  <c r="AAV11"/>
  <c r="AAT12"/>
  <c r="AAU12"/>
  <c r="AAV12"/>
  <c r="AAT13"/>
  <c r="AAU13"/>
  <c r="AAV13"/>
  <c r="AAT14"/>
  <c r="AAU14"/>
  <c r="AAV14"/>
  <c r="AAV5"/>
  <c r="AAT5"/>
  <c r="AAU5"/>
  <c r="AAS5"/>
  <c r="AAZ14"/>
  <c r="AAY14"/>
  <c r="AAX14"/>
  <c r="AAW14"/>
  <c r="AAS14"/>
  <c r="AAR14"/>
  <c r="AAQ14"/>
  <c r="AAP14"/>
  <c r="AAZ13"/>
  <c r="AAY13"/>
  <c r="AAX13"/>
  <c r="AAW13"/>
  <c r="AAS13"/>
  <c r="AAR13"/>
  <c r="AAQ13"/>
  <c r="AAP13"/>
  <c r="AAZ12"/>
  <c r="AAY12"/>
  <c r="AAX12"/>
  <c r="AAW12"/>
  <c r="AAS12"/>
  <c r="AAR12"/>
  <c r="AAQ12"/>
  <c r="AAP12"/>
  <c r="AAZ11"/>
  <c r="AAY11"/>
  <c r="AAX11"/>
  <c r="AAW11"/>
  <c r="AAS11"/>
  <c r="AAR11"/>
  <c r="AAQ11"/>
  <c r="AAP11"/>
  <c r="AAZ10"/>
  <c r="AAY10"/>
  <c r="AAX10"/>
  <c r="AAW10"/>
  <c r="AAS10"/>
  <c r="AAR10"/>
  <c r="AAQ10"/>
  <c r="AAP10"/>
  <c r="AAZ9"/>
  <c r="AAY9"/>
  <c r="AAX9"/>
  <c r="AAW9"/>
  <c r="AAS9"/>
  <c r="AAR9"/>
  <c r="AAQ9"/>
  <c r="AAP9"/>
  <c r="AAZ8"/>
  <c r="AAY8"/>
  <c r="AAX8"/>
  <c r="AAW8"/>
  <c r="AAS8"/>
  <c r="AAR8"/>
  <c r="AAQ8"/>
  <c r="AAP8"/>
  <c r="AAZ7"/>
  <c r="AAY7"/>
  <c r="AAX7"/>
  <c r="AAW7"/>
  <c r="AAS7"/>
  <c r="AAR7"/>
  <c r="AAQ7"/>
  <c r="AAP7"/>
  <c r="AAZ6"/>
  <c r="AAY6"/>
  <c r="AAX6"/>
  <c r="AAW6"/>
  <c r="AAS6"/>
  <c r="AAR6"/>
  <c r="AAQ6"/>
  <c r="AAP6"/>
  <c r="AAZ5"/>
  <c r="AAY5"/>
  <c r="AAX5"/>
  <c r="AAW5"/>
  <c r="AAR5"/>
  <c r="AAQ5"/>
  <c r="AAP5"/>
  <c r="AAG6"/>
  <c r="AAH6"/>
  <c r="AAI6"/>
  <c r="AAG7"/>
  <c r="AAH7"/>
  <c r="AAI7"/>
  <c r="AAG8"/>
  <c r="AAH8"/>
  <c r="AAI8"/>
  <c r="AAG9"/>
  <c r="AAH9"/>
  <c r="AAI9"/>
  <c r="AAG10"/>
  <c r="AAH10"/>
  <c r="AAI10"/>
  <c r="AAG11"/>
  <c r="AAH11"/>
  <c r="AAI11"/>
  <c r="AAG12"/>
  <c r="AAH12"/>
  <c r="AAI12"/>
  <c r="AAG13"/>
  <c r="AAH13"/>
  <c r="AAI13"/>
  <c r="AAG14"/>
  <c r="AAH14"/>
  <c r="AAI14"/>
  <c r="AAG15"/>
  <c r="AAH15"/>
  <c r="AAI15"/>
  <c r="AAI5"/>
  <c r="AAG5"/>
  <c r="AAH5"/>
  <c r="AAF5"/>
  <c r="AAM15"/>
  <c r="AAL15"/>
  <c r="AAK15"/>
  <c r="AAJ15"/>
  <c r="AAF15"/>
  <c r="AAE15"/>
  <c r="AAD15"/>
  <c r="AAC15"/>
  <c r="AAM14"/>
  <c r="AAL14"/>
  <c r="AAK14"/>
  <c r="AAJ14"/>
  <c r="AAF14"/>
  <c r="AAE14"/>
  <c r="AAD14"/>
  <c r="AAC14"/>
  <c r="AAM13"/>
  <c r="AAL13"/>
  <c r="AAK13"/>
  <c r="AAJ13"/>
  <c r="AAF13"/>
  <c r="AAE13"/>
  <c r="AAD13"/>
  <c r="AAC13"/>
  <c r="AAM12"/>
  <c r="AAL12"/>
  <c r="AAK12"/>
  <c r="AAJ12"/>
  <c r="AAF12"/>
  <c r="AAE12"/>
  <c r="AAD12"/>
  <c r="AAC12"/>
  <c r="AAM11"/>
  <c r="AAL11"/>
  <c r="AAK11"/>
  <c r="AAJ11"/>
  <c r="AAF11"/>
  <c r="AAE11"/>
  <c r="AAD11"/>
  <c r="AAC11"/>
  <c r="AAM10"/>
  <c r="AAL10"/>
  <c r="AAK10"/>
  <c r="AAJ10"/>
  <c r="AAF10"/>
  <c r="AAE10"/>
  <c r="AAD10"/>
  <c r="AAC10"/>
  <c r="AAM9"/>
  <c r="AAL9"/>
  <c r="AAK9"/>
  <c r="AAJ9"/>
  <c r="AAF9"/>
  <c r="AAE9"/>
  <c r="AAD9"/>
  <c r="AAC9"/>
  <c r="AAM8"/>
  <c r="AAL8"/>
  <c r="AAK8"/>
  <c r="AAJ8"/>
  <c r="AAF8"/>
  <c r="AAE8"/>
  <c r="AAD8"/>
  <c r="AAC8"/>
  <c r="AAM7"/>
  <c r="AAL7"/>
  <c r="AAK7"/>
  <c r="AAJ7"/>
  <c r="AAF7"/>
  <c r="AAE7"/>
  <c r="AAD7"/>
  <c r="AAC7"/>
  <c r="AAM6"/>
  <c r="AAL6"/>
  <c r="AAK6"/>
  <c r="AAJ6"/>
  <c r="AAF6"/>
  <c r="AAE6"/>
  <c r="AAD6"/>
  <c r="AAC6"/>
  <c r="AAM5"/>
  <c r="AAL5"/>
  <c r="AAK5"/>
  <c r="AAJ5"/>
  <c r="AAE5"/>
  <c r="AAD5"/>
  <c r="AAC5"/>
  <c r="ZT6"/>
  <c r="ZU6"/>
  <c r="ZV6"/>
  <c r="ZT7"/>
  <c r="ZU7"/>
  <c r="ZV7"/>
  <c r="ZT8"/>
  <c r="ZU8"/>
  <c r="ZV8"/>
  <c r="ZT9"/>
  <c r="ZU9"/>
  <c r="ZV9"/>
  <c r="ZT10"/>
  <c r="ZU10"/>
  <c r="ZV10"/>
  <c r="ZT11"/>
  <c r="ZU11"/>
  <c r="ZV11"/>
  <c r="ZT12"/>
  <c r="ZU12"/>
  <c r="ZV12"/>
  <c r="ZT13"/>
  <c r="ZU13"/>
  <c r="ZV13"/>
  <c r="ZT14"/>
  <c r="ZU14"/>
  <c r="ZV14"/>
  <c r="ZV5"/>
  <c r="ZT5"/>
  <c r="ZU5"/>
  <c r="ZS5"/>
  <c r="ZZ14"/>
  <c r="ZY14"/>
  <c r="ZX14"/>
  <c r="ZW14"/>
  <c r="ZS14"/>
  <c r="ZR14"/>
  <c r="ZQ14"/>
  <c r="ZP14"/>
  <c r="ZZ13"/>
  <c r="ZY13"/>
  <c r="ZX13"/>
  <c r="ZW13"/>
  <c r="ZS13"/>
  <c r="ZR13"/>
  <c r="ZQ13"/>
  <c r="ZP13"/>
  <c r="ZZ12"/>
  <c r="ZY12"/>
  <c r="ZX12"/>
  <c r="ZW12"/>
  <c r="ZS12"/>
  <c r="ZR12"/>
  <c r="ZQ12"/>
  <c r="ZP12"/>
  <c r="ZZ11"/>
  <c r="ZY11"/>
  <c r="ZX11"/>
  <c r="ZW11"/>
  <c r="ZS11"/>
  <c r="ZR11"/>
  <c r="ZQ11"/>
  <c r="ZP11"/>
  <c r="ZZ10"/>
  <c r="ZY10"/>
  <c r="ZX10"/>
  <c r="ZW10"/>
  <c r="ZS10"/>
  <c r="ZR10"/>
  <c r="ZQ10"/>
  <c r="ZP10"/>
  <c r="ZZ9"/>
  <c r="ZY9"/>
  <c r="ZX9"/>
  <c r="ZW9"/>
  <c r="ZS9"/>
  <c r="ZR9"/>
  <c r="ZQ9"/>
  <c r="ZP9"/>
  <c r="ZZ8"/>
  <c r="ZY8"/>
  <c r="ZX8"/>
  <c r="ZW8"/>
  <c r="ZS8"/>
  <c r="ZR8"/>
  <c r="ZQ8"/>
  <c r="ZP8"/>
  <c r="ZZ7"/>
  <c r="ZY7"/>
  <c r="ZX7"/>
  <c r="ZW7"/>
  <c r="ZS7"/>
  <c r="ZR7"/>
  <c r="ZQ7"/>
  <c r="ZP7"/>
  <c r="ZZ6"/>
  <c r="ZY6"/>
  <c r="ZX6"/>
  <c r="ZW6"/>
  <c r="ZS6"/>
  <c r="ZR6"/>
  <c r="ZQ6"/>
  <c r="ZP6"/>
  <c r="ZZ5"/>
  <c r="ZY5"/>
  <c r="ZX5"/>
  <c r="ZW5"/>
  <c r="ZR5"/>
  <c r="ZQ5"/>
  <c r="ZP5"/>
  <c r="ZI6"/>
  <c r="ZI7"/>
  <c r="ZI8"/>
  <c r="ZI9"/>
  <c r="ZI10"/>
  <c r="ZI11"/>
  <c r="ZI12"/>
  <c r="ZI13"/>
  <c r="ZI14"/>
  <c r="ZG6"/>
  <c r="ZG7"/>
  <c r="ZG8"/>
  <c r="ZG9"/>
  <c r="ZG10"/>
  <c r="ZG11"/>
  <c r="ZG12"/>
  <c r="ZG13"/>
  <c r="ZG14"/>
  <c r="ZI5"/>
  <c r="ZG5"/>
  <c r="ZH6"/>
  <c r="ZH7"/>
  <c r="ZH8"/>
  <c r="ZH9"/>
  <c r="ZH10"/>
  <c r="ZH11"/>
  <c r="ZH12"/>
  <c r="ZH13"/>
  <c r="ZH14"/>
  <c r="ZH5"/>
  <c r="ZF5"/>
  <c r="ZM14"/>
  <c r="ZL14"/>
  <c r="ZK14"/>
  <c r="ZJ14"/>
  <c r="ZF14"/>
  <c r="ZE14"/>
  <c r="ZD14"/>
  <c r="ZC14"/>
  <c r="ZM13"/>
  <c r="ZL13"/>
  <c r="ZK13"/>
  <c r="ZJ13"/>
  <c r="ZF13"/>
  <c r="ZE13"/>
  <c r="ZD13"/>
  <c r="ZC13"/>
  <c r="ZM12"/>
  <c r="ZL12"/>
  <c r="ZK12"/>
  <c r="ZJ12"/>
  <c r="ZF12"/>
  <c r="ZE12"/>
  <c r="ZD12"/>
  <c r="ZC12"/>
  <c r="ZM11"/>
  <c r="ZL11"/>
  <c r="ZK11"/>
  <c r="ZJ11"/>
  <c r="ZF11"/>
  <c r="ZE11"/>
  <c r="ZD11"/>
  <c r="ZC11"/>
  <c r="ZM10"/>
  <c r="ZL10"/>
  <c r="ZK10"/>
  <c r="ZJ10"/>
  <c r="ZF10"/>
  <c r="ZE10"/>
  <c r="ZD10"/>
  <c r="ZC10"/>
  <c r="ZM9"/>
  <c r="ZL9"/>
  <c r="ZK9"/>
  <c r="ZJ9"/>
  <c r="ZF9"/>
  <c r="ZE9"/>
  <c r="ZD9"/>
  <c r="ZC9"/>
  <c r="ZM8"/>
  <c r="ZL8"/>
  <c r="ZK8"/>
  <c r="ZJ8"/>
  <c r="ZF8"/>
  <c r="ZE8"/>
  <c r="ZD8"/>
  <c r="ZC8"/>
  <c r="ZM7"/>
  <c r="ZL7"/>
  <c r="ZK7"/>
  <c r="ZJ7"/>
  <c r="ZF7"/>
  <c r="ZE7"/>
  <c r="ZD7"/>
  <c r="ZC7"/>
  <c r="ZM6"/>
  <c r="ZL6"/>
  <c r="ZK6"/>
  <c r="ZJ6"/>
  <c r="ZF6"/>
  <c r="ZE6"/>
  <c r="ZD6"/>
  <c r="ZC6"/>
  <c r="ZM5"/>
  <c r="ZL5"/>
  <c r="ZK5"/>
  <c r="ZJ5"/>
  <c r="ZE5"/>
  <c r="ZD5"/>
  <c r="ZC5"/>
  <c r="YT6"/>
  <c r="YU6"/>
  <c r="YV6"/>
  <c r="YT7"/>
  <c r="YU7"/>
  <c r="YV7"/>
  <c r="YT8"/>
  <c r="YU8"/>
  <c r="YV8"/>
  <c r="YT9"/>
  <c r="YU9"/>
  <c r="YV9"/>
  <c r="YT10"/>
  <c r="YU10"/>
  <c r="YV10"/>
  <c r="YT11"/>
  <c r="YU11"/>
  <c r="YV11"/>
  <c r="YT12"/>
  <c r="YU12"/>
  <c r="YV12"/>
  <c r="YT13"/>
  <c r="YU13"/>
  <c r="YV13"/>
  <c r="YT14"/>
  <c r="YU14"/>
  <c r="YV14"/>
  <c r="YT15"/>
  <c r="YU15"/>
  <c r="YV15"/>
  <c r="YV5"/>
  <c r="YT5"/>
  <c r="YU5"/>
  <c r="YS5"/>
  <c r="YZ15"/>
  <c r="YY15"/>
  <c r="YX15"/>
  <c r="YW15"/>
  <c r="YS15"/>
  <c r="YR15"/>
  <c r="YQ15"/>
  <c r="YP15"/>
  <c r="YZ14"/>
  <c r="YY14"/>
  <c r="YX14"/>
  <c r="YW14"/>
  <c r="YS14"/>
  <c r="YR14"/>
  <c r="YQ14"/>
  <c r="YP14"/>
  <c r="YZ13"/>
  <c r="YY13"/>
  <c r="YX13"/>
  <c r="YW13"/>
  <c r="YS13"/>
  <c r="YR13"/>
  <c r="YQ13"/>
  <c r="YP13"/>
  <c r="YZ12"/>
  <c r="YY12"/>
  <c r="YX12"/>
  <c r="YW12"/>
  <c r="YS12"/>
  <c r="YR12"/>
  <c r="YQ12"/>
  <c r="YP12"/>
  <c r="YZ11"/>
  <c r="YY11"/>
  <c r="YX11"/>
  <c r="YW11"/>
  <c r="YS11"/>
  <c r="YR11"/>
  <c r="YQ11"/>
  <c r="YP11"/>
  <c r="YZ10"/>
  <c r="YY10"/>
  <c r="YX10"/>
  <c r="YW10"/>
  <c r="YS10"/>
  <c r="YR10"/>
  <c r="YQ10"/>
  <c r="YP10"/>
  <c r="YZ9"/>
  <c r="YY9"/>
  <c r="YX9"/>
  <c r="YW9"/>
  <c r="YS9"/>
  <c r="YR9"/>
  <c r="YQ9"/>
  <c r="YP9"/>
  <c r="YZ8"/>
  <c r="YY8"/>
  <c r="YX8"/>
  <c r="YW8"/>
  <c r="YS8"/>
  <c r="YR8"/>
  <c r="YQ8"/>
  <c r="YP8"/>
  <c r="YZ7"/>
  <c r="YY7"/>
  <c r="YX7"/>
  <c r="YW7"/>
  <c r="YS7"/>
  <c r="YR7"/>
  <c r="YQ7"/>
  <c r="YP7"/>
  <c r="YZ6"/>
  <c r="YY6"/>
  <c r="YX6"/>
  <c r="YW6"/>
  <c r="YS6"/>
  <c r="YR6"/>
  <c r="YQ6"/>
  <c r="YP6"/>
  <c r="YZ5"/>
  <c r="YY5"/>
  <c r="YX5"/>
  <c r="YW5"/>
  <c r="YR5"/>
  <c r="YQ5"/>
  <c r="YP5"/>
  <c r="YG6"/>
  <c r="YH6"/>
  <c r="YI6"/>
  <c r="YG7"/>
  <c r="YH7"/>
  <c r="YI7"/>
  <c r="YG8"/>
  <c r="YH8"/>
  <c r="YI8"/>
  <c r="YG9"/>
  <c r="YH9"/>
  <c r="YI9"/>
  <c r="YG10"/>
  <c r="YH10"/>
  <c r="YI10"/>
  <c r="YG11"/>
  <c r="YH11"/>
  <c r="YI11"/>
  <c r="YG12"/>
  <c r="YH12"/>
  <c r="YI12"/>
  <c r="YG13"/>
  <c r="YH13"/>
  <c r="YI13"/>
  <c r="YG14"/>
  <c r="YH14"/>
  <c r="YI14"/>
  <c r="YI5"/>
  <c r="YG5"/>
  <c r="YH5"/>
  <c r="YF5"/>
  <c r="YM14"/>
  <c r="YL14"/>
  <c r="YK14"/>
  <c r="YJ14"/>
  <c r="YF14"/>
  <c r="YE14"/>
  <c r="YD14"/>
  <c r="YC14"/>
  <c r="YM13"/>
  <c r="YL13"/>
  <c r="YK13"/>
  <c r="YJ13"/>
  <c r="YF13"/>
  <c r="YE13"/>
  <c r="YD13"/>
  <c r="YC13"/>
  <c r="YM12"/>
  <c r="YL12"/>
  <c r="YK12"/>
  <c r="YJ12"/>
  <c r="YF12"/>
  <c r="YE12"/>
  <c r="YD12"/>
  <c r="YC12"/>
  <c r="YM11"/>
  <c r="YL11"/>
  <c r="YK11"/>
  <c r="YJ11"/>
  <c r="YF11"/>
  <c r="YE11"/>
  <c r="YD11"/>
  <c r="YC11"/>
  <c r="YM10"/>
  <c r="YL10"/>
  <c r="YK10"/>
  <c r="YJ10"/>
  <c r="YF10"/>
  <c r="YE10"/>
  <c r="YD10"/>
  <c r="YC10"/>
  <c r="YM9"/>
  <c r="YL9"/>
  <c r="YK9"/>
  <c r="YJ9"/>
  <c r="YF9"/>
  <c r="YE9"/>
  <c r="YD9"/>
  <c r="YC9"/>
  <c r="YM8"/>
  <c r="YL8"/>
  <c r="YK8"/>
  <c r="YJ8"/>
  <c r="YF8"/>
  <c r="YE8"/>
  <c r="YD8"/>
  <c r="YC8"/>
  <c r="YM7"/>
  <c r="YL7"/>
  <c r="YK7"/>
  <c r="YJ7"/>
  <c r="YF7"/>
  <c r="YE7"/>
  <c r="YD7"/>
  <c r="YC7"/>
  <c r="YM6"/>
  <c r="YL6"/>
  <c r="YK6"/>
  <c r="YJ6"/>
  <c r="YF6"/>
  <c r="YE6"/>
  <c r="YD6"/>
  <c r="YC6"/>
  <c r="YM5"/>
  <c r="YL5"/>
  <c r="YK5"/>
  <c r="YJ5"/>
  <c r="YE5"/>
  <c r="YD5"/>
  <c r="YC5"/>
  <c r="XT6"/>
  <c r="XU6"/>
  <c r="XV6"/>
  <c r="XT7"/>
  <c r="XU7"/>
  <c r="XV7"/>
  <c r="XT8"/>
  <c r="XU8"/>
  <c r="XV8"/>
  <c r="XT9"/>
  <c r="XU9"/>
  <c r="XV9"/>
  <c r="XT10"/>
  <c r="XU10"/>
  <c r="XV10"/>
  <c r="XT11"/>
  <c r="XU11"/>
  <c r="XV11"/>
  <c r="XT12"/>
  <c r="XU12"/>
  <c r="XV12"/>
  <c r="XT13"/>
  <c r="XU13"/>
  <c r="XV13"/>
  <c r="XT14"/>
  <c r="XU14"/>
  <c r="XV14"/>
  <c r="XV5"/>
  <c r="XT5"/>
  <c r="XU5"/>
  <c r="XS5"/>
  <c r="XZ14"/>
  <c r="XY14"/>
  <c r="XX14"/>
  <c r="XW14"/>
  <c r="XS14"/>
  <c r="XR14"/>
  <c r="XQ14"/>
  <c r="XP14"/>
  <c r="XZ13"/>
  <c r="XY13"/>
  <c r="XX13"/>
  <c r="XW13"/>
  <c r="XS13"/>
  <c r="XR13"/>
  <c r="XQ13"/>
  <c r="XP13"/>
  <c r="XZ12"/>
  <c r="XY12"/>
  <c r="XX12"/>
  <c r="XW12"/>
  <c r="XS12"/>
  <c r="XR12"/>
  <c r="XQ12"/>
  <c r="XP12"/>
  <c r="XZ11"/>
  <c r="XY11"/>
  <c r="XX11"/>
  <c r="XW11"/>
  <c r="XS11"/>
  <c r="XR11"/>
  <c r="XQ11"/>
  <c r="XP11"/>
  <c r="XZ10"/>
  <c r="XY10"/>
  <c r="XX10"/>
  <c r="XW10"/>
  <c r="XS10"/>
  <c r="XR10"/>
  <c r="XQ10"/>
  <c r="XP10"/>
  <c r="XZ9"/>
  <c r="XY9"/>
  <c r="XX9"/>
  <c r="XW9"/>
  <c r="XS9"/>
  <c r="XR9"/>
  <c r="XQ9"/>
  <c r="XP9"/>
  <c r="XZ8"/>
  <c r="XY8"/>
  <c r="XX8"/>
  <c r="XW8"/>
  <c r="XS8"/>
  <c r="XR8"/>
  <c r="XQ8"/>
  <c r="XP8"/>
  <c r="XZ7"/>
  <c r="XY7"/>
  <c r="XX7"/>
  <c r="XW7"/>
  <c r="XS7"/>
  <c r="XR7"/>
  <c r="XQ7"/>
  <c r="XP7"/>
  <c r="XZ6"/>
  <c r="XY6"/>
  <c r="XX6"/>
  <c r="XW6"/>
  <c r="XS6"/>
  <c r="XR6"/>
  <c r="XQ6"/>
  <c r="XP6"/>
  <c r="XZ5"/>
  <c r="XY5"/>
  <c r="XX5"/>
  <c r="XW5"/>
  <c r="XR5"/>
  <c r="XQ5"/>
  <c r="XP5"/>
  <c r="XG6"/>
  <c r="XH6"/>
  <c r="XI6"/>
  <c r="XG7"/>
  <c r="XH7"/>
  <c r="XI7"/>
  <c r="XG8"/>
  <c r="XH8"/>
  <c r="XI8"/>
  <c r="XG9"/>
  <c r="XH9"/>
  <c r="XI9"/>
  <c r="XG10"/>
  <c r="XH10"/>
  <c r="XI10"/>
  <c r="XG11"/>
  <c r="XH11"/>
  <c r="XI11"/>
  <c r="XG12"/>
  <c r="XH12"/>
  <c r="XI12"/>
  <c r="XG13"/>
  <c r="XH13"/>
  <c r="XI13"/>
  <c r="XG14"/>
  <c r="XH14"/>
  <c r="XI14"/>
  <c r="XG15"/>
  <c r="XH15"/>
  <c r="XI15"/>
  <c r="XI5"/>
  <c r="XG5"/>
  <c r="XH5"/>
  <c r="XF5"/>
  <c r="XM15"/>
  <c r="XL15"/>
  <c r="XK15"/>
  <c r="XJ15"/>
  <c r="XF15"/>
  <c r="XE15"/>
  <c r="XD15"/>
  <c r="XC15"/>
  <c r="XM14"/>
  <c r="XL14"/>
  <c r="XK14"/>
  <c r="XJ14"/>
  <c r="XF14"/>
  <c r="XE14"/>
  <c r="XD14"/>
  <c r="XC14"/>
  <c r="XM13"/>
  <c r="XL13"/>
  <c r="XK13"/>
  <c r="XJ13"/>
  <c r="XF13"/>
  <c r="XE13"/>
  <c r="XD13"/>
  <c r="XC13"/>
  <c r="XM12"/>
  <c r="XL12"/>
  <c r="XK12"/>
  <c r="XJ12"/>
  <c r="XF12"/>
  <c r="XE12"/>
  <c r="XD12"/>
  <c r="XC12"/>
  <c r="XM11"/>
  <c r="XL11"/>
  <c r="XK11"/>
  <c r="XJ11"/>
  <c r="XF11"/>
  <c r="XE11"/>
  <c r="XD11"/>
  <c r="XC11"/>
  <c r="XM10"/>
  <c r="XL10"/>
  <c r="XK10"/>
  <c r="XJ10"/>
  <c r="XF10"/>
  <c r="XE10"/>
  <c r="XD10"/>
  <c r="XC10"/>
  <c r="XM9"/>
  <c r="XL9"/>
  <c r="XK9"/>
  <c r="XJ9"/>
  <c r="XF9"/>
  <c r="XE9"/>
  <c r="XD9"/>
  <c r="XC9"/>
  <c r="XM8"/>
  <c r="XL8"/>
  <c r="XK8"/>
  <c r="XJ8"/>
  <c r="XF8"/>
  <c r="XE8"/>
  <c r="XD8"/>
  <c r="XC8"/>
  <c r="XM7"/>
  <c r="XL7"/>
  <c r="XK7"/>
  <c r="XJ7"/>
  <c r="XF7"/>
  <c r="XE7"/>
  <c r="XD7"/>
  <c r="XC7"/>
  <c r="XM6"/>
  <c r="XL6"/>
  <c r="XK6"/>
  <c r="XJ6"/>
  <c r="XF6"/>
  <c r="XE6"/>
  <c r="XD6"/>
  <c r="XC6"/>
  <c r="XM5"/>
  <c r="XL5"/>
  <c r="XK5"/>
  <c r="XJ5"/>
  <c r="XE5"/>
  <c r="XD5"/>
  <c r="XC5"/>
  <c r="WT6"/>
  <c r="WU6"/>
  <c r="WV6"/>
  <c r="WT7"/>
  <c r="WU7"/>
  <c r="WV7"/>
  <c r="WT8"/>
  <c r="WU8"/>
  <c r="WV8"/>
  <c r="WT9"/>
  <c r="WU9"/>
  <c r="WV9"/>
  <c r="WT10"/>
  <c r="WU10"/>
  <c r="WV10"/>
  <c r="WT11"/>
  <c r="WU11"/>
  <c r="WV11"/>
  <c r="WT12"/>
  <c r="WU12"/>
  <c r="WV12"/>
  <c r="WT13"/>
  <c r="WU13"/>
  <c r="WV13"/>
  <c r="WT14"/>
  <c r="WU14"/>
  <c r="WV14"/>
  <c r="WV5"/>
  <c r="WT5"/>
  <c r="WU5"/>
  <c r="WS5"/>
  <c r="WZ14"/>
  <c r="WY14"/>
  <c r="WX14"/>
  <c r="WW14"/>
  <c r="WS14"/>
  <c r="WR14"/>
  <c r="WQ14"/>
  <c r="WP14"/>
  <c r="WZ13"/>
  <c r="WY13"/>
  <c r="WX13"/>
  <c r="WW13"/>
  <c r="WS13"/>
  <c r="WR13"/>
  <c r="WQ13"/>
  <c r="WP13"/>
  <c r="WZ12"/>
  <c r="WY12"/>
  <c r="WX12"/>
  <c r="WW12"/>
  <c r="WS12"/>
  <c r="WR12"/>
  <c r="WQ12"/>
  <c r="WP12"/>
  <c r="WZ11"/>
  <c r="WY11"/>
  <c r="WX11"/>
  <c r="WW11"/>
  <c r="WS11"/>
  <c r="WR11"/>
  <c r="WQ11"/>
  <c r="WP11"/>
  <c r="WZ10"/>
  <c r="WY10"/>
  <c r="WX10"/>
  <c r="WW10"/>
  <c r="WS10"/>
  <c r="WR10"/>
  <c r="WQ10"/>
  <c r="WP10"/>
  <c r="WZ9"/>
  <c r="WY9"/>
  <c r="WX9"/>
  <c r="WW9"/>
  <c r="WS9"/>
  <c r="WR9"/>
  <c r="WQ9"/>
  <c r="WP9"/>
  <c r="WZ8"/>
  <c r="WY8"/>
  <c r="WX8"/>
  <c r="WW8"/>
  <c r="WS8"/>
  <c r="WR8"/>
  <c r="WQ8"/>
  <c r="WP8"/>
  <c r="WZ7"/>
  <c r="WY7"/>
  <c r="WX7"/>
  <c r="WW7"/>
  <c r="WS7"/>
  <c r="WR7"/>
  <c r="WQ7"/>
  <c r="WP7"/>
  <c r="WZ6"/>
  <c r="WY6"/>
  <c r="WX6"/>
  <c r="WW6"/>
  <c r="WS6"/>
  <c r="WR6"/>
  <c r="WQ6"/>
  <c r="WP6"/>
  <c r="WZ5"/>
  <c r="WY5"/>
  <c r="WX5"/>
  <c r="WW5"/>
  <c r="WR5"/>
  <c r="WQ5"/>
  <c r="WP5"/>
  <c r="WG6"/>
  <c r="WH6"/>
  <c r="WI6"/>
  <c r="WG7"/>
  <c r="WH7"/>
  <c r="WI7"/>
  <c r="WG8"/>
  <c r="WH8"/>
  <c r="WI8"/>
  <c r="WG9"/>
  <c r="WH9"/>
  <c r="WI9"/>
  <c r="WG10"/>
  <c r="WH10"/>
  <c r="WI10"/>
  <c r="WG11"/>
  <c r="WH11"/>
  <c r="WI11"/>
  <c r="WG12"/>
  <c r="WH12"/>
  <c r="WI12"/>
  <c r="WG13"/>
  <c r="WH13"/>
  <c r="WI13"/>
  <c r="WG14"/>
  <c r="WH14"/>
  <c r="WI14"/>
  <c r="WI5"/>
  <c r="WG5"/>
  <c r="WH5"/>
  <c r="WF5"/>
  <c r="WM14"/>
  <c r="WL14"/>
  <c r="WK14"/>
  <c r="WJ14"/>
  <c r="WF14"/>
  <c r="WE14"/>
  <c r="WD14"/>
  <c r="WC14"/>
  <c r="WM13"/>
  <c r="WL13"/>
  <c r="WK13"/>
  <c r="WJ13"/>
  <c r="WF13"/>
  <c r="WE13"/>
  <c r="WD13"/>
  <c r="WC13"/>
  <c r="WM12"/>
  <c r="WL12"/>
  <c r="WK12"/>
  <c r="WJ12"/>
  <c r="WF12"/>
  <c r="WE12"/>
  <c r="WD12"/>
  <c r="WC12"/>
  <c r="WM11"/>
  <c r="WL11"/>
  <c r="WK11"/>
  <c r="WJ11"/>
  <c r="WF11"/>
  <c r="WE11"/>
  <c r="WD11"/>
  <c r="WC11"/>
  <c r="WM10"/>
  <c r="WL10"/>
  <c r="WK10"/>
  <c r="WJ10"/>
  <c r="WF10"/>
  <c r="WE10"/>
  <c r="WD10"/>
  <c r="WC10"/>
  <c r="WM9"/>
  <c r="WL9"/>
  <c r="WK9"/>
  <c r="WJ9"/>
  <c r="WF9"/>
  <c r="WE9"/>
  <c r="WD9"/>
  <c r="WC9"/>
  <c r="WM8"/>
  <c r="WL8"/>
  <c r="WK8"/>
  <c r="WJ8"/>
  <c r="WF8"/>
  <c r="WE8"/>
  <c r="WD8"/>
  <c r="WC8"/>
  <c r="WM7"/>
  <c r="WL7"/>
  <c r="WK7"/>
  <c r="WJ7"/>
  <c r="WF7"/>
  <c r="WE7"/>
  <c r="WD7"/>
  <c r="WC7"/>
  <c r="WM6"/>
  <c r="WL6"/>
  <c r="WK6"/>
  <c r="WJ6"/>
  <c r="WF6"/>
  <c r="WE6"/>
  <c r="WD6"/>
  <c r="WC6"/>
  <c r="WM5"/>
  <c r="WL5"/>
  <c r="WK5"/>
  <c r="WJ5"/>
  <c r="WE5"/>
  <c r="WD5"/>
  <c r="WC5"/>
  <c r="VT6"/>
  <c r="VU6"/>
  <c r="VV6"/>
  <c r="VT7"/>
  <c r="VU7"/>
  <c r="VV7"/>
  <c r="VT8"/>
  <c r="VU8"/>
  <c r="VV8"/>
  <c r="VT9"/>
  <c r="VU9"/>
  <c r="VV9"/>
  <c r="VT10"/>
  <c r="VU10"/>
  <c r="VV10"/>
  <c r="VT11"/>
  <c r="VU11"/>
  <c r="VV11"/>
  <c r="VT12"/>
  <c r="VU12"/>
  <c r="VV12"/>
  <c r="VT13"/>
  <c r="VU13"/>
  <c r="VV13"/>
  <c r="VT14"/>
  <c r="VU14"/>
  <c r="VV14"/>
  <c r="VT15"/>
  <c r="VU15"/>
  <c r="VV15"/>
  <c r="VV5"/>
  <c r="VT5"/>
  <c r="VU5"/>
  <c r="VS5"/>
  <c r="VZ15"/>
  <c r="VY15"/>
  <c r="VX15"/>
  <c r="VW15"/>
  <c r="VS15"/>
  <c r="VR15"/>
  <c r="VQ15"/>
  <c r="VP15"/>
  <c r="VZ14"/>
  <c r="VY14"/>
  <c r="VX14"/>
  <c r="VW14"/>
  <c r="VS14"/>
  <c r="VR14"/>
  <c r="VQ14"/>
  <c r="VP14"/>
  <c r="VZ13"/>
  <c r="VY13"/>
  <c r="VX13"/>
  <c r="VW13"/>
  <c r="VS13"/>
  <c r="VR13"/>
  <c r="VQ13"/>
  <c r="VP13"/>
  <c r="VZ12"/>
  <c r="VY12"/>
  <c r="VX12"/>
  <c r="VW12"/>
  <c r="VS12"/>
  <c r="VR12"/>
  <c r="VQ12"/>
  <c r="VP12"/>
  <c r="VZ11"/>
  <c r="VY11"/>
  <c r="VX11"/>
  <c r="VW11"/>
  <c r="VS11"/>
  <c r="VR11"/>
  <c r="VQ11"/>
  <c r="VP11"/>
  <c r="VZ10"/>
  <c r="VY10"/>
  <c r="VX10"/>
  <c r="VW10"/>
  <c r="VS10"/>
  <c r="VR10"/>
  <c r="VQ10"/>
  <c r="VP10"/>
  <c r="VZ9"/>
  <c r="VY9"/>
  <c r="VX9"/>
  <c r="VW9"/>
  <c r="VS9"/>
  <c r="VR9"/>
  <c r="VQ9"/>
  <c r="VP9"/>
  <c r="VZ8"/>
  <c r="VY8"/>
  <c r="VX8"/>
  <c r="VW8"/>
  <c r="VS8"/>
  <c r="VR8"/>
  <c r="VQ8"/>
  <c r="VP8"/>
  <c r="VZ7"/>
  <c r="VY7"/>
  <c r="VX7"/>
  <c r="VW7"/>
  <c r="VS7"/>
  <c r="VR7"/>
  <c r="VQ7"/>
  <c r="VP7"/>
  <c r="VZ6"/>
  <c r="VY6"/>
  <c r="VX6"/>
  <c r="VW6"/>
  <c r="VS6"/>
  <c r="VR6"/>
  <c r="VQ6"/>
  <c r="VP6"/>
  <c r="VZ5"/>
  <c r="VY5"/>
  <c r="VX5"/>
  <c r="VW5"/>
  <c r="VR5"/>
  <c r="VQ5"/>
  <c r="VP5"/>
  <c r="VG6"/>
  <c r="VH6"/>
  <c r="VI6"/>
  <c r="VG7"/>
  <c r="VH7"/>
  <c r="VI7"/>
  <c r="VG8"/>
  <c r="VH8"/>
  <c r="VI8"/>
  <c r="VG9"/>
  <c r="VH9"/>
  <c r="VI9"/>
  <c r="VG10"/>
  <c r="VH10"/>
  <c r="VI10"/>
  <c r="VG11"/>
  <c r="VH11"/>
  <c r="VI11"/>
  <c r="VG12"/>
  <c r="VH12"/>
  <c r="VI12"/>
  <c r="VG13"/>
  <c r="VH13"/>
  <c r="VI13"/>
  <c r="VG14"/>
  <c r="VH14"/>
  <c r="VI14"/>
  <c r="VI5"/>
  <c r="VG5"/>
  <c r="VH5"/>
  <c r="VF5"/>
  <c r="VM14"/>
  <c r="VL14"/>
  <c r="VK14"/>
  <c r="VJ14"/>
  <c r="VF14"/>
  <c r="VE14"/>
  <c r="VD14"/>
  <c r="VC14"/>
  <c r="VM13"/>
  <c r="VL13"/>
  <c r="VK13"/>
  <c r="VJ13"/>
  <c r="VF13"/>
  <c r="VE13"/>
  <c r="VD13"/>
  <c r="VC13"/>
  <c r="VM12"/>
  <c r="VL12"/>
  <c r="VK12"/>
  <c r="VJ12"/>
  <c r="VF12"/>
  <c r="VE12"/>
  <c r="VD12"/>
  <c r="VC12"/>
  <c r="VM11"/>
  <c r="VL11"/>
  <c r="VK11"/>
  <c r="VJ11"/>
  <c r="VF11"/>
  <c r="VE11"/>
  <c r="VD11"/>
  <c r="VC11"/>
  <c r="VM10"/>
  <c r="VL10"/>
  <c r="VK10"/>
  <c r="VJ10"/>
  <c r="VF10"/>
  <c r="VE10"/>
  <c r="VD10"/>
  <c r="VC10"/>
  <c r="VM9"/>
  <c r="VL9"/>
  <c r="VK9"/>
  <c r="VJ9"/>
  <c r="VF9"/>
  <c r="VE9"/>
  <c r="VD9"/>
  <c r="VC9"/>
  <c r="VM8"/>
  <c r="VL8"/>
  <c r="VK8"/>
  <c r="VJ8"/>
  <c r="VF8"/>
  <c r="VE8"/>
  <c r="VD8"/>
  <c r="VC8"/>
  <c r="VM7"/>
  <c r="VL7"/>
  <c r="VK7"/>
  <c r="VJ7"/>
  <c r="VF7"/>
  <c r="VE7"/>
  <c r="VD7"/>
  <c r="VC7"/>
  <c r="VM6"/>
  <c r="VL6"/>
  <c r="VK6"/>
  <c r="VJ6"/>
  <c r="VF6"/>
  <c r="VE6"/>
  <c r="VD6"/>
  <c r="VC6"/>
  <c r="VM5"/>
  <c r="VL5"/>
  <c r="VK5"/>
  <c r="VJ5"/>
  <c r="VE5"/>
  <c r="VD5"/>
  <c r="VC5"/>
  <c r="UP14"/>
  <c r="UP9"/>
  <c r="UP10"/>
  <c r="UP11"/>
  <c r="UP12"/>
  <c r="UP13"/>
  <c r="UT6"/>
  <c r="UU6"/>
  <c r="UV6"/>
  <c r="UT7"/>
  <c r="UU7"/>
  <c r="UV7"/>
  <c r="UT8"/>
  <c r="UU8"/>
  <c r="UV8"/>
  <c r="UT9"/>
  <c r="UU9"/>
  <c r="UV9"/>
  <c r="UT10"/>
  <c r="UU10"/>
  <c r="UV10"/>
  <c r="UT11"/>
  <c r="UU11"/>
  <c r="UV11"/>
  <c r="UT12"/>
  <c r="UU12"/>
  <c r="UV12"/>
  <c r="UT13"/>
  <c r="UU13"/>
  <c r="UV13"/>
  <c r="UT14"/>
  <c r="UU14"/>
  <c r="UV14"/>
  <c r="UV5"/>
  <c r="UT5"/>
  <c r="UU5"/>
  <c r="US5"/>
  <c r="UZ14"/>
  <c r="UY14"/>
  <c r="UX14"/>
  <c r="UW14"/>
  <c r="US14"/>
  <c r="UR14"/>
  <c r="UQ14"/>
  <c r="UZ13"/>
  <c r="UY13"/>
  <c r="UX13"/>
  <c r="UW13"/>
  <c r="US13"/>
  <c r="UR13"/>
  <c r="UQ13"/>
  <c r="UZ12"/>
  <c r="UY12"/>
  <c r="UX12"/>
  <c r="UW12"/>
  <c r="US12"/>
  <c r="UR12"/>
  <c r="UQ12"/>
  <c r="UZ11"/>
  <c r="UY11"/>
  <c r="UX11"/>
  <c r="UW11"/>
  <c r="US11"/>
  <c r="UR11"/>
  <c r="UQ11"/>
  <c r="UZ10"/>
  <c r="UY10"/>
  <c r="UX10"/>
  <c r="UW10"/>
  <c r="US10"/>
  <c r="UR10"/>
  <c r="UQ10"/>
  <c r="UZ9"/>
  <c r="UY9"/>
  <c r="UX9"/>
  <c r="UW9"/>
  <c r="US9"/>
  <c r="UR9"/>
  <c r="UQ9"/>
  <c r="UZ8"/>
  <c r="UY8"/>
  <c r="UX8"/>
  <c r="UW8"/>
  <c r="US8"/>
  <c r="UR8"/>
  <c r="UQ8"/>
  <c r="UP8"/>
  <c r="UZ7"/>
  <c r="UY7"/>
  <c r="UX7"/>
  <c r="UW7"/>
  <c r="US7"/>
  <c r="UR7"/>
  <c r="UQ7"/>
  <c r="UP7"/>
  <c r="UZ6"/>
  <c r="UY6"/>
  <c r="UX6"/>
  <c r="UW6"/>
  <c r="US6"/>
  <c r="UR6"/>
  <c r="UQ6"/>
  <c r="UP6"/>
  <c r="UZ5"/>
  <c r="UY5"/>
  <c r="UX5"/>
  <c r="UW5"/>
  <c r="UR5"/>
  <c r="UQ5"/>
  <c r="UP5"/>
  <c r="UG6"/>
  <c r="UH6"/>
  <c r="UI6"/>
  <c r="UG7"/>
  <c r="UH7"/>
  <c r="UI7"/>
  <c r="UG8"/>
  <c r="UH8"/>
  <c r="UI8"/>
  <c r="UG9"/>
  <c r="UH9"/>
  <c r="UI9"/>
  <c r="UG10"/>
  <c r="UH10"/>
  <c r="UI10"/>
  <c r="UG11"/>
  <c r="UH11"/>
  <c r="UI11"/>
  <c r="UG12"/>
  <c r="UH12"/>
  <c r="UI12"/>
  <c r="UG13"/>
  <c r="UH13"/>
  <c r="UI13"/>
  <c r="UG14"/>
  <c r="UH14"/>
  <c r="UI14"/>
  <c r="UG15"/>
  <c r="UH15"/>
  <c r="UI15"/>
  <c r="UI5"/>
  <c r="UG5"/>
  <c r="UH5"/>
  <c r="UF5"/>
  <c r="UM15"/>
  <c r="UL15"/>
  <c r="UK15"/>
  <c r="UJ15"/>
  <c r="UF15"/>
  <c r="UE15"/>
  <c r="UD15"/>
  <c r="UC15"/>
  <c r="UM14"/>
  <c r="UL14"/>
  <c r="UK14"/>
  <c r="UJ14"/>
  <c r="UF14"/>
  <c r="UE14"/>
  <c r="UD14"/>
  <c r="UC14"/>
  <c r="UM13"/>
  <c r="UL13"/>
  <c r="UK13"/>
  <c r="UJ13"/>
  <c r="UF13"/>
  <c r="UE13"/>
  <c r="UD13"/>
  <c r="UC13"/>
  <c r="UM12"/>
  <c r="UL12"/>
  <c r="UK12"/>
  <c r="UJ12"/>
  <c r="UF12"/>
  <c r="UE12"/>
  <c r="UD12"/>
  <c r="UC12"/>
  <c r="UM11"/>
  <c r="UL11"/>
  <c r="UK11"/>
  <c r="UJ11"/>
  <c r="UF11"/>
  <c r="UE11"/>
  <c r="UD11"/>
  <c r="UC11"/>
  <c r="UM10"/>
  <c r="UL10"/>
  <c r="UK10"/>
  <c r="UJ10"/>
  <c r="UF10"/>
  <c r="UE10"/>
  <c r="UD10"/>
  <c r="UC10"/>
  <c r="UM9"/>
  <c r="UL9"/>
  <c r="UK9"/>
  <c r="UJ9"/>
  <c r="UF9"/>
  <c r="UE9"/>
  <c r="UD9"/>
  <c r="UC9"/>
  <c r="UM8"/>
  <c r="UL8"/>
  <c r="UK8"/>
  <c r="UJ8"/>
  <c r="UF8"/>
  <c r="UE8"/>
  <c r="UD8"/>
  <c r="UC8"/>
  <c r="UM7"/>
  <c r="UL7"/>
  <c r="UK7"/>
  <c r="UJ7"/>
  <c r="UF7"/>
  <c r="UE7"/>
  <c r="UD7"/>
  <c r="UC7"/>
  <c r="UM6"/>
  <c r="UL6"/>
  <c r="UK6"/>
  <c r="UJ6"/>
  <c r="UF6"/>
  <c r="UE6"/>
  <c r="UD6"/>
  <c r="UC6"/>
  <c r="UM5"/>
  <c r="UL5"/>
  <c r="UK5"/>
  <c r="UJ5"/>
  <c r="UE5"/>
  <c r="UD5"/>
  <c r="UC5"/>
  <c r="TT6"/>
  <c r="TU6"/>
  <c r="TV6"/>
  <c r="TT7"/>
  <c r="TU7"/>
  <c r="TV7"/>
  <c r="TT8"/>
  <c r="TU8"/>
  <c r="TV8"/>
  <c r="TT9"/>
  <c r="TU9"/>
  <c r="TV9"/>
  <c r="TT10"/>
  <c r="TU10"/>
  <c r="TV10"/>
  <c r="TT11"/>
  <c r="TU11"/>
  <c r="TV11"/>
  <c r="TT12"/>
  <c r="TU12"/>
  <c r="TV12"/>
  <c r="TT13"/>
  <c r="TU13"/>
  <c r="TV13"/>
  <c r="TT14"/>
  <c r="TU14"/>
  <c r="TV14"/>
  <c r="TV5"/>
  <c r="TT5"/>
  <c r="TU5"/>
  <c r="TS5"/>
  <c r="TZ14"/>
  <c r="TY14"/>
  <c r="TX14"/>
  <c r="TW14"/>
  <c r="TS14"/>
  <c r="TR14"/>
  <c r="TQ14"/>
  <c r="TP14"/>
  <c r="TZ13"/>
  <c r="TY13"/>
  <c r="TX13"/>
  <c r="TW13"/>
  <c r="TS13"/>
  <c r="TR13"/>
  <c r="TQ13"/>
  <c r="TP13"/>
  <c r="TZ12"/>
  <c r="TY12"/>
  <c r="TX12"/>
  <c r="TW12"/>
  <c r="TS12"/>
  <c r="TR12"/>
  <c r="TQ12"/>
  <c r="TP12"/>
  <c r="TZ11"/>
  <c r="TY11"/>
  <c r="TX11"/>
  <c r="TW11"/>
  <c r="TS11"/>
  <c r="TR11"/>
  <c r="TQ11"/>
  <c r="TP11"/>
  <c r="TZ10"/>
  <c r="TY10"/>
  <c r="TX10"/>
  <c r="TW10"/>
  <c r="TS10"/>
  <c r="TR10"/>
  <c r="TQ10"/>
  <c r="TP10"/>
  <c r="TZ9"/>
  <c r="TY9"/>
  <c r="TX9"/>
  <c r="TW9"/>
  <c r="TS9"/>
  <c r="TR9"/>
  <c r="TQ9"/>
  <c r="TP9"/>
  <c r="TZ8"/>
  <c r="TY8"/>
  <c r="TX8"/>
  <c r="TW8"/>
  <c r="TS8"/>
  <c r="TR8"/>
  <c r="TQ8"/>
  <c r="TP8"/>
  <c r="TZ7"/>
  <c r="TY7"/>
  <c r="TX7"/>
  <c r="TW7"/>
  <c r="TS7"/>
  <c r="TR7"/>
  <c r="TQ7"/>
  <c r="TP7"/>
  <c r="TZ6"/>
  <c r="TY6"/>
  <c r="TX6"/>
  <c r="TW6"/>
  <c r="TS6"/>
  <c r="TR6"/>
  <c r="TQ6"/>
  <c r="TP6"/>
  <c r="TZ5"/>
  <c r="TY5"/>
  <c r="TX5"/>
  <c r="TW5"/>
  <c r="TR5"/>
  <c r="TQ5"/>
  <c r="TP5"/>
  <c r="TG6"/>
  <c r="TH6"/>
  <c r="TI6"/>
  <c r="TG7"/>
  <c r="TH7"/>
  <c r="TI7"/>
  <c r="TG8"/>
  <c r="TH8"/>
  <c r="TI8"/>
  <c r="TG9"/>
  <c r="TH9"/>
  <c r="TI9"/>
  <c r="TG10"/>
  <c r="TH10"/>
  <c r="TI10"/>
  <c r="TG11"/>
  <c r="TH11"/>
  <c r="TI11"/>
  <c r="TG12"/>
  <c r="TH12"/>
  <c r="TI12"/>
  <c r="TG13"/>
  <c r="TH13"/>
  <c r="TI13"/>
  <c r="TG14"/>
  <c r="TH14"/>
  <c r="TI14"/>
  <c r="TI5"/>
  <c r="TG5"/>
  <c r="TH5"/>
  <c r="TF5"/>
  <c r="TM14"/>
  <c r="TL14"/>
  <c r="TK14"/>
  <c r="TJ14"/>
  <c r="TF14"/>
  <c r="TE14"/>
  <c r="TD14"/>
  <c r="TC14"/>
  <c r="TM13"/>
  <c r="TL13"/>
  <c r="TK13"/>
  <c r="TJ13"/>
  <c r="TF13"/>
  <c r="TE13"/>
  <c r="TD13"/>
  <c r="TC13"/>
  <c r="TM12"/>
  <c r="TL12"/>
  <c r="TK12"/>
  <c r="TJ12"/>
  <c r="TF12"/>
  <c r="TE12"/>
  <c r="TD12"/>
  <c r="TC12"/>
  <c r="TM11"/>
  <c r="TL11"/>
  <c r="TK11"/>
  <c r="TJ11"/>
  <c r="TF11"/>
  <c r="TE11"/>
  <c r="TD11"/>
  <c r="TC11"/>
  <c r="TM10"/>
  <c r="TL10"/>
  <c r="TK10"/>
  <c r="TJ10"/>
  <c r="TF10"/>
  <c r="TE10"/>
  <c r="TD10"/>
  <c r="TC10"/>
  <c r="TM9"/>
  <c r="TL9"/>
  <c r="TK9"/>
  <c r="TJ9"/>
  <c r="TF9"/>
  <c r="TE9"/>
  <c r="TD9"/>
  <c r="TC9"/>
  <c r="TM8"/>
  <c r="TL8"/>
  <c r="TK8"/>
  <c r="TJ8"/>
  <c r="TF8"/>
  <c r="TE8"/>
  <c r="TD8"/>
  <c r="TC8"/>
  <c r="TM7"/>
  <c r="TL7"/>
  <c r="TK7"/>
  <c r="TJ7"/>
  <c r="TF7"/>
  <c r="TE7"/>
  <c r="TD7"/>
  <c r="TC7"/>
  <c r="TM6"/>
  <c r="TL6"/>
  <c r="TK6"/>
  <c r="TJ6"/>
  <c r="TF6"/>
  <c r="TE6"/>
  <c r="TD6"/>
  <c r="TC6"/>
  <c r="TM5"/>
  <c r="TL5"/>
  <c r="TK5"/>
  <c r="TJ5"/>
  <c r="TE5"/>
  <c r="TD5"/>
  <c r="TC5"/>
  <c r="SP5"/>
  <c r="SQ5"/>
  <c r="SR5"/>
  <c r="SS5"/>
  <c r="ST5"/>
  <c r="SU5"/>
  <c r="SV5"/>
  <c r="SW5"/>
  <c r="SX5"/>
  <c r="SY5"/>
  <c r="SZ5"/>
  <c r="ST6"/>
  <c r="SU6"/>
  <c r="SV6"/>
  <c r="ST7"/>
  <c r="SU7"/>
  <c r="SV7"/>
  <c r="ST8"/>
  <c r="SU8"/>
  <c r="SV8"/>
  <c r="ST9"/>
  <c r="SU9"/>
  <c r="SV9"/>
  <c r="ST10"/>
  <c r="SU10"/>
  <c r="SV10"/>
  <c r="ST11"/>
  <c r="SU11"/>
  <c r="SV11"/>
  <c r="ST12"/>
  <c r="SU12"/>
  <c r="SV12"/>
  <c r="ST13"/>
  <c r="SU13"/>
  <c r="SV13"/>
  <c r="ST14"/>
  <c r="SU14"/>
  <c r="SV14"/>
  <c r="ST15"/>
  <c r="SU15"/>
  <c r="SV15"/>
  <c r="SZ15"/>
  <c r="SY15"/>
  <c r="SX15"/>
  <c r="SW15"/>
  <c r="SS15"/>
  <c r="SR15"/>
  <c r="SQ15"/>
  <c r="SP15"/>
  <c r="SZ14"/>
  <c r="SY14"/>
  <c r="SX14"/>
  <c r="SW14"/>
  <c r="SS14"/>
  <c r="SR14"/>
  <c r="SQ14"/>
  <c r="SP14"/>
  <c r="SZ13"/>
  <c r="SY13"/>
  <c r="SX13"/>
  <c r="SW13"/>
  <c r="SS13"/>
  <c r="SR13"/>
  <c r="SQ13"/>
  <c r="SP13"/>
  <c r="SZ12"/>
  <c r="SY12"/>
  <c r="SX12"/>
  <c r="SW12"/>
  <c r="SS12"/>
  <c r="SR12"/>
  <c r="SQ12"/>
  <c r="SP12"/>
  <c r="SZ11"/>
  <c r="SY11"/>
  <c r="SX11"/>
  <c r="SW11"/>
  <c r="SS11"/>
  <c r="SR11"/>
  <c r="SQ11"/>
  <c r="SP11"/>
  <c r="SZ10"/>
  <c r="SY10"/>
  <c r="SX10"/>
  <c r="SW10"/>
  <c r="SS10"/>
  <c r="SR10"/>
  <c r="SQ10"/>
  <c r="SP10"/>
  <c r="SZ9"/>
  <c r="SY9"/>
  <c r="SX9"/>
  <c r="SW9"/>
  <c r="SS9"/>
  <c r="SR9"/>
  <c r="SQ9"/>
  <c r="SP9"/>
  <c r="SZ8"/>
  <c r="SY8"/>
  <c r="SX8"/>
  <c r="SW8"/>
  <c r="SS8"/>
  <c r="SR8"/>
  <c r="SQ8"/>
  <c r="SP8"/>
  <c r="SZ7"/>
  <c r="SY7"/>
  <c r="SX7"/>
  <c r="SW7"/>
  <c r="SS7"/>
  <c r="SR7"/>
  <c r="SQ7"/>
  <c r="SP7"/>
  <c r="SZ6"/>
  <c r="SY6"/>
  <c r="SX6"/>
  <c r="SW6"/>
  <c r="SS6"/>
  <c r="SR6"/>
  <c r="SQ6"/>
  <c r="SP6"/>
  <c r="SG6"/>
  <c r="SH6"/>
  <c r="SI6"/>
  <c r="SG7"/>
  <c r="SH7"/>
  <c r="SI7"/>
  <c r="SG8"/>
  <c r="SH8"/>
  <c r="SI8"/>
  <c r="SG9"/>
  <c r="SH9"/>
  <c r="SI9"/>
  <c r="SG10"/>
  <c r="SH10"/>
  <c r="SI10"/>
  <c r="SG11"/>
  <c r="SH11"/>
  <c r="SI11"/>
  <c r="SG12"/>
  <c r="SH12"/>
  <c r="SI12"/>
  <c r="SG13"/>
  <c r="SH13"/>
  <c r="SI13"/>
  <c r="SG14"/>
  <c r="SH14"/>
  <c r="SI14"/>
  <c r="SI5"/>
  <c r="SG5"/>
  <c r="SH5"/>
  <c r="SF5"/>
  <c r="SM14"/>
  <c r="SL14"/>
  <c r="SK14"/>
  <c r="SJ14"/>
  <c r="SF14"/>
  <c r="SE14"/>
  <c r="SD14"/>
  <c r="SC14"/>
  <c r="SM13"/>
  <c r="SL13"/>
  <c r="SK13"/>
  <c r="SJ13"/>
  <c r="SF13"/>
  <c r="SE13"/>
  <c r="SD13"/>
  <c r="SC13"/>
  <c r="SM12"/>
  <c r="SL12"/>
  <c r="SK12"/>
  <c r="SJ12"/>
  <c r="SF12"/>
  <c r="SE12"/>
  <c r="SD12"/>
  <c r="SC12"/>
  <c r="SM11"/>
  <c r="SL11"/>
  <c r="SK11"/>
  <c r="SJ11"/>
  <c r="SF11"/>
  <c r="SE11"/>
  <c r="SD11"/>
  <c r="SC11"/>
  <c r="SM10"/>
  <c r="SL10"/>
  <c r="SK10"/>
  <c r="SJ10"/>
  <c r="SF10"/>
  <c r="SE10"/>
  <c r="SD10"/>
  <c r="SC10"/>
  <c r="SM9"/>
  <c r="SL9"/>
  <c r="SK9"/>
  <c r="SJ9"/>
  <c r="SF9"/>
  <c r="SE9"/>
  <c r="SD9"/>
  <c r="SC9"/>
  <c r="SM8"/>
  <c r="SL8"/>
  <c r="SK8"/>
  <c r="SJ8"/>
  <c r="SF8"/>
  <c r="SE8"/>
  <c r="SD8"/>
  <c r="SC8"/>
  <c r="SM7"/>
  <c r="SL7"/>
  <c r="SK7"/>
  <c r="SJ7"/>
  <c r="SF7"/>
  <c r="SE7"/>
  <c r="SD7"/>
  <c r="SC7"/>
  <c r="SM6"/>
  <c r="SL6"/>
  <c r="SK6"/>
  <c r="SJ6"/>
  <c r="SF6"/>
  <c r="SE6"/>
  <c r="SD6"/>
  <c r="SC6"/>
  <c r="SM5"/>
  <c r="SL5"/>
  <c r="SK5"/>
  <c r="SJ5"/>
  <c r="SE5"/>
  <c r="SD5"/>
  <c r="SC5"/>
  <c r="RT6"/>
  <c r="RU6"/>
  <c r="RV6"/>
  <c r="RT7"/>
  <c r="RU7"/>
  <c r="RV7"/>
  <c r="RT8"/>
  <c r="RU8"/>
  <c r="RV8"/>
  <c r="RT9"/>
  <c r="RU9"/>
  <c r="RV9"/>
  <c r="RT10"/>
  <c r="RU10"/>
  <c r="RV10"/>
  <c r="RT11"/>
  <c r="RU11"/>
  <c r="RV11"/>
  <c r="RT12"/>
  <c r="RU12"/>
  <c r="RV12"/>
  <c r="RT13"/>
  <c r="RU13"/>
  <c r="RV13"/>
  <c r="RT14"/>
  <c r="RU14"/>
  <c r="RV14"/>
  <c r="RV5"/>
  <c r="RT5"/>
  <c r="RU5"/>
  <c r="RS5"/>
  <c r="RZ14"/>
  <c r="RY14"/>
  <c r="RX14"/>
  <c r="RW14"/>
  <c r="RS14"/>
  <c r="RR14"/>
  <c r="RQ14"/>
  <c r="RP14"/>
  <c r="RZ13"/>
  <c r="RY13"/>
  <c r="RX13"/>
  <c r="RW13"/>
  <c r="RS13"/>
  <c r="RR13"/>
  <c r="RQ13"/>
  <c r="RP13"/>
  <c r="RZ12"/>
  <c r="RY12"/>
  <c r="RX12"/>
  <c r="RW12"/>
  <c r="RS12"/>
  <c r="RR12"/>
  <c r="RQ12"/>
  <c r="RP12"/>
  <c r="RZ11"/>
  <c r="RY11"/>
  <c r="RX11"/>
  <c r="RW11"/>
  <c r="RS11"/>
  <c r="RR11"/>
  <c r="RQ11"/>
  <c r="RP11"/>
  <c r="RZ10"/>
  <c r="RY10"/>
  <c r="RX10"/>
  <c r="RW10"/>
  <c r="RS10"/>
  <c r="RR10"/>
  <c r="RQ10"/>
  <c r="RP10"/>
  <c r="RZ9"/>
  <c r="RY9"/>
  <c r="RX9"/>
  <c r="RW9"/>
  <c r="RS9"/>
  <c r="RR9"/>
  <c r="RQ9"/>
  <c r="RP9"/>
  <c r="RZ8"/>
  <c r="RY8"/>
  <c r="RX8"/>
  <c r="RW8"/>
  <c r="RS8"/>
  <c r="RR8"/>
  <c r="RQ8"/>
  <c r="RP8"/>
  <c r="RZ7"/>
  <c r="RY7"/>
  <c r="RX7"/>
  <c r="RW7"/>
  <c r="RS7"/>
  <c r="RR7"/>
  <c r="RQ7"/>
  <c r="RP7"/>
  <c r="RZ6"/>
  <c r="RY6"/>
  <c r="RX6"/>
  <c r="RW6"/>
  <c r="RS6"/>
  <c r="RR6"/>
  <c r="RQ6"/>
  <c r="RP6"/>
  <c r="RZ5"/>
  <c r="RY5"/>
  <c r="RX5"/>
  <c r="RW5"/>
  <c r="RR5"/>
  <c r="RQ5"/>
  <c r="RP5"/>
  <c r="RG6"/>
  <c r="RH6"/>
  <c r="RI6"/>
  <c r="RG7"/>
  <c r="RH7"/>
  <c r="RI7"/>
  <c r="RG8"/>
  <c r="RH8"/>
  <c r="RI8"/>
  <c r="RG9"/>
  <c r="RH9"/>
  <c r="RI9"/>
  <c r="RG10"/>
  <c r="RH10"/>
  <c r="RI10"/>
  <c r="RG11"/>
  <c r="RH11"/>
  <c r="RI11"/>
  <c r="RG12"/>
  <c r="RH12"/>
  <c r="RI12"/>
  <c r="RG13"/>
  <c r="RH13"/>
  <c r="RI13"/>
  <c r="RG14"/>
  <c r="RH14"/>
  <c r="RI14"/>
  <c r="RG15"/>
  <c r="RH15"/>
  <c r="RI15"/>
  <c r="RI5"/>
  <c r="RG5"/>
  <c r="RH5"/>
  <c r="RF5"/>
  <c r="RM15"/>
  <c r="RL15"/>
  <c r="RK15"/>
  <c r="RJ15"/>
  <c r="RF15"/>
  <c r="RE15"/>
  <c r="RD15"/>
  <c r="RC15"/>
  <c r="RM14"/>
  <c r="RL14"/>
  <c r="RK14"/>
  <c r="RJ14"/>
  <c r="RF14"/>
  <c r="RE14"/>
  <c r="RD14"/>
  <c r="RC14"/>
  <c r="RM13"/>
  <c r="RL13"/>
  <c r="RK13"/>
  <c r="RJ13"/>
  <c r="RF13"/>
  <c r="RE13"/>
  <c r="RD13"/>
  <c r="RC13"/>
  <c r="RM12"/>
  <c r="RL12"/>
  <c r="RK12"/>
  <c r="RJ12"/>
  <c r="RF12"/>
  <c r="RE12"/>
  <c r="RD12"/>
  <c r="RC12"/>
  <c r="RM11"/>
  <c r="RL11"/>
  <c r="RK11"/>
  <c r="RJ11"/>
  <c r="RF11"/>
  <c r="RE11"/>
  <c r="RD11"/>
  <c r="RC11"/>
  <c r="RM10"/>
  <c r="RL10"/>
  <c r="RK10"/>
  <c r="RJ10"/>
  <c r="RF10"/>
  <c r="RE10"/>
  <c r="RD10"/>
  <c r="RC10"/>
  <c r="RM9"/>
  <c r="RL9"/>
  <c r="RK9"/>
  <c r="RJ9"/>
  <c r="RF9"/>
  <c r="RE9"/>
  <c r="RD9"/>
  <c r="RC9"/>
  <c r="RM8"/>
  <c r="RL8"/>
  <c r="RK8"/>
  <c r="RJ8"/>
  <c r="RF8"/>
  <c r="RE8"/>
  <c r="RD8"/>
  <c r="RC8"/>
  <c r="RM7"/>
  <c r="RL7"/>
  <c r="RK7"/>
  <c r="RJ7"/>
  <c r="RF7"/>
  <c r="RE7"/>
  <c r="RD7"/>
  <c r="RC7"/>
  <c r="RM6"/>
  <c r="RL6"/>
  <c r="RK6"/>
  <c r="RJ6"/>
  <c r="RF6"/>
  <c r="RE6"/>
  <c r="RD6"/>
  <c r="RC6"/>
  <c r="RM5"/>
  <c r="RL5"/>
  <c r="RK5"/>
  <c r="RJ5"/>
  <c r="RE5"/>
  <c r="RD5"/>
  <c r="RC5"/>
  <c r="QT6"/>
  <c r="QU6"/>
  <c r="QV6"/>
  <c r="QT7"/>
  <c r="QU7"/>
  <c r="QV7"/>
  <c r="QT8"/>
  <c r="QU8"/>
  <c r="QV8"/>
  <c r="QT9"/>
  <c r="QU9"/>
  <c r="QV9"/>
  <c r="QT10"/>
  <c r="QU10"/>
  <c r="QV10"/>
  <c r="QT11"/>
  <c r="QU11"/>
  <c r="QV11"/>
  <c r="QT12"/>
  <c r="QU12"/>
  <c r="QV12"/>
  <c r="QT13"/>
  <c r="QU13"/>
  <c r="QV13"/>
  <c r="QT14"/>
  <c r="QU14"/>
  <c r="QV14"/>
  <c r="QV5"/>
  <c r="QT5"/>
  <c r="QU5"/>
  <c r="QS5"/>
  <c r="QZ14"/>
  <c r="QY14"/>
  <c r="QX14"/>
  <c r="QW14"/>
  <c r="QS14"/>
  <c r="QR14"/>
  <c r="QQ14"/>
  <c r="QP14"/>
  <c r="QZ13"/>
  <c r="QY13"/>
  <c r="QX13"/>
  <c r="QW13"/>
  <c r="QS13"/>
  <c r="QR13"/>
  <c r="QQ13"/>
  <c r="QP13"/>
  <c r="QZ12"/>
  <c r="QY12"/>
  <c r="QX12"/>
  <c r="QW12"/>
  <c r="QS12"/>
  <c r="QR12"/>
  <c r="QQ12"/>
  <c r="QP12"/>
  <c r="QZ11"/>
  <c r="QY11"/>
  <c r="QX11"/>
  <c r="QW11"/>
  <c r="QS11"/>
  <c r="QR11"/>
  <c r="QQ11"/>
  <c r="QP11"/>
  <c r="QZ10"/>
  <c r="QY10"/>
  <c r="QX10"/>
  <c r="QW10"/>
  <c r="QS10"/>
  <c r="QR10"/>
  <c r="QQ10"/>
  <c r="QP10"/>
  <c r="QZ9"/>
  <c r="QY9"/>
  <c r="QX9"/>
  <c r="QW9"/>
  <c r="QS9"/>
  <c r="QR9"/>
  <c r="QQ9"/>
  <c r="QP9"/>
  <c r="QZ8"/>
  <c r="QY8"/>
  <c r="QX8"/>
  <c r="QW8"/>
  <c r="QS8"/>
  <c r="QR8"/>
  <c r="QQ8"/>
  <c r="QP8"/>
  <c r="QZ7"/>
  <c r="QY7"/>
  <c r="QX7"/>
  <c r="QW7"/>
  <c r="QS7"/>
  <c r="QR7"/>
  <c r="QQ7"/>
  <c r="QP7"/>
  <c r="QZ6"/>
  <c r="QY6"/>
  <c r="QX6"/>
  <c r="QW6"/>
  <c r="QS6"/>
  <c r="QR6"/>
  <c r="QQ6"/>
  <c r="QP6"/>
  <c r="QZ5"/>
  <c r="QY5"/>
  <c r="QX5"/>
  <c r="QW5"/>
  <c r="QR5"/>
  <c r="QQ5"/>
  <c r="QP5"/>
  <c r="QG6"/>
  <c r="QH6"/>
  <c r="QI6"/>
  <c r="QG7"/>
  <c r="QH7"/>
  <c r="QI7"/>
  <c r="QG8"/>
  <c r="QH8"/>
  <c r="QI8"/>
  <c r="QG9"/>
  <c r="QH9"/>
  <c r="QI9"/>
  <c r="QG10"/>
  <c r="QH10"/>
  <c r="QI10"/>
  <c r="QG11"/>
  <c r="QH11"/>
  <c r="QI11"/>
  <c r="QG12"/>
  <c r="QH12"/>
  <c r="QI12"/>
  <c r="QG13"/>
  <c r="QH13"/>
  <c r="QI13"/>
  <c r="QG14"/>
  <c r="QH14"/>
  <c r="QI14"/>
  <c r="QI5"/>
  <c r="QG5"/>
  <c r="QH5"/>
  <c r="QF5"/>
  <c r="QM14"/>
  <c r="QL14"/>
  <c r="QK14"/>
  <c r="QJ14"/>
  <c r="QF14"/>
  <c r="QE14"/>
  <c r="QD14"/>
  <c r="QC14"/>
  <c r="QM13"/>
  <c r="QL13"/>
  <c r="QK13"/>
  <c r="QJ13"/>
  <c r="QF13"/>
  <c r="QE13"/>
  <c r="QD13"/>
  <c r="QC13"/>
  <c r="QM12"/>
  <c r="QL12"/>
  <c r="QK12"/>
  <c r="QJ12"/>
  <c r="QF12"/>
  <c r="QE12"/>
  <c r="QD12"/>
  <c r="QC12"/>
  <c r="QM11"/>
  <c r="QL11"/>
  <c r="QK11"/>
  <c r="QJ11"/>
  <c r="QF11"/>
  <c r="QE11"/>
  <c r="QD11"/>
  <c r="QC11"/>
  <c r="QM10"/>
  <c r="QL10"/>
  <c r="QK10"/>
  <c r="QJ10"/>
  <c r="QF10"/>
  <c r="QE10"/>
  <c r="QD10"/>
  <c r="QC10"/>
  <c r="QM9"/>
  <c r="QL9"/>
  <c r="QK9"/>
  <c r="QJ9"/>
  <c r="QF9"/>
  <c r="QE9"/>
  <c r="QD9"/>
  <c r="QC9"/>
  <c r="QM8"/>
  <c r="QL8"/>
  <c r="QK8"/>
  <c r="QJ8"/>
  <c r="QF8"/>
  <c r="QE8"/>
  <c r="QD8"/>
  <c r="QC8"/>
  <c r="QM7"/>
  <c r="QL7"/>
  <c r="QK7"/>
  <c r="QJ7"/>
  <c r="QF7"/>
  <c r="QE7"/>
  <c r="QD7"/>
  <c r="QC7"/>
  <c r="QM6"/>
  <c r="QL6"/>
  <c r="QK6"/>
  <c r="QJ6"/>
  <c r="QF6"/>
  <c r="QE6"/>
  <c r="QD6"/>
  <c r="QC6"/>
  <c r="QM5"/>
  <c r="QL5"/>
  <c r="QK5"/>
  <c r="QJ5"/>
  <c r="QE5"/>
  <c r="QD5"/>
  <c r="QC5"/>
  <c r="PT6"/>
  <c r="PU6"/>
  <c r="PV6"/>
  <c r="PT7"/>
  <c r="PU7"/>
  <c r="PV7"/>
  <c r="PT8"/>
  <c r="PU8"/>
  <c r="PV8"/>
  <c r="PT9"/>
  <c r="PU9"/>
  <c r="PV9"/>
  <c r="PT10"/>
  <c r="PU10"/>
  <c r="PV10"/>
  <c r="PT11"/>
  <c r="PU11"/>
  <c r="PV11"/>
  <c r="PT12"/>
  <c r="PU12"/>
  <c r="PV12"/>
  <c r="PT13"/>
  <c r="PU13"/>
  <c r="PV13"/>
  <c r="PT14"/>
  <c r="PU14"/>
  <c r="PV14"/>
  <c r="PT15"/>
  <c r="PU15"/>
  <c r="PV15"/>
  <c r="PV5"/>
  <c r="PT5"/>
  <c r="PU5"/>
  <c r="PS5"/>
  <c r="PZ15"/>
  <c r="PY15"/>
  <c r="PX15"/>
  <c r="PW15"/>
  <c r="PS15"/>
  <c r="PR15"/>
  <c r="PQ15"/>
  <c r="PP15"/>
  <c r="PZ14"/>
  <c r="PY14"/>
  <c r="PX14"/>
  <c r="PW14"/>
  <c r="PS14"/>
  <c r="PR14"/>
  <c r="PQ14"/>
  <c r="PP14"/>
  <c r="PZ13"/>
  <c r="PY13"/>
  <c r="PX13"/>
  <c r="PW13"/>
  <c r="PS13"/>
  <c r="PR13"/>
  <c r="PQ13"/>
  <c r="PP13"/>
  <c r="PZ12"/>
  <c r="PY12"/>
  <c r="PX12"/>
  <c r="PW12"/>
  <c r="PS12"/>
  <c r="PR12"/>
  <c r="PQ12"/>
  <c r="PP12"/>
  <c r="PZ11"/>
  <c r="PY11"/>
  <c r="PX11"/>
  <c r="PW11"/>
  <c r="PS11"/>
  <c r="PR11"/>
  <c r="PQ11"/>
  <c r="PP11"/>
  <c r="PZ10"/>
  <c r="PY10"/>
  <c r="PX10"/>
  <c r="PW10"/>
  <c r="PS10"/>
  <c r="PR10"/>
  <c r="PQ10"/>
  <c r="PP10"/>
  <c r="PZ9"/>
  <c r="PY9"/>
  <c r="PX9"/>
  <c r="PW9"/>
  <c r="PS9"/>
  <c r="PR9"/>
  <c r="PQ9"/>
  <c r="PP9"/>
  <c r="PZ8"/>
  <c r="PY8"/>
  <c r="PX8"/>
  <c r="PW8"/>
  <c r="PS8"/>
  <c r="PR8"/>
  <c r="PQ8"/>
  <c r="PP8"/>
  <c r="PZ7"/>
  <c r="PY7"/>
  <c r="PX7"/>
  <c r="PW7"/>
  <c r="PS7"/>
  <c r="PR7"/>
  <c r="PQ7"/>
  <c r="PP7"/>
  <c r="PZ6"/>
  <c r="PY6"/>
  <c r="PX6"/>
  <c r="PW6"/>
  <c r="PS6"/>
  <c r="PR6"/>
  <c r="PQ6"/>
  <c r="PP6"/>
  <c r="PZ5"/>
  <c r="PY5"/>
  <c r="PX5"/>
  <c r="PW5"/>
  <c r="PR5"/>
  <c r="PQ5"/>
  <c r="PP5"/>
  <c r="PG6"/>
  <c r="PH6"/>
  <c r="PI6"/>
  <c r="PG7"/>
  <c r="PH7"/>
  <c r="PI7"/>
  <c r="PG8"/>
  <c r="PH8"/>
  <c r="PI8"/>
  <c r="PG9"/>
  <c r="PH9"/>
  <c r="PI9"/>
  <c r="PG10"/>
  <c r="PH10"/>
  <c r="PI10"/>
  <c r="PG11"/>
  <c r="PH11"/>
  <c r="PI11"/>
  <c r="PG12"/>
  <c r="PH12"/>
  <c r="PI12"/>
  <c r="PG13"/>
  <c r="PH13"/>
  <c r="PI13"/>
  <c r="PG14"/>
  <c r="PH14"/>
  <c r="PI14"/>
  <c r="PI5"/>
  <c r="PG5"/>
  <c r="PH5"/>
  <c r="PF5"/>
  <c r="PM14"/>
  <c r="PL14"/>
  <c r="PK14"/>
  <c r="PJ14"/>
  <c r="PF14"/>
  <c r="PE14"/>
  <c r="PD14"/>
  <c r="PC14"/>
  <c r="PM13"/>
  <c r="PL13"/>
  <c r="PK13"/>
  <c r="PJ13"/>
  <c r="PF13"/>
  <c r="PE13"/>
  <c r="PD13"/>
  <c r="PC13"/>
  <c r="PM12"/>
  <c r="PL12"/>
  <c r="PK12"/>
  <c r="PJ12"/>
  <c r="PF12"/>
  <c r="PE12"/>
  <c r="PD12"/>
  <c r="PC12"/>
  <c r="PM11"/>
  <c r="PL11"/>
  <c r="PK11"/>
  <c r="PJ11"/>
  <c r="PF11"/>
  <c r="PE11"/>
  <c r="PD11"/>
  <c r="PC11"/>
  <c r="PM10"/>
  <c r="PL10"/>
  <c r="PK10"/>
  <c r="PJ10"/>
  <c r="PF10"/>
  <c r="PE10"/>
  <c r="PD10"/>
  <c r="PC10"/>
  <c r="PM9"/>
  <c r="PL9"/>
  <c r="PK9"/>
  <c r="PJ9"/>
  <c r="PF9"/>
  <c r="PE9"/>
  <c r="PD9"/>
  <c r="PC9"/>
  <c r="PM8"/>
  <c r="PL8"/>
  <c r="PK8"/>
  <c r="PJ8"/>
  <c r="PF8"/>
  <c r="PE8"/>
  <c r="PD8"/>
  <c r="PC8"/>
  <c r="PM7"/>
  <c r="PL7"/>
  <c r="PK7"/>
  <c r="PJ7"/>
  <c r="PF7"/>
  <c r="PE7"/>
  <c r="PD7"/>
  <c r="PC7"/>
  <c r="PM6"/>
  <c r="PL6"/>
  <c r="PK6"/>
  <c r="PJ6"/>
  <c r="PF6"/>
  <c r="PE6"/>
  <c r="PD6"/>
  <c r="PC6"/>
  <c r="PM5"/>
  <c r="PL5"/>
  <c r="PK5"/>
  <c r="PJ5"/>
  <c r="PE5"/>
  <c r="PD5"/>
  <c r="PC5"/>
  <c r="OT6"/>
  <c r="OU6"/>
  <c r="OV6"/>
  <c r="OT7"/>
  <c r="OU7"/>
  <c r="OV7"/>
  <c r="OT8"/>
  <c r="OU8"/>
  <c r="OV8"/>
  <c r="OT9"/>
  <c r="OU9"/>
  <c r="OV9"/>
  <c r="OT10"/>
  <c r="OU10"/>
  <c r="OV10"/>
  <c r="OT11"/>
  <c r="OU11"/>
  <c r="OV11"/>
  <c r="OT12"/>
  <c r="OU12"/>
  <c r="OV12"/>
  <c r="OT13"/>
  <c r="OU13"/>
  <c r="OV13"/>
  <c r="OT14"/>
  <c r="OU14"/>
  <c r="OV14"/>
  <c r="OV5"/>
  <c r="OT5"/>
  <c r="OU5"/>
  <c r="OS5"/>
  <c r="OZ14"/>
  <c r="OY14"/>
  <c r="OX14"/>
  <c r="OW14"/>
  <c r="OS14"/>
  <c r="OR14"/>
  <c r="OQ14"/>
  <c r="OP14"/>
  <c r="OZ13"/>
  <c r="OY13"/>
  <c r="OX13"/>
  <c r="OW13"/>
  <c r="OS13"/>
  <c r="OR13"/>
  <c r="OQ13"/>
  <c r="OP13"/>
  <c r="OZ12"/>
  <c r="OY12"/>
  <c r="OX12"/>
  <c r="OW12"/>
  <c r="OS12"/>
  <c r="OR12"/>
  <c r="OQ12"/>
  <c r="OP12"/>
  <c r="OZ11"/>
  <c r="OY11"/>
  <c r="OX11"/>
  <c r="OW11"/>
  <c r="OS11"/>
  <c r="OR11"/>
  <c r="OQ11"/>
  <c r="OP11"/>
  <c r="OZ10"/>
  <c r="OY10"/>
  <c r="OX10"/>
  <c r="OW10"/>
  <c r="OS10"/>
  <c r="OR10"/>
  <c r="OQ10"/>
  <c r="OP10"/>
  <c r="OZ9"/>
  <c r="OY9"/>
  <c r="OX9"/>
  <c r="OW9"/>
  <c r="OS9"/>
  <c r="OR9"/>
  <c r="OQ9"/>
  <c r="OP9"/>
  <c r="OZ8"/>
  <c r="OY8"/>
  <c r="OX8"/>
  <c r="OW8"/>
  <c r="OS8"/>
  <c r="OR8"/>
  <c r="OQ8"/>
  <c r="OP8"/>
  <c r="OZ7"/>
  <c r="OY7"/>
  <c r="OX7"/>
  <c r="OW7"/>
  <c r="OS7"/>
  <c r="OR7"/>
  <c r="OQ7"/>
  <c r="OP7"/>
  <c r="OZ6"/>
  <c r="OY6"/>
  <c r="OX6"/>
  <c r="OW6"/>
  <c r="OS6"/>
  <c r="OR6"/>
  <c r="OQ6"/>
  <c r="OP6"/>
  <c r="OZ5"/>
  <c r="OY5"/>
  <c r="OX5"/>
  <c r="OW5"/>
  <c r="OR5"/>
  <c r="OQ5"/>
  <c r="OP5"/>
  <c r="OG6"/>
  <c r="OH6"/>
  <c r="OI6"/>
  <c r="OG7"/>
  <c r="OH7"/>
  <c r="OI7"/>
  <c r="OG8"/>
  <c r="OH8"/>
  <c r="OI8"/>
  <c r="OG9"/>
  <c r="OH9"/>
  <c r="OI9"/>
  <c r="OG10"/>
  <c r="OH10"/>
  <c r="OI10"/>
  <c r="OG11"/>
  <c r="OH11"/>
  <c r="OI11"/>
  <c r="OG12"/>
  <c r="OH12"/>
  <c r="OI12"/>
  <c r="OG13"/>
  <c r="OH13"/>
  <c r="OI13"/>
  <c r="OG14"/>
  <c r="OH14"/>
  <c r="OI14"/>
  <c r="OG15"/>
  <c r="OH15"/>
  <c r="OI15"/>
  <c r="OI5"/>
  <c r="OG5"/>
  <c r="OH5"/>
  <c r="OF5"/>
  <c r="OM15"/>
  <c r="OL15"/>
  <c r="OK15"/>
  <c r="OJ15"/>
  <c r="OF15"/>
  <c r="OE15"/>
  <c r="OD15"/>
  <c r="OC15"/>
  <c r="OM14"/>
  <c r="OL14"/>
  <c r="OK14"/>
  <c r="OJ14"/>
  <c r="OF14"/>
  <c r="OE14"/>
  <c r="OD14"/>
  <c r="OC14"/>
  <c r="OM13"/>
  <c r="OL13"/>
  <c r="OK13"/>
  <c r="OJ13"/>
  <c r="OF13"/>
  <c r="OE13"/>
  <c r="OD13"/>
  <c r="OC13"/>
  <c r="OM12"/>
  <c r="OL12"/>
  <c r="OK12"/>
  <c r="OJ12"/>
  <c r="OF12"/>
  <c r="OE12"/>
  <c r="OD12"/>
  <c r="OC12"/>
  <c r="OM11"/>
  <c r="OL11"/>
  <c r="OK11"/>
  <c r="OJ11"/>
  <c r="OF11"/>
  <c r="OE11"/>
  <c r="OD11"/>
  <c r="OC11"/>
  <c r="OM10"/>
  <c r="OL10"/>
  <c r="OK10"/>
  <c r="OJ10"/>
  <c r="OF10"/>
  <c r="OE10"/>
  <c r="OD10"/>
  <c r="OC10"/>
  <c r="OM9"/>
  <c r="OL9"/>
  <c r="OK9"/>
  <c r="OJ9"/>
  <c r="OF9"/>
  <c r="OE9"/>
  <c r="OD9"/>
  <c r="OC9"/>
  <c r="OM8"/>
  <c r="OL8"/>
  <c r="OK8"/>
  <c r="OJ8"/>
  <c r="OF8"/>
  <c r="OE8"/>
  <c r="OD8"/>
  <c r="OC8"/>
  <c r="OM7"/>
  <c r="OL7"/>
  <c r="OK7"/>
  <c r="OJ7"/>
  <c r="OF7"/>
  <c r="OE7"/>
  <c r="OD7"/>
  <c r="OC7"/>
  <c r="OM6"/>
  <c r="OL6"/>
  <c r="OK6"/>
  <c r="OJ6"/>
  <c r="OF6"/>
  <c r="OE6"/>
  <c r="OD6"/>
  <c r="OC6"/>
  <c r="OM5"/>
  <c r="OL5"/>
  <c r="OK5"/>
  <c r="OJ5"/>
  <c r="OE5"/>
  <c r="OD5"/>
  <c r="OC5"/>
  <c r="MT6"/>
  <c r="MU6"/>
  <c r="MV6"/>
  <c r="MT7"/>
  <c r="MU7"/>
  <c r="MV7"/>
  <c r="MT8"/>
  <c r="MU8"/>
  <c r="MV8"/>
  <c r="MT9"/>
  <c r="MU9"/>
  <c r="MV9"/>
  <c r="MT10"/>
  <c r="MU10"/>
  <c r="MV10"/>
  <c r="MT11"/>
  <c r="MU11"/>
  <c r="MV11"/>
  <c r="MT12"/>
  <c r="MU12"/>
  <c r="MV12"/>
  <c r="MT13"/>
  <c r="MU13"/>
  <c r="MV13"/>
  <c r="MT14"/>
  <c r="MU14"/>
  <c r="MV14"/>
  <c r="MT15"/>
  <c r="MU15"/>
  <c r="MV15"/>
  <c r="MV5"/>
  <c r="MT5"/>
  <c r="MU5"/>
  <c r="MS5"/>
  <c r="MZ15"/>
  <c r="MY15"/>
  <c r="MX15"/>
  <c r="MW15"/>
  <c r="MS15"/>
  <c r="MR15"/>
  <c r="MQ15"/>
  <c r="MP15"/>
  <c r="MZ14"/>
  <c r="MY14"/>
  <c r="MX14"/>
  <c r="MW14"/>
  <c r="MS14"/>
  <c r="MR14"/>
  <c r="MQ14"/>
  <c r="MP14"/>
  <c r="MZ13"/>
  <c r="MY13"/>
  <c r="MX13"/>
  <c r="MW13"/>
  <c r="MS13"/>
  <c r="MR13"/>
  <c r="MQ13"/>
  <c r="MP13"/>
  <c r="MZ12"/>
  <c r="MY12"/>
  <c r="MX12"/>
  <c r="MW12"/>
  <c r="MS12"/>
  <c r="MR12"/>
  <c r="MQ12"/>
  <c r="MP12"/>
  <c r="MZ11"/>
  <c r="MY11"/>
  <c r="MX11"/>
  <c r="MW11"/>
  <c r="MS11"/>
  <c r="MR11"/>
  <c r="MQ11"/>
  <c r="MP11"/>
  <c r="MZ10"/>
  <c r="MY10"/>
  <c r="MX10"/>
  <c r="MW10"/>
  <c r="MS10"/>
  <c r="MR10"/>
  <c r="MQ10"/>
  <c r="MP10"/>
  <c r="MZ9"/>
  <c r="MY9"/>
  <c r="MX9"/>
  <c r="MW9"/>
  <c r="MS9"/>
  <c r="MR9"/>
  <c r="MQ9"/>
  <c r="MP9"/>
  <c r="MZ8"/>
  <c r="MY8"/>
  <c r="MX8"/>
  <c r="MW8"/>
  <c r="MS8"/>
  <c r="MR8"/>
  <c r="MQ8"/>
  <c r="MP8"/>
  <c r="MZ7"/>
  <c r="MY7"/>
  <c r="MX7"/>
  <c r="MW7"/>
  <c r="MS7"/>
  <c r="MR7"/>
  <c r="MQ7"/>
  <c r="MP7"/>
  <c r="MZ6"/>
  <c r="MY6"/>
  <c r="MX6"/>
  <c r="MW6"/>
  <c r="MS6"/>
  <c r="MR6"/>
  <c r="MQ6"/>
  <c r="MP6"/>
  <c r="MZ5"/>
  <c r="MY5"/>
  <c r="MX5"/>
  <c r="MW5"/>
  <c r="MR5"/>
  <c r="MQ5"/>
  <c r="MP5"/>
  <c r="NT6"/>
  <c r="NU6"/>
  <c r="NV6"/>
  <c r="NT7"/>
  <c r="NU7"/>
  <c r="NV7"/>
  <c r="NT8"/>
  <c r="NU8"/>
  <c r="NV8"/>
  <c r="NT9"/>
  <c r="NU9"/>
  <c r="NV9"/>
  <c r="NT10"/>
  <c r="NU10"/>
  <c r="NV10"/>
  <c r="NT11"/>
  <c r="NU11"/>
  <c r="NV11"/>
  <c r="NT12"/>
  <c r="NU12"/>
  <c r="NV12"/>
  <c r="NT13"/>
  <c r="NU13"/>
  <c r="NV13"/>
  <c r="NT14"/>
  <c r="NU14"/>
  <c r="NV14"/>
  <c r="NV5"/>
  <c r="NT5"/>
  <c r="NU5"/>
  <c r="NS5"/>
  <c r="NZ14"/>
  <c r="NY14"/>
  <c r="NX14"/>
  <c r="NW14"/>
  <c r="NS14"/>
  <c r="NR14"/>
  <c r="NQ14"/>
  <c r="NP14"/>
  <c r="NZ13"/>
  <c r="NY13"/>
  <c r="NX13"/>
  <c r="NW13"/>
  <c r="NS13"/>
  <c r="NR13"/>
  <c r="NQ13"/>
  <c r="NP13"/>
  <c r="NZ12"/>
  <c r="NY12"/>
  <c r="NX12"/>
  <c r="NW12"/>
  <c r="NS12"/>
  <c r="NR12"/>
  <c r="NQ12"/>
  <c r="NP12"/>
  <c r="NZ11"/>
  <c r="NY11"/>
  <c r="NX11"/>
  <c r="NW11"/>
  <c r="NS11"/>
  <c r="NR11"/>
  <c r="NQ11"/>
  <c r="NP11"/>
  <c r="NZ10"/>
  <c r="NY10"/>
  <c r="NX10"/>
  <c r="NW10"/>
  <c r="NS10"/>
  <c r="NR10"/>
  <c r="NQ10"/>
  <c r="NP10"/>
  <c r="NZ9"/>
  <c r="NY9"/>
  <c r="NX9"/>
  <c r="NW9"/>
  <c r="NS9"/>
  <c r="NR9"/>
  <c r="NQ9"/>
  <c r="NP9"/>
  <c r="NZ8"/>
  <c r="NY8"/>
  <c r="NX8"/>
  <c r="NW8"/>
  <c r="NS8"/>
  <c r="NR8"/>
  <c r="NQ8"/>
  <c r="NP8"/>
  <c r="NZ7"/>
  <c r="NY7"/>
  <c r="NX7"/>
  <c r="NW7"/>
  <c r="NS7"/>
  <c r="NR7"/>
  <c r="NQ7"/>
  <c r="NP7"/>
  <c r="NZ6"/>
  <c r="NY6"/>
  <c r="NX6"/>
  <c r="NW6"/>
  <c r="NS6"/>
  <c r="NR6"/>
  <c r="NQ6"/>
  <c r="NP6"/>
  <c r="NZ5"/>
  <c r="NY5"/>
  <c r="NX5"/>
  <c r="NW5"/>
  <c r="NR5"/>
  <c r="NQ5"/>
  <c r="NP5"/>
  <c r="NG6"/>
  <c r="NH6"/>
  <c r="NI6"/>
  <c r="NG7"/>
  <c r="NH7"/>
  <c r="NI7"/>
  <c r="NG8"/>
  <c r="NH8"/>
  <c r="NI8"/>
  <c r="NG9"/>
  <c r="NH9"/>
  <c r="NI9"/>
  <c r="NG10"/>
  <c r="NH10"/>
  <c r="NI10"/>
  <c r="NG11"/>
  <c r="NH11"/>
  <c r="NI11"/>
  <c r="NG12"/>
  <c r="NH12"/>
  <c r="NI12"/>
  <c r="NG13"/>
  <c r="NH13"/>
  <c r="NI13"/>
  <c r="NG14"/>
  <c r="NH14"/>
  <c r="NI14"/>
  <c r="NI5"/>
  <c r="NG5"/>
  <c r="NH5"/>
  <c r="NF5"/>
  <c r="NM14"/>
  <c r="NL14"/>
  <c r="NK14"/>
  <c r="NJ14"/>
  <c r="NF14"/>
  <c r="NE14"/>
  <c r="ND14"/>
  <c r="NC14"/>
  <c r="NM13"/>
  <c r="NL13"/>
  <c r="NK13"/>
  <c r="NJ13"/>
  <c r="NF13"/>
  <c r="NE13"/>
  <c r="ND13"/>
  <c r="NC13"/>
  <c r="NM12"/>
  <c r="NL12"/>
  <c r="NK12"/>
  <c r="NJ12"/>
  <c r="NF12"/>
  <c r="NE12"/>
  <c r="ND12"/>
  <c r="NC12"/>
  <c r="NM11"/>
  <c r="NL11"/>
  <c r="NK11"/>
  <c r="NJ11"/>
  <c r="NF11"/>
  <c r="NE11"/>
  <c r="ND11"/>
  <c r="NC11"/>
  <c r="NM10"/>
  <c r="NL10"/>
  <c r="NK10"/>
  <c r="NJ10"/>
  <c r="NF10"/>
  <c r="NE10"/>
  <c r="ND10"/>
  <c r="NC10"/>
  <c r="NM9"/>
  <c r="NL9"/>
  <c r="NK9"/>
  <c r="NJ9"/>
  <c r="NF9"/>
  <c r="NE9"/>
  <c r="ND9"/>
  <c r="NC9"/>
  <c r="NM8"/>
  <c r="NL8"/>
  <c r="NK8"/>
  <c r="NJ8"/>
  <c r="NF8"/>
  <c r="NE8"/>
  <c r="ND8"/>
  <c r="NC8"/>
  <c r="NM7"/>
  <c r="NL7"/>
  <c r="NK7"/>
  <c r="NJ7"/>
  <c r="NF7"/>
  <c r="NE7"/>
  <c r="ND7"/>
  <c r="NC7"/>
  <c r="NM6"/>
  <c r="NL6"/>
  <c r="NK6"/>
  <c r="NJ6"/>
  <c r="NF6"/>
  <c r="NE6"/>
  <c r="ND6"/>
  <c r="NC6"/>
  <c r="NM5"/>
  <c r="NL5"/>
  <c r="NK5"/>
  <c r="NJ5"/>
  <c r="NE5"/>
  <c r="ND5"/>
  <c r="NC5"/>
  <c r="MG6"/>
  <c r="MH6"/>
  <c r="MI6"/>
  <c r="MG7"/>
  <c r="MH7"/>
  <c r="MI7"/>
  <c r="MG8"/>
  <c r="MH8"/>
  <c r="MI8"/>
  <c r="MG9"/>
  <c r="MH9"/>
  <c r="MI9"/>
  <c r="MG10"/>
  <c r="MH10"/>
  <c r="MI10"/>
  <c r="MG11"/>
  <c r="MH11"/>
  <c r="MI11"/>
  <c r="MG12"/>
  <c r="MH12"/>
  <c r="MI12"/>
  <c r="MG13"/>
  <c r="MH13"/>
  <c r="MI13"/>
  <c r="MG14"/>
  <c r="MH14"/>
  <c r="MI14"/>
  <c r="MI5"/>
  <c r="MG5"/>
  <c r="MH5"/>
  <c r="MF5"/>
  <c r="LT6"/>
  <c r="LU6"/>
  <c r="LV6"/>
  <c r="LT7"/>
  <c r="LU7"/>
  <c r="LV7"/>
  <c r="LT8"/>
  <c r="LU8"/>
  <c r="LV8"/>
  <c r="LT9"/>
  <c r="LU9"/>
  <c r="LV9"/>
  <c r="LT10"/>
  <c r="LU10"/>
  <c r="LV10"/>
  <c r="LT11"/>
  <c r="LU11"/>
  <c r="LV11"/>
  <c r="LT12"/>
  <c r="LU12"/>
  <c r="LV12"/>
  <c r="LT13"/>
  <c r="LU13"/>
  <c r="LV13"/>
  <c r="LT14"/>
  <c r="LU14"/>
  <c r="LV14"/>
  <c r="LV5"/>
  <c r="LT5"/>
  <c r="LU5"/>
  <c r="LS5"/>
  <c r="MM14"/>
  <c r="ML14"/>
  <c r="MK14"/>
  <c r="MJ14"/>
  <c r="MF14"/>
  <c r="ME14"/>
  <c r="MD14"/>
  <c r="MC14"/>
  <c r="MM13"/>
  <c r="ML13"/>
  <c r="MK13"/>
  <c r="MJ13"/>
  <c r="MF13"/>
  <c r="ME13"/>
  <c r="MD13"/>
  <c r="MC13"/>
  <c r="MM12"/>
  <c r="ML12"/>
  <c r="MK12"/>
  <c r="MJ12"/>
  <c r="MF12"/>
  <c r="ME12"/>
  <c r="MD12"/>
  <c r="MC12"/>
  <c r="MM11"/>
  <c r="ML11"/>
  <c r="MK11"/>
  <c r="MJ11"/>
  <c r="MF11"/>
  <c r="ME11"/>
  <c r="MD11"/>
  <c r="MC11"/>
  <c r="MM10"/>
  <c r="ML10"/>
  <c r="MK10"/>
  <c r="MJ10"/>
  <c r="MF10"/>
  <c r="ME10"/>
  <c r="MD10"/>
  <c r="MC10"/>
  <c r="MM9"/>
  <c r="ML9"/>
  <c r="MK9"/>
  <c r="MJ9"/>
  <c r="MF9"/>
  <c r="ME9"/>
  <c r="MD9"/>
  <c r="MC9"/>
  <c r="MM8"/>
  <c r="ML8"/>
  <c r="MK8"/>
  <c r="MJ8"/>
  <c r="MF8"/>
  <c r="ME8"/>
  <c r="MD8"/>
  <c r="MC8"/>
  <c r="MM7"/>
  <c r="ML7"/>
  <c r="MK7"/>
  <c r="MJ7"/>
  <c r="MF7"/>
  <c r="ME7"/>
  <c r="MD7"/>
  <c r="MC7"/>
  <c r="MM6"/>
  <c r="ML6"/>
  <c r="MK6"/>
  <c r="MJ6"/>
  <c r="MF6"/>
  <c r="ME6"/>
  <c r="MD6"/>
  <c r="MC6"/>
  <c r="MM5"/>
  <c r="ML5"/>
  <c r="MK5"/>
  <c r="MJ5"/>
  <c r="ME5"/>
  <c r="MD5"/>
  <c r="MC5"/>
  <c r="LZ14"/>
  <c r="LY14"/>
  <c r="LX14"/>
  <c r="LW14"/>
  <c r="LS14"/>
  <c r="LR14"/>
  <c r="LQ14"/>
  <c r="LP14"/>
  <c r="LZ13"/>
  <c r="LY13"/>
  <c r="LX13"/>
  <c r="LW13"/>
  <c r="LS13"/>
  <c r="LR13"/>
  <c r="LQ13"/>
  <c r="LP13"/>
  <c r="LZ12"/>
  <c r="LY12"/>
  <c r="LX12"/>
  <c r="LW12"/>
  <c r="LS12"/>
  <c r="LR12"/>
  <c r="LQ12"/>
  <c r="LP12"/>
  <c r="LZ11"/>
  <c r="LY11"/>
  <c r="LX11"/>
  <c r="LW11"/>
  <c r="LS11"/>
  <c r="LR11"/>
  <c r="LQ11"/>
  <c r="LP11"/>
  <c r="LZ10"/>
  <c r="LY10"/>
  <c r="LX10"/>
  <c r="LW10"/>
  <c r="LS10"/>
  <c r="LR10"/>
  <c r="LQ10"/>
  <c r="LP10"/>
  <c r="LZ9"/>
  <c r="LY9"/>
  <c r="LX9"/>
  <c r="LW9"/>
  <c r="LS9"/>
  <c r="LR9"/>
  <c r="LQ9"/>
  <c r="LP9"/>
  <c r="LZ8"/>
  <c r="LY8"/>
  <c r="LX8"/>
  <c r="LW8"/>
  <c r="LS8"/>
  <c r="LR8"/>
  <c r="LQ8"/>
  <c r="LP8"/>
  <c r="LZ7"/>
  <c r="LY7"/>
  <c r="LX7"/>
  <c r="LW7"/>
  <c r="LS7"/>
  <c r="LR7"/>
  <c r="LQ7"/>
  <c r="LP7"/>
  <c r="LZ6"/>
  <c r="LY6"/>
  <c r="LX6"/>
  <c r="LW6"/>
  <c r="LS6"/>
  <c r="LR6"/>
  <c r="LQ6"/>
  <c r="LP6"/>
  <c r="LZ5"/>
  <c r="LY5"/>
  <c r="LX5"/>
  <c r="LW5"/>
  <c r="LR5"/>
  <c r="LQ5"/>
  <c r="LP5"/>
  <c r="LG6"/>
  <c r="LH6"/>
  <c r="LI6"/>
  <c r="LG7"/>
  <c r="LH7"/>
  <c r="LI7"/>
  <c r="LG8"/>
  <c r="LH8"/>
  <c r="LI8"/>
  <c r="LG9"/>
  <c r="LH9"/>
  <c r="LI9"/>
  <c r="LG10"/>
  <c r="LH10"/>
  <c r="LI10"/>
  <c r="LG11"/>
  <c r="LH11"/>
  <c r="LI11"/>
  <c r="LG12"/>
  <c r="LH12"/>
  <c r="LI12"/>
  <c r="LG13"/>
  <c r="LH13"/>
  <c r="LI13"/>
  <c r="LG14"/>
  <c r="LH14"/>
  <c r="LI14"/>
  <c r="LG15"/>
  <c r="LH15"/>
  <c r="LI15"/>
  <c r="LI5"/>
  <c r="LG5"/>
  <c r="LH5"/>
  <c r="LF5"/>
  <c r="LM15"/>
  <c r="LL15"/>
  <c r="LK15"/>
  <c r="LJ15"/>
  <c r="LF15"/>
  <c r="LE15"/>
  <c r="LD15"/>
  <c r="LC15"/>
  <c r="LM14"/>
  <c r="LL14"/>
  <c r="LK14"/>
  <c r="LJ14"/>
  <c r="LF14"/>
  <c r="LE14"/>
  <c r="LD14"/>
  <c r="LC14"/>
  <c r="LM13"/>
  <c r="LL13"/>
  <c r="LK13"/>
  <c r="LJ13"/>
  <c r="LF13"/>
  <c r="LE13"/>
  <c r="LD13"/>
  <c r="LC13"/>
  <c r="LM12"/>
  <c r="LL12"/>
  <c r="LK12"/>
  <c r="LJ12"/>
  <c r="LF12"/>
  <c r="LE12"/>
  <c r="LD12"/>
  <c r="LC12"/>
  <c r="LM11"/>
  <c r="LL11"/>
  <c r="LK11"/>
  <c r="LJ11"/>
  <c r="LF11"/>
  <c r="LE11"/>
  <c r="LD11"/>
  <c r="LC11"/>
  <c r="LM10"/>
  <c r="LL10"/>
  <c r="LK10"/>
  <c r="LJ10"/>
  <c r="LF10"/>
  <c r="LE10"/>
  <c r="LD10"/>
  <c r="LC10"/>
  <c r="LM9"/>
  <c r="LL9"/>
  <c r="LK9"/>
  <c r="LJ9"/>
  <c r="LF9"/>
  <c r="LE9"/>
  <c r="LD9"/>
  <c r="LC9"/>
  <c r="LM8"/>
  <c r="LL8"/>
  <c r="LK8"/>
  <c r="LJ8"/>
  <c r="LF8"/>
  <c r="LE8"/>
  <c r="LD8"/>
  <c r="LC8"/>
  <c r="LM7"/>
  <c r="LL7"/>
  <c r="LK7"/>
  <c r="LJ7"/>
  <c r="LF7"/>
  <c r="LE7"/>
  <c r="LD7"/>
  <c r="LC7"/>
  <c r="LM6"/>
  <c r="LL6"/>
  <c r="LK6"/>
  <c r="LJ6"/>
  <c r="LF6"/>
  <c r="LE6"/>
  <c r="LD6"/>
  <c r="LC6"/>
  <c r="LM5"/>
  <c r="LL5"/>
  <c r="LK5"/>
  <c r="LJ5"/>
  <c r="LE5"/>
  <c r="LD5"/>
  <c r="LC5"/>
  <c r="KG6"/>
  <c r="KH6"/>
  <c r="KI6"/>
  <c r="KG7"/>
  <c r="KH7"/>
  <c r="KI7"/>
  <c r="KG8"/>
  <c r="KH8"/>
  <c r="KI8"/>
  <c r="KG9"/>
  <c r="KH9"/>
  <c r="KI9"/>
  <c r="KG10"/>
  <c r="KH10"/>
  <c r="KI10"/>
  <c r="KG11"/>
  <c r="KH11"/>
  <c r="KI11"/>
  <c r="KG12"/>
  <c r="KH12"/>
  <c r="KI12"/>
  <c r="KG13"/>
  <c r="KH13"/>
  <c r="KI13"/>
  <c r="KG14"/>
  <c r="KH14"/>
  <c r="KI14"/>
  <c r="KI5"/>
  <c r="KG5"/>
  <c r="KH5"/>
  <c r="KF5"/>
  <c r="KM14"/>
  <c r="KL14"/>
  <c r="KK14"/>
  <c r="KJ14"/>
  <c r="KF14"/>
  <c r="KE14"/>
  <c r="KD14"/>
  <c r="KC14"/>
  <c r="KM13"/>
  <c r="KL13"/>
  <c r="KK13"/>
  <c r="KJ13"/>
  <c r="KF13"/>
  <c r="KE13"/>
  <c r="KD13"/>
  <c r="KC13"/>
  <c r="KM12"/>
  <c r="KL12"/>
  <c r="KK12"/>
  <c r="KJ12"/>
  <c r="KF12"/>
  <c r="KE12"/>
  <c r="KD12"/>
  <c r="KC12"/>
  <c r="KM11"/>
  <c r="KL11"/>
  <c r="KK11"/>
  <c r="KJ11"/>
  <c r="KF11"/>
  <c r="KE11"/>
  <c r="KD11"/>
  <c r="KC11"/>
  <c r="KM10"/>
  <c r="KL10"/>
  <c r="KK10"/>
  <c r="KJ10"/>
  <c r="KF10"/>
  <c r="KE10"/>
  <c r="KD10"/>
  <c r="KC10"/>
  <c r="KM9"/>
  <c r="KL9"/>
  <c r="KK9"/>
  <c r="KJ9"/>
  <c r="KF9"/>
  <c r="KE9"/>
  <c r="KD9"/>
  <c r="KC9"/>
  <c r="KM8"/>
  <c r="KL8"/>
  <c r="KK8"/>
  <c r="KJ8"/>
  <c r="KF8"/>
  <c r="KE8"/>
  <c r="KD8"/>
  <c r="KC8"/>
  <c r="KM7"/>
  <c r="KL7"/>
  <c r="KK7"/>
  <c r="KJ7"/>
  <c r="KF7"/>
  <c r="KE7"/>
  <c r="KD7"/>
  <c r="KC7"/>
  <c r="KM6"/>
  <c r="KL6"/>
  <c r="KK6"/>
  <c r="KJ6"/>
  <c r="KF6"/>
  <c r="KE6"/>
  <c r="KD6"/>
  <c r="KC6"/>
  <c r="KM5"/>
  <c r="KL5"/>
  <c r="KK5"/>
  <c r="KJ5"/>
  <c r="KE5"/>
  <c r="KD5"/>
  <c r="KC5"/>
  <c r="JT6"/>
  <c r="JU6"/>
  <c r="JV6"/>
  <c r="JT7"/>
  <c r="JU7"/>
  <c r="JV7"/>
  <c r="JT8"/>
  <c r="JU8"/>
  <c r="JV8"/>
  <c r="JT9"/>
  <c r="JU9"/>
  <c r="JV9"/>
  <c r="JT10"/>
  <c r="JU10"/>
  <c r="JV10"/>
  <c r="JT11"/>
  <c r="JU11"/>
  <c r="JV11"/>
  <c r="JT12"/>
  <c r="JU12"/>
  <c r="JV12"/>
  <c r="JT13"/>
  <c r="JU13"/>
  <c r="JV13"/>
  <c r="JT14"/>
  <c r="JU14"/>
  <c r="JV14"/>
  <c r="JT15"/>
  <c r="JU15"/>
  <c r="JV15"/>
  <c r="JV5"/>
  <c r="JT5"/>
  <c r="JU5"/>
  <c r="JS5"/>
  <c r="JZ15"/>
  <c r="JY15"/>
  <c r="JX15"/>
  <c r="JW15"/>
  <c r="JS15"/>
  <c r="JR15"/>
  <c r="JQ15"/>
  <c r="JP15"/>
  <c r="JZ14"/>
  <c r="JY14"/>
  <c r="JX14"/>
  <c r="JW14"/>
  <c r="JS14"/>
  <c r="JR14"/>
  <c r="JQ14"/>
  <c r="JP14"/>
  <c r="JZ13"/>
  <c r="JY13"/>
  <c r="JX13"/>
  <c r="JW13"/>
  <c r="JS13"/>
  <c r="JR13"/>
  <c r="JQ13"/>
  <c r="JP13"/>
  <c r="JZ12"/>
  <c r="JY12"/>
  <c r="JX12"/>
  <c r="JW12"/>
  <c r="JS12"/>
  <c r="JR12"/>
  <c r="JQ12"/>
  <c r="JP12"/>
  <c r="JZ11"/>
  <c r="JY11"/>
  <c r="JX11"/>
  <c r="JW11"/>
  <c r="JS11"/>
  <c r="JR11"/>
  <c r="JQ11"/>
  <c r="JP11"/>
  <c r="JZ10"/>
  <c r="JY10"/>
  <c r="JX10"/>
  <c r="JW10"/>
  <c r="JS10"/>
  <c r="JR10"/>
  <c r="JQ10"/>
  <c r="JP10"/>
  <c r="JZ9"/>
  <c r="JY9"/>
  <c r="JX9"/>
  <c r="JW9"/>
  <c r="JS9"/>
  <c r="JR9"/>
  <c r="JQ9"/>
  <c r="JP9"/>
  <c r="JZ8"/>
  <c r="JY8"/>
  <c r="JX8"/>
  <c r="JW8"/>
  <c r="JS8"/>
  <c r="JR8"/>
  <c r="JQ8"/>
  <c r="JP8"/>
  <c r="JZ7"/>
  <c r="JY7"/>
  <c r="JX7"/>
  <c r="JW7"/>
  <c r="JS7"/>
  <c r="JR7"/>
  <c r="JQ7"/>
  <c r="JP7"/>
  <c r="JZ6"/>
  <c r="JY6"/>
  <c r="JX6"/>
  <c r="JW6"/>
  <c r="JS6"/>
  <c r="JR6"/>
  <c r="JQ6"/>
  <c r="JP6"/>
  <c r="JZ5"/>
  <c r="JY5"/>
  <c r="JX5"/>
  <c r="JW5"/>
  <c r="JR5"/>
  <c r="JQ5"/>
  <c r="JP5"/>
  <c r="KT6"/>
  <c r="KU6"/>
  <c r="KV6"/>
  <c r="KT7"/>
  <c r="KU7"/>
  <c r="KV7"/>
  <c r="KT8"/>
  <c r="KU8"/>
  <c r="KV8"/>
  <c r="KT9"/>
  <c r="KU9"/>
  <c r="KV9"/>
  <c r="KT10"/>
  <c r="KU10"/>
  <c r="KV10"/>
  <c r="KT11"/>
  <c r="KU11"/>
  <c r="KV11"/>
  <c r="KT12"/>
  <c r="KU12"/>
  <c r="KV12"/>
  <c r="KT13"/>
  <c r="KU13"/>
  <c r="KV13"/>
  <c r="KT14"/>
  <c r="KU14"/>
  <c r="KV14"/>
  <c r="KV5"/>
  <c r="KT5"/>
  <c r="KU5"/>
  <c r="KS5"/>
  <c r="KZ14"/>
  <c r="KY14"/>
  <c r="KX14"/>
  <c r="KW14"/>
  <c r="KS14"/>
  <c r="KR14"/>
  <c r="KQ14"/>
  <c r="KP14"/>
  <c r="KZ13"/>
  <c r="KY13"/>
  <c r="KX13"/>
  <c r="KW13"/>
  <c r="KS13"/>
  <c r="KR13"/>
  <c r="KQ13"/>
  <c r="KP13"/>
  <c r="KZ12"/>
  <c r="KY12"/>
  <c r="KX12"/>
  <c r="KW12"/>
  <c r="KS12"/>
  <c r="KR12"/>
  <c r="KQ12"/>
  <c r="KP12"/>
  <c r="KZ11"/>
  <c r="KY11"/>
  <c r="KX11"/>
  <c r="KW11"/>
  <c r="KS11"/>
  <c r="KR11"/>
  <c r="KQ11"/>
  <c r="KP11"/>
  <c r="KZ10"/>
  <c r="KY10"/>
  <c r="KX10"/>
  <c r="KW10"/>
  <c r="KS10"/>
  <c r="KR10"/>
  <c r="KQ10"/>
  <c r="KP10"/>
  <c r="KZ9"/>
  <c r="KY9"/>
  <c r="KX9"/>
  <c r="KW9"/>
  <c r="KS9"/>
  <c r="KR9"/>
  <c r="KQ9"/>
  <c r="KP9"/>
  <c r="KZ8"/>
  <c r="KY8"/>
  <c r="KX8"/>
  <c r="KW8"/>
  <c r="KS8"/>
  <c r="KR8"/>
  <c r="KQ8"/>
  <c r="KP8"/>
  <c r="KZ7"/>
  <c r="KY7"/>
  <c r="KX7"/>
  <c r="KW7"/>
  <c r="KS7"/>
  <c r="KR7"/>
  <c r="KQ7"/>
  <c r="KP7"/>
  <c r="KZ6"/>
  <c r="KY6"/>
  <c r="KX6"/>
  <c r="KW6"/>
  <c r="KS6"/>
  <c r="KR6"/>
  <c r="KQ6"/>
  <c r="KP6"/>
  <c r="KZ5"/>
  <c r="KY5"/>
  <c r="KX5"/>
  <c r="KW5"/>
  <c r="KR5"/>
  <c r="KQ5"/>
  <c r="KP5"/>
  <c r="JG6" l="1"/>
  <c r="JH6"/>
  <c r="JI6"/>
  <c r="JG7"/>
  <c r="JH7"/>
  <c r="JI7"/>
  <c r="JG8"/>
  <c r="JH8"/>
  <c r="JI8"/>
  <c r="JG9"/>
  <c r="JH9"/>
  <c r="JI9"/>
  <c r="JG10"/>
  <c r="JH10"/>
  <c r="JI10"/>
  <c r="JG11"/>
  <c r="JH11"/>
  <c r="JI11"/>
  <c r="JG12"/>
  <c r="JH12"/>
  <c r="JI12"/>
  <c r="JG13"/>
  <c r="JH13"/>
  <c r="JI13"/>
  <c r="JG14"/>
  <c r="JH14"/>
  <c r="JI14"/>
  <c r="JI5"/>
  <c r="JG5"/>
  <c r="JH5"/>
  <c r="JF5"/>
  <c r="JM14"/>
  <c r="JL14"/>
  <c r="JK14"/>
  <c r="JJ14"/>
  <c r="JF14"/>
  <c r="JE14"/>
  <c r="JD14"/>
  <c r="JC14"/>
  <c r="JM13"/>
  <c r="JL13"/>
  <c r="JK13"/>
  <c r="JJ13"/>
  <c r="JF13"/>
  <c r="JE13"/>
  <c r="JD13"/>
  <c r="JC13"/>
  <c r="JM12"/>
  <c r="JL12"/>
  <c r="JK12"/>
  <c r="JJ12"/>
  <c r="JF12"/>
  <c r="JE12"/>
  <c r="JD12"/>
  <c r="JC12"/>
  <c r="JM11"/>
  <c r="JL11"/>
  <c r="JK11"/>
  <c r="JJ11"/>
  <c r="JF11"/>
  <c r="JE11"/>
  <c r="JD11"/>
  <c r="JC11"/>
  <c r="JM10"/>
  <c r="JL10"/>
  <c r="JK10"/>
  <c r="JJ10"/>
  <c r="JF10"/>
  <c r="JE10"/>
  <c r="JD10"/>
  <c r="JC10"/>
  <c r="JM9"/>
  <c r="JL9"/>
  <c r="JK9"/>
  <c r="JJ9"/>
  <c r="JF9"/>
  <c r="JE9"/>
  <c r="JD9"/>
  <c r="JC9"/>
  <c r="JM8"/>
  <c r="JL8"/>
  <c r="JK8"/>
  <c r="JJ8"/>
  <c r="JF8"/>
  <c r="JE8"/>
  <c r="JD8"/>
  <c r="JC8"/>
  <c r="JM7"/>
  <c r="JL7"/>
  <c r="JK7"/>
  <c r="JJ7"/>
  <c r="JF7"/>
  <c r="JE7"/>
  <c r="JD7"/>
  <c r="JC7"/>
  <c r="JM6"/>
  <c r="JL6"/>
  <c r="JK6"/>
  <c r="JJ6"/>
  <c r="JF6"/>
  <c r="JE6"/>
  <c r="JD6"/>
  <c r="JC6"/>
  <c r="JM5"/>
  <c r="JL5"/>
  <c r="JK5"/>
  <c r="JJ5"/>
  <c r="JE5"/>
  <c r="JD5"/>
  <c r="JC5"/>
  <c r="IT6"/>
  <c r="IU6"/>
  <c r="IV6"/>
  <c r="IT7"/>
  <c r="IU7"/>
  <c r="IV7"/>
  <c r="IT8"/>
  <c r="IU8"/>
  <c r="IV8"/>
  <c r="IT9"/>
  <c r="IU9"/>
  <c r="IV9"/>
  <c r="IT10"/>
  <c r="IU10"/>
  <c r="IV10"/>
  <c r="IT11"/>
  <c r="IU11"/>
  <c r="IV11"/>
  <c r="IT12"/>
  <c r="IU12"/>
  <c r="IV12"/>
  <c r="IT13"/>
  <c r="IU13"/>
  <c r="IV13"/>
  <c r="IV5"/>
  <c r="IT5"/>
  <c r="IU5"/>
  <c r="IS5"/>
  <c r="IZ13"/>
  <c r="IY13"/>
  <c r="IX13"/>
  <c r="IW13"/>
  <c r="IS13"/>
  <c r="IR13"/>
  <c r="IQ13"/>
  <c r="IP13"/>
  <c r="IZ12"/>
  <c r="IY12"/>
  <c r="IX12"/>
  <c r="IW12"/>
  <c r="IS12"/>
  <c r="IR12"/>
  <c r="IQ12"/>
  <c r="IP12"/>
  <c r="IZ11"/>
  <c r="IY11"/>
  <c r="IX11"/>
  <c r="IW11"/>
  <c r="IS11"/>
  <c r="IR11"/>
  <c r="IQ11"/>
  <c r="IP11"/>
  <c r="IZ10"/>
  <c r="IY10"/>
  <c r="IX10"/>
  <c r="IW10"/>
  <c r="IS10"/>
  <c r="IR10"/>
  <c r="IQ10"/>
  <c r="IP10"/>
  <c r="IZ9"/>
  <c r="IY9"/>
  <c r="IX9"/>
  <c r="IW9"/>
  <c r="IS9"/>
  <c r="IR9"/>
  <c r="IQ9"/>
  <c r="IP9"/>
  <c r="IZ8"/>
  <c r="IY8"/>
  <c r="IX8"/>
  <c r="IW8"/>
  <c r="IS8"/>
  <c r="IR8"/>
  <c r="IQ8"/>
  <c r="IP8"/>
  <c r="IZ7"/>
  <c r="IY7"/>
  <c r="IX7"/>
  <c r="IW7"/>
  <c r="IS7"/>
  <c r="IR7"/>
  <c r="IQ7"/>
  <c r="IP7"/>
  <c r="IZ6"/>
  <c r="IY6"/>
  <c r="IX6"/>
  <c r="IW6"/>
  <c r="IS6"/>
  <c r="IR6"/>
  <c r="IQ6"/>
  <c r="IP6"/>
  <c r="IZ5"/>
  <c r="IY5"/>
  <c r="IX5"/>
  <c r="IW5"/>
  <c r="IR5"/>
  <c r="IQ5"/>
  <c r="IP5"/>
  <c r="IG6"/>
  <c r="IH6"/>
  <c r="II6"/>
  <c r="IG7"/>
  <c r="IH7"/>
  <c r="II7"/>
  <c r="IG8"/>
  <c r="IH8"/>
  <c r="II8"/>
  <c r="IG9"/>
  <c r="IH9"/>
  <c r="II9"/>
  <c r="IG10"/>
  <c r="IH10"/>
  <c r="II10"/>
  <c r="IG11"/>
  <c r="IH11"/>
  <c r="II11"/>
  <c r="IG12"/>
  <c r="IH12"/>
  <c r="II12"/>
  <c r="IG13"/>
  <c r="IH13"/>
  <c r="II13"/>
  <c r="IG14"/>
  <c r="IH14"/>
  <c r="II14"/>
  <c r="II5"/>
  <c r="IG5"/>
  <c r="IH5"/>
  <c r="IF5"/>
  <c r="IM14"/>
  <c r="IL14"/>
  <c r="IK14"/>
  <c r="IJ14"/>
  <c r="IF14"/>
  <c r="IE14"/>
  <c r="ID14"/>
  <c r="IC14"/>
  <c r="IM13"/>
  <c r="IL13"/>
  <c r="IK13"/>
  <c r="IJ13"/>
  <c r="IF13"/>
  <c r="IE13"/>
  <c r="ID13"/>
  <c r="IC13"/>
  <c r="IM12"/>
  <c r="IL12"/>
  <c r="IK12"/>
  <c r="IJ12"/>
  <c r="IF12"/>
  <c r="IE12"/>
  <c r="ID12"/>
  <c r="IC12"/>
  <c r="IM11"/>
  <c r="IL11"/>
  <c r="IK11"/>
  <c r="IJ11"/>
  <c r="IF11"/>
  <c r="IE11"/>
  <c r="ID11"/>
  <c r="IC11"/>
  <c r="IM10"/>
  <c r="IL10"/>
  <c r="IK10"/>
  <c r="IJ10"/>
  <c r="IF10"/>
  <c r="IE10"/>
  <c r="ID10"/>
  <c r="IC10"/>
  <c r="IM9"/>
  <c r="IL9"/>
  <c r="IK9"/>
  <c r="IJ9"/>
  <c r="IF9"/>
  <c r="IE9"/>
  <c r="ID9"/>
  <c r="IC9"/>
  <c r="IM8"/>
  <c r="IL8"/>
  <c r="IK8"/>
  <c r="IJ8"/>
  <c r="IF8"/>
  <c r="IE8"/>
  <c r="ID8"/>
  <c r="IC8"/>
  <c r="IM7"/>
  <c r="IL7"/>
  <c r="IK7"/>
  <c r="IJ7"/>
  <c r="IF7"/>
  <c r="IE7"/>
  <c r="ID7"/>
  <c r="IC7"/>
  <c r="IM6"/>
  <c r="IL6"/>
  <c r="IK6"/>
  <c r="IJ6"/>
  <c r="IF6"/>
  <c r="IE6"/>
  <c r="ID6"/>
  <c r="IC6"/>
  <c r="IM5"/>
  <c r="IL5"/>
  <c r="IK5"/>
  <c r="IJ5"/>
  <c r="IE5"/>
  <c r="ID5"/>
  <c r="IC5"/>
  <c r="HT6"/>
  <c r="HU6"/>
  <c r="HV6"/>
  <c r="HT7"/>
  <c r="HU7"/>
  <c r="HV7"/>
  <c r="HT8"/>
  <c r="HU8"/>
  <c r="HV8"/>
  <c r="HT9"/>
  <c r="HU9"/>
  <c r="HV9"/>
  <c r="HT10"/>
  <c r="HU10"/>
  <c r="HV10"/>
  <c r="HT11"/>
  <c r="HU11"/>
  <c r="HV11"/>
  <c r="HT12"/>
  <c r="HU12"/>
  <c r="HV12"/>
  <c r="HT13"/>
  <c r="HU13"/>
  <c r="HV13"/>
  <c r="HT14"/>
  <c r="HU14"/>
  <c r="HV14"/>
  <c r="HV5"/>
  <c r="HT5"/>
  <c r="HU5"/>
  <c r="HS5"/>
  <c r="HZ14"/>
  <c r="HY14"/>
  <c r="HX14"/>
  <c r="HW14"/>
  <c r="HS14"/>
  <c r="HR14"/>
  <c r="HQ14"/>
  <c r="HP14"/>
  <c r="HZ13"/>
  <c r="HY13"/>
  <c r="HX13"/>
  <c r="HW13"/>
  <c r="HS13"/>
  <c r="HR13"/>
  <c r="HQ13"/>
  <c r="HP13"/>
  <c r="HZ12"/>
  <c r="HY12"/>
  <c r="HX12"/>
  <c r="HW12"/>
  <c r="HS12"/>
  <c r="HR12"/>
  <c r="HQ12"/>
  <c r="HP12"/>
  <c r="HZ11"/>
  <c r="HY11"/>
  <c r="HX11"/>
  <c r="HW11"/>
  <c r="HS11"/>
  <c r="HR11"/>
  <c r="HQ11"/>
  <c r="HP11"/>
  <c r="HZ10"/>
  <c r="HY10"/>
  <c r="HX10"/>
  <c r="HW10"/>
  <c r="HS10"/>
  <c r="HR10"/>
  <c r="HQ10"/>
  <c r="HP10"/>
  <c r="HZ9"/>
  <c r="HY9"/>
  <c r="HX9"/>
  <c r="HW9"/>
  <c r="HS9"/>
  <c r="HR9"/>
  <c r="HQ9"/>
  <c r="HP9"/>
  <c r="HZ8"/>
  <c r="HY8"/>
  <c r="HX8"/>
  <c r="HW8"/>
  <c r="HS8"/>
  <c r="HR8"/>
  <c r="HQ8"/>
  <c r="HP8"/>
  <c r="HZ7"/>
  <c r="HY7"/>
  <c r="HX7"/>
  <c r="HW7"/>
  <c r="HS7"/>
  <c r="HR7"/>
  <c r="HQ7"/>
  <c r="HP7"/>
  <c r="HZ6"/>
  <c r="HY6"/>
  <c r="HX6"/>
  <c r="HW6"/>
  <c r="HS6"/>
  <c r="HR6"/>
  <c r="HQ6"/>
  <c r="HP6"/>
  <c r="HZ5"/>
  <c r="HY5"/>
  <c r="HX5"/>
  <c r="HW5"/>
  <c r="HR5"/>
  <c r="HQ5"/>
  <c r="HP5"/>
  <c r="HG6"/>
  <c r="HH6"/>
  <c r="HI6"/>
  <c r="HG7"/>
  <c r="HH7"/>
  <c r="HI7"/>
  <c r="HG8"/>
  <c r="HH8"/>
  <c r="HI8"/>
  <c r="HG9"/>
  <c r="HH9"/>
  <c r="HI9"/>
  <c r="HG10"/>
  <c r="HH10"/>
  <c r="HI10"/>
  <c r="HG11"/>
  <c r="HH11"/>
  <c r="HI11"/>
  <c r="HG12"/>
  <c r="HH12"/>
  <c r="HI12"/>
  <c r="HG13"/>
  <c r="HH13"/>
  <c r="HI13"/>
  <c r="HI5"/>
  <c r="HG5"/>
  <c r="HH5"/>
  <c r="HF5"/>
  <c r="HM13"/>
  <c r="HL13"/>
  <c r="HK13"/>
  <c r="HJ13"/>
  <c r="HF13"/>
  <c r="HE13"/>
  <c r="HD13"/>
  <c r="HC13"/>
  <c r="HM12"/>
  <c r="HL12"/>
  <c r="HK12"/>
  <c r="HJ12"/>
  <c r="HF12"/>
  <c r="HE12"/>
  <c r="HD12"/>
  <c r="HC12"/>
  <c r="HM11"/>
  <c r="HL11"/>
  <c r="HK11"/>
  <c r="HJ11"/>
  <c r="HF11"/>
  <c r="HE11"/>
  <c r="HD11"/>
  <c r="HC11"/>
  <c r="HM10"/>
  <c r="HL10"/>
  <c r="HK10"/>
  <c r="HJ10"/>
  <c r="HF10"/>
  <c r="HE10"/>
  <c r="HD10"/>
  <c r="HC10"/>
  <c r="HM9"/>
  <c r="HL9"/>
  <c r="HK9"/>
  <c r="HJ9"/>
  <c r="HF9"/>
  <c r="HE9"/>
  <c r="HD9"/>
  <c r="HC9"/>
  <c r="HM8"/>
  <c r="HL8"/>
  <c r="HK8"/>
  <c r="HJ8"/>
  <c r="HF8"/>
  <c r="HE8"/>
  <c r="HD8"/>
  <c r="HC8"/>
  <c r="HM7"/>
  <c r="HL7"/>
  <c r="HK7"/>
  <c r="HJ7"/>
  <c r="HF7"/>
  <c r="HE7"/>
  <c r="HD7"/>
  <c r="HC7"/>
  <c r="HM6"/>
  <c r="HL6"/>
  <c r="HK6"/>
  <c r="HJ6"/>
  <c r="HF6"/>
  <c r="HE6"/>
  <c r="HD6"/>
  <c r="HC6"/>
  <c r="HM5"/>
  <c r="HL5"/>
  <c r="HK5"/>
  <c r="HJ5"/>
  <c r="HE5"/>
  <c r="HD5"/>
  <c r="HC5"/>
  <c r="GT6"/>
  <c r="GU6"/>
  <c r="GV6"/>
  <c r="GT7"/>
  <c r="GU7"/>
  <c r="GV7"/>
  <c r="GT8"/>
  <c r="GU8"/>
  <c r="GV8"/>
  <c r="GT9"/>
  <c r="GU9"/>
  <c r="GV9"/>
  <c r="GT10"/>
  <c r="GU10"/>
  <c r="GV10"/>
  <c r="GT11"/>
  <c r="GU11"/>
  <c r="GV11"/>
  <c r="GT12"/>
  <c r="GU12"/>
  <c r="GV12"/>
  <c r="GT13"/>
  <c r="GU13"/>
  <c r="GV13"/>
  <c r="GT14"/>
  <c r="GU14"/>
  <c r="GV14"/>
  <c r="GV5"/>
  <c r="GT5"/>
  <c r="GU5"/>
  <c r="GS5"/>
  <c r="GZ14"/>
  <c r="GY14"/>
  <c r="GX14"/>
  <c r="GW14"/>
  <c r="GS14"/>
  <c r="GR14"/>
  <c r="GQ14"/>
  <c r="GP14"/>
  <c r="GZ13"/>
  <c r="GY13"/>
  <c r="GX13"/>
  <c r="GW13"/>
  <c r="GS13"/>
  <c r="GR13"/>
  <c r="GQ13"/>
  <c r="GP13"/>
  <c r="GZ12"/>
  <c r="GY12"/>
  <c r="GX12"/>
  <c r="GW12"/>
  <c r="GS12"/>
  <c r="GR12"/>
  <c r="GQ12"/>
  <c r="GP12"/>
  <c r="GZ11"/>
  <c r="GY11"/>
  <c r="GX11"/>
  <c r="GW11"/>
  <c r="GS11"/>
  <c r="GR11"/>
  <c r="GQ11"/>
  <c r="GP11"/>
  <c r="GZ10"/>
  <c r="GY10"/>
  <c r="GX10"/>
  <c r="GW10"/>
  <c r="GS10"/>
  <c r="GR10"/>
  <c r="GQ10"/>
  <c r="GP10"/>
  <c r="GZ9"/>
  <c r="GY9"/>
  <c r="GX9"/>
  <c r="GW9"/>
  <c r="GS9"/>
  <c r="GR9"/>
  <c r="GQ9"/>
  <c r="GP9"/>
  <c r="GZ8"/>
  <c r="GY8"/>
  <c r="GX8"/>
  <c r="GW8"/>
  <c r="GS8"/>
  <c r="GR8"/>
  <c r="GQ8"/>
  <c r="GP8"/>
  <c r="GZ7"/>
  <c r="GY7"/>
  <c r="GX7"/>
  <c r="GW7"/>
  <c r="GS7"/>
  <c r="GR7"/>
  <c r="GQ7"/>
  <c r="GP7"/>
  <c r="GZ6"/>
  <c r="GY6"/>
  <c r="GX6"/>
  <c r="GW6"/>
  <c r="GS6"/>
  <c r="GR6"/>
  <c r="GQ6"/>
  <c r="GP6"/>
  <c r="GZ5"/>
  <c r="GY5"/>
  <c r="GX5"/>
  <c r="GW5"/>
  <c r="GR5"/>
  <c r="GQ5"/>
  <c r="GP5"/>
  <c r="GG6"/>
  <c r="GH6"/>
  <c r="GI6"/>
  <c r="GG7"/>
  <c r="GH7"/>
  <c r="GI7"/>
  <c r="GG8"/>
  <c r="GH8"/>
  <c r="GI8"/>
  <c r="GG9"/>
  <c r="GH9"/>
  <c r="GI9"/>
  <c r="GG10"/>
  <c r="GH10"/>
  <c r="GI10"/>
  <c r="GG11"/>
  <c r="GH11"/>
  <c r="GI11"/>
  <c r="GG12"/>
  <c r="GH12"/>
  <c r="GI12"/>
  <c r="GG13"/>
  <c r="GH13"/>
  <c r="GI13"/>
  <c r="GG14"/>
  <c r="GH14"/>
  <c r="GI14"/>
  <c r="GI5"/>
  <c r="GG5"/>
  <c r="GH5"/>
  <c r="GF5"/>
  <c r="GM14"/>
  <c r="GL14"/>
  <c r="GK14"/>
  <c r="GJ14"/>
  <c r="GF14"/>
  <c r="GE14"/>
  <c r="GD14"/>
  <c r="GC14"/>
  <c r="GM13"/>
  <c r="GL13"/>
  <c r="GK13"/>
  <c r="GJ13"/>
  <c r="GF13"/>
  <c r="GE13"/>
  <c r="GD13"/>
  <c r="GC13"/>
  <c r="GM12"/>
  <c r="GL12"/>
  <c r="GK12"/>
  <c r="GJ12"/>
  <c r="GF12"/>
  <c r="GE12"/>
  <c r="GD12"/>
  <c r="GC12"/>
  <c r="GM11"/>
  <c r="GL11"/>
  <c r="GK11"/>
  <c r="GJ11"/>
  <c r="GF11"/>
  <c r="GE11"/>
  <c r="GD11"/>
  <c r="GC11"/>
  <c r="GM10"/>
  <c r="GL10"/>
  <c r="GK10"/>
  <c r="GJ10"/>
  <c r="GF10"/>
  <c r="GE10"/>
  <c r="GD10"/>
  <c r="GC10"/>
  <c r="GM9"/>
  <c r="GL9"/>
  <c r="GK9"/>
  <c r="GJ9"/>
  <c r="GF9"/>
  <c r="GE9"/>
  <c r="GD9"/>
  <c r="GC9"/>
  <c r="GM8"/>
  <c r="GL8"/>
  <c r="GK8"/>
  <c r="GJ8"/>
  <c r="GF8"/>
  <c r="GE8"/>
  <c r="GD8"/>
  <c r="GC8"/>
  <c r="GM7"/>
  <c r="GL7"/>
  <c r="GK7"/>
  <c r="GJ7"/>
  <c r="GF7"/>
  <c r="GE7"/>
  <c r="GD7"/>
  <c r="GC7"/>
  <c r="GM6"/>
  <c r="GL6"/>
  <c r="GK6"/>
  <c r="GJ6"/>
  <c r="GF6"/>
  <c r="GE6"/>
  <c r="GD6"/>
  <c r="GC6"/>
  <c r="GM5"/>
  <c r="GL5"/>
  <c r="GK5"/>
  <c r="GJ5"/>
  <c r="GE5"/>
  <c r="GD5"/>
  <c r="GC5"/>
  <c r="FT6"/>
  <c r="FU6"/>
  <c r="FV6"/>
  <c r="FT7"/>
  <c r="FU7"/>
  <c r="FV7"/>
  <c r="FT8"/>
  <c r="FU8"/>
  <c r="FV8"/>
  <c r="FT9"/>
  <c r="FU9"/>
  <c r="FV9"/>
  <c r="FT10"/>
  <c r="FU10"/>
  <c r="FV10"/>
  <c r="FT11"/>
  <c r="FU11"/>
  <c r="FV11"/>
  <c r="FT12"/>
  <c r="FU12"/>
  <c r="FV12"/>
  <c r="FT13"/>
  <c r="FU13"/>
  <c r="FV13"/>
  <c r="FV5"/>
  <c r="FT5"/>
  <c r="FU5"/>
  <c r="FS5"/>
  <c r="FZ13"/>
  <c r="FY13"/>
  <c r="FX13"/>
  <c r="FW13"/>
  <c r="FS13"/>
  <c r="FR13"/>
  <c r="FQ13"/>
  <c r="FP13"/>
  <c r="FZ12"/>
  <c r="FY12"/>
  <c r="FX12"/>
  <c r="FW12"/>
  <c r="FS12"/>
  <c r="FR12"/>
  <c r="FQ12"/>
  <c r="FP12"/>
  <c r="FZ11"/>
  <c r="FY11"/>
  <c r="FX11"/>
  <c r="FW11"/>
  <c r="FS11"/>
  <c r="FR11"/>
  <c r="FQ11"/>
  <c r="FP11"/>
  <c r="FZ10"/>
  <c r="FY10"/>
  <c r="FX10"/>
  <c r="FW10"/>
  <c r="FS10"/>
  <c r="FR10"/>
  <c r="FQ10"/>
  <c r="FP10"/>
  <c r="FZ9"/>
  <c r="FY9"/>
  <c r="FX9"/>
  <c r="FW9"/>
  <c r="FS9"/>
  <c r="FR9"/>
  <c r="FQ9"/>
  <c r="FP9"/>
  <c r="FZ8"/>
  <c r="FY8"/>
  <c r="FX8"/>
  <c r="FW8"/>
  <c r="FS8"/>
  <c r="FR8"/>
  <c r="FQ8"/>
  <c r="FP8"/>
  <c r="FZ7"/>
  <c r="FY7"/>
  <c r="FX7"/>
  <c r="FW7"/>
  <c r="FS7"/>
  <c r="FR7"/>
  <c r="FQ7"/>
  <c r="FP7"/>
  <c r="FZ6"/>
  <c r="FY6"/>
  <c r="FX6"/>
  <c r="FW6"/>
  <c r="FS6"/>
  <c r="FR6"/>
  <c r="FQ6"/>
  <c r="FP6"/>
  <c r="FZ5"/>
  <c r="FY5"/>
  <c r="FX5"/>
  <c r="FW5"/>
  <c r="FR5"/>
  <c r="FQ5"/>
  <c r="FP5"/>
  <c r="FG6"/>
  <c r="FH6"/>
  <c r="FI6"/>
  <c r="FG7"/>
  <c r="FH7"/>
  <c r="FI7"/>
  <c r="FG8"/>
  <c r="FH8"/>
  <c r="FI8"/>
  <c r="FG9"/>
  <c r="FH9"/>
  <c r="FI9"/>
  <c r="FG10"/>
  <c r="FH10"/>
  <c r="FI10"/>
  <c r="FG11"/>
  <c r="FH11"/>
  <c r="FI11"/>
  <c r="FG12"/>
  <c r="FH12"/>
  <c r="FI12"/>
  <c r="FG13"/>
  <c r="FH13"/>
  <c r="FI13"/>
  <c r="FG14"/>
  <c r="FH14"/>
  <c r="FI14"/>
  <c r="FI5"/>
  <c r="FG5"/>
  <c r="FH5"/>
  <c r="FF5"/>
  <c r="FM14"/>
  <c r="FL14"/>
  <c r="FK14"/>
  <c r="FJ14"/>
  <c r="FF14"/>
  <c r="FE14"/>
  <c r="FD14"/>
  <c r="FC14"/>
  <c r="FM13"/>
  <c r="FL13"/>
  <c r="FK13"/>
  <c r="FJ13"/>
  <c r="FF13"/>
  <c r="FE13"/>
  <c r="FD13"/>
  <c r="FC13"/>
  <c r="FM12"/>
  <c r="FL12"/>
  <c r="FK12"/>
  <c r="FJ12"/>
  <c r="FF12"/>
  <c r="FE12"/>
  <c r="FD12"/>
  <c r="FC12"/>
  <c r="FM11"/>
  <c r="FL11"/>
  <c r="FK11"/>
  <c r="FJ11"/>
  <c r="FF11"/>
  <c r="FE11"/>
  <c r="FD11"/>
  <c r="FC11"/>
  <c r="FM10"/>
  <c r="FL10"/>
  <c r="FK10"/>
  <c r="FJ10"/>
  <c r="FF10"/>
  <c r="FE10"/>
  <c r="FD10"/>
  <c r="FC10"/>
  <c r="FM9"/>
  <c r="FL9"/>
  <c r="FK9"/>
  <c r="FJ9"/>
  <c r="FF9"/>
  <c r="FE9"/>
  <c r="FD9"/>
  <c r="FC9"/>
  <c r="FM8"/>
  <c r="FL8"/>
  <c r="FK8"/>
  <c r="FJ8"/>
  <c r="FF8"/>
  <c r="FE8"/>
  <c r="FD8"/>
  <c r="FC8"/>
  <c r="FM7"/>
  <c r="FL7"/>
  <c r="FK7"/>
  <c r="FJ7"/>
  <c r="FF7"/>
  <c r="FE7"/>
  <c r="FD7"/>
  <c r="FC7"/>
  <c r="FM6"/>
  <c r="FL6"/>
  <c r="FK6"/>
  <c r="FJ6"/>
  <c r="FF6"/>
  <c r="FE6"/>
  <c r="FD6"/>
  <c r="FC6"/>
  <c r="FM5"/>
  <c r="FL5"/>
  <c r="FK5"/>
  <c r="FJ5"/>
  <c r="FE5"/>
  <c r="FD5"/>
  <c r="FC5"/>
  <c r="EP5"/>
  <c r="EQ5"/>
  <c r="ER5"/>
  <c r="ES5"/>
  <c r="ET5"/>
  <c r="EU5"/>
  <c r="EV5"/>
  <c r="EW5"/>
  <c r="EX5"/>
  <c r="EY5"/>
  <c r="EZ5"/>
  <c r="ET6"/>
  <c r="EU6"/>
  <c r="EV6"/>
  <c r="ET7"/>
  <c r="EU7"/>
  <c r="EV7"/>
  <c r="ET8"/>
  <c r="EU8"/>
  <c r="EV8"/>
  <c r="ET9"/>
  <c r="EU9"/>
  <c r="EV9"/>
  <c r="ET10"/>
  <c r="EU10"/>
  <c r="EV10"/>
  <c r="ET11"/>
  <c r="EU11"/>
  <c r="EV11"/>
  <c r="ET12"/>
  <c r="EU12"/>
  <c r="EV12"/>
  <c r="ET13"/>
  <c r="EU13"/>
  <c r="EV13"/>
  <c r="ET14"/>
  <c r="EU14"/>
  <c r="EV14"/>
  <c r="EZ14"/>
  <c r="EY14"/>
  <c r="EX14"/>
  <c r="EW14"/>
  <c r="ES14"/>
  <c r="ER14"/>
  <c r="EQ14"/>
  <c r="EP14"/>
  <c r="EZ13"/>
  <c r="EY13"/>
  <c r="EX13"/>
  <c r="EW13"/>
  <c r="ES13"/>
  <c r="ER13"/>
  <c r="EQ13"/>
  <c r="EP13"/>
  <c r="EZ12"/>
  <c r="EY12"/>
  <c r="EX12"/>
  <c r="EW12"/>
  <c r="ES12"/>
  <c r="ER12"/>
  <c r="EQ12"/>
  <c r="EP12"/>
  <c r="EZ11"/>
  <c r="EY11"/>
  <c r="EX11"/>
  <c r="EW11"/>
  <c r="ES11"/>
  <c r="ER11"/>
  <c r="EQ11"/>
  <c r="EP11"/>
  <c r="EZ10"/>
  <c r="EY10"/>
  <c r="EX10"/>
  <c r="EW10"/>
  <c r="ES10"/>
  <c r="ER10"/>
  <c r="EQ10"/>
  <c r="EP10"/>
  <c r="EZ9"/>
  <c r="EY9"/>
  <c r="EX9"/>
  <c r="EW9"/>
  <c r="ES9"/>
  <c r="ER9"/>
  <c r="EQ9"/>
  <c r="EP9"/>
  <c r="EZ8"/>
  <c r="EY8"/>
  <c r="EX8"/>
  <c r="EW8"/>
  <c r="ES8"/>
  <c r="ER8"/>
  <c r="EQ8"/>
  <c r="EP8"/>
  <c r="EZ7"/>
  <c r="EY7"/>
  <c r="EX7"/>
  <c r="EW7"/>
  <c r="ES7"/>
  <c r="ER7"/>
  <c r="EQ7"/>
  <c r="EP7"/>
  <c r="EZ6"/>
  <c r="EY6"/>
  <c r="EX6"/>
  <c r="EW6"/>
  <c r="ES6"/>
  <c r="ER6"/>
  <c r="EQ6"/>
  <c r="EP6"/>
  <c r="EG6"/>
  <c r="EH6"/>
  <c r="EI6"/>
  <c r="EG7"/>
  <c r="EH7"/>
  <c r="EI7"/>
  <c r="EG8"/>
  <c r="EH8"/>
  <c r="EI8"/>
  <c r="EG9"/>
  <c r="EH9"/>
  <c r="EI9"/>
  <c r="EG10"/>
  <c r="EH10"/>
  <c r="EI10"/>
  <c r="EG11"/>
  <c r="EH11"/>
  <c r="EI11"/>
  <c r="EG12"/>
  <c r="EH12"/>
  <c r="EI12"/>
  <c r="EG13"/>
  <c r="EH13"/>
  <c r="EI13"/>
  <c r="EI5"/>
  <c r="EG5"/>
  <c r="EH5"/>
  <c r="EF5"/>
  <c r="EM13"/>
  <c r="EL13"/>
  <c r="EK13"/>
  <c r="EJ13"/>
  <c r="EF13"/>
  <c r="EE13"/>
  <c r="ED13"/>
  <c r="EC13"/>
  <c r="EM12"/>
  <c r="EL12"/>
  <c r="EK12"/>
  <c r="EJ12"/>
  <c r="EF12"/>
  <c r="EE12"/>
  <c r="ED12"/>
  <c r="EC12"/>
  <c r="EM11"/>
  <c r="EL11"/>
  <c r="EK11"/>
  <c r="EJ11"/>
  <c r="EF11"/>
  <c r="EE11"/>
  <c r="ED11"/>
  <c r="EC11"/>
  <c r="EM10"/>
  <c r="EL10"/>
  <c r="EK10"/>
  <c r="EJ10"/>
  <c r="EF10"/>
  <c r="EE10"/>
  <c r="ED10"/>
  <c r="EC10"/>
  <c r="EM9"/>
  <c r="EL9"/>
  <c r="EK9"/>
  <c r="EJ9"/>
  <c r="EF9"/>
  <c r="EE9"/>
  <c r="ED9"/>
  <c r="EC9"/>
  <c r="EM8"/>
  <c r="EL8"/>
  <c r="EK8"/>
  <c r="EJ8"/>
  <c r="EF8"/>
  <c r="EE8"/>
  <c r="ED8"/>
  <c r="EC8"/>
  <c r="EM7"/>
  <c r="EL7"/>
  <c r="EK7"/>
  <c r="EJ7"/>
  <c r="EF7"/>
  <c r="EE7"/>
  <c r="ED7"/>
  <c r="EC7"/>
  <c r="EM6"/>
  <c r="EL6"/>
  <c r="EK6"/>
  <c r="EJ6"/>
  <c r="EF6"/>
  <c r="EE6"/>
  <c r="ED6"/>
  <c r="EC6"/>
  <c r="EM5"/>
  <c r="EL5"/>
  <c r="EK5"/>
  <c r="EJ5"/>
  <c r="EE5"/>
  <c r="ED5"/>
  <c r="EC5"/>
  <c r="DT6"/>
  <c r="DU6"/>
  <c r="DV6"/>
  <c r="DT7"/>
  <c r="DU7"/>
  <c r="DV7"/>
  <c r="DT8"/>
  <c r="DU8"/>
  <c r="DV8"/>
  <c r="DT9"/>
  <c r="DU9"/>
  <c r="DV9"/>
  <c r="DT10"/>
  <c r="DU10"/>
  <c r="DV10"/>
  <c r="DT11"/>
  <c r="DU11"/>
  <c r="DV11"/>
  <c r="DT12"/>
  <c r="DU12"/>
  <c r="DV12"/>
  <c r="DT13"/>
  <c r="DU13"/>
  <c r="DV13"/>
  <c r="DT14"/>
  <c r="DU14"/>
  <c r="DV14"/>
  <c r="DV5"/>
  <c r="DT5"/>
  <c r="DU5"/>
  <c r="DS5"/>
  <c r="DZ14"/>
  <c r="DY14"/>
  <c r="DX14"/>
  <c r="DW14"/>
  <c r="DS14"/>
  <c r="DR14"/>
  <c r="DQ14"/>
  <c r="DP14"/>
  <c r="DZ13"/>
  <c r="DY13"/>
  <c r="DX13"/>
  <c r="DW13"/>
  <c r="DS13"/>
  <c r="DR13"/>
  <c r="DQ13"/>
  <c r="DP13"/>
  <c r="DZ12"/>
  <c r="DY12"/>
  <c r="DX12"/>
  <c r="DW12"/>
  <c r="DS12"/>
  <c r="DR12"/>
  <c r="DQ12"/>
  <c r="DP12"/>
  <c r="DZ11"/>
  <c r="DY11"/>
  <c r="DX11"/>
  <c r="DW11"/>
  <c r="DS11"/>
  <c r="DR11"/>
  <c r="DQ11"/>
  <c r="DP11"/>
  <c r="DZ10"/>
  <c r="DY10"/>
  <c r="DX10"/>
  <c r="DW10"/>
  <c r="DS10"/>
  <c r="DR10"/>
  <c r="DQ10"/>
  <c r="DP10"/>
  <c r="DZ9"/>
  <c r="DY9"/>
  <c r="DX9"/>
  <c r="DW9"/>
  <c r="DS9"/>
  <c r="DR9"/>
  <c r="DQ9"/>
  <c r="DP9"/>
  <c r="DZ8"/>
  <c r="DY8"/>
  <c r="DX8"/>
  <c r="DW8"/>
  <c r="DS8"/>
  <c r="DR8"/>
  <c r="DQ8"/>
  <c r="DP8"/>
  <c r="DZ7"/>
  <c r="DY7"/>
  <c r="DX7"/>
  <c r="DW7"/>
  <c r="DS7"/>
  <c r="DR7"/>
  <c r="DQ7"/>
  <c r="DP7"/>
  <c r="DZ6"/>
  <c r="DY6"/>
  <c r="DX6"/>
  <c r="DW6"/>
  <c r="DS6"/>
  <c r="DR6"/>
  <c r="DQ6"/>
  <c r="DP6"/>
  <c r="DZ5"/>
  <c r="DY5"/>
  <c r="DX5"/>
  <c r="DW5"/>
  <c r="DR5"/>
  <c r="DQ5"/>
  <c r="DP5"/>
  <c r="DG6"/>
  <c r="DH6"/>
  <c r="DI6"/>
  <c r="DG7"/>
  <c r="DH7"/>
  <c r="DI7"/>
  <c r="DG8"/>
  <c r="DH8"/>
  <c r="DI8"/>
  <c r="DG9"/>
  <c r="DH9"/>
  <c r="DI9"/>
  <c r="DG10"/>
  <c r="DH10"/>
  <c r="DI10"/>
  <c r="DG11"/>
  <c r="DH11"/>
  <c r="DI11"/>
  <c r="DG12"/>
  <c r="DH12"/>
  <c r="DI12"/>
  <c r="DG13"/>
  <c r="DH13"/>
  <c r="DI13"/>
  <c r="DG14"/>
  <c r="DH14"/>
  <c r="DI14"/>
  <c r="DI5"/>
  <c r="DG5"/>
  <c r="DH5"/>
  <c r="DF5"/>
  <c r="DM14"/>
  <c r="DL14"/>
  <c r="DK14"/>
  <c r="DJ14"/>
  <c r="DF14"/>
  <c r="DE14"/>
  <c r="DD14"/>
  <c r="DC14"/>
  <c r="DM13"/>
  <c r="DL13"/>
  <c r="DK13"/>
  <c r="DJ13"/>
  <c r="DF13"/>
  <c r="DE13"/>
  <c r="DD13"/>
  <c r="DC13"/>
  <c r="DM12"/>
  <c r="DL12"/>
  <c r="DK12"/>
  <c r="DJ12"/>
  <c r="DF12"/>
  <c r="DE12"/>
  <c r="DD12"/>
  <c r="DC12"/>
  <c r="DM11"/>
  <c r="DL11"/>
  <c r="DK11"/>
  <c r="DJ11"/>
  <c r="DF11"/>
  <c r="DE11"/>
  <c r="DD11"/>
  <c r="DC11"/>
  <c r="DM10"/>
  <c r="DL10"/>
  <c r="DK10"/>
  <c r="DJ10"/>
  <c r="DF10"/>
  <c r="DE10"/>
  <c r="DD10"/>
  <c r="DC10"/>
  <c r="DM9"/>
  <c r="DL9"/>
  <c r="DK9"/>
  <c r="DJ9"/>
  <c r="DF9"/>
  <c r="DE9"/>
  <c r="DD9"/>
  <c r="DC9"/>
  <c r="DM8"/>
  <c r="DL8"/>
  <c r="DK8"/>
  <c r="DJ8"/>
  <c r="DF8"/>
  <c r="DE8"/>
  <c r="DD8"/>
  <c r="DC8"/>
  <c r="DM7"/>
  <c r="DL7"/>
  <c r="DK7"/>
  <c r="DJ7"/>
  <c r="DF7"/>
  <c r="DE7"/>
  <c r="DD7"/>
  <c r="DC7"/>
  <c r="DM6"/>
  <c r="DL6"/>
  <c r="DK6"/>
  <c r="DJ6"/>
  <c r="DF6"/>
  <c r="DE6"/>
  <c r="DD6"/>
  <c r="DC6"/>
  <c r="DM5"/>
  <c r="DL5"/>
  <c r="DK5"/>
  <c r="DJ5"/>
  <c r="DE5"/>
  <c r="DD5"/>
  <c r="DC5"/>
  <c r="CT6"/>
  <c r="CU6"/>
  <c r="CV6"/>
  <c r="CT7"/>
  <c r="CU7"/>
  <c r="CV7"/>
  <c r="CT8"/>
  <c r="CU8"/>
  <c r="CV8"/>
  <c r="CT9"/>
  <c r="CU9"/>
  <c r="CV9"/>
  <c r="CT10"/>
  <c r="CU10"/>
  <c r="CV10"/>
  <c r="CT11"/>
  <c r="CU11"/>
  <c r="CV11"/>
  <c r="CT12"/>
  <c r="CU12"/>
  <c r="CV12"/>
  <c r="CT13"/>
  <c r="CU13"/>
  <c r="CV13"/>
  <c r="CV5"/>
  <c r="CT5"/>
  <c r="CU5"/>
  <c r="CS5"/>
  <c r="CZ13"/>
  <c r="CY13"/>
  <c r="CX13"/>
  <c r="CW13"/>
  <c r="CS13"/>
  <c r="CR13"/>
  <c r="CQ13"/>
  <c r="CP13"/>
  <c r="CZ12"/>
  <c r="CY12"/>
  <c r="CX12"/>
  <c r="CW12"/>
  <c r="CS12"/>
  <c r="CR12"/>
  <c r="CQ12"/>
  <c r="CP12"/>
  <c r="CZ11"/>
  <c r="CY11"/>
  <c r="CX11"/>
  <c r="CW11"/>
  <c r="CS11"/>
  <c r="CR11"/>
  <c r="CQ11"/>
  <c r="CP11"/>
  <c r="CZ10"/>
  <c r="CY10"/>
  <c r="CX10"/>
  <c r="CW10"/>
  <c r="CS10"/>
  <c r="CR10"/>
  <c r="CQ10"/>
  <c r="CP10"/>
  <c r="CZ9"/>
  <c r="CY9"/>
  <c r="CX9"/>
  <c r="CW9"/>
  <c r="CS9"/>
  <c r="CR9"/>
  <c r="CQ9"/>
  <c r="CP9"/>
  <c r="CZ8"/>
  <c r="CY8"/>
  <c r="CX8"/>
  <c r="CW8"/>
  <c r="CS8"/>
  <c r="CR8"/>
  <c r="CQ8"/>
  <c r="CP8"/>
  <c r="CZ7"/>
  <c r="CY7"/>
  <c r="CX7"/>
  <c r="CW7"/>
  <c r="CS7"/>
  <c r="CR7"/>
  <c r="CQ7"/>
  <c r="CP7"/>
  <c r="CZ6"/>
  <c r="CY6"/>
  <c r="CX6"/>
  <c r="CW6"/>
  <c r="CS6"/>
  <c r="CR6"/>
  <c r="CQ6"/>
  <c r="CP6"/>
  <c r="CZ5"/>
  <c r="CY5"/>
  <c r="CX5"/>
  <c r="CW5"/>
  <c r="CR5"/>
  <c r="CQ5"/>
  <c r="CP5"/>
  <c r="CG6"/>
  <c r="CH6"/>
  <c r="CI6"/>
  <c r="CG7"/>
  <c r="CH7"/>
  <c r="CI7"/>
  <c r="CG8"/>
  <c r="CH8"/>
  <c r="CI8"/>
  <c r="CG9"/>
  <c r="CH9"/>
  <c r="CI9"/>
  <c r="CG10"/>
  <c r="CH10"/>
  <c r="CI10"/>
  <c r="CG11"/>
  <c r="CH11"/>
  <c r="CI11"/>
  <c r="CG12"/>
  <c r="CH12"/>
  <c r="CI12"/>
  <c r="CG13"/>
  <c r="CH13"/>
  <c r="CI13"/>
  <c r="CG14"/>
  <c r="CH14"/>
  <c r="CI14"/>
  <c r="CI5"/>
  <c r="CG5"/>
  <c r="CH5"/>
  <c r="CF5"/>
  <c r="CM14"/>
  <c r="CL14"/>
  <c r="CK14"/>
  <c r="CJ14"/>
  <c r="CF14"/>
  <c r="CE14"/>
  <c r="CD14"/>
  <c r="CC14"/>
  <c r="CM13"/>
  <c r="CL13"/>
  <c r="CK13"/>
  <c r="CJ13"/>
  <c r="CF13"/>
  <c r="CE13"/>
  <c r="CD13"/>
  <c r="CC13"/>
  <c r="CM12"/>
  <c r="CL12"/>
  <c r="CK12"/>
  <c r="CJ12"/>
  <c r="CF12"/>
  <c r="CE12"/>
  <c r="CD12"/>
  <c r="CC12"/>
  <c r="CM11"/>
  <c r="CL11"/>
  <c r="CK11"/>
  <c r="CJ11"/>
  <c r="CF11"/>
  <c r="CE11"/>
  <c r="CD11"/>
  <c r="CC11"/>
  <c r="CM10"/>
  <c r="CL10"/>
  <c r="CK10"/>
  <c r="CJ10"/>
  <c r="CF10"/>
  <c r="CE10"/>
  <c r="CD10"/>
  <c r="CC10"/>
  <c r="CM9"/>
  <c r="CL9"/>
  <c r="CK9"/>
  <c r="CJ9"/>
  <c r="CF9"/>
  <c r="CE9"/>
  <c r="CD9"/>
  <c r="CC9"/>
  <c r="CM8"/>
  <c r="CL8"/>
  <c r="CK8"/>
  <c r="CJ8"/>
  <c r="CF8"/>
  <c r="CE8"/>
  <c r="CD8"/>
  <c r="CC8"/>
  <c r="CM7"/>
  <c r="CL7"/>
  <c r="CK7"/>
  <c r="CJ7"/>
  <c r="CF7"/>
  <c r="CE7"/>
  <c r="CD7"/>
  <c r="CC7"/>
  <c r="CM6"/>
  <c r="CL6"/>
  <c r="CK6"/>
  <c r="CJ6"/>
  <c r="CF6"/>
  <c r="CE6"/>
  <c r="CD6"/>
  <c r="CC6"/>
  <c r="CM5"/>
  <c r="CL5"/>
  <c r="CK5"/>
  <c r="CJ5"/>
  <c r="CE5"/>
  <c r="CD5"/>
  <c r="CC5"/>
  <c r="BT6"/>
  <c r="BU6"/>
  <c r="BV6"/>
  <c r="BT7"/>
  <c r="BU7"/>
  <c r="BV7"/>
  <c r="BT8"/>
  <c r="BU8"/>
  <c r="BV8"/>
  <c r="BT9"/>
  <c r="BU9"/>
  <c r="BV9"/>
  <c r="BT10"/>
  <c r="BU10"/>
  <c r="BV10"/>
  <c r="BT11"/>
  <c r="BU11"/>
  <c r="BV11"/>
  <c r="BT12"/>
  <c r="BU12"/>
  <c r="BV12"/>
  <c r="BT13"/>
  <c r="BU13"/>
  <c r="BV13"/>
  <c r="BT14"/>
  <c r="BU14"/>
  <c r="BV14"/>
  <c r="BV5"/>
  <c r="BT5"/>
  <c r="BU5"/>
  <c r="BS5"/>
  <c r="BZ14"/>
  <c r="BY14"/>
  <c r="BX14"/>
  <c r="BW14"/>
  <c r="BS14"/>
  <c r="BR14"/>
  <c r="BQ14"/>
  <c r="BP14"/>
  <c r="BZ13"/>
  <c r="BY13"/>
  <c r="BX13"/>
  <c r="BW13"/>
  <c r="BS13"/>
  <c r="BR13"/>
  <c r="BQ13"/>
  <c r="BP13"/>
  <c r="BZ12"/>
  <c r="BY12"/>
  <c r="BX12"/>
  <c r="BW12"/>
  <c r="BS12"/>
  <c r="BR12"/>
  <c r="BQ12"/>
  <c r="BP12"/>
  <c r="BZ11"/>
  <c r="BY11"/>
  <c r="BX11"/>
  <c r="BW11"/>
  <c r="BS11"/>
  <c r="BR11"/>
  <c r="BQ11"/>
  <c r="BP11"/>
  <c r="BZ10"/>
  <c r="BY10"/>
  <c r="BX10"/>
  <c r="BW10"/>
  <c r="BS10"/>
  <c r="BR10"/>
  <c r="BQ10"/>
  <c r="BP10"/>
  <c r="BZ9"/>
  <c r="BY9"/>
  <c r="BX9"/>
  <c r="BW9"/>
  <c r="BS9"/>
  <c r="BR9"/>
  <c r="BQ9"/>
  <c r="BP9"/>
  <c r="BZ8"/>
  <c r="BY8"/>
  <c r="BX8"/>
  <c r="BW8"/>
  <c r="BS8"/>
  <c r="BR8"/>
  <c r="BQ8"/>
  <c r="BP8"/>
  <c r="BZ7"/>
  <c r="BY7"/>
  <c r="BX7"/>
  <c r="BW7"/>
  <c r="BS7"/>
  <c r="BR7"/>
  <c r="BQ7"/>
  <c r="BP7"/>
  <c r="BZ6"/>
  <c r="BY6"/>
  <c r="BX6"/>
  <c r="BW6"/>
  <c r="BS6"/>
  <c r="BR6"/>
  <c r="BQ6"/>
  <c r="BP6"/>
  <c r="BZ5"/>
  <c r="BY5"/>
  <c r="BX5"/>
  <c r="BW5"/>
  <c r="BR5"/>
  <c r="BQ5"/>
  <c r="BP5"/>
  <c r="BG6"/>
  <c r="BH6"/>
  <c r="BI6"/>
  <c r="BG7"/>
  <c r="BH7"/>
  <c r="BI7"/>
  <c r="BG8"/>
  <c r="BH8"/>
  <c r="BI8"/>
  <c r="BG9"/>
  <c r="BH9"/>
  <c r="BI9"/>
  <c r="BG10"/>
  <c r="BH10"/>
  <c r="BI10"/>
  <c r="BG11"/>
  <c r="BH11"/>
  <c r="BI11"/>
  <c r="BG12"/>
  <c r="BH12"/>
  <c r="BI12"/>
  <c r="BG13"/>
  <c r="BH13"/>
  <c r="BI13"/>
  <c r="BI5"/>
  <c r="BG5"/>
  <c r="BH5"/>
  <c r="BF5"/>
  <c r="BM13"/>
  <c r="BL13"/>
  <c r="BK13"/>
  <c r="BJ13"/>
  <c r="BF13"/>
  <c r="BE13"/>
  <c r="BD13"/>
  <c r="BC13"/>
  <c r="BM12"/>
  <c r="BL12"/>
  <c r="BK12"/>
  <c r="BJ12"/>
  <c r="BF12"/>
  <c r="BE12"/>
  <c r="BD12"/>
  <c r="BC12"/>
  <c r="BM11"/>
  <c r="BL11"/>
  <c r="BK11"/>
  <c r="BJ11"/>
  <c r="BF11"/>
  <c r="BE11"/>
  <c r="BD11"/>
  <c r="BC11"/>
  <c r="BM10"/>
  <c r="BL10"/>
  <c r="BK10"/>
  <c r="BJ10"/>
  <c r="BF10"/>
  <c r="BE10"/>
  <c r="BD10"/>
  <c r="BC10"/>
  <c r="BM9"/>
  <c r="BL9"/>
  <c r="BK9"/>
  <c r="BJ9"/>
  <c r="BF9"/>
  <c r="BE9"/>
  <c r="BD9"/>
  <c r="BC9"/>
  <c r="BM8"/>
  <c r="BL8"/>
  <c r="BK8"/>
  <c r="BJ8"/>
  <c r="BF8"/>
  <c r="BE8"/>
  <c r="BD8"/>
  <c r="BC8"/>
  <c r="BM7"/>
  <c r="BL7"/>
  <c r="BK7"/>
  <c r="BJ7"/>
  <c r="BF7"/>
  <c r="BE7"/>
  <c r="BD7"/>
  <c r="BC7"/>
  <c r="BM6"/>
  <c r="BL6"/>
  <c r="BK6"/>
  <c r="BJ6"/>
  <c r="BF6"/>
  <c r="BE6"/>
  <c r="BD6"/>
  <c r="BC6"/>
  <c r="BM5"/>
  <c r="BL5"/>
  <c r="BK5"/>
  <c r="BJ5"/>
  <c r="BE5"/>
  <c r="BD5"/>
  <c r="BC5"/>
  <c r="AT6"/>
  <c r="AU6"/>
  <c r="AV6"/>
  <c r="AT7"/>
  <c r="AU7"/>
  <c r="AV7"/>
  <c r="AT8"/>
  <c r="AU8"/>
  <c r="AV8"/>
  <c r="AT9"/>
  <c r="AU9"/>
  <c r="AV9"/>
  <c r="AT10"/>
  <c r="AU10"/>
  <c r="AV10"/>
  <c r="AT11"/>
  <c r="AU11"/>
  <c r="AV11"/>
  <c r="AT12"/>
  <c r="AU12"/>
  <c r="AV12"/>
  <c r="AT13"/>
  <c r="AU13"/>
  <c r="AV13"/>
  <c r="AT14"/>
  <c r="AU14"/>
  <c r="AV14"/>
  <c r="AV5"/>
  <c r="AT5"/>
  <c r="AU5"/>
  <c r="AS5"/>
  <c r="AZ14"/>
  <c r="AY14"/>
  <c r="AX14"/>
  <c r="AW14"/>
  <c r="AS14"/>
  <c r="AR14"/>
  <c r="AQ14"/>
  <c r="AP14"/>
  <c r="AZ13"/>
  <c r="AY13"/>
  <c r="AX13"/>
  <c r="AW13"/>
  <c r="AS13"/>
  <c r="AR13"/>
  <c r="AQ13"/>
  <c r="AP13"/>
  <c r="AZ12"/>
  <c r="AY12"/>
  <c r="AX12"/>
  <c r="AW12"/>
  <c r="AS12"/>
  <c r="AR12"/>
  <c r="AQ12"/>
  <c r="AP12"/>
  <c r="AZ11"/>
  <c r="AY11"/>
  <c r="AX11"/>
  <c r="AW11"/>
  <c r="AS11"/>
  <c r="AR11"/>
  <c r="AQ11"/>
  <c r="AP11"/>
  <c r="AZ10"/>
  <c r="AY10"/>
  <c r="AX10"/>
  <c r="AW10"/>
  <c r="AS10"/>
  <c r="AR10"/>
  <c r="AQ10"/>
  <c r="AP10"/>
  <c r="AZ9"/>
  <c r="AY9"/>
  <c r="AX9"/>
  <c r="AW9"/>
  <c r="AS9"/>
  <c r="AR9"/>
  <c r="AQ9"/>
  <c r="AP9"/>
  <c r="AZ8"/>
  <c r="AY8"/>
  <c r="AX8"/>
  <c r="AW8"/>
  <c r="AS8"/>
  <c r="AR8"/>
  <c r="AQ8"/>
  <c r="AP8"/>
  <c r="AZ7"/>
  <c r="AY7"/>
  <c r="AX7"/>
  <c r="AW7"/>
  <c r="AS7"/>
  <c r="AR7"/>
  <c r="AQ7"/>
  <c r="AP7"/>
  <c r="AZ6"/>
  <c r="AY6"/>
  <c r="AX6"/>
  <c r="AW6"/>
  <c r="AS6"/>
  <c r="AR6"/>
  <c r="AQ6"/>
  <c r="AP6"/>
  <c r="AZ5"/>
  <c r="AY5"/>
  <c r="AX5"/>
  <c r="AW5"/>
  <c r="AR5"/>
  <c r="AQ5"/>
  <c r="AP5"/>
  <c r="AG6"/>
  <c r="AH6"/>
  <c r="AI6"/>
  <c r="AG7"/>
  <c r="AH7"/>
  <c r="AI7"/>
  <c r="AG8"/>
  <c r="AH8"/>
  <c r="AI8"/>
  <c r="AG9"/>
  <c r="AH9"/>
  <c r="AI9"/>
  <c r="AG10"/>
  <c r="AH10"/>
  <c r="AI10"/>
  <c r="AG11"/>
  <c r="AH11"/>
  <c r="AI11"/>
  <c r="AG12"/>
  <c r="AH12"/>
  <c r="AI12"/>
  <c r="AG13"/>
  <c r="AH13"/>
  <c r="AI13"/>
  <c r="AG14"/>
  <c r="AH14"/>
  <c r="AI14"/>
  <c r="AI5"/>
  <c r="AG5"/>
  <c r="AH5"/>
  <c r="AF5"/>
  <c r="T6"/>
  <c r="U6"/>
  <c r="V6"/>
  <c r="T7"/>
  <c r="U7"/>
  <c r="V7"/>
  <c r="T8"/>
  <c r="U8"/>
  <c r="V8"/>
  <c r="T9"/>
  <c r="U9"/>
  <c r="V9"/>
  <c r="T10"/>
  <c r="U10"/>
  <c r="V10"/>
  <c r="T11"/>
  <c r="U11"/>
  <c r="V11"/>
  <c r="T12"/>
  <c r="U12"/>
  <c r="V12"/>
  <c r="T13"/>
  <c r="U13"/>
  <c r="V13"/>
  <c r="V5"/>
  <c r="T5"/>
  <c r="U5"/>
  <c r="S5"/>
  <c r="G6"/>
  <c r="H6"/>
  <c r="I6"/>
  <c r="G7"/>
  <c r="H7"/>
  <c r="I7"/>
  <c r="G8"/>
  <c r="H8"/>
  <c r="I8"/>
  <c r="G9"/>
  <c r="H9"/>
  <c r="I9"/>
  <c r="G10"/>
  <c r="H10"/>
  <c r="I10"/>
  <c r="G11"/>
  <c r="H11"/>
  <c r="I11"/>
  <c r="G12"/>
  <c r="H12"/>
  <c r="I12"/>
  <c r="G13"/>
  <c r="H13"/>
  <c r="I13"/>
  <c r="G14"/>
  <c r="H14"/>
  <c r="I14"/>
  <c r="I5"/>
  <c r="G5"/>
  <c r="H5"/>
  <c r="F5"/>
  <c r="AM14"/>
  <c r="AL14"/>
  <c r="AK14"/>
  <c r="AJ14"/>
  <c r="AF14"/>
  <c r="AE14"/>
  <c r="AD14"/>
  <c r="AC14"/>
  <c r="AM13"/>
  <c r="AL13"/>
  <c r="AK13"/>
  <c r="AJ13"/>
  <c r="AF13"/>
  <c r="AE13"/>
  <c r="AD13"/>
  <c r="AC13"/>
  <c r="AM12"/>
  <c r="AL12"/>
  <c r="AK12"/>
  <c r="AJ12"/>
  <c r="AF12"/>
  <c r="AE12"/>
  <c r="AD12"/>
  <c r="AC12"/>
  <c r="AM11"/>
  <c r="AL11"/>
  <c r="AK11"/>
  <c r="AJ11"/>
  <c r="AF11"/>
  <c r="AE11"/>
  <c r="AD11"/>
  <c r="AC11"/>
  <c r="AM10"/>
  <c r="AL10"/>
  <c r="AK10"/>
  <c r="AJ10"/>
  <c r="AF10"/>
  <c r="AE10"/>
  <c r="AD10"/>
  <c r="AC10"/>
  <c r="AM9"/>
  <c r="AL9"/>
  <c r="AK9"/>
  <c r="AJ9"/>
  <c r="AF9"/>
  <c r="AE9"/>
  <c r="AD9"/>
  <c r="AC9"/>
  <c r="AM8"/>
  <c r="AL8"/>
  <c r="AK8"/>
  <c r="AJ8"/>
  <c r="AF8"/>
  <c r="AE8"/>
  <c r="AD8"/>
  <c r="AC8"/>
  <c r="AM7"/>
  <c r="AL7"/>
  <c r="AK7"/>
  <c r="AJ7"/>
  <c r="AF7"/>
  <c r="AE7"/>
  <c r="AD7"/>
  <c r="AC7"/>
  <c r="AM6"/>
  <c r="AL6"/>
  <c r="AK6"/>
  <c r="AJ6"/>
  <c r="AF6"/>
  <c r="AE6"/>
  <c r="AD6"/>
  <c r="AC6"/>
  <c r="AM5"/>
  <c r="AL5"/>
  <c r="AK5"/>
  <c r="AJ5"/>
  <c r="AE5"/>
  <c r="AD5"/>
  <c r="AC5"/>
  <c r="Z13"/>
  <c r="Y13"/>
  <c r="X13"/>
  <c r="W13"/>
  <c r="S13"/>
  <c r="R13"/>
  <c r="Q13"/>
  <c r="P13"/>
  <c r="Z12"/>
  <c r="Y12"/>
  <c r="X12"/>
  <c r="W12"/>
  <c r="S12"/>
  <c r="R12"/>
  <c r="Q12"/>
  <c r="P12"/>
  <c r="Z11"/>
  <c r="Y11"/>
  <c r="X11"/>
  <c r="W11"/>
  <c r="S11"/>
  <c r="R11"/>
  <c r="Q11"/>
  <c r="P11"/>
  <c r="Z10"/>
  <c r="Y10"/>
  <c r="X10"/>
  <c r="W10"/>
  <c r="S10"/>
  <c r="R10"/>
  <c r="Q10"/>
  <c r="P10"/>
  <c r="Z9"/>
  <c r="Y9"/>
  <c r="X9"/>
  <c r="W9"/>
  <c r="S9"/>
  <c r="R9"/>
  <c r="Q9"/>
  <c r="P9"/>
  <c r="Z8"/>
  <c r="Y8"/>
  <c r="X8"/>
  <c r="W8"/>
  <c r="S8"/>
  <c r="R8"/>
  <c r="Q8"/>
  <c r="P8"/>
  <c r="Z7"/>
  <c r="Y7"/>
  <c r="X7"/>
  <c r="W7"/>
  <c r="S7"/>
  <c r="R7"/>
  <c r="Q7"/>
  <c r="P7"/>
  <c r="Z6"/>
  <c r="Y6"/>
  <c r="X6"/>
  <c r="W6"/>
  <c r="S6"/>
  <c r="R6"/>
  <c r="Q6"/>
  <c r="P6"/>
  <c r="Z5"/>
  <c r="Y5"/>
  <c r="X5"/>
  <c r="W5"/>
  <c r="R5"/>
  <c r="Q5"/>
  <c r="P5"/>
  <c r="M14"/>
  <c r="L14"/>
  <c r="K14"/>
  <c r="J14"/>
  <c r="F14"/>
  <c r="E14"/>
  <c r="D14"/>
  <c r="C14"/>
  <c r="M13"/>
  <c r="L13"/>
  <c r="K13"/>
  <c r="J13"/>
  <c r="F13"/>
  <c r="E13"/>
  <c r="D13"/>
  <c r="C13"/>
  <c r="M12"/>
  <c r="L12"/>
  <c r="K12"/>
  <c r="J12"/>
  <c r="F12"/>
  <c r="E12"/>
  <c r="D12"/>
  <c r="C12"/>
  <c r="M11"/>
  <c r="L11"/>
  <c r="K11"/>
  <c r="J11"/>
  <c r="F11"/>
  <c r="E11"/>
  <c r="D11"/>
  <c r="C11"/>
  <c r="M10"/>
  <c r="L10"/>
  <c r="K10"/>
  <c r="J10"/>
  <c r="F10"/>
  <c r="E10"/>
  <c r="D10"/>
  <c r="C10"/>
  <c r="M9"/>
  <c r="L9"/>
  <c r="K9"/>
  <c r="J9"/>
  <c r="F9"/>
  <c r="E9"/>
  <c r="D9"/>
  <c r="C9"/>
  <c r="M8"/>
  <c r="L8"/>
  <c r="K8"/>
  <c r="J8"/>
  <c r="F8"/>
  <c r="E8"/>
  <c r="D8"/>
  <c r="C8"/>
  <c r="M7"/>
  <c r="L7"/>
  <c r="K7"/>
  <c r="J7"/>
  <c r="F7"/>
  <c r="E7"/>
  <c r="D7"/>
  <c r="C7"/>
  <c r="M6"/>
  <c r="L6"/>
  <c r="K6"/>
  <c r="J6"/>
  <c r="F6"/>
  <c r="E6"/>
  <c r="D6"/>
  <c r="C6"/>
  <c r="M5"/>
  <c r="L5"/>
  <c r="K5"/>
  <c r="J5"/>
  <c r="E5"/>
  <c r="D5"/>
  <c r="C5"/>
  <c r="ADT6" i="11" l="1"/>
  <c r="ADU6"/>
  <c r="ADV6"/>
  <c r="ADT7"/>
  <c r="ADU7"/>
  <c r="ADV7"/>
  <c r="ADT8"/>
  <c r="ADU8"/>
  <c r="ADV8"/>
  <c r="ADT9"/>
  <c r="ADU9"/>
  <c r="ADV9"/>
  <c r="ADT10"/>
  <c r="ADU10"/>
  <c r="ADV10"/>
  <c r="ADT11"/>
  <c r="ADU11"/>
  <c r="ADV11"/>
  <c r="ADT12"/>
  <c r="ADU12"/>
  <c r="ADV12"/>
  <c r="ADT13"/>
  <c r="ADU13"/>
  <c r="ADV13"/>
  <c r="ADT14"/>
  <c r="ADU14"/>
  <c r="ADV14"/>
  <c r="ADT15"/>
  <c r="ADU15"/>
  <c r="ADV15"/>
  <c r="ADT16"/>
  <c r="ADU16"/>
  <c r="ADV16"/>
  <c r="ADT17"/>
  <c r="ADU17"/>
  <c r="ADV17"/>
  <c r="ADT18"/>
  <c r="ADU18"/>
  <c r="ADV18"/>
  <c r="ADT19"/>
  <c r="ADU19"/>
  <c r="ADV19"/>
  <c r="ADT20"/>
  <c r="ADU20"/>
  <c r="ADV20"/>
  <c r="ADT21"/>
  <c r="ADU21"/>
  <c r="ADV21"/>
  <c r="ADT22"/>
  <c r="ADU22"/>
  <c r="ADV22"/>
  <c r="ADT23"/>
  <c r="ADU23"/>
  <c r="ADV23"/>
  <c r="ADT24"/>
  <c r="ADU24"/>
  <c r="ADV24"/>
  <c r="ADT25"/>
  <c r="ADU25"/>
  <c r="ADV25"/>
  <c r="ADT26"/>
  <c r="ADU26"/>
  <c r="ADV26"/>
  <c r="ADT27"/>
  <c r="ADU27"/>
  <c r="ADV27"/>
  <c r="ADT28"/>
  <c r="ADU28"/>
  <c r="ADV28"/>
  <c r="ADT29"/>
  <c r="ADU29"/>
  <c r="ADV29"/>
  <c r="ADT30"/>
  <c r="ADU30"/>
  <c r="ADV30"/>
  <c r="ADT31"/>
  <c r="ADU31"/>
  <c r="ADV31"/>
  <c r="ADT32"/>
  <c r="ADU32"/>
  <c r="ADV32"/>
  <c r="ADT33"/>
  <c r="ADU33"/>
  <c r="ADV33"/>
  <c r="ADT34"/>
  <c r="ADU34"/>
  <c r="ADV34"/>
  <c r="ADT35"/>
  <c r="ADU35"/>
  <c r="ADV35"/>
  <c r="ADT36"/>
  <c r="ADU36"/>
  <c r="ADV36"/>
  <c r="ADT37"/>
  <c r="ADU37"/>
  <c r="ADV37"/>
  <c r="ADT38"/>
  <c r="ADU38"/>
  <c r="ADV38"/>
  <c r="ADT39"/>
  <c r="ADU39"/>
  <c r="ADV39"/>
  <c r="ADT40"/>
  <c r="ADU40"/>
  <c r="ADV40"/>
  <c r="ADT41"/>
  <c r="ADU41"/>
  <c r="ADV41"/>
  <c r="ADT42"/>
  <c r="ADU42"/>
  <c r="ADV42"/>
  <c r="ADT43"/>
  <c r="ADU43"/>
  <c r="ADV43"/>
  <c r="ADT44"/>
  <c r="ADU44"/>
  <c r="ADV44"/>
  <c r="ADT45"/>
  <c r="ADU45"/>
  <c r="ADV45"/>
  <c r="ADT46"/>
  <c r="ADU46"/>
  <c r="ADV46"/>
  <c r="ADT47"/>
  <c r="ADU47"/>
  <c r="ADV47"/>
  <c r="ADT48"/>
  <c r="ADU48"/>
  <c r="ADV48"/>
  <c r="ADT49"/>
  <c r="ADU49"/>
  <c r="ADV49"/>
  <c r="ADT50"/>
  <c r="ADU50"/>
  <c r="ADV50"/>
  <c r="ADT51"/>
  <c r="ADU51"/>
  <c r="ADV51"/>
  <c r="ADT52"/>
  <c r="ADU52"/>
  <c r="ADV52"/>
  <c r="ADT53"/>
  <c r="ADU53"/>
  <c r="ADV53"/>
  <c r="ADT54"/>
  <c r="ADU54"/>
  <c r="ADV54"/>
  <c r="ADT55"/>
  <c r="ADU55"/>
  <c r="ADV55"/>
  <c r="ADT56"/>
  <c r="ADU56"/>
  <c r="ADV56"/>
  <c r="ADT57"/>
  <c r="ADU57"/>
  <c r="ADV57"/>
  <c r="ADT58"/>
  <c r="ADU58"/>
  <c r="ADV58"/>
  <c r="ADT59"/>
  <c r="ADU59"/>
  <c r="ADV59"/>
  <c r="ADT60"/>
  <c r="ADU60"/>
  <c r="ADV60"/>
  <c r="ADT61"/>
  <c r="ADU61"/>
  <c r="ADV61"/>
  <c r="ADT62"/>
  <c r="ADU62"/>
  <c r="ADV62"/>
  <c r="ADT63"/>
  <c r="ADU63"/>
  <c r="ADV63"/>
  <c r="ADT64"/>
  <c r="ADU64"/>
  <c r="ADV64"/>
  <c r="ADT65"/>
  <c r="ADU65"/>
  <c r="ADV65"/>
  <c r="ADT66"/>
  <c r="ADU66"/>
  <c r="ADV66"/>
  <c r="ADT67"/>
  <c r="ADU67"/>
  <c r="ADV67"/>
  <c r="ADT68"/>
  <c r="ADU68"/>
  <c r="ADV68"/>
  <c r="ADT69"/>
  <c r="ADU69"/>
  <c r="ADV69"/>
  <c r="ADT70"/>
  <c r="ADU70"/>
  <c r="ADV70"/>
  <c r="ADT71"/>
  <c r="ADU71"/>
  <c r="ADV71"/>
  <c r="ADT72"/>
  <c r="ADU72"/>
  <c r="ADV72"/>
  <c r="ADT73"/>
  <c r="ADU73"/>
  <c r="ADV73"/>
  <c r="ADT74"/>
  <c r="ADU74"/>
  <c r="ADV74"/>
  <c r="ADT75"/>
  <c r="ADU75"/>
  <c r="ADV75"/>
  <c r="ADT76"/>
  <c r="ADU76"/>
  <c r="ADV76"/>
  <c r="ADT77"/>
  <c r="ADU77"/>
  <c r="ADV77"/>
  <c r="ADT78"/>
  <c r="ADU78"/>
  <c r="ADV78"/>
  <c r="ADT79"/>
  <c r="ADU79"/>
  <c r="ADV79"/>
  <c r="ADT80"/>
  <c r="ADU80"/>
  <c r="ADV80"/>
  <c r="ADT81"/>
  <c r="ADU81"/>
  <c r="ADV81"/>
  <c r="ADT82"/>
  <c r="ADU82"/>
  <c r="ADV82"/>
  <c r="ADT83"/>
  <c r="ADU83"/>
  <c r="ADV83"/>
  <c r="ADT84"/>
  <c r="ADU84"/>
  <c r="ADV84"/>
  <c r="ADT85"/>
  <c r="ADU85"/>
  <c r="ADV85"/>
  <c r="ADT86"/>
  <c r="ADU86"/>
  <c r="ADV86"/>
  <c r="ADV5"/>
  <c r="ADT5"/>
  <c r="ADU5"/>
  <c r="ADS5"/>
  <c r="ADZ86"/>
  <c r="ADY86"/>
  <c r="ADX86"/>
  <c r="ADW86"/>
  <c r="ADS86"/>
  <c r="ADR86"/>
  <c r="ADQ86"/>
  <c r="ADP86"/>
  <c r="ADZ85"/>
  <c r="ADY85"/>
  <c r="ADX85"/>
  <c r="ADW85"/>
  <c r="ADS85"/>
  <c r="ADR85"/>
  <c r="ADQ85"/>
  <c r="ADP85"/>
  <c r="ADZ84"/>
  <c r="ADY84"/>
  <c r="ADX84"/>
  <c r="ADW84"/>
  <c r="ADS84"/>
  <c r="ADR84"/>
  <c r="ADQ84"/>
  <c r="ADP84"/>
  <c r="ADZ83"/>
  <c r="ADY83"/>
  <c r="ADX83"/>
  <c r="ADW83"/>
  <c r="ADS83"/>
  <c r="ADR83"/>
  <c r="ADQ83"/>
  <c r="ADP83"/>
  <c r="ADZ82"/>
  <c r="ADY82"/>
  <c r="ADX82"/>
  <c r="ADW82"/>
  <c r="ADS82"/>
  <c r="ADR82"/>
  <c r="ADQ82"/>
  <c r="ADP82"/>
  <c r="ADZ81"/>
  <c r="ADY81"/>
  <c r="ADX81"/>
  <c r="ADW81"/>
  <c r="ADS81"/>
  <c r="ADR81"/>
  <c r="ADQ81"/>
  <c r="ADP81"/>
  <c r="ADZ80"/>
  <c r="ADY80"/>
  <c r="ADX80"/>
  <c r="ADW80"/>
  <c r="ADS80"/>
  <c r="ADR80"/>
  <c r="ADQ80"/>
  <c r="ADP80"/>
  <c r="ADZ79"/>
  <c r="ADY79"/>
  <c r="ADX79"/>
  <c r="ADW79"/>
  <c r="ADS79"/>
  <c r="ADR79"/>
  <c r="ADQ79"/>
  <c r="ADP79"/>
  <c r="ADZ78"/>
  <c r="ADY78"/>
  <c r="ADX78"/>
  <c r="ADW78"/>
  <c r="ADS78"/>
  <c r="ADR78"/>
  <c r="ADQ78"/>
  <c r="ADP78"/>
  <c r="ADZ77"/>
  <c r="ADY77"/>
  <c r="ADX77"/>
  <c r="ADW77"/>
  <c r="ADS77"/>
  <c r="ADR77"/>
  <c r="ADQ77"/>
  <c r="ADP77"/>
  <c r="ADZ76"/>
  <c r="ADY76"/>
  <c r="ADX76"/>
  <c r="ADW76"/>
  <c r="ADS76"/>
  <c r="ADR76"/>
  <c r="ADQ76"/>
  <c r="ADP76"/>
  <c r="ADZ75"/>
  <c r="ADY75"/>
  <c r="ADX75"/>
  <c r="ADW75"/>
  <c r="ADS75"/>
  <c r="ADR75"/>
  <c r="ADQ75"/>
  <c r="ADP75"/>
  <c r="ADZ74"/>
  <c r="ADY74"/>
  <c r="ADX74"/>
  <c r="ADW74"/>
  <c r="ADS74"/>
  <c r="ADR74"/>
  <c r="ADQ74"/>
  <c r="ADP74"/>
  <c r="ADZ73"/>
  <c r="ADY73"/>
  <c r="ADX73"/>
  <c r="ADW73"/>
  <c r="ADS73"/>
  <c r="ADR73"/>
  <c r="ADQ73"/>
  <c r="ADP73"/>
  <c r="ADZ72"/>
  <c r="ADY72"/>
  <c r="ADX72"/>
  <c r="ADW72"/>
  <c r="ADS72"/>
  <c r="ADR72"/>
  <c r="ADQ72"/>
  <c r="ADP72"/>
  <c r="ADZ71"/>
  <c r="ADY71"/>
  <c r="ADX71"/>
  <c r="ADW71"/>
  <c r="ADS71"/>
  <c r="ADR71"/>
  <c r="ADQ71"/>
  <c r="ADP71"/>
  <c r="ADZ70"/>
  <c r="ADY70"/>
  <c r="ADX70"/>
  <c r="ADW70"/>
  <c r="ADS70"/>
  <c r="ADR70"/>
  <c r="ADQ70"/>
  <c r="ADP70"/>
  <c r="ADZ69"/>
  <c r="ADY69"/>
  <c r="ADX69"/>
  <c r="ADW69"/>
  <c r="ADS69"/>
  <c r="ADR69"/>
  <c r="ADQ69"/>
  <c r="ADP69"/>
  <c r="ADZ68"/>
  <c r="ADY68"/>
  <c r="ADX68"/>
  <c r="ADW68"/>
  <c r="ADS68"/>
  <c r="ADR68"/>
  <c r="ADQ68"/>
  <c r="ADP68"/>
  <c r="ADZ67"/>
  <c r="ADY67"/>
  <c r="ADX67"/>
  <c r="ADW67"/>
  <c r="ADS67"/>
  <c r="ADR67"/>
  <c r="ADQ67"/>
  <c r="ADP67"/>
  <c r="ADZ66"/>
  <c r="ADY66"/>
  <c r="ADX66"/>
  <c r="ADW66"/>
  <c r="ADS66"/>
  <c r="ADR66"/>
  <c r="ADQ66"/>
  <c r="ADP66"/>
  <c r="ADZ65"/>
  <c r="ADY65"/>
  <c r="ADX65"/>
  <c r="ADW65"/>
  <c r="ADS65"/>
  <c r="ADR65"/>
  <c r="ADQ65"/>
  <c r="ADP65"/>
  <c r="ADZ64"/>
  <c r="ADY64"/>
  <c r="ADX64"/>
  <c r="ADW64"/>
  <c r="ADS64"/>
  <c r="ADR64"/>
  <c r="ADQ64"/>
  <c r="ADP64"/>
  <c r="ADZ63"/>
  <c r="ADY63"/>
  <c r="ADX63"/>
  <c r="ADW63"/>
  <c r="ADS63"/>
  <c r="ADR63"/>
  <c r="ADQ63"/>
  <c r="ADP63"/>
  <c r="ADZ62"/>
  <c r="ADY62"/>
  <c r="ADX62"/>
  <c r="ADW62"/>
  <c r="ADS62"/>
  <c r="ADR62"/>
  <c r="ADQ62"/>
  <c r="ADP62"/>
  <c r="ADZ61"/>
  <c r="ADY61"/>
  <c r="ADX61"/>
  <c r="ADW61"/>
  <c r="ADS61"/>
  <c r="ADR61"/>
  <c r="ADQ61"/>
  <c r="ADP61"/>
  <c r="ADZ60"/>
  <c r="ADY60"/>
  <c r="ADX60"/>
  <c r="ADW60"/>
  <c r="ADS60"/>
  <c r="ADR60"/>
  <c r="ADQ60"/>
  <c r="ADP60"/>
  <c r="ADZ59"/>
  <c r="ADY59"/>
  <c r="ADX59"/>
  <c r="ADW59"/>
  <c r="ADS59"/>
  <c r="ADR59"/>
  <c r="ADQ59"/>
  <c r="ADP59"/>
  <c r="ADZ58"/>
  <c r="ADY58"/>
  <c r="ADX58"/>
  <c r="ADW58"/>
  <c r="ADS58"/>
  <c r="ADR58"/>
  <c r="ADQ58"/>
  <c r="ADP58"/>
  <c r="ADZ57"/>
  <c r="ADY57"/>
  <c r="ADX57"/>
  <c r="ADW57"/>
  <c r="ADS57"/>
  <c r="ADR57"/>
  <c r="ADQ57"/>
  <c r="ADP57"/>
  <c r="ADZ56"/>
  <c r="ADY56"/>
  <c r="ADX56"/>
  <c r="ADW56"/>
  <c r="ADS56"/>
  <c r="ADR56"/>
  <c r="ADQ56"/>
  <c r="ADP56"/>
  <c r="ADZ55"/>
  <c r="ADY55"/>
  <c r="ADX55"/>
  <c r="ADW55"/>
  <c r="ADS55"/>
  <c r="ADR55"/>
  <c r="ADQ55"/>
  <c r="ADP55"/>
  <c r="ADZ54"/>
  <c r="ADY54"/>
  <c r="ADX54"/>
  <c r="ADW54"/>
  <c r="ADS54"/>
  <c r="ADR54"/>
  <c r="ADQ54"/>
  <c r="ADP54"/>
  <c r="ADZ53"/>
  <c r="ADY53"/>
  <c r="ADX53"/>
  <c r="ADW53"/>
  <c r="ADS53"/>
  <c r="ADR53"/>
  <c r="ADQ53"/>
  <c r="ADP53"/>
  <c r="ADZ52"/>
  <c r="ADY52"/>
  <c r="ADX52"/>
  <c r="ADW52"/>
  <c r="ADS52"/>
  <c r="ADR52"/>
  <c r="ADQ52"/>
  <c r="ADP52"/>
  <c r="ADZ51"/>
  <c r="ADY51"/>
  <c r="ADX51"/>
  <c r="ADW51"/>
  <c r="ADS51"/>
  <c r="ADR51"/>
  <c r="ADQ51"/>
  <c r="ADP51"/>
  <c r="ADZ50"/>
  <c r="ADY50"/>
  <c r="ADX50"/>
  <c r="ADW50"/>
  <c r="ADS50"/>
  <c r="ADR50"/>
  <c r="ADQ50"/>
  <c r="ADP50"/>
  <c r="ADZ49"/>
  <c r="ADY49"/>
  <c r="ADX49"/>
  <c r="ADW49"/>
  <c r="ADS49"/>
  <c r="ADR49"/>
  <c r="ADQ49"/>
  <c r="ADP49"/>
  <c r="ADZ48"/>
  <c r="ADY48"/>
  <c r="ADX48"/>
  <c r="ADW48"/>
  <c r="ADS48"/>
  <c r="ADR48"/>
  <c r="ADQ48"/>
  <c r="ADP48"/>
  <c r="ADZ47"/>
  <c r="ADY47"/>
  <c r="ADX47"/>
  <c r="ADW47"/>
  <c r="ADS47"/>
  <c r="ADR47"/>
  <c r="ADQ47"/>
  <c r="ADP47"/>
  <c r="ADZ46"/>
  <c r="ADY46"/>
  <c r="ADX46"/>
  <c r="ADW46"/>
  <c r="ADS46"/>
  <c r="ADR46"/>
  <c r="ADQ46"/>
  <c r="ADP46"/>
  <c r="ADZ45"/>
  <c r="ADY45"/>
  <c r="ADX45"/>
  <c r="ADW45"/>
  <c r="ADS45"/>
  <c r="ADR45"/>
  <c r="ADQ45"/>
  <c r="ADP45"/>
  <c r="ADZ44"/>
  <c r="ADY44"/>
  <c r="ADX44"/>
  <c r="ADW44"/>
  <c r="ADS44"/>
  <c r="ADR44"/>
  <c r="ADQ44"/>
  <c r="ADP44"/>
  <c r="ADZ43"/>
  <c r="ADY43"/>
  <c r="ADX43"/>
  <c r="ADW43"/>
  <c r="ADS43"/>
  <c r="ADR43"/>
  <c r="ADQ43"/>
  <c r="ADP43"/>
  <c r="ADZ42"/>
  <c r="ADY42"/>
  <c r="ADX42"/>
  <c r="ADW42"/>
  <c r="ADS42"/>
  <c r="ADR42"/>
  <c r="ADQ42"/>
  <c r="ADP42"/>
  <c r="ADZ41"/>
  <c r="ADY41"/>
  <c r="ADX41"/>
  <c r="ADW41"/>
  <c r="ADS41"/>
  <c r="ADR41"/>
  <c r="ADQ41"/>
  <c r="ADP41"/>
  <c r="ADZ40"/>
  <c r="ADY40"/>
  <c r="ADX40"/>
  <c r="ADW40"/>
  <c r="ADS40"/>
  <c r="ADR40"/>
  <c r="ADQ40"/>
  <c r="ADP40"/>
  <c r="ADZ39"/>
  <c r="ADY39"/>
  <c r="ADX39"/>
  <c r="ADW39"/>
  <c r="ADS39"/>
  <c r="ADR39"/>
  <c r="ADQ39"/>
  <c r="ADP39"/>
  <c r="ADZ38"/>
  <c r="ADY38"/>
  <c r="ADX38"/>
  <c r="ADW38"/>
  <c r="ADS38"/>
  <c r="ADR38"/>
  <c r="ADQ38"/>
  <c r="ADP38"/>
  <c r="ADZ37"/>
  <c r="ADY37"/>
  <c r="ADX37"/>
  <c r="ADW37"/>
  <c r="ADS37"/>
  <c r="ADR37"/>
  <c r="ADQ37"/>
  <c r="ADP37"/>
  <c r="ADZ36"/>
  <c r="ADY36"/>
  <c r="ADX36"/>
  <c r="ADW36"/>
  <c r="ADS36"/>
  <c r="ADR36"/>
  <c r="ADQ36"/>
  <c r="ADP36"/>
  <c r="ADZ35"/>
  <c r="ADY35"/>
  <c r="ADX35"/>
  <c r="ADW35"/>
  <c r="ADS35"/>
  <c r="ADR35"/>
  <c r="ADQ35"/>
  <c r="ADP35"/>
  <c r="ADZ34"/>
  <c r="ADY34"/>
  <c r="ADX34"/>
  <c r="ADW34"/>
  <c r="ADS34"/>
  <c r="ADR34"/>
  <c r="ADQ34"/>
  <c r="ADP34"/>
  <c r="ADZ33"/>
  <c r="ADY33"/>
  <c r="ADX33"/>
  <c r="ADW33"/>
  <c r="ADS33"/>
  <c r="ADR33"/>
  <c r="ADQ33"/>
  <c r="ADP33"/>
  <c r="ADZ32"/>
  <c r="ADY32"/>
  <c r="ADX32"/>
  <c r="ADW32"/>
  <c r="ADS32"/>
  <c r="ADR32"/>
  <c r="ADQ32"/>
  <c r="ADP32"/>
  <c r="ADZ31"/>
  <c r="ADY31"/>
  <c r="ADX31"/>
  <c r="ADW31"/>
  <c r="ADS31"/>
  <c r="ADR31"/>
  <c r="ADQ31"/>
  <c r="ADP31"/>
  <c r="ADZ30"/>
  <c r="ADY30"/>
  <c r="ADX30"/>
  <c r="ADW30"/>
  <c r="ADS30"/>
  <c r="ADR30"/>
  <c r="ADQ30"/>
  <c r="ADP30"/>
  <c r="ADZ29"/>
  <c r="ADY29"/>
  <c r="ADX29"/>
  <c r="ADW29"/>
  <c r="ADS29"/>
  <c r="ADR29"/>
  <c r="ADQ29"/>
  <c r="ADP29"/>
  <c r="ADZ28"/>
  <c r="ADY28"/>
  <c r="ADX28"/>
  <c r="ADW28"/>
  <c r="ADS28"/>
  <c r="ADR28"/>
  <c r="ADQ28"/>
  <c r="ADP28"/>
  <c r="ADZ27"/>
  <c r="ADY27"/>
  <c r="ADX27"/>
  <c r="ADW27"/>
  <c r="ADS27"/>
  <c r="ADR27"/>
  <c r="ADQ27"/>
  <c r="ADP27"/>
  <c r="ADZ26"/>
  <c r="ADY26"/>
  <c r="ADX26"/>
  <c r="ADW26"/>
  <c r="ADS26"/>
  <c r="ADR26"/>
  <c r="ADQ26"/>
  <c r="ADP26"/>
  <c r="ADZ25"/>
  <c r="ADY25"/>
  <c r="ADX25"/>
  <c r="ADW25"/>
  <c r="ADS25"/>
  <c r="ADR25"/>
  <c r="ADQ25"/>
  <c r="ADP25"/>
  <c r="ADZ24"/>
  <c r="ADY24"/>
  <c r="ADX24"/>
  <c r="ADW24"/>
  <c r="ADS24"/>
  <c r="ADR24"/>
  <c r="ADQ24"/>
  <c r="ADP24"/>
  <c r="ADZ23"/>
  <c r="ADY23"/>
  <c r="ADX23"/>
  <c r="ADW23"/>
  <c r="ADS23"/>
  <c r="ADR23"/>
  <c r="ADQ23"/>
  <c r="ADP23"/>
  <c r="ADZ22"/>
  <c r="ADY22"/>
  <c r="ADX22"/>
  <c r="ADW22"/>
  <c r="ADS22"/>
  <c r="ADR22"/>
  <c r="ADQ22"/>
  <c r="ADP22"/>
  <c r="ADZ21"/>
  <c r="ADY21"/>
  <c r="ADX21"/>
  <c r="ADW21"/>
  <c r="ADS21"/>
  <c r="ADR21"/>
  <c r="ADQ21"/>
  <c r="ADP21"/>
  <c r="ADZ20"/>
  <c r="ADY20"/>
  <c r="ADX20"/>
  <c r="ADW20"/>
  <c r="ADS20"/>
  <c r="ADR20"/>
  <c r="ADQ20"/>
  <c r="ADP20"/>
  <c r="ADZ19"/>
  <c r="ADY19"/>
  <c r="ADX19"/>
  <c r="ADW19"/>
  <c r="ADS19"/>
  <c r="ADR19"/>
  <c r="ADQ19"/>
  <c r="ADP19"/>
  <c r="ADZ18"/>
  <c r="ADY18"/>
  <c r="ADX18"/>
  <c r="ADW18"/>
  <c r="ADS18"/>
  <c r="ADR18"/>
  <c r="ADQ18"/>
  <c r="ADP18"/>
  <c r="ADZ17"/>
  <c r="ADY17"/>
  <c r="ADX17"/>
  <c r="ADW17"/>
  <c r="ADS17"/>
  <c r="ADR17"/>
  <c r="ADQ17"/>
  <c r="ADP17"/>
  <c r="ADZ16"/>
  <c r="ADY16"/>
  <c r="ADX16"/>
  <c r="ADW16"/>
  <c r="ADS16"/>
  <c r="ADR16"/>
  <c r="ADQ16"/>
  <c r="ADP16"/>
  <c r="ADZ15"/>
  <c r="ADY15"/>
  <c r="ADX15"/>
  <c r="ADW15"/>
  <c r="ADS15"/>
  <c r="ADR15"/>
  <c r="ADQ15"/>
  <c r="ADP15"/>
  <c r="ADZ14"/>
  <c r="ADY14"/>
  <c r="ADX14"/>
  <c r="ADW14"/>
  <c r="ADS14"/>
  <c r="ADR14"/>
  <c r="ADQ14"/>
  <c r="ADP14"/>
  <c r="ADZ13"/>
  <c r="ADY13"/>
  <c r="ADX13"/>
  <c r="ADW13"/>
  <c r="ADS13"/>
  <c r="ADR13"/>
  <c r="ADQ13"/>
  <c r="ADP13"/>
  <c r="ADZ12"/>
  <c r="ADY12"/>
  <c r="ADX12"/>
  <c r="ADW12"/>
  <c r="ADS12"/>
  <c r="ADR12"/>
  <c r="ADQ12"/>
  <c r="ADP12"/>
  <c r="ADZ11"/>
  <c r="ADY11"/>
  <c r="ADX11"/>
  <c r="ADW11"/>
  <c r="ADS11"/>
  <c r="ADR11"/>
  <c r="ADQ11"/>
  <c r="ADP11"/>
  <c r="ADZ10"/>
  <c r="ADY10"/>
  <c r="ADX10"/>
  <c r="ADW10"/>
  <c r="ADS10"/>
  <c r="ADR10"/>
  <c r="ADQ10"/>
  <c r="ADP10"/>
  <c r="ADZ9"/>
  <c r="ADY9"/>
  <c r="ADX9"/>
  <c r="ADW9"/>
  <c r="ADS9"/>
  <c r="ADR9"/>
  <c r="ADQ9"/>
  <c r="ADP9"/>
  <c r="ADZ8"/>
  <c r="ADY8"/>
  <c r="ADX8"/>
  <c r="ADW8"/>
  <c r="ADS8"/>
  <c r="ADR8"/>
  <c r="ADQ8"/>
  <c r="ADP8"/>
  <c r="ADZ7"/>
  <c r="ADY7"/>
  <c r="ADX7"/>
  <c r="ADW7"/>
  <c r="ADS7"/>
  <c r="ADR7"/>
  <c r="ADQ7"/>
  <c r="ADP7"/>
  <c r="ADZ6"/>
  <c r="ADY6"/>
  <c r="ADX6"/>
  <c r="ADW6"/>
  <c r="ADS6"/>
  <c r="ADR6"/>
  <c r="ADQ6"/>
  <c r="ADP6"/>
  <c r="ADZ5"/>
  <c r="ADY5"/>
  <c r="ADX5"/>
  <c r="ADW5"/>
  <c r="ADR5"/>
  <c r="ADQ5"/>
  <c r="ADP5"/>
  <c r="AEG6"/>
  <c r="AEH6"/>
  <c r="AEI6"/>
  <c r="AEG7"/>
  <c r="AEH7"/>
  <c r="AEI7"/>
  <c r="AEG8"/>
  <c r="AEH8"/>
  <c r="AEI8"/>
  <c r="AEG9"/>
  <c r="AEH9"/>
  <c r="AEI9"/>
  <c r="AEG10"/>
  <c r="AEH10"/>
  <c r="AEI10"/>
  <c r="AEG11"/>
  <c r="AEH11"/>
  <c r="AEI11"/>
  <c r="AEG12"/>
  <c r="AEH12"/>
  <c r="AEI12"/>
  <c r="AEG13"/>
  <c r="AEH13"/>
  <c r="AEI13"/>
  <c r="AEG14"/>
  <c r="AEH14"/>
  <c r="AEI14"/>
  <c r="AEG15"/>
  <c r="AEH15"/>
  <c r="AEI15"/>
  <c r="AEG16"/>
  <c r="AEH16"/>
  <c r="AEI16"/>
  <c r="AEG17"/>
  <c r="AEH17"/>
  <c r="AEI17"/>
  <c r="AEG18"/>
  <c r="AEH18"/>
  <c r="AEI18"/>
  <c r="AEG19"/>
  <c r="AEH19"/>
  <c r="AEI19"/>
  <c r="AEG20"/>
  <c r="AEH20"/>
  <c r="AEI20"/>
  <c r="AEG21"/>
  <c r="AEH21"/>
  <c r="AEI21"/>
  <c r="AEG22"/>
  <c r="AEH22"/>
  <c r="AEI22"/>
  <c r="AEG23"/>
  <c r="AEH23"/>
  <c r="AEI23"/>
  <c r="AEG24"/>
  <c r="AEH24"/>
  <c r="AEI24"/>
  <c r="AEG25"/>
  <c r="AEH25"/>
  <c r="AEI25"/>
  <c r="AEG26"/>
  <c r="AEH26"/>
  <c r="AEI26"/>
  <c r="AEG27"/>
  <c r="AEH27"/>
  <c r="AEI27"/>
  <c r="AEG28"/>
  <c r="AEH28"/>
  <c r="AEI28"/>
  <c r="AEG29"/>
  <c r="AEH29"/>
  <c r="AEI29"/>
  <c r="AEG30"/>
  <c r="AEH30"/>
  <c r="AEI30"/>
  <c r="AEG31"/>
  <c r="AEH31"/>
  <c r="AEI31"/>
  <c r="AEG32"/>
  <c r="AEH32"/>
  <c r="AEI32"/>
  <c r="AEG33"/>
  <c r="AEH33"/>
  <c r="AEI33"/>
  <c r="AEG34"/>
  <c r="AEH34"/>
  <c r="AEI34"/>
  <c r="AEG35"/>
  <c r="AEH35"/>
  <c r="AEI35"/>
  <c r="AEG36"/>
  <c r="AEH36"/>
  <c r="AEI36"/>
  <c r="AEG37"/>
  <c r="AEH37"/>
  <c r="AEI37"/>
  <c r="AEG38"/>
  <c r="AEH38"/>
  <c r="AEI38"/>
  <c r="AEG39"/>
  <c r="AEH39"/>
  <c r="AEI39"/>
  <c r="AEG40"/>
  <c r="AEH40"/>
  <c r="AEI40"/>
  <c r="AEG41"/>
  <c r="AEH41"/>
  <c r="AEI41"/>
  <c r="AEG42"/>
  <c r="AEH42"/>
  <c r="AEI42"/>
  <c r="AEG43"/>
  <c r="AEH43"/>
  <c r="AEI43"/>
  <c r="AEG44"/>
  <c r="AEH44"/>
  <c r="AEI44"/>
  <c r="AEG45"/>
  <c r="AEH45"/>
  <c r="AEI45"/>
  <c r="AEG46"/>
  <c r="AEH46"/>
  <c r="AEI46"/>
  <c r="AEG47"/>
  <c r="AEH47"/>
  <c r="AEI47"/>
  <c r="AEG48"/>
  <c r="AEH48"/>
  <c r="AEI48"/>
  <c r="AEG49"/>
  <c r="AEH49"/>
  <c r="AEI49"/>
  <c r="AEG50"/>
  <c r="AEH50"/>
  <c r="AEI50"/>
  <c r="AEG51"/>
  <c r="AEH51"/>
  <c r="AEI51"/>
  <c r="AEG52"/>
  <c r="AEH52"/>
  <c r="AEI52"/>
  <c r="AEG53"/>
  <c r="AEH53"/>
  <c r="AEI53"/>
  <c r="AEG54"/>
  <c r="AEH54"/>
  <c r="AEI54"/>
  <c r="AEG55"/>
  <c r="AEH55"/>
  <c r="AEI55"/>
  <c r="AEG56"/>
  <c r="AEH56"/>
  <c r="AEI56"/>
  <c r="AEG57"/>
  <c r="AEH57"/>
  <c r="AEI57"/>
  <c r="AEG58"/>
  <c r="AEH58"/>
  <c r="AEI58"/>
  <c r="AEG59"/>
  <c r="AEH59"/>
  <c r="AEI59"/>
  <c r="AEG60"/>
  <c r="AEH60"/>
  <c r="AEI60"/>
  <c r="AEG61"/>
  <c r="AEH61"/>
  <c r="AEI61"/>
  <c r="AEG62"/>
  <c r="AEH62"/>
  <c r="AEI62"/>
  <c r="AEG63"/>
  <c r="AEH63"/>
  <c r="AEI63"/>
  <c r="AEG64"/>
  <c r="AEH64"/>
  <c r="AEI64"/>
  <c r="AEG65"/>
  <c r="AEH65"/>
  <c r="AEI65"/>
  <c r="AEG66"/>
  <c r="AEH66"/>
  <c r="AEI66"/>
  <c r="AEG67"/>
  <c r="AEH67"/>
  <c r="AEI67"/>
  <c r="AEG68"/>
  <c r="AEH68"/>
  <c r="AEI68"/>
  <c r="AEG69"/>
  <c r="AEH69"/>
  <c r="AEI69"/>
  <c r="AEG70"/>
  <c r="AEH70"/>
  <c r="AEI70"/>
  <c r="AEG71"/>
  <c r="AEH71"/>
  <c r="AEI71"/>
  <c r="AEG72"/>
  <c r="AEH72"/>
  <c r="AEI72"/>
  <c r="AEG73"/>
  <c r="AEH73"/>
  <c r="AEI73"/>
  <c r="AEG74"/>
  <c r="AEH74"/>
  <c r="AEI74"/>
  <c r="AEG75"/>
  <c r="AEH75"/>
  <c r="AEI75"/>
  <c r="AEG76"/>
  <c r="AEH76"/>
  <c r="AEI76"/>
  <c r="AEG77"/>
  <c r="AEH77"/>
  <c r="AEI77"/>
  <c r="AEG78"/>
  <c r="AEH78"/>
  <c r="AEI78"/>
  <c r="AEG79"/>
  <c r="AEH79"/>
  <c r="AEI79"/>
  <c r="AEG80"/>
  <c r="AEH80"/>
  <c r="AEI80"/>
  <c r="AEG81"/>
  <c r="AEH81"/>
  <c r="AEI81"/>
  <c r="AEI5"/>
  <c r="AEG5"/>
  <c r="AEH5"/>
  <c r="AEF5"/>
  <c r="AEM81"/>
  <c r="AEL81"/>
  <c r="AEK81"/>
  <c r="AEJ81"/>
  <c r="AEF81"/>
  <c r="AEE81"/>
  <c r="AED81"/>
  <c r="AEC81"/>
  <c r="AEM80"/>
  <c r="AEL80"/>
  <c r="AEK80"/>
  <c r="AEJ80"/>
  <c r="AEF80"/>
  <c r="AEE80"/>
  <c r="AED80"/>
  <c r="AEC80"/>
  <c r="AEM79"/>
  <c r="AEL79"/>
  <c r="AEK79"/>
  <c r="AEJ79"/>
  <c r="AEF79"/>
  <c r="AEE79"/>
  <c r="AED79"/>
  <c r="AEC79"/>
  <c r="AEM78"/>
  <c r="AEL78"/>
  <c r="AEK78"/>
  <c r="AEJ78"/>
  <c r="AEF78"/>
  <c r="AEE78"/>
  <c r="AED78"/>
  <c r="AEC78"/>
  <c r="AEM77"/>
  <c r="AEL77"/>
  <c r="AEK77"/>
  <c r="AEJ77"/>
  <c r="AEF77"/>
  <c r="AEE77"/>
  <c r="AED77"/>
  <c r="AEC77"/>
  <c r="AEM76"/>
  <c r="AEL76"/>
  <c r="AEK76"/>
  <c r="AEJ76"/>
  <c r="AEF76"/>
  <c r="AEE76"/>
  <c r="AED76"/>
  <c r="AEC76"/>
  <c r="AEM75"/>
  <c r="AEL75"/>
  <c r="AEK75"/>
  <c r="AEJ75"/>
  <c r="AEF75"/>
  <c r="AEE75"/>
  <c r="AED75"/>
  <c r="AEC75"/>
  <c r="AEM74"/>
  <c r="AEL74"/>
  <c r="AEK74"/>
  <c r="AEJ74"/>
  <c r="AEF74"/>
  <c r="AEE74"/>
  <c r="AED74"/>
  <c r="AEC74"/>
  <c r="AEM73"/>
  <c r="AEL73"/>
  <c r="AEK73"/>
  <c r="AEJ73"/>
  <c r="AEF73"/>
  <c r="AEE73"/>
  <c r="AED73"/>
  <c r="AEC73"/>
  <c r="AEM72"/>
  <c r="AEL72"/>
  <c r="AEK72"/>
  <c r="AEJ72"/>
  <c r="AEF72"/>
  <c r="AEE72"/>
  <c r="AED72"/>
  <c r="AEC72"/>
  <c r="AEM71"/>
  <c r="AEL71"/>
  <c r="AEK71"/>
  <c r="AEJ71"/>
  <c r="AEF71"/>
  <c r="AEE71"/>
  <c r="AED71"/>
  <c r="AEC71"/>
  <c r="AEM70"/>
  <c r="AEL70"/>
  <c r="AEK70"/>
  <c r="AEJ70"/>
  <c r="AEF70"/>
  <c r="AEE70"/>
  <c r="AED70"/>
  <c r="AEC70"/>
  <c r="AEM69"/>
  <c r="AEL69"/>
  <c r="AEK69"/>
  <c r="AEJ69"/>
  <c r="AEF69"/>
  <c r="AEE69"/>
  <c r="AED69"/>
  <c r="AEC69"/>
  <c r="AEM68"/>
  <c r="AEL68"/>
  <c r="AEK68"/>
  <c r="AEJ68"/>
  <c r="AEF68"/>
  <c r="AEE68"/>
  <c r="AED68"/>
  <c r="AEC68"/>
  <c r="AEM67"/>
  <c r="AEL67"/>
  <c r="AEK67"/>
  <c r="AEJ67"/>
  <c r="AEF67"/>
  <c r="AEE67"/>
  <c r="AED67"/>
  <c r="AEC67"/>
  <c r="AEM66"/>
  <c r="AEL66"/>
  <c r="AEK66"/>
  <c r="AEJ66"/>
  <c r="AEF66"/>
  <c r="AEE66"/>
  <c r="AED66"/>
  <c r="AEC66"/>
  <c r="AEM65"/>
  <c r="AEL65"/>
  <c r="AEK65"/>
  <c r="AEJ65"/>
  <c r="AEF65"/>
  <c r="AEE65"/>
  <c r="AED65"/>
  <c r="AEC65"/>
  <c r="AEM64"/>
  <c r="AEL64"/>
  <c r="AEK64"/>
  <c r="AEJ64"/>
  <c r="AEF64"/>
  <c r="AEE64"/>
  <c r="AED64"/>
  <c r="AEC64"/>
  <c r="AEM63"/>
  <c r="AEL63"/>
  <c r="AEK63"/>
  <c r="AEJ63"/>
  <c r="AEF63"/>
  <c r="AEE63"/>
  <c r="AED63"/>
  <c r="AEC63"/>
  <c r="AEM62"/>
  <c r="AEL62"/>
  <c r="AEK62"/>
  <c r="AEJ62"/>
  <c r="AEF62"/>
  <c r="AEE62"/>
  <c r="AED62"/>
  <c r="AEC62"/>
  <c r="AEM61"/>
  <c r="AEL61"/>
  <c r="AEK61"/>
  <c r="AEJ61"/>
  <c r="AEF61"/>
  <c r="AEE61"/>
  <c r="AED61"/>
  <c r="AEC61"/>
  <c r="AEM60"/>
  <c r="AEL60"/>
  <c r="AEK60"/>
  <c r="AEJ60"/>
  <c r="AEF60"/>
  <c r="AEE60"/>
  <c r="AED60"/>
  <c r="AEC60"/>
  <c r="AEM59"/>
  <c r="AEL59"/>
  <c r="AEK59"/>
  <c r="AEJ59"/>
  <c r="AEF59"/>
  <c r="AEE59"/>
  <c r="AED59"/>
  <c r="AEC59"/>
  <c r="AEM58"/>
  <c r="AEL58"/>
  <c r="AEK58"/>
  <c r="AEJ58"/>
  <c r="AEF58"/>
  <c r="AEE58"/>
  <c r="AED58"/>
  <c r="AEC58"/>
  <c r="AEM57"/>
  <c r="AEL57"/>
  <c r="AEK57"/>
  <c r="AEJ57"/>
  <c r="AEF57"/>
  <c r="AEE57"/>
  <c r="AED57"/>
  <c r="AEC57"/>
  <c r="AEM56"/>
  <c r="AEL56"/>
  <c r="AEK56"/>
  <c r="AEJ56"/>
  <c r="AEF56"/>
  <c r="AEE56"/>
  <c r="AED56"/>
  <c r="AEC56"/>
  <c r="AEM55"/>
  <c r="AEL55"/>
  <c r="AEK55"/>
  <c r="AEJ55"/>
  <c r="AEF55"/>
  <c r="AEE55"/>
  <c r="AED55"/>
  <c r="AEC55"/>
  <c r="AEM54"/>
  <c r="AEL54"/>
  <c r="AEK54"/>
  <c r="AEJ54"/>
  <c r="AEF54"/>
  <c r="AEE54"/>
  <c r="AED54"/>
  <c r="AEC54"/>
  <c r="AEM53"/>
  <c r="AEL53"/>
  <c r="AEK53"/>
  <c r="AEJ53"/>
  <c r="AEF53"/>
  <c r="AEE53"/>
  <c r="AED53"/>
  <c r="AEC53"/>
  <c r="AEM52"/>
  <c r="AEL52"/>
  <c r="AEK52"/>
  <c r="AEJ52"/>
  <c r="AEF52"/>
  <c r="AEE52"/>
  <c r="AED52"/>
  <c r="AEC52"/>
  <c r="AEM51"/>
  <c r="AEL51"/>
  <c r="AEK51"/>
  <c r="AEJ51"/>
  <c r="AEF51"/>
  <c r="AEE51"/>
  <c r="AED51"/>
  <c r="AEC51"/>
  <c r="AEM50"/>
  <c r="AEL50"/>
  <c r="AEK50"/>
  <c r="AEJ50"/>
  <c r="AEF50"/>
  <c r="AEE50"/>
  <c r="AED50"/>
  <c r="AEC50"/>
  <c r="AEM49"/>
  <c r="AEL49"/>
  <c r="AEK49"/>
  <c r="AEJ49"/>
  <c r="AEF49"/>
  <c r="AEE49"/>
  <c r="AED49"/>
  <c r="AEC49"/>
  <c r="AEM48"/>
  <c r="AEL48"/>
  <c r="AEK48"/>
  <c r="AEJ48"/>
  <c r="AEF48"/>
  <c r="AEE48"/>
  <c r="AED48"/>
  <c r="AEC48"/>
  <c r="AEM47"/>
  <c r="AEL47"/>
  <c r="AEK47"/>
  <c r="AEJ47"/>
  <c r="AEF47"/>
  <c r="AEE47"/>
  <c r="AED47"/>
  <c r="AEC47"/>
  <c r="AEM46"/>
  <c r="AEL46"/>
  <c r="AEK46"/>
  <c r="AEJ46"/>
  <c r="AEF46"/>
  <c r="AEE46"/>
  <c r="AED46"/>
  <c r="AEC46"/>
  <c r="AEM45"/>
  <c r="AEL45"/>
  <c r="AEK45"/>
  <c r="AEJ45"/>
  <c r="AEF45"/>
  <c r="AEE45"/>
  <c r="AED45"/>
  <c r="AEC45"/>
  <c r="AEM44"/>
  <c r="AEL44"/>
  <c r="AEK44"/>
  <c r="AEJ44"/>
  <c r="AEF44"/>
  <c r="AEE44"/>
  <c r="AED44"/>
  <c r="AEC44"/>
  <c r="AEM43"/>
  <c r="AEL43"/>
  <c r="AEK43"/>
  <c r="AEJ43"/>
  <c r="AEF43"/>
  <c r="AEE43"/>
  <c r="AED43"/>
  <c r="AEC43"/>
  <c r="AEM42"/>
  <c r="AEL42"/>
  <c r="AEK42"/>
  <c r="AEJ42"/>
  <c r="AEF42"/>
  <c r="AEE42"/>
  <c r="AED42"/>
  <c r="AEC42"/>
  <c r="AEM41"/>
  <c r="AEL41"/>
  <c r="AEK41"/>
  <c r="AEJ41"/>
  <c r="AEF41"/>
  <c r="AEE41"/>
  <c r="AED41"/>
  <c r="AEC41"/>
  <c r="AEM40"/>
  <c r="AEL40"/>
  <c r="AEK40"/>
  <c r="AEJ40"/>
  <c r="AEF40"/>
  <c r="AEE40"/>
  <c r="AED40"/>
  <c r="AEC40"/>
  <c r="AEM39"/>
  <c r="AEL39"/>
  <c r="AEK39"/>
  <c r="AEJ39"/>
  <c r="AEF39"/>
  <c r="AEE39"/>
  <c r="AED39"/>
  <c r="AEC39"/>
  <c r="AEM38"/>
  <c r="AEL38"/>
  <c r="AEK38"/>
  <c r="AEJ38"/>
  <c r="AEF38"/>
  <c r="AEE38"/>
  <c r="AED38"/>
  <c r="AEC38"/>
  <c r="AEM37"/>
  <c r="AEL37"/>
  <c r="AEK37"/>
  <c r="AEJ37"/>
  <c r="AEF37"/>
  <c r="AEE37"/>
  <c r="AED37"/>
  <c r="AEC37"/>
  <c r="AEM36"/>
  <c r="AEL36"/>
  <c r="AEK36"/>
  <c r="AEJ36"/>
  <c r="AEF36"/>
  <c r="AEE36"/>
  <c r="AED36"/>
  <c r="AEC36"/>
  <c r="AEM35"/>
  <c r="AEL35"/>
  <c r="AEK35"/>
  <c r="AEJ35"/>
  <c r="AEF35"/>
  <c r="AEE35"/>
  <c r="AED35"/>
  <c r="AEC35"/>
  <c r="AEM34"/>
  <c r="AEL34"/>
  <c r="AEK34"/>
  <c r="AEJ34"/>
  <c r="AEF34"/>
  <c r="AEE34"/>
  <c r="AED34"/>
  <c r="AEC34"/>
  <c r="AEM33"/>
  <c r="AEL33"/>
  <c r="AEK33"/>
  <c r="AEJ33"/>
  <c r="AEF33"/>
  <c r="AEE33"/>
  <c r="AED33"/>
  <c r="AEC33"/>
  <c r="AEM32"/>
  <c r="AEL32"/>
  <c r="AEK32"/>
  <c r="AEJ32"/>
  <c r="AEF32"/>
  <c r="AEE32"/>
  <c r="AED32"/>
  <c r="AEC32"/>
  <c r="AEM31"/>
  <c r="AEL31"/>
  <c r="AEK31"/>
  <c r="AEJ31"/>
  <c r="AEF31"/>
  <c r="AEE31"/>
  <c r="AED31"/>
  <c r="AEC31"/>
  <c r="AEM30"/>
  <c r="AEL30"/>
  <c r="AEK30"/>
  <c r="AEJ30"/>
  <c r="AEF30"/>
  <c r="AEE30"/>
  <c r="AED30"/>
  <c r="AEC30"/>
  <c r="AEM29"/>
  <c r="AEL29"/>
  <c r="AEK29"/>
  <c r="AEJ29"/>
  <c r="AEF29"/>
  <c r="AEE29"/>
  <c r="AED29"/>
  <c r="AEC29"/>
  <c r="AEM28"/>
  <c r="AEL28"/>
  <c r="AEK28"/>
  <c r="AEJ28"/>
  <c r="AEF28"/>
  <c r="AEE28"/>
  <c r="AED28"/>
  <c r="AEC28"/>
  <c r="AEM27"/>
  <c r="AEL27"/>
  <c r="AEK27"/>
  <c r="AEJ27"/>
  <c r="AEF27"/>
  <c r="AEE27"/>
  <c r="AED27"/>
  <c r="AEC27"/>
  <c r="AEM26"/>
  <c r="AEL26"/>
  <c r="AEK26"/>
  <c r="AEJ26"/>
  <c r="AEF26"/>
  <c r="AEE26"/>
  <c r="AED26"/>
  <c r="AEC26"/>
  <c r="AEM25"/>
  <c r="AEL25"/>
  <c r="AEK25"/>
  <c r="AEJ25"/>
  <c r="AEF25"/>
  <c r="AEE25"/>
  <c r="AED25"/>
  <c r="AEC25"/>
  <c r="AEM24"/>
  <c r="AEL24"/>
  <c r="AEK24"/>
  <c r="AEJ24"/>
  <c r="AEF24"/>
  <c r="AEE24"/>
  <c r="AED24"/>
  <c r="AEC24"/>
  <c r="AEM23"/>
  <c r="AEL23"/>
  <c r="AEK23"/>
  <c r="AEJ23"/>
  <c r="AEF23"/>
  <c r="AEE23"/>
  <c r="AED23"/>
  <c r="AEC23"/>
  <c r="AEM22"/>
  <c r="AEL22"/>
  <c r="AEK22"/>
  <c r="AEJ22"/>
  <c r="AEF22"/>
  <c r="AEE22"/>
  <c r="AED22"/>
  <c r="AEC22"/>
  <c r="AEM21"/>
  <c r="AEL21"/>
  <c r="AEK21"/>
  <c r="AEJ21"/>
  <c r="AEF21"/>
  <c r="AEE21"/>
  <c r="AED21"/>
  <c r="AEC21"/>
  <c r="AEM20"/>
  <c r="AEL20"/>
  <c r="AEK20"/>
  <c r="AEJ20"/>
  <c r="AEF20"/>
  <c r="AEE20"/>
  <c r="AED20"/>
  <c r="AEC20"/>
  <c r="AEM19"/>
  <c r="AEL19"/>
  <c r="AEK19"/>
  <c r="AEJ19"/>
  <c r="AEF19"/>
  <c r="AEE19"/>
  <c r="AED19"/>
  <c r="AEC19"/>
  <c r="AEM18"/>
  <c r="AEL18"/>
  <c r="AEK18"/>
  <c r="AEJ18"/>
  <c r="AEF18"/>
  <c r="AEE18"/>
  <c r="AED18"/>
  <c r="AEC18"/>
  <c r="AEM17"/>
  <c r="AEL17"/>
  <c r="AEK17"/>
  <c r="AEJ17"/>
  <c r="AEF17"/>
  <c r="AEE17"/>
  <c r="AED17"/>
  <c r="AEC17"/>
  <c r="AEM16"/>
  <c r="AEL16"/>
  <c r="AEK16"/>
  <c r="AEJ16"/>
  <c r="AEF16"/>
  <c r="AEE16"/>
  <c r="AED16"/>
  <c r="AEC16"/>
  <c r="AEM15"/>
  <c r="AEL15"/>
  <c r="AEK15"/>
  <c r="AEJ15"/>
  <c r="AEF15"/>
  <c r="AEE15"/>
  <c r="AED15"/>
  <c r="AEC15"/>
  <c r="AEM14"/>
  <c r="AEL14"/>
  <c r="AEK14"/>
  <c r="AEJ14"/>
  <c r="AEF14"/>
  <c r="AEE14"/>
  <c r="AED14"/>
  <c r="AEC14"/>
  <c r="AEM13"/>
  <c r="AEL13"/>
  <c r="AEK13"/>
  <c r="AEJ13"/>
  <c r="AEF13"/>
  <c r="AEE13"/>
  <c r="AED13"/>
  <c r="AEC13"/>
  <c r="AEM12"/>
  <c r="AEL12"/>
  <c r="AEK12"/>
  <c r="AEJ12"/>
  <c r="AEF12"/>
  <c r="AEE12"/>
  <c r="AED12"/>
  <c r="AEC12"/>
  <c r="AEM11"/>
  <c r="AEL11"/>
  <c r="AEK11"/>
  <c r="AEJ11"/>
  <c r="AEF11"/>
  <c r="AEE11"/>
  <c r="AED11"/>
  <c r="AEC11"/>
  <c r="AEM10"/>
  <c r="AEL10"/>
  <c r="AEK10"/>
  <c r="AEJ10"/>
  <c r="AEF10"/>
  <c r="AEE10"/>
  <c r="AED10"/>
  <c r="AEC10"/>
  <c r="AEM9"/>
  <c r="AEL9"/>
  <c r="AEK9"/>
  <c r="AEJ9"/>
  <c r="AEF9"/>
  <c r="AEE9"/>
  <c r="AED9"/>
  <c r="AEC9"/>
  <c r="AEM8"/>
  <c r="AEL8"/>
  <c r="AEK8"/>
  <c r="AEJ8"/>
  <c r="AEF8"/>
  <c r="AEE8"/>
  <c r="AED8"/>
  <c r="AEC8"/>
  <c r="AEM7"/>
  <c r="AEL7"/>
  <c r="AEK7"/>
  <c r="AEJ7"/>
  <c r="AEF7"/>
  <c r="AEE7"/>
  <c r="AED7"/>
  <c r="AEC7"/>
  <c r="AEM6"/>
  <c r="AEL6"/>
  <c r="AEK6"/>
  <c r="AEJ6"/>
  <c r="AEF6"/>
  <c r="AEE6"/>
  <c r="AED6"/>
  <c r="AEC6"/>
  <c r="AEM5"/>
  <c r="AEL5"/>
  <c r="AEK5"/>
  <c r="AEJ5"/>
  <c r="AEE5"/>
  <c r="AED5"/>
  <c r="AEC5"/>
  <c r="ADG6"/>
  <c r="ADH6"/>
  <c r="ADI6"/>
  <c r="ADG7"/>
  <c r="ADH7"/>
  <c r="ADI7"/>
  <c r="ADG8"/>
  <c r="ADH8"/>
  <c r="ADI8"/>
  <c r="ADG9"/>
  <c r="ADH9"/>
  <c r="ADI9"/>
  <c r="ADG10"/>
  <c r="ADH10"/>
  <c r="ADI10"/>
  <c r="ADG11"/>
  <c r="ADH11"/>
  <c r="ADI11"/>
  <c r="ADG12"/>
  <c r="ADH12"/>
  <c r="ADI12"/>
  <c r="ADG13"/>
  <c r="ADH13"/>
  <c r="ADI13"/>
  <c r="ADG14"/>
  <c r="ADH14"/>
  <c r="ADI14"/>
  <c r="ADG15"/>
  <c r="ADH15"/>
  <c r="ADI15"/>
  <c r="ADG16"/>
  <c r="ADH16"/>
  <c r="ADI16"/>
  <c r="ADG17"/>
  <c r="ADH17"/>
  <c r="ADI17"/>
  <c r="ADG18"/>
  <c r="ADH18"/>
  <c r="ADI18"/>
  <c r="ADG19"/>
  <c r="ADH19"/>
  <c r="ADI19"/>
  <c r="ADG20"/>
  <c r="ADH20"/>
  <c r="ADI20"/>
  <c r="ADG21"/>
  <c r="ADH21"/>
  <c r="ADI21"/>
  <c r="ADG22"/>
  <c r="ADH22"/>
  <c r="ADI22"/>
  <c r="ADG23"/>
  <c r="ADH23"/>
  <c r="ADI23"/>
  <c r="ADG24"/>
  <c r="ADH24"/>
  <c r="ADI24"/>
  <c r="ADG25"/>
  <c r="ADH25"/>
  <c r="ADI25"/>
  <c r="ADG26"/>
  <c r="ADH26"/>
  <c r="ADI26"/>
  <c r="ADG27"/>
  <c r="ADH27"/>
  <c r="ADI27"/>
  <c r="ADG28"/>
  <c r="ADH28"/>
  <c r="ADI28"/>
  <c r="ADG29"/>
  <c r="ADH29"/>
  <c r="ADI29"/>
  <c r="ADG30"/>
  <c r="ADH30"/>
  <c r="ADI30"/>
  <c r="ADG31"/>
  <c r="ADH31"/>
  <c r="ADI31"/>
  <c r="ADG32"/>
  <c r="ADH32"/>
  <c r="ADI32"/>
  <c r="ADG33"/>
  <c r="ADH33"/>
  <c r="ADI33"/>
  <c r="ADG34"/>
  <c r="ADH34"/>
  <c r="ADI34"/>
  <c r="ADG35"/>
  <c r="ADH35"/>
  <c r="ADI35"/>
  <c r="ADG36"/>
  <c r="ADH36"/>
  <c r="ADI36"/>
  <c r="ADG37"/>
  <c r="ADH37"/>
  <c r="ADI37"/>
  <c r="ADG38"/>
  <c r="ADH38"/>
  <c r="ADI38"/>
  <c r="ADG39"/>
  <c r="ADH39"/>
  <c r="ADI39"/>
  <c r="ADG40"/>
  <c r="ADH40"/>
  <c r="ADI40"/>
  <c r="ADG41"/>
  <c r="ADH41"/>
  <c r="ADI41"/>
  <c r="ADG42"/>
  <c r="ADH42"/>
  <c r="ADI42"/>
  <c r="ADG43"/>
  <c r="ADH43"/>
  <c r="ADI43"/>
  <c r="ADG44"/>
  <c r="ADH44"/>
  <c r="ADI44"/>
  <c r="ADG45"/>
  <c r="ADH45"/>
  <c r="ADI45"/>
  <c r="ADG46"/>
  <c r="ADH46"/>
  <c r="ADI46"/>
  <c r="ADG47"/>
  <c r="ADH47"/>
  <c r="ADI47"/>
  <c r="ADG48"/>
  <c r="ADH48"/>
  <c r="ADI48"/>
  <c r="ADG49"/>
  <c r="ADH49"/>
  <c r="ADI49"/>
  <c r="ADG50"/>
  <c r="ADH50"/>
  <c r="ADI50"/>
  <c r="ADG51"/>
  <c r="ADH51"/>
  <c r="ADI51"/>
  <c r="ADG52"/>
  <c r="ADH52"/>
  <c r="ADI52"/>
  <c r="ADG53"/>
  <c r="ADH53"/>
  <c r="ADI53"/>
  <c r="ADG54"/>
  <c r="ADH54"/>
  <c r="ADI54"/>
  <c r="ADG55"/>
  <c r="ADH55"/>
  <c r="ADI55"/>
  <c r="ADG56"/>
  <c r="ADH56"/>
  <c r="ADI56"/>
  <c r="ADG57"/>
  <c r="ADH57"/>
  <c r="ADI57"/>
  <c r="ADG58"/>
  <c r="ADH58"/>
  <c r="ADI58"/>
  <c r="ADG59"/>
  <c r="ADH59"/>
  <c r="ADI59"/>
  <c r="ADG60"/>
  <c r="ADH60"/>
  <c r="ADI60"/>
  <c r="ADG61"/>
  <c r="ADH61"/>
  <c r="ADI61"/>
  <c r="ADG62"/>
  <c r="ADH62"/>
  <c r="ADI62"/>
  <c r="ADG63"/>
  <c r="ADH63"/>
  <c r="ADI63"/>
  <c r="ADG64"/>
  <c r="ADH64"/>
  <c r="ADI64"/>
  <c r="ADG65"/>
  <c r="ADH65"/>
  <c r="ADI65"/>
  <c r="ADG66"/>
  <c r="ADH66"/>
  <c r="ADI66"/>
  <c r="ADG67"/>
  <c r="ADH67"/>
  <c r="ADI67"/>
  <c r="ADG68"/>
  <c r="ADH68"/>
  <c r="ADI68"/>
  <c r="ADG69"/>
  <c r="ADH69"/>
  <c r="ADI69"/>
  <c r="ADG70"/>
  <c r="ADH70"/>
  <c r="ADI70"/>
  <c r="ADG71"/>
  <c r="ADH71"/>
  <c r="ADI71"/>
  <c r="ADG72"/>
  <c r="ADH72"/>
  <c r="ADI72"/>
  <c r="ADG73"/>
  <c r="ADH73"/>
  <c r="ADI73"/>
  <c r="ADG74"/>
  <c r="ADH74"/>
  <c r="ADI74"/>
  <c r="ADG75"/>
  <c r="ADH75"/>
  <c r="ADI75"/>
  <c r="ADG76"/>
  <c r="ADH76"/>
  <c r="ADI76"/>
  <c r="ADG77"/>
  <c r="ADH77"/>
  <c r="ADI77"/>
  <c r="ADG78"/>
  <c r="ADH78"/>
  <c r="ADI78"/>
  <c r="ADG79"/>
  <c r="ADH79"/>
  <c r="ADI79"/>
  <c r="ADG80"/>
  <c r="ADH80"/>
  <c r="ADI80"/>
  <c r="ADG81"/>
  <c r="ADH81"/>
  <c r="ADI81"/>
  <c r="ADG82"/>
  <c r="ADH82"/>
  <c r="ADI82"/>
  <c r="ADG83"/>
  <c r="ADH83"/>
  <c r="ADI83"/>
  <c r="ADG84"/>
  <c r="ADH84"/>
  <c r="ADI84"/>
  <c r="ADG85"/>
  <c r="ADH85"/>
  <c r="ADI85"/>
  <c r="ADG86"/>
  <c r="ADH86"/>
  <c r="ADI86"/>
  <c r="ADI5"/>
  <c r="ADG5"/>
  <c r="ADH5"/>
  <c r="ADF5"/>
  <c r="ADM86"/>
  <c r="ADL86"/>
  <c r="ADK86"/>
  <c r="ADJ86"/>
  <c r="ADF86"/>
  <c r="ADE86"/>
  <c r="ADD86"/>
  <c r="ADC86"/>
  <c r="ADM85"/>
  <c r="ADL85"/>
  <c r="ADK85"/>
  <c r="ADJ85"/>
  <c r="ADF85"/>
  <c r="ADE85"/>
  <c r="ADD85"/>
  <c r="ADC85"/>
  <c r="ADM84"/>
  <c r="ADL84"/>
  <c r="ADK84"/>
  <c r="ADJ84"/>
  <c r="ADF84"/>
  <c r="ADE84"/>
  <c r="ADD84"/>
  <c r="ADC84"/>
  <c r="ADM83"/>
  <c r="ADL83"/>
  <c r="ADK83"/>
  <c r="ADJ83"/>
  <c r="ADF83"/>
  <c r="ADE83"/>
  <c r="ADD83"/>
  <c r="ADC83"/>
  <c r="ADM82"/>
  <c r="ADL82"/>
  <c r="ADK82"/>
  <c r="ADJ82"/>
  <c r="ADF82"/>
  <c r="ADE82"/>
  <c r="ADD82"/>
  <c r="ADC82"/>
  <c r="ADM81"/>
  <c r="ADL81"/>
  <c r="ADK81"/>
  <c r="ADJ81"/>
  <c r="ADF81"/>
  <c r="ADE81"/>
  <c r="ADD81"/>
  <c r="ADC81"/>
  <c r="ADM80"/>
  <c r="ADL80"/>
  <c r="ADK80"/>
  <c r="ADJ80"/>
  <c r="ADF80"/>
  <c r="ADE80"/>
  <c r="ADD80"/>
  <c r="ADC80"/>
  <c r="ADM79"/>
  <c r="ADL79"/>
  <c r="ADK79"/>
  <c r="ADJ79"/>
  <c r="ADF79"/>
  <c r="ADE79"/>
  <c r="ADD79"/>
  <c r="ADC79"/>
  <c r="ADM78"/>
  <c r="ADL78"/>
  <c r="ADK78"/>
  <c r="ADJ78"/>
  <c r="ADF78"/>
  <c r="ADE78"/>
  <c r="ADD78"/>
  <c r="ADC78"/>
  <c r="ADM77"/>
  <c r="ADL77"/>
  <c r="ADK77"/>
  <c r="ADJ77"/>
  <c r="ADF77"/>
  <c r="ADE77"/>
  <c r="ADD77"/>
  <c r="ADC77"/>
  <c r="ADM76"/>
  <c r="ADL76"/>
  <c r="ADK76"/>
  <c r="ADJ76"/>
  <c r="ADF76"/>
  <c r="ADE76"/>
  <c r="ADD76"/>
  <c r="ADC76"/>
  <c r="ADM75"/>
  <c r="ADL75"/>
  <c r="ADK75"/>
  <c r="ADJ75"/>
  <c r="ADF75"/>
  <c r="ADE75"/>
  <c r="ADD75"/>
  <c r="ADC75"/>
  <c r="ADM74"/>
  <c r="ADL74"/>
  <c r="ADK74"/>
  <c r="ADJ74"/>
  <c r="ADF74"/>
  <c r="ADE74"/>
  <c r="ADD74"/>
  <c r="ADC74"/>
  <c r="ADM73"/>
  <c r="ADL73"/>
  <c r="ADK73"/>
  <c r="ADJ73"/>
  <c r="ADF73"/>
  <c r="ADE73"/>
  <c r="ADD73"/>
  <c r="ADC73"/>
  <c r="ADM72"/>
  <c r="ADL72"/>
  <c r="ADK72"/>
  <c r="ADJ72"/>
  <c r="ADF72"/>
  <c r="ADE72"/>
  <c r="ADD72"/>
  <c r="ADC72"/>
  <c r="ADM71"/>
  <c r="ADL71"/>
  <c r="ADK71"/>
  <c r="ADJ71"/>
  <c r="ADF71"/>
  <c r="ADE71"/>
  <c r="ADD71"/>
  <c r="ADC71"/>
  <c r="ADM70"/>
  <c r="ADL70"/>
  <c r="ADK70"/>
  <c r="ADJ70"/>
  <c r="ADF70"/>
  <c r="ADE70"/>
  <c r="ADD70"/>
  <c r="ADC70"/>
  <c r="ADM69"/>
  <c r="ADL69"/>
  <c r="ADK69"/>
  <c r="ADJ69"/>
  <c r="ADF69"/>
  <c r="ADE69"/>
  <c r="ADD69"/>
  <c r="ADC69"/>
  <c r="ADM68"/>
  <c r="ADL68"/>
  <c r="ADK68"/>
  <c r="ADJ68"/>
  <c r="ADF68"/>
  <c r="ADE68"/>
  <c r="ADD68"/>
  <c r="ADC68"/>
  <c r="ADM67"/>
  <c r="ADL67"/>
  <c r="ADK67"/>
  <c r="ADJ67"/>
  <c r="ADF67"/>
  <c r="ADE67"/>
  <c r="ADD67"/>
  <c r="ADC67"/>
  <c r="ADM66"/>
  <c r="ADL66"/>
  <c r="ADK66"/>
  <c r="ADJ66"/>
  <c r="ADF66"/>
  <c r="ADE66"/>
  <c r="ADD66"/>
  <c r="ADC66"/>
  <c r="ADM65"/>
  <c r="ADL65"/>
  <c r="ADK65"/>
  <c r="ADJ65"/>
  <c r="ADF65"/>
  <c r="ADE65"/>
  <c r="ADD65"/>
  <c r="ADC65"/>
  <c r="ADM64"/>
  <c r="ADL64"/>
  <c r="ADK64"/>
  <c r="ADJ64"/>
  <c r="ADF64"/>
  <c r="ADE64"/>
  <c r="ADD64"/>
  <c r="ADC64"/>
  <c r="ADM63"/>
  <c r="ADL63"/>
  <c r="ADK63"/>
  <c r="ADJ63"/>
  <c r="ADF63"/>
  <c r="ADE63"/>
  <c r="ADD63"/>
  <c r="ADC63"/>
  <c r="ADM62"/>
  <c r="ADL62"/>
  <c r="ADK62"/>
  <c r="ADJ62"/>
  <c r="ADF62"/>
  <c r="ADE62"/>
  <c r="ADD62"/>
  <c r="ADC62"/>
  <c r="ADM61"/>
  <c r="ADL61"/>
  <c r="ADK61"/>
  <c r="ADJ61"/>
  <c r="ADF61"/>
  <c r="ADE61"/>
  <c r="ADD61"/>
  <c r="ADC61"/>
  <c r="ADM60"/>
  <c r="ADL60"/>
  <c r="ADK60"/>
  <c r="ADJ60"/>
  <c r="ADF60"/>
  <c r="ADE60"/>
  <c r="ADD60"/>
  <c r="ADC60"/>
  <c r="ADM59"/>
  <c r="ADL59"/>
  <c r="ADK59"/>
  <c r="ADJ59"/>
  <c r="ADF59"/>
  <c r="ADE59"/>
  <c r="ADD59"/>
  <c r="ADC59"/>
  <c r="ADM58"/>
  <c r="ADL58"/>
  <c r="ADK58"/>
  <c r="ADJ58"/>
  <c r="ADF58"/>
  <c r="ADE58"/>
  <c r="ADD58"/>
  <c r="ADC58"/>
  <c r="ADM57"/>
  <c r="ADL57"/>
  <c r="ADK57"/>
  <c r="ADJ57"/>
  <c r="ADF57"/>
  <c r="ADE57"/>
  <c r="ADD57"/>
  <c r="ADC57"/>
  <c r="ADM56"/>
  <c r="ADL56"/>
  <c r="ADK56"/>
  <c r="ADJ56"/>
  <c r="ADF56"/>
  <c r="ADE56"/>
  <c r="ADD56"/>
  <c r="ADC56"/>
  <c r="ADM55"/>
  <c r="ADL55"/>
  <c r="ADK55"/>
  <c r="ADJ55"/>
  <c r="ADF55"/>
  <c r="ADE55"/>
  <c r="ADD55"/>
  <c r="ADC55"/>
  <c r="ADM54"/>
  <c r="ADL54"/>
  <c r="ADK54"/>
  <c r="ADJ54"/>
  <c r="ADF54"/>
  <c r="ADE54"/>
  <c r="ADD54"/>
  <c r="ADC54"/>
  <c r="ADM53"/>
  <c r="ADL53"/>
  <c r="ADK53"/>
  <c r="ADJ53"/>
  <c r="ADF53"/>
  <c r="ADE53"/>
  <c r="ADD53"/>
  <c r="ADC53"/>
  <c r="ADM52"/>
  <c r="ADL52"/>
  <c r="ADK52"/>
  <c r="ADJ52"/>
  <c r="ADF52"/>
  <c r="ADE52"/>
  <c r="ADD52"/>
  <c r="ADC52"/>
  <c r="ADM51"/>
  <c r="ADL51"/>
  <c r="ADK51"/>
  <c r="ADJ51"/>
  <c r="ADF51"/>
  <c r="ADE51"/>
  <c r="ADD51"/>
  <c r="ADC51"/>
  <c r="ADM50"/>
  <c r="ADL50"/>
  <c r="ADK50"/>
  <c r="ADJ50"/>
  <c r="ADF50"/>
  <c r="ADE50"/>
  <c r="ADD50"/>
  <c r="ADC50"/>
  <c r="ADM49"/>
  <c r="ADL49"/>
  <c r="ADK49"/>
  <c r="ADJ49"/>
  <c r="ADF49"/>
  <c r="ADE49"/>
  <c r="ADD49"/>
  <c r="ADC49"/>
  <c r="ADM48"/>
  <c r="ADL48"/>
  <c r="ADK48"/>
  <c r="ADJ48"/>
  <c r="ADF48"/>
  <c r="ADE48"/>
  <c r="ADD48"/>
  <c r="ADC48"/>
  <c r="ADM47"/>
  <c r="ADL47"/>
  <c r="ADK47"/>
  <c r="ADJ47"/>
  <c r="ADF47"/>
  <c r="ADE47"/>
  <c r="ADD47"/>
  <c r="ADC47"/>
  <c r="ADM46"/>
  <c r="ADL46"/>
  <c r="ADK46"/>
  <c r="ADJ46"/>
  <c r="ADF46"/>
  <c r="ADE46"/>
  <c r="ADD46"/>
  <c r="ADC46"/>
  <c r="ADM45"/>
  <c r="ADL45"/>
  <c r="ADK45"/>
  <c r="ADJ45"/>
  <c r="ADF45"/>
  <c r="ADE45"/>
  <c r="ADD45"/>
  <c r="ADC45"/>
  <c r="ADM44"/>
  <c r="ADL44"/>
  <c r="ADK44"/>
  <c r="ADJ44"/>
  <c r="ADF44"/>
  <c r="ADE44"/>
  <c r="ADD44"/>
  <c r="ADC44"/>
  <c r="ADM43"/>
  <c r="ADL43"/>
  <c r="ADK43"/>
  <c r="ADJ43"/>
  <c r="ADF43"/>
  <c r="ADE43"/>
  <c r="ADD43"/>
  <c r="ADC43"/>
  <c r="ADM42"/>
  <c r="ADL42"/>
  <c r="ADK42"/>
  <c r="ADJ42"/>
  <c r="ADF42"/>
  <c r="ADE42"/>
  <c r="ADD42"/>
  <c r="ADC42"/>
  <c r="ADM41"/>
  <c r="ADL41"/>
  <c r="ADK41"/>
  <c r="ADJ41"/>
  <c r="ADF41"/>
  <c r="ADE41"/>
  <c r="ADD41"/>
  <c r="ADC41"/>
  <c r="ADM40"/>
  <c r="ADL40"/>
  <c r="ADK40"/>
  <c r="ADJ40"/>
  <c r="ADF40"/>
  <c r="ADE40"/>
  <c r="ADD40"/>
  <c r="ADC40"/>
  <c r="ADM39"/>
  <c r="ADL39"/>
  <c r="ADK39"/>
  <c r="ADJ39"/>
  <c r="ADF39"/>
  <c r="ADE39"/>
  <c r="ADD39"/>
  <c r="ADC39"/>
  <c r="ADM38"/>
  <c r="ADL38"/>
  <c r="ADK38"/>
  <c r="ADJ38"/>
  <c r="ADF38"/>
  <c r="ADE38"/>
  <c r="ADD38"/>
  <c r="ADC38"/>
  <c r="ADM37"/>
  <c r="ADL37"/>
  <c r="ADK37"/>
  <c r="ADJ37"/>
  <c r="ADF37"/>
  <c r="ADE37"/>
  <c r="ADD37"/>
  <c r="ADC37"/>
  <c r="ADM36"/>
  <c r="ADL36"/>
  <c r="ADK36"/>
  <c r="ADJ36"/>
  <c r="ADF36"/>
  <c r="ADE36"/>
  <c r="ADD36"/>
  <c r="ADC36"/>
  <c r="ADM35"/>
  <c r="ADL35"/>
  <c r="ADK35"/>
  <c r="ADJ35"/>
  <c r="ADF35"/>
  <c r="ADE35"/>
  <c r="ADD35"/>
  <c r="ADC35"/>
  <c r="ADM34"/>
  <c r="ADL34"/>
  <c r="ADK34"/>
  <c r="ADJ34"/>
  <c r="ADF34"/>
  <c r="ADE34"/>
  <c r="ADD34"/>
  <c r="ADC34"/>
  <c r="ADM33"/>
  <c r="ADL33"/>
  <c r="ADK33"/>
  <c r="ADJ33"/>
  <c r="ADF33"/>
  <c r="ADE33"/>
  <c r="ADD33"/>
  <c r="ADC33"/>
  <c r="ADM32"/>
  <c r="ADL32"/>
  <c r="ADK32"/>
  <c r="ADJ32"/>
  <c r="ADF32"/>
  <c r="ADE32"/>
  <c r="ADD32"/>
  <c r="ADC32"/>
  <c r="ADM31"/>
  <c r="ADL31"/>
  <c r="ADK31"/>
  <c r="ADJ31"/>
  <c r="ADF31"/>
  <c r="ADE31"/>
  <c r="ADD31"/>
  <c r="ADC31"/>
  <c r="ADM30"/>
  <c r="ADL30"/>
  <c r="ADK30"/>
  <c r="ADJ30"/>
  <c r="ADF30"/>
  <c r="ADE30"/>
  <c r="ADD30"/>
  <c r="ADC30"/>
  <c r="ADM29"/>
  <c r="ADL29"/>
  <c r="ADK29"/>
  <c r="ADJ29"/>
  <c r="ADF29"/>
  <c r="ADE29"/>
  <c r="ADD29"/>
  <c r="ADC29"/>
  <c r="ADM28"/>
  <c r="ADL28"/>
  <c r="ADK28"/>
  <c r="ADJ28"/>
  <c r="ADF28"/>
  <c r="ADE28"/>
  <c r="ADD28"/>
  <c r="ADC28"/>
  <c r="ADM27"/>
  <c r="ADL27"/>
  <c r="ADK27"/>
  <c r="ADJ27"/>
  <c r="ADF27"/>
  <c r="ADE27"/>
  <c r="ADD27"/>
  <c r="ADC27"/>
  <c r="ADM26"/>
  <c r="ADL26"/>
  <c r="ADK26"/>
  <c r="ADJ26"/>
  <c r="ADF26"/>
  <c r="ADE26"/>
  <c r="ADD26"/>
  <c r="ADC26"/>
  <c r="ADM25"/>
  <c r="ADL25"/>
  <c r="ADK25"/>
  <c r="ADJ25"/>
  <c r="ADF25"/>
  <c r="ADE25"/>
  <c r="ADD25"/>
  <c r="ADC25"/>
  <c r="ADM24"/>
  <c r="ADL24"/>
  <c r="ADK24"/>
  <c r="ADJ24"/>
  <c r="ADF24"/>
  <c r="ADE24"/>
  <c r="ADD24"/>
  <c r="ADC24"/>
  <c r="ADM23"/>
  <c r="ADL23"/>
  <c r="ADK23"/>
  <c r="ADJ23"/>
  <c r="ADF23"/>
  <c r="ADE23"/>
  <c r="ADD23"/>
  <c r="ADC23"/>
  <c r="ADM22"/>
  <c r="ADL22"/>
  <c r="ADK22"/>
  <c r="ADJ22"/>
  <c r="ADF22"/>
  <c r="ADE22"/>
  <c r="ADD22"/>
  <c r="ADC22"/>
  <c r="ADM21"/>
  <c r="ADL21"/>
  <c r="ADK21"/>
  <c r="ADJ21"/>
  <c r="ADF21"/>
  <c r="ADE21"/>
  <c r="ADD21"/>
  <c r="ADC21"/>
  <c r="ADM20"/>
  <c r="ADL20"/>
  <c r="ADK20"/>
  <c r="ADJ20"/>
  <c r="ADF20"/>
  <c r="ADE20"/>
  <c r="ADD20"/>
  <c r="ADC20"/>
  <c r="ADM19"/>
  <c r="ADL19"/>
  <c r="ADK19"/>
  <c r="ADJ19"/>
  <c r="ADF19"/>
  <c r="ADE19"/>
  <c r="ADD19"/>
  <c r="ADC19"/>
  <c r="ADM18"/>
  <c r="ADL18"/>
  <c r="ADK18"/>
  <c r="ADJ18"/>
  <c r="ADF18"/>
  <c r="ADE18"/>
  <c r="ADD18"/>
  <c r="ADC18"/>
  <c r="ADM17"/>
  <c r="ADL17"/>
  <c r="ADK17"/>
  <c r="ADJ17"/>
  <c r="ADF17"/>
  <c r="ADE17"/>
  <c r="ADD17"/>
  <c r="ADC17"/>
  <c r="ADM16"/>
  <c r="ADL16"/>
  <c r="ADK16"/>
  <c r="ADJ16"/>
  <c r="ADF16"/>
  <c r="ADE16"/>
  <c r="ADD16"/>
  <c r="ADC16"/>
  <c r="ADM15"/>
  <c r="ADL15"/>
  <c r="ADK15"/>
  <c r="ADJ15"/>
  <c r="ADF15"/>
  <c r="ADE15"/>
  <c r="ADD15"/>
  <c r="ADC15"/>
  <c r="ADM14"/>
  <c r="ADL14"/>
  <c r="ADK14"/>
  <c r="ADJ14"/>
  <c r="ADF14"/>
  <c r="ADE14"/>
  <c r="ADD14"/>
  <c r="ADC14"/>
  <c r="ADM13"/>
  <c r="ADL13"/>
  <c r="ADK13"/>
  <c r="ADJ13"/>
  <c r="ADF13"/>
  <c r="ADE13"/>
  <c r="ADD13"/>
  <c r="ADC13"/>
  <c r="ADM12"/>
  <c r="ADL12"/>
  <c r="ADK12"/>
  <c r="ADJ12"/>
  <c r="ADF12"/>
  <c r="ADE12"/>
  <c r="ADD12"/>
  <c r="ADC12"/>
  <c r="ADM11"/>
  <c r="ADL11"/>
  <c r="ADK11"/>
  <c r="ADJ11"/>
  <c r="ADF11"/>
  <c r="ADE11"/>
  <c r="ADD11"/>
  <c r="ADC11"/>
  <c r="ADM10"/>
  <c r="ADL10"/>
  <c r="ADK10"/>
  <c r="ADJ10"/>
  <c r="ADF10"/>
  <c r="ADE10"/>
  <c r="ADD10"/>
  <c r="ADC10"/>
  <c r="ADM9"/>
  <c r="ADL9"/>
  <c r="ADK9"/>
  <c r="ADJ9"/>
  <c r="ADF9"/>
  <c r="ADE9"/>
  <c r="ADD9"/>
  <c r="ADC9"/>
  <c r="ADM8"/>
  <c r="ADL8"/>
  <c r="ADK8"/>
  <c r="ADJ8"/>
  <c r="ADF8"/>
  <c r="ADE8"/>
  <c r="ADD8"/>
  <c r="ADC8"/>
  <c r="ADM7"/>
  <c r="ADL7"/>
  <c r="ADK7"/>
  <c r="ADJ7"/>
  <c r="ADF7"/>
  <c r="ADE7"/>
  <c r="ADD7"/>
  <c r="ADC7"/>
  <c r="ADM6"/>
  <c r="ADL6"/>
  <c r="ADK6"/>
  <c r="ADJ6"/>
  <c r="ADF6"/>
  <c r="ADE6"/>
  <c r="ADD6"/>
  <c r="ADC6"/>
  <c r="ADM5"/>
  <c r="ADL5"/>
  <c r="ADK5"/>
  <c r="ADJ5"/>
  <c r="ADE5"/>
  <c r="ADD5"/>
  <c r="ADC5"/>
  <c r="ACT6"/>
  <c r="ACU6"/>
  <c r="ACV6"/>
  <c r="ACT7"/>
  <c r="ACU7"/>
  <c r="ACV7"/>
  <c r="ACT8"/>
  <c r="ACU8"/>
  <c r="ACV8"/>
  <c r="ACT9"/>
  <c r="ACU9"/>
  <c r="ACV9"/>
  <c r="ACT10"/>
  <c r="ACU10"/>
  <c r="ACV10"/>
  <c r="ACT11"/>
  <c r="ACU11"/>
  <c r="ACV11"/>
  <c r="ACT12"/>
  <c r="ACU12"/>
  <c r="ACV12"/>
  <c r="ACT13"/>
  <c r="ACU13"/>
  <c r="ACV13"/>
  <c r="ACT14"/>
  <c r="ACU14"/>
  <c r="ACV14"/>
  <c r="ACT15"/>
  <c r="ACU15"/>
  <c r="ACV15"/>
  <c r="ACT16"/>
  <c r="ACU16"/>
  <c r="ACV16"/>
  <c r="ACT17"/>
  <c r="ACU17"/>
  <c r="ACV17"/>
  <c r="ACT18"/>
  <c r="ACU18"/>
  <c r="ACV18"/>
  <c r="ACT19"/>
  <c r="ACU19"/>
  <c r="ACV19"/>
  <c r="ACT20"/>
  <c r="ACU20"/>
  <c r="ACV20"/>
  <c r="ACT21"/>
  <c r="ACU21"/>
  <c r="ACV21"/>
  <c r="ACT22"/>
  <c r="ACU22"/>
  <c r="ACV22"/>
  <c r="ACT23"/>
  <c r="ACU23"/>
  <c r="ACV23"/>
  <c r="ACT24"/>
  <c r="ACU24"/>
  <c r="ACV24"/>
  <c r="ACT25"/>
  <c r="ACU25"/>
  <c r="ACV25"/>
  <c r="ACT26"/>
  <c r="ACU26"/>
  <c r="ACV26"/>
  <c r="ACT27"/>
  <c r="ACU27"/>
  <c r="ACV27"/>
  <c r="ACT28"/>
  <c r="ACU28"/>
  <c r="ACV28"/>
  <c r="ACT29"/>
  <c r="ACU29"/>
  <c r="ACV29"/>
  <c r="ACT30"/>
  <c r="ACU30"/>
  <c r="ACV30"/>
  <c r="ACT31"/>
  <c r="ACU31"/>
  <c r="ACV31"/>
  <c r="ACT32"/>
  <c r="ACU32"/>
  <c r="ACV32"/>
  <c r="ACT33"/>
  <c r="ACU33"/>
  <c r="ACV33"/>
  <c r="ACT34"/>
  <c r="ACU34"/>
  <c r="ACV34"/>
  <c r="ACT35"/>
  <c r="ACU35"/>
  <c r="ACV35"/>
  <c r="ACT36"/>
  <c r="ACU36"/>
  <c r="ACV36"/>
  <c r="ACT37"/>
  <c r="ACU37"/>
  <c r="ACV37"/>
  <c r="ACT38"/>
  <c r="ACU38"/>
  <c r="ACV38"/>
  <c r="ACT39"/>
  <c r="ACU39"/>
  <c r="ACV39"/>
  <c r="ACT40"/>
  <c r="ACU40"/>
  <c r="ACV40"/>
  <c r="ACT41"/>
  <c r="ACU41"/>
  <c r="ACV41"/>
  <c r="ACT42"/>
  <c r="ACU42"/>
  <c r="ACV42"/>
  <c r="ACT43"/>
  <c r="ACU43"/>
  <c r="ACV43"/>
  <c r="ACT44"/>
  <c r="ACU44"/>
  <c r="ACV44"/>
  <c r="ACT45"/>
  <c r="ACU45"/>
  <c r="ACV45"/>
  <c r="ACT46"/>
  <c r="ACU46"/>
  <c r="ACV46"/>
  <c r="ACT47"/>
  <c r="ACU47"/>
  <c r="ACV47"/>
  <c r="ACT48"/>
  <c r="ACU48"/>
  <c r="ACV48"/>
  <c r="ACT49"/>
  <c r="ACU49"/>
  <c r="ACV49"/>
  <c r="ACT50"/>
  <c r="ACU50"/>
  <c r="ACV50"/>
  <c r="ACT51"/>
  <c r="ACU51"/>
  <c r="ACV51"/>
  <c r="ACT52"/>
  <c r="ACU52"/>
  <c r="ACV52"/>
  <c r="ACT53"/>
  <c r="ACU53"/>
  <c r="ACV53"/>
  <c r="ACT54"/>
  <c r="ACU54"/>
  <c r="ACV54"/>
  <c r="ACT55"/>
  <c r="ACU55"/>
  <c r="ACV55"/>
  <c r="ACT56"/>
  <c r="ACU56"/>
  <c r="ACV56"/>
  <c r="ACT57"/>
  <c r="ACU57"/>
  <c r="ACV57"/>
  <c r="ACT58"/>
  <c r="ACU58"/>
  <c r="ACV58"/>
  <c r="ACT59"/>
  <c r="ACU59"/>
  <c r="ACV59"/>
  <c r="ACT60"/>
  <c r="ACU60"/>
  <c r="ACV60"/>
  <c r="ACT61"/>
  <c r="ACU61"/>
  <c r="ACV61"/>
  <c r="ACT62"/>
  <c r="ACU62"/>
  <c r="ACV62"/>
  <c r="ACT63"/>
  <c r="ACU63"/>
  <c r="ACV63"/>
  <c r="ACT64"/>
  <c r="ACU64"/>
  <c r="ACV64"/>
  <c r="ACT65"/>
  <c r="ACU65"/>
  <c r="ACV65"/>
  <c r="ACT66"/>
  <c r="ACU66"/>
  <c r="ACV66"/>
  <c r="ACT67"/>
  <c r="ACU67"/>
  <c r="ACV67"/>
  <c r="ACT68"/>
  <c r="ACU68"/>
  <c r="ACV68"/>
  <c r="ACT69"/>
  <c r="ACU69"/>
  <c r="ACV69"/>
  <c r="ACT70"/>
  <c r="ACU70"/>
  <c r="ACV70"/>
  <c r="ACT71"/>
  <c r="ACU71"/>
  <c r="ACV71"/>
  <c r="ACT72"/>
  <c r="ACU72"/>
  <c r="ACV72"/>
  <c r="ACT73"/>
  <c r="ACU73"/>
  <c r="ACV73"/>
  <c r="ACT74"/>
  <c r="ACU74"/>
  <c r="ACV74"/>
  <c r="ACT75"/>
  <c r="ACU75"/>
  <c r="ACV75"/>
  <c r="ACT76"/>
  <c r="ACU76"/>
  <c r="ACV76"/>
  <c r="ACT77"/>
  <c r="ACU77"/>
  <c r="ACV77"/>
  <c r="ACT78"/>
  <c r="ACU78"/>
  <c r="ACV78"/>
  <c r="ACT79"/>
  <c r="ACU79"/>
  <c r="ACV79"/>
  <c r="ACT80"/>
  <c r="ACU80"/>
  <c r="ACV80"/>
  <c r="ACT81"/>
  <c r="ACU81"/>
  <c r="ACV81"/>
  <c r="ACV5"/>
  <c r="ACT5"/>
  <c r="ACU5"/>
  <c r="ACS5"/>
  <c r="ACW5"/>
  <c r="ACW6"/>
  <c r="ACW7"/>
  <c r="ACW8"/>
  <c r="ACW9"/>
  <c r="ACW10"/>
  <c r="ACW11"/>
  <c r="ACW12"/>
  <c r="ACW13"/>
  <c r="ACW14"/>
  <c r="ACW15"/>
  <c r="ACW16"/>
  <c r="ACW17"/>
  <c r="ACW18"/>
  <c r="ACW19"/>
  <c r="ACW20"/>
  <c r="ACW21"/>
  <c r="ACW22"/>
  <c r="ACW23"/>
  <c r="ACW24"/>
  <c r="ACW25"/>
  <c r="ACW26"/>
  <c r="ACW27"/>
  <c r="ACW28"/>
  <c r="ACW29"/>
  <c r="ACW30"/>
  <c r="ACW31"/>
  <c r="ACW32"/>
  <c r="ACW33"/>
  <c r="ACW34"/>
  <c r="ACW35"/>
  <c r="ACW36"/>
  <c r="ACW37"/>
  <c r="ACW38"/>
  <c r="ACW39"/>
  <c r="ACW40"/>
  <c r="ACW41"/>
  <c r="ACW42"/>
  <c r="ACW43"/>
  <c r="ACW44"/>
  <c r="ACW45"/>
  <c r="ACW46"/>
  <c r="ACW47"/>
  <c r="ACW48"/>
  <c r="ACW49"/>
  <c r="ACW50"/>
  <c r="ACW51"/>
  <c r="ACW52"/>
  <c r="ACW53"/>
  <c r="ACW54"/>
  <c r="ACW55"/>
  <c r="ACW56"/>
  <c r="ACW57"/>
  <c r="ACW58"/>
  <c r="ACW59"/>
  <c r="ACW60"/>
  <c r="ACW61"/>
  <c r="ACW62"/>
  <c r="ACW63"/>
  <c r="ACW64"/>
  <c r="ACW65"/>
  <c r="ACW66"/>
  <c r="ACW67"/>
  <c r="ACW68"/>
  <c r="ACW69"/>
  <c r="ACW70"/>
  <c r="ACW71"/>
  <c r="ACW72"/>
  <c r="ACW73"/>
  <c r="ACW74"/>
  <c r="ACW75"/>
  <c r="ACW76"/>
  <c r="ACW77"/>
  <c r="ACW78"/>
  <c r="ACW79"/>
  <c r="ACW80"/>
  <c r="ACW81"/>
  <c r="ACZ81"/>
  <c r="ACY81"/>
  <c r="ACX81"/>
  <c r="ACS81"/>
  <c r="ACR81"/>
  <c r="ACQ81"/>
  <c r="ACP81"/>
  <c r="ACZ80"/>
  <c r="ACY80"/>
  <c r="ACX80"/>
  <c r="ACS80"/>
  <c r="ACR80"/>
  <c r="ACQ80"/>
  <c r="ACP80"/>
  <c r="ACZ79"/>
  <c r="ACY79"/>
  <c r="ACX79"/>
  <c r="ACS79"/>
  <c r="ACR79"/>
  <c r="ACQ79"/>
  <c r="ACP79"/>
  <c r="ACZ78"/>
  <c r="ACY78"/>
  <c r="ACX78"/>
  <c r="ACS78"/>
  <c r="ACR78"/>
  <c r="ACQ78"/>
  <c r="ACP78"/>
  <c r="ACZ77"/>
  <c r="ACY77"/>
  <c r="ACX77"/>
  <c r="ACS77"/>
  <c r="ACR77"/>
  <c r="ACQ77"/>
  <c r="ACP77"/>
  <c r="ACZ76"/>
  <c r="ACY76"/>
  <c r="ACX76"/>
  <c r="ACS76"/>
  <c r="ACR76"/>
  <c r="ACQ76"/>
  <c r="ACP76"/>
  <c r="ACZ75"/>
  <c r="ACY75"/>
  <c r="ACX75"/>
  <c r="ACS75"/>
  <c r="ACR75"/>
  <c r="ACQ75"/>
  <c r="ACP75"/>
  <c r="ACZ74"/>
  <c r="ACY74"/>
  <c r="ACX74"/>
  <c r="ACS74"/>
  <c r="ACR74"/>
  <c r="ACQ74"/>
  <c r="ACP74"/>
  <c r="ACZ73"/>
  <c r="ACY73"/>
  <c r="ACX73"/>
  <c r="ACS73"/>
  <c r="ACR73"/>
  <c r="ACQ73"/>
  <c r="ACP73"/>
  <c r="ACZ72"/>
  <c r="ACY72"/>
  <c r="ACX72"/>
  <c r="ACS72"/>
  <c r="ACR72"/>
  <c r="ACQ72"/>
  <c r="ACP72"/>
  <c r="ACZ71"/>
  <c r="ACY71"/>
  <c r="ACX71"/>
  <c r="ACS71"/>
  <c r="ACR71"/>
  <c r="ACQ71"/>
  <c r="ACP71"/>
  <c r="ACZ70"/>
  <c r="ACY70"/>
  <c r="ACX70"/>
  <c r="ACS70"/>
  <c r="ACR70"/>
  <c r="ACQ70"/>
  <c r="ACP70"/>
  <c r="ACZ69"/>
  <c r="ACY69"/>
  <c r="ACX69"/>
  <c r="ACS69"/>
  <c r="ACR69"/>
  <c r="ACQ69"/>
  <c r="ACP69"/>
  <c r="ACZ68"/>
  <c r="ACY68"/>
  <c r="ACX68"/>
  <c r="ACS68"/>
  <c r="ACR68"/>
  <c r="ACQ68"/>
  <c r="ACP68"/>
  <c r="ACZ67"/>
  <c r="ACY67"/>
  <c r="ACX67"/>
  <c r="ACS67"/>
  <c r="ACR67"/>
  <c r="ACQ67"/>
  <c r="ACP67"/>
  <c r="ACZ66"/>
  <c r="ACY66"/>
  <c r="ACX66"/>
  <c r="ACS66"/>
  <c r="ACR66"/>
  <c r="ACQ66"/>
  <c r="ACP66"/>
  <c r="ACZ65"/>
  <c r="ACY65"/>
  <c r="ACX65"/>
  <c r="ACS65"/>
  <c r="ACR65"/>
  <c r="ACQ65"/>
  <c r="ACP65"/>
  <c r="ACZ64"/>
  <c r="ACY64"/>
  <c r="ACX64"/>
  <c r="ACS64"/>
  <c r="ACR64"/>
  <c r="ACQ64"/>
  <c r="ACP64"/>
  <c r="ACZ63"/>
  <c r="ACY63"/>
  <c r="ACX63"/>
  <c r="ACS63"/>
  <c r="ACR63"/>
  <c r="ACQ63"/>
  <c r="ACP63"/>
  <c r="ACZ62"/>
  <c r="ACY62"/>
  <c r="ACX62"/>
  <c r="ACS62"/>
  <c r="ACR62"/>
  <c r="ACQ62"/>
  <c r="ACP62"/>
  <c r="ACZ61"/>
  <c r="ACY61"/>
  <c r="ACX61"/>
  <c r="ACS61"/>
  <c r="ACR61"/>
  <c r="ACQ61"/>
  <c r="ACP61"/>
  <c r="ACZ60"/>
  <c r="ACY60"/>
  <c r="ACX60"/>
  <c r="ACS60"/>
  <c r="ACR60"/>
  <c r="ACQ60"/>
  <c r="ACP60"/>
  <c r="ACZ59"/>
  <c r="ACY59"/>
  <c r="ACX59"/>
  <c r="ACS59"/>
  <c r="ACR59"/>
  <c r="ACQ59"/>
  <c r="ACP59"/>
  <c r="ACZ58"/>
  <c r="ACY58"/>
  <c r="ACX58"/>
  <c r="ACS58"/>
  <c r="ACR58"/>
  <c r="ACQ58"/>
  <c r="ACP58"/>
  <c r="ACZ57"/>
  <c r="ACY57"/>
  <c r="ACX57"/>
  <c r="ACS57"/>
  <c r="ACR57"/>
  <c r="ACQ57"/>
  <c r="ACP57"/>
  <c r="ACZ56"/>
  <c r="ACY56"/>
  <c r="ACX56"/>
  <c r="ACS56"/>
  <c r="ACR56"/>
  <c r="ACQ56"/>
  <c r="ACP56"/>
  <c r="ACZ55"/>
  <c r="ACY55"/>
  <c r="ACX55"/>
  <c r="ACS55"/>
  <c r="ACR55"/>
  <c r="ACQ55"/>
  <c r="ACP55"/>
  <c r="ACZ54"/>
  <c r="ACY54"/>
  <c r="ACX54"/>
  <c r="ACS54"/>
  <c r="ACR54"/>
  <c r="ACQ54"/>
  <c r="ACP54"/>
  <c r="ACZ53"/>
  <c r="ACY53"/>
  <c r="ACX53"/>
  <c r="ACS53"/>
  <c r="ACR53"/>
  <c r="ACQ53"/>
  <c r="ACP53"/>
  <c r="ACZ52"/>
  <c r="ACY52"/>
  <c r="ACX52"/>
  <c r="ACS52"/>
  <c r="ACR52"/>
  <c r="ACQ52"/>
  <c r="ACP52"/>
  <c r="ACZ51"/>
  <c r="ACY51"/>
  <c r="ACX51"/>
  <c r="ACS51"/>
  <c r="ACR51"/>
  <c r="ACQ51"/>
  <c r="ACP51"/>
  <c r="ACZ50"/>
  <c r="ACY50"/>
  <c r="ACX50"/>
  <c r="ACS50"/>
  <c r="ACR50"/>
  <c r="ACQ50"/>
  <c r="ACP50"/>
  <c r="ACZ49"/>
  <c r="ACY49"/>
  <c r="ACX49"/>
  <c r="ACS49"/>
  <c r="ACR49"/>
  <c r="ACQ49"/>
  <c r="ACP49"/>
  <c r="ACZ48"/>
  <c r="ACY48"/>
  <c r="ACX48"/>
  <c r="ACS48"/>
  <c r="ACR48"/>
  <c r="ACQ48"/>
  <c r="ACP48"/>
  <c r="ACZ47"/>
  <c r="ACY47"/>
  <c r="ACX47"/>
  <c r="ACS47"/>
  <c r="ACR47"/>
  <c r="ACQ47"/>
  <c r="ACP47"/>
  <c r="ACZ46"/>
  <c r="ACY46"/>
  <c r="ACX46"/>
  <c r="ACS46"/>
  <c r="ACR46"/>
  <c r="ACQ46"/>
  <c r="ACP46"/>
  <c r="ACZ45"/>
  <c r="ACY45"/>
  <c r="ACX45"/>
  <c r="ACS45"/>
  <c r="ACR45"/>
  <c r="ACQ45"/>
  <c r="ACP45"/>
  <c r="ACZ44"/>
  <c r="ACY44"/>
  <c r="ACX44"/>
  <c r="ACS44"/>
  <c r="ACR44"/>
  <c r="ACQ44"/>
  <c r="ACP44"/>
  <c r="ACZ43"/>
  <c r="ACY43"/>
  <c r="ACX43"/>
  <c r="ACS43"/>
  <c r="ACR43"/>
  <c r="ACQ43"/>
  <c r="ACP43"/>
  <c r="ACZ42"/>
  <c r="ACY42"/>
  <c r="ACX42"/>
  <c r="ACS42"/>
  <c r="ACR42"/>
  <c r="ACQ42"/>
  <c r="ACP42"/>
  <c r="ACZ41"/>
  <c r="ACY41"/>
  <c r="ACX41"/>
  <c r="ACS41"/>
  <c r="ACR41"/>
  <c r="ACQ41"/>
  <c r="ACP41"/>
  <c r="ACZ40"/>
  <c r="ACY40"/>
  <c r="ACX40"/>
  <c r="ACS40"/>
  <c r="ACR40"/>
  <c r="ACQ40"/>
  <c r="ACP40"/>
  <c r="ACZ39"/>
  <c r="ACY39"/>
  <c r="ACX39"/>
  <c r="ACS39"/>
  <c r="ACR39"/>
  <c r="ACQ39"/>
  <c r="ACP39"/>
  <c r="ACZ38"/>
  <c r="ACY38"/>
  <c r="ACX38"/>
  <c r="ACS38"/>
  <c r="ACR38"/>
  <c r="ACQ38"/>
  <c r="ACP38"/>
  <c r="ACZ37"/>
  <c r="ACY37"/>
  <c r="ACX37"/>
  <c r="ACS37"/>
  <c r="ACR37"/>
  <c r="ACQ37"/>
  <c r="ACP37"/>
  <c r="ACZ36"/>
  <c r="ACY36"/>
  <c r="ACX36"/>
  <c r="ACS36"/>
  <c r="ACR36"/>
  <c r="ACQ36"/>
  <c r="ACP36"/>
  <c r="ACZ35"/>
  <c r="ACY35"/>
  <c r="ACX35"/>
  <c r="ACS35"/>
  <c r="ACR35"/>
  <c r="ACQ35"/>
  <c r="ACP35"/>
  <c r="ACZ34"/>
  <c r="ACY34"/>
  <c r="ACX34"/>
  <c r="ACS34"/>
  <c r="ACR34"/>
  <c r="ACQ34"/>
  <c r="ACP34"/>
  <c r="ACZ33"/>
  <c r="ACY33"/>
  <c r="ACX33"/>
  <c r="ACS33"/>
  <c r="ACR33"/>
  <c r="ACQ33"/>
  <c r="ACP33"/>
  <c r="ACZ32"/>
  <c r="ACY32"/>
  <c r="ACX32"/>
  <c r="ACS32"/>
  <c r="ACR32"/>
  <c r="ACQ32"/>
  <c r="ACP32"/>
  <c r="ACZ31"/>
  <c r="ACY31"/>
  <c r="ACX31"/>
  <c r="ACS31"/>
  <c r="ACR31"/>
  <c r="ACQ31"/>
  <c r="ACP31"/>
  <c r="ACZ30"/>
  <c r="ACY30"/>
  <c r="ACX30"/>
  <c r="ACS30"/>
  <c r="ACR30"/>
  <c r="ACQ30"/>
  <c r="ACP30"/>
  <c r="ACZ29"/>
  <c r="ACY29"/>
  <c r="ACX29"/>
  <c r="ACS29"/>
  <c r="ACR29"/>
  <c r="ACQ29"/>
  <c r="ACP29"/>
  <c r="ACZ28"/>
  <c r="ACY28"/>
  <c r="ACX28"/>
  <c r="ACS28"/>
  <c r="ACR28"/>
  <c r="ACQ28"/>
  <c r="ACP28"/>
  <c r="ACZ27"/>
  <c r="ACY27"/>
  <c r="ACX27"/>
  <c r="ACS27"/>
  <c r="ACR27"/>
  <c r="ACQ27"/>
  <c r="ACP27"/>
  <c r="ACZ26"/>
  <c r="ACY26"/>
  <c r="ACX26"/>
  <c r="ACS26"/>
  <c r="ACR26"/>
  <c r="ACQ26"/>
  <c r="ACP26"/>
  <c r="ACZ25"/>
  <c r="ACY25"/>
  <c r="ACX25"/>
  <c r="ACS25"/>
  <c r="ACR25"/>
  <c r="ACQ25"/>
  <c r="ACP25"/>
  <c r="ACZ24"/>
  <c r="ACY24"/>
  <c r="ACX24"/>
  <c r="ACS24"/>
  <c r="ACR24"/>
  <c r="ACQ24"/>
  <c r="ACP24"/>
  <c r="ACZ23"/>
  <c r="ACY23"/>
  <c r="ACX23"/>
  <c r="ACS23"/>
  <c r="ACR23"/>
  <c r="ACQ23"/>
  <c r="ACP23"/>
  <c r="ACZ22"/>
  <c r="ACY22"/>
  <c r="ACX22"/>
  <c r="ACS22"/>
  <c r="ACR22"/>
  <c r="ACQ22"/>
  <c r="ACP22"/>
  <c r="ACZ21"/>
  <c r="ACY21"/>
  <c r="ACX21"/>
  <c r="ACS21"/>
  <c r="ACR21"/>
  <c r="ACQ21"/>
  <c r="ACP21"/>
  <c r="ACZ20"/>
  <c r="ACY20"/>
  <c r="ACX20"/>
  <c r="ACS20"/>
  <c r="ACR20"/>
  <c r="ACQ20"/>
  <c r="ACP20"/>
  <c r="ACZ19"/>
  <c r="ACY19"/>
  <c r="ACX19"/>
  <c r="ACS19"/>
  <c r="ACR19"/>
  <c r="ACQ19"/>
  <c r="ACP19"/>
  <c r="ACZ18"/>
  <c r="ACY18"/>
  <c r="ACX18"/>
  <c r="ACS18"/>
  <c r="ACR18"/>
  <c r="ACQ18"/>
  <c r="ACP18"/>
  <c r="ACZ17"/>
  <c r="ACY17"/>
  <c r="ACX17"/>
  <c r="ACS17"/>
  <c r="ACR17"/>
  <c r="ACQ17"/>
  <c r="ACP17"/>
  <c r="ACZ16"/>
  <c r="ACY16"/>
  <c r="ACX16"/>
  <c r="ACS16"/>
  <c r="ACR16"/>
  <c r="ACQ16"/>
  <c r="ACP16"/>
  <c r="ACZ15"/>
  <c r="ACY15"/>
  <c r="ACX15"/>
  <c r="ACS15"/>
  <c r="ACR15"/>
  <c r="ACQ15"/>
  <c r="ACP15"/>
  <c r="ACZ14"/>
  <c r="ACY14"/>
  <c r="ACX14"/>
  <c r="ACS14"/>
  <c r="ACR14"/>
  <c r="ACQ14"/>
  <c r="ACP14"/>
  <c r="ACZ13"/>
  <c r="ACY13"/>
  <c r="ACX13"/>
  <c r="ACS13"/>
  <c r="ACR13"/>
  <c r="ACQ13"/>
  <c r="ACP13"/>
  <c r="ACZ12"/>
  <c r="ACY12"/>
  <c r="ACX12"/>
  <c r="ACS12"/>
  <c r="ACR12"/>
  <c r="ACQ12"/>
  <c r="ACP12"/>
  <c r="ACZ11"/>
  <c r="ACY11"/>
  <c r="ACX11"/>
  <c r="ACS11"/>
  <c r="ACR11"/>
  <c r="ACQ11"/>
  <c r="ACP11"/>
  <c r="ACZ10"/>
  <c r="ACY10"/>
  <c r="ACX10"/>
  <c r="ACS10"/>
  <c r="ACR10"/>
  <c r="ACQ10"/>
  <c r="ACP10"/>
  <c r="ACZ9"/>
  <c r="ACY9"/>
  <c r="ACX9"/>
  <c r="ACS9"/>
  <c r="ACR9"/>
  <c r="ACQ9"/>
  <c r="ACP9"/>
  <c r="ACZ8"/>
  <c r="ACY8"/>
  <c r="ACX8"/>
  <c r="ACS8"/>
  <c r="ACR8"/>
  <c r="ACQ8"/>
  <c r="ACP8"/>
  <c r="ACZ7"/>
  <c r="ACY7"/>
  <c r="ACX7"/>
  <c r="ACS7"/>
  <c r="ACR7"/>
  <c r="ACQ7"/>
  <c r="ACP7"/>
  <c r="ACZ6"/>
  <c r="ACY6"/>
  <c r="ACX6"/>
  <c r="ACS6"/>
  <c r="ACR6"/>
  <c r="ACQ6"/>
  <c r="ACP6"/>
  <c r="ACZ5"/>
  <c r="ACY5"/>
  <c r="ACX5"/>
  <c r="ACR5"/>
  <c r="ACQ5"/>
  <c r="ACP5"/>
  <c r="ACG6"/>
  <c r="ACH6"/>
  <c r="ACI6"/>
  <c r="ACG7"/>
  <c r="ACH7"/>
  <c r="ACI7"/>
  <c r="ACG8"/>
  <c r="ACH8"/>
  <c r="ACI8"/>
  <c r="ACG9"/>
  <c r="ACH9"/>
  <c r="ACI9"/>
  <c r="ACG10"/>
  <c r="ACH10"/>
  <c r="ACI10"/>
  <c r="ACG11"/>
  <c r="ACH11"/>
  <c r="ACI11"/>
  <c r="ACG12"/>
  <c r="ACH12"/>
  <c r="ACI12"/>
  <c r="ACG13"/>
  <c r="ACH13"/>
  <c r="ACI13"/>
  <c r="ACG14"/>
  <c r="ACH14"/>
  <c r="ACI14"/>
  <c r="ACG15"/>
  <c r="ACH15"/>
  <c r="ACI15"/>
  <c r="ACG16"/>
  <c r="ACH16"/>
  <c r="ACI16"/>
  <c r="ACG17"/>
  <c r="ACH17"/>
  <c r="ACI17"/>
  <c r="ACG18"/>
  <c r="ACH18"/>
  <c r="ACI18"/>
  <c r="ACG19"/>
  <c r="ACH19"/>
  <c r="ACI19"/>
  <c r="ACG20"/>
  <c r="ACH20"/>
  <c r="ACI20"/>
  <c r="ACG21"/>
  <c r="ACH21"/>
  <c r="ACI21"/>
  <c r="ACG22"/>
  <c r="ACH22"/>
  <c r="ACI22"/>
  <c r="ACG23"/>
  <c r="ACH23"/>
  <c r="ACI23"/>
  <c r="ACG24"/>
  <c r="ACH24"/>
  <c r="ACI24"/>
  <c r="ACG25"/>
  <c r="ACH25"/>
  <c r="ACI25"/>
  <c r="ACG26"/>
  <c r="ACH26"/>
  <c r="ACI26"/>
  <c r="ACG27"/>
  <c r="ACH27"/>
  <c r="ACI27"/>
  <c r="ACG28"/>
  <c r="ACH28"/>
  <c r="ACI28"/>
  <c r="ACG29"/>
  <c r="ACH29"/>
  <c r="ACI29"/>
  <c r="ACG30"/>
  <c r="ACH30"/>
  <c r="ACI30"/>
  <c r="ACG31"/>
  <c r="ACH31"/>
  <c r="ACI31"/>
  <c r="ACG32"/>
  <c r="ACH32"/>
  <c r="ACI32"/>
  <c r="ACG33"/>
  <c r="ACH33"/>
  <c r="ACI33"/>
  <c r="ACG34"/>
  <c r="ACH34"/>
  <c r="ACI34"/>
  <c r="ACG35"/>
  <c r="ACH35"/>
  <c r="ACI35"/>
  <c r="ACG36"/>
  <c r="ACH36"/>
  <c r="ACI36"/>
  <c r="ACG37"/>
  <c r="ACH37"/>
  <c r="ACI37"/>
  <c r="ACG38"/>
  <c r="ACH38"/>
  <c r="ACI38"/>
  <c r="ACG39"/>
  <c r="ACH39"/>
  <c r="ACI39"/>
  <c r="ACG40"/>
  <c r="ACH40"/>
  <c r="ACI40"/>
  <c r="ACG41"/>
  <c r="ACH41"/>
  <c r="ACI41"/>
  <c r="ACG42"/>
  <c r="ACH42"/>
  <c r="ACI42"/>
  <c r="ACG43"/>
  <c r="ACH43"/>
  <c r="ACI43"/>
  <c r="ACG44"/>
  <c r="ACH44"/>
  <c r="ACI44"/>
  <c r="ACG45"/>
  <c r="ACH45"/>
  <c r="ACI45"/>
  <c r="ACG46"/>
  <c r="ACH46"/>
  <c r="ACI46"/>
  <c r="ACG47"/>
  <c r="ACH47"/>
  <c r="ACI47"/>
  <c r="ACG48"/>
  <c r="ACH48"/>
  <c r="ACI48"/>
  <c r="ACG49"/>
  <c r="ACH49"/>
  <c r="ACI49"/>
  <c r="ACG50"/>
  <c r="ACH50"/>
  <c r="ACI50"/>
  <c r="ACG51"/>
  <c r="ACH51"/>
  <c r="ACI51"/>
  <c r="ACG52"/>
  <c r="ACH52"/>
  <c r="ACI52"/>
  <c r="ACG53"/>
  <c r="ACH53"/>
  <c r="ACI53"/>
  <c r="ACG54"/>
  <c r="ACH54"/>
  <c r="ACI54"/>
  <c r="ACG55"/>
  <c r="ACH55"/>
  <c r="ACI55"/>
  <c r="ACG56"/>
  <c r="ACH56"/>
  <c r="ACI56"/>
  <c r="ACG57"/>
  <c r="ACH57"/>
  <c r="ACI57"/>
  <c r="ACG58"/>
  <c r="ACH58"/>
  <c r="ACI58"/>
  <c r="ACG59"/>
  <c r="ACH59"/>
  <c r="ACI59"/>
  <c r="ACG60"/>
  <c r="ACH60"/>
  <c r="ACI60"/>
  <c r="ACG61"/>
  <c r="ACH61"/>
  <c r="ACI61"/>
  <c r="ACG62"/>
  <c r="ACH62"/>
  <c r="ACI62"/>
  <c r="ACG63"/>
  <c r="ACH63"/>
  <c r="ACI63"/>
  <c r="ACG64"/>
  <c r="ACH64"/>
  <c r="ACI64"/>
  <c r="ACG65"/>
  <c r="ACH65"/>
  <c r="ACI65"/>
  <c r="ACG66"/>
  <c r="ACH66"/>
  <c r="ACI66"/>
  <c r="ACG67"/>
  <c r="ACH67"/>
  <c r="ACI67"/>
  <c r="ACG68"/>
  <c r="ACH68"/>
  <c r="ACI68"/>
  <c r="ACG69"/>
  <c r="ACH69"/>
  <c r="ACI69"/>
  <c r="ACG70"/>
  <c r="ACH70"/>
  <c r="ACI70"/>
  <c r="ACG71"/>
  <c r="ACH71"/>
  <c r="ACI71"/>
  <c r="ACG72"/>
  <c r="ACH72"/>
  <c r="ACI72"/>
  <c r="ACG73"/>
  <c r="ACH73"/>
  <c r="ACI73"/>
  <c r="ACG74"/>
  <c r="ACH74"/>
  <c r="ACI74"/>
  <c r="ACG75"/>
  <c r="ACH75"/>
  <c r="ACI75"/>
  <c r="ACG76"/>
  <c r="ACH76"/>
  <c r="ACI76"/>
  <c r="ACG77"/>
  <c r="ACH77"/>
  <c r="ACI77"/>
  <c r="ACG78"/>
  <c r="ACH78"/>
  <c r="ACI78"/>
  <c r="ACG79"/>
  <c r="ACH79"/>
  <c r="ACI79"/>
  <c r="ACG80"/>
  <c r="ACH80"/>
  <c r="ACI80"/>
  <c r="ACG81"/>
  <c r="ACH81"/>
  <c r="ACI81"/>
  <c r="ACG82"/>
  <c r="ACH82"/>
  <c r="ACI82"/>
  <c r="ACG83"/>
  <c r="ACH83"/>
  <c r="ACI83"/>
  <c r="ACG84"/>
  <c r="ACH84"/>
  <c r="ACI84"/>
  <c r="ACG85"/>
  <c r="ACH85"/>
  <c r="ACI85"/>
  <c r="ACG86"/>
  <c r="ACH86"/>
  <c r="ACI86"/>
  <c r="ACI5"/>
  <c r="ACG5"/>
  <c r="ACH5"/>
  <c r="ACF5"/>
  <c r="ACM86"/>
  <c r="ACL86"/>
  <c r="ACK86"/>
  <c r="ACJ86"/>
  <c r="ACF86"/>
  <c r="ACE86"/>
  <c r="ACD86"/>
  <c r="ACC86"/>
  <c r="ACM85"/>
  <c r="ACL85"/>
  <c r="ACK85"/>
  <c r="ACJ85"/>
  <c r="ACF85"/>
  <c r="ACE85"/>
  <c r="ACD85"/>
  <c r="ACC85"/>
  <c r="ACM84"/>
  <c r="ACL84"/>
  <c r="ACK84"/>
  <c r="ACJ84"/>
  <c r="ACF84"/>
  <c r="ACE84"/>
  <c r="ACD84"/>
  <c r="ACC84"/>
  <c r="ACM83"/>
  <c r="ACL83"/>
  <c r="ACK83"/>
  <c r="ACJ83"/>
  <c r="ACF83"/>
  <c r="ACE83"/>
  <c r="ACD83"/>
  <c r="ACC83"/>
  <c r="ACM82"/>
  <c r="ACL82"/>
  <c r="ACK82"/>
  <c r="ACJ82"/>
  <c r="ACF82"/>
  <c r="ACE82"/>
  <c r="ACD82"/>
  <c r="ACC82"/>
  <c r="ACM81"/>
  <c r="ACL81"/>
  <c r="ACK81"/>
  <c r="ACJ81"/>
  <c r="ACF81"/>
  <c r="ACE81"/>
  <c r="ACD81"/>
  <c r="ACC81"/>
  <c r="ACM80"/>
  <c r="ACL80"/>
  <c r="ACK80"/>
  <c r="ACJ80"/>
  <c r="ACF80"/>
  <c r="ACE80"/>
  <c r="ACD80"/>
  <c r="ACC80"/>
  <c r="ACM79"/>
  <c r="ACL79"/>
  <c r="ACK79"/>
  <c r="ACJ79"/>
  <c r="ACF79"/>
  <c r="ACE79"/>
  <c r="ACD79"/>
  <c r="ACC79"/>
  <c r="ACM78"/>
  <c r="ACL78"/>
  <c r="ACK78"/>
  <c r="ACJ78"/>
  <c r="ACF78"/>
  <c r="ACE78"/>
  <c r="ACD78"/>
  <c r="ACC78"/>
  <c r="ACM77"/>
  <c r="ACL77"/>
  <c r="ACK77"/>
  <c r="ACJ77"/>
  <c r="ACF77"/>
  <c r="ACE77"/>
  <c r="ACD77"/>
  <c r="ACC77"/>
  <c r="ACM76"/>
  <c r="ACL76"/>
  <c r="ACK76"/>
  <c r="ACJ76"/>
  <c r="ACF76"/>
  <c r="ACE76"/>
  <c r="ACD76"/>
  <c r="ACC76"/>
  <c r="ACM75"/>
  <c r="ACL75"/>
  <c r="ACK75"/>
  <c r="ACJ75"/>
  <c r="ACF75"/>
  <c r="ACE75"/>
  <c r="ACD75"/>
  <c r="ACC75"/>
  <c r="ACM74"/>
  <c r="ACL74"/>
  <c r="ACK74"/>
  <c r="ACJ74"/>
  <c r="ACF74"/>
  <c r="ACE74"/>
  <c r="ACD74"/>
  <c r="ACC74"/>
  <c r="ACM73"/>
  <c r="ACL73"/>
  <c r="ACK73"/>
  <c r="ACJ73"/>
  <c r="ACF73"/>
  <c r="ACE73"/>
  <c r="ACD73"/>
  <c r="ACC73"/>
  <c r="ACM72"/>
  <c r="ACL72"/>
  <c r="ACK72"/>
  <c r="ACJ72"/>
  <c r="ACF72"/>
  <c r="ACE72"/>
  <c r="ACD72"/>
  <c r="ACC72"/>
  <c r="ACM71"/>
  <c r="ACL71"/>
  <c r="ACK71"/>
  <c r="ACJ71"/>
  <c r="ACF71"/>
  <c r="ACE71"/>
  <c r="ACD71"/>
  <c r="ACC71"/>
  <c r="ACM70"/>
  <c r="ACL70"/>
  <c r="ACK70"/>
  <c r="ACJ70"/>
  <c r="ACF70"/>
  <c r="ACE70"/>
  <c r="ACD70"/>
  <c r="ACC70"/>
  <c r="ACM69"/>
  <c r="ACL69"/>
  <c r="ACK69"/>
  <c r="ACJ69"/>
  <c r="ACF69"/>
  <c r="ACE69"/>
  <c r="ACD69"/>
  <c r="ACC69"/>
  <c r="ACM68"/>
  <c r="ACL68"/>
  <c r="ACK68"/>
  <c r="ACJ68"/>
  <c r="ACF68"/>
  <c r="ACE68"/>
  <c r="ACD68"/>
  <c r="ACC68"/>
  <c r="ACM67"/>
  <c r="ACL67"/>
  <c r="ACK67"/>
  <c r="ACJ67"/>
  <c r="ACF67"/>
  <c r="ACE67"/>
  <c r="ACD67"/>
  <c r="ACC67"/>
  <c r="ACM66"/>
  <c r="ACL66"/>
  <c r="ACK66"/>
  <c r="ACJ66"/>
  <c r="ACF66"/>
  <c r="ACE66"/>
  <c r="ACD66"/>
  <c r="ACC66"/>
  <c r="ACM65"/>
  <c r="ACL65"/>
  <c r="ACK65"/>
  <c r="ACJ65"/>
  <c r="ACF65"/>
  <c r="ACE65"/>
  <c r="ACD65"/>
  <c r="ACC65"/>
  <c r="ACM64"/>
  <c r="ACL64"/>
  <c r="ACK64"/>
  <c r="ACJ64"/>
  <c r="ACF64"/>
  <c r="ACE64"/>
  <c r="ACD64"/>
  <c r="ACC64"/>
  <c r="ACM63"/>
  <c r="ACL63"/>
  <c r="ACK63"/>
  <c r="ACJ63"/>
  <c r="ACF63"/>
  <c r="ACE63"/>
  <c r="ACD63"/>
  <c r="ACC63"/>
  <c r="ACM62"/>
  <c r="ACL62"/>
  <c r="ACK62"/>
  <c r="ACJ62"/>
  <c r="ACF62"/>
  <c r="ACE62"/>
  <c r="ACD62"/>
  <c r="ACC62"/>
  <c r="ACM61"/>
  <c r="ACL61"/>
  <c r="ACK61"/>
  <c r="ACJ61"/>
  <c r="ACF61"/>
  <c r="ACE61"/>
  <c r="ACD61"/>
  <c r="ACC61"/>
  <c r="ACM60"/>
  <c r="ACL60"/>
  <c r="ACK60"/>
  <c r="ACJ60"/>
  <c r="ACF60"/>
  <c r="ACE60"/>
  <c r="ACD60"/>
  <c r="ACC60"/>
  <c r="ACM59"/>
  <c r="ACL59"/>
  <c r="ACK59"/>
  <c r="ACJ59"/>
  <c r="ACF59"/>
  <c r="ACE59"/>
  <c r="ACD59"/>
  <c r="ACC59"/>
  <c r="ACM58"/>
  <c r="ACL58"/>
  <c r="ACK58"/>
  <c r="ACJ58"/>
  <c r="ACF58"/>
  <c r="ACE58"/>
  <c r="ACD58"/>
  <c r="ACC58"/>
  <c r="ACM57"/>
  <c r="ACL57"/>
  <c r="ACK57"/>
  <c r="ACJ57"/>
  <c r="ACF57"/>
  <c r="ACE57"/>
  <c r="ACD57"/>
  <c r="ACC57"/>
  <c r="ACM56"/>
  <c r="ACL56"/>
  <c r="ACK56"/>
  <c r="ACJ56"/>
  <c r="ACF56"/>
  <c r="ACE56"/>
  <c r="ACD56"/>
  <c r="ACC56"/>
  <c r="ACM55"/>
  <c r="ACL55"/>
  <c r="ACK55"/>
  <c r="ACJ55"/>
  <c r="ACF55"/>
  <c r="ACE55"/>
  <c r="ACD55"/>
  <c r="ACC55"/>
  <c r="ACM54"/>
  <c r="ACL54"/>
  <c r="ACK54"/>
  <c r="ACJ54"/>
  <c r="ACF54"/>
  <c r="ACE54"/>
  <c r="ACD54"/>
  <c r="ACC54"/>
  <c r="ACM53"/>
  <c r="ACL53"/>
  <c r="ACK53"/>
  <c r="ACJ53"/>
  <c r="ACF53"/>
  <c r="ACE53"/>
  <c r="ACD53"/>
  <c r="ACC53"/>
  <c r="ACM52"/>
  <c r="ACL52"/>
  <c r="ACK52"/>
  <c r="ACJ52"/>
  <c r="ACF52"/>
  <c r="ACE52"/>
  <c r="ACD52"/>
  <c r="ACC52"/>
  <c r="ACM51"/>
  <c r="ACL51"/>
  <c r="ACK51"/>
  <c r="ACJ51"/>
  <c r="ACF51"/>
  <c r="ACE51"/>
  <c r="ACD51"/>
  <c r="ACC51"/>
  <c r="ACM50"/>
  <c r="ACL50"/>
  <c r="ACK50"/>
  <c r="ACJ50"/>
  <c r="ACF50"/>
  <c r="ACE50"/>
  <c r="ACD50"/>
  <c r="ACC50"/>
  <c r="ACM49"/>
  <c r="ACL49"/>
  <c r="ACK49"/>
  <c r="ACJ49"/>
  <c r="ACF49"/>
  <c r="ACE49"/>
  <c r="ACD49"/>
  <c r="ACC49"/>
  <c r="ACM48"/>
  <c r="ACL48"/>
  <c r="ACK48"/>
  <c r="ACJ48"/>
  <c r="ACF48"/>
  <c r="ACE48"/>
  <c r="ACD48"/>
  <c r="ACC48"/>
  <c r="ACM47"/>
  <c r="ACL47"/>
  <c r="ACK47"/>
  <c r="ACJ47"/>
  <c r="ACF47"/>
  <c r="ACE47"/>
  <c r="ACD47"/>
  <c r="ACC47"/>
  <c r="ACM46"/>
  <c r="ACL46"/>
  <c r="ACK46"/>
  <c r="ACJ46"/>
  <c r="ACF46"/>
  <c r="ACE46"/>
  <c r="ACD46"/>
  <c r="ACC46"/>
  <c r="ACM45"/>
  <c r="ACL45"/>
  <c r="ACK45"/>
  <c r="ACJ45"/>
  <c r="ACF45"/>
  <c r="ACE45"/>
  <c r="ACD45"/>
  <c r="ACC45"/>
  <c r="ACM44"/>
  <c r="ACL44"/>
  <c r="ACK44"/>
  <c r="ACJ44"/>
  <c r="ACF44"/>
  <c r="ACE44"/>
  <c r="ACD44"/>
  <c r="ACC44"/>
  <c r="ACM43"/>
  <c r="ACL43"/>
  <c r="ACK43"/>
  <c r="ACJ43"/>
  <c r="ACF43"/>
  <c r="ACE43"/>
  <c r="ACD43"/>
  <c r="ACC43"/>
  <c r="ACM42"/>
  <c r="ACL42"/>
  <c r="ACK42"/>
  <c r="ACJ42"/>
  <c r="ACF42"/>
  <c r="ACE42"/>
  <c r="ACD42"/>
  <c r="ACC42"/>
  <c r="ACM41"/>
  <c r="ACL41"/>
  <c r="ACK41"/>
  <c r="ACJ41"/>
  <c r="ACF41"/>
  <c r="ACE41"/>
  <c r="ACD41"/>
  <c r="ACC41"/>
  <c r="ACM40"/>
  <c r="ACL40"/>
  <c r="ACK40"/>
  <c r="ACJ40"/>
  <c r="ACF40"/>
  <c r="ACE40"/>
  <c r="ACD40"/>
  <c r="ACC40"/>
  <c r="ACM39"/>
  <c r="ACL39"/>
  <c r="ACK39"/>
  <c r="ACJ39"/>
  <c r="ACF39"/>
  <c r="ACE39"/>
  <c r="ACD39"/>
  <c r="ACC39"/>
  <c r="ACM38"/>
  <c r="ACL38"/>
  <c r="ACK38"/>
  <c r="ACJ38"/>
  <c r="ACF38"/>
  <c r="ACE38"/>
  <c r="ACD38"/>
  <c r="ACC38"/>
  <c r="ACM37"/>
  <c r="ACL37"/>
  <c r="ACK37"/>
  <c r="ACJ37"/>
  <c r="ACF37"/>
  <c r="ACE37"/>
  <c r="ACD37"/>
  <c r="ACC37"/>
  <c r="ACM36"/>
  <c r="ACL36"/>
  <c r="ACK36"/>
  <c r="ACJ36"/>
  <c r="ACF36"/>
  <c r="ACE36"/>
  <c r="ACD36"/>
  <c r="ACC36"/>
  <c r="ACM35"/>
  <c r="ACL35"/>
  <c r="ACK35"/>
  <c r="ACJ35"/>
  <c r="ACF35"/>
  <c r="ACE35"/>
  <c r="ACD35"/>
  <c r="ACC35"/>
  <c r="ACM34"/>
  <c r="ACL34"/>
  <c r="ACK34"/>
  <c r="ACJ34"/>
  <c r="ACF34"/>
  <c r="ACE34"/>
  <c r="ACD34"/>
  <c r="ACC34"/>
  <c r="ACM33"/>
  <c r="ACL33"/>
  <c r="ACK33"/>
  <c r="ACJ33"/>
  <c r="ACF33"/>
  <c r="ACE33"/>
  <c r="ACD33"/>
  <c r="ACC33"/>
  <c r="ACM32"/>
  <c r="ACL32"/>
  <c r="ACK32"/>
  <c r="ACJ32"/>
  <c r="ACF32"/>
  <c r="ACE32"/>
  <c r="ACD32"/>
  <c r="ACC32"/>
  <c r="ACM31"/>
  <c r="ACL31"/>
  <c r="ACK31"/>
  <c r="ACJ31"/>
  <c r="ACF31"/>
  <c r="ACE31"/>
  <c r="ACD31"/>
  <c r="ACC31"/>
  <c r="ACM30"/>
  <c r="ACL30"/>
  <c r="ACK30"/>
  <c r="ACJ30"/>
  <c r="ACF30"/>
  <c r="ACE30"/>
  <c r="ACD30"/>
  <c r="ACC30"/>
  <c r="ACM29"/>
  <c r="ACL29"/>
  <c r="ACK29"/>
  <c r="ACJ29"/>
  <c r="ACF29"/>
  <c r="ACE29"/>
  <c r="ACD29"/>
  <c r="ACC29"/>
  <c r="ACM28"/>
  <c r="ACL28"/>
  <c r="ACK28"/>
  <c r="ACJ28"/>
  <c r="ACF28"/>
  <c r="ACE28"/>
  <c r="ACD28"/>
  <c r="ACC28"/>
  <c r="ACM27"/>
  <c r="ACL27"/>
  <c r="ACK27"/>
  <c r="ACJ27"/>
  <c r="ACF27"/>
  <c r="ACE27"/>
  <c r="ACD27"/>
  <c r="ACC27"/>
  <c r="ACM26"/>
  <c r="ACL26"/>
  <c r="ACK26"/>
  <c r="ACJ26"/>
  <c r="ACF26"/>
  <c r="ACE26"/>
  <c r="ACD26"/>
  <c r="ACC26"/>
  <c r="ACM25"/>
  <c r="ACL25"/>
  <c r="ACK25"/>
  <c r="ACJ25"/>
  <c r="ACF25"/>
  <c r="ACE25"/>
  <c r="ACD25"/>
  <c r="ACC25"/>
  <c r="ACM24"/>
  <c r="ACL24"/>
  <c r="ACK24"/>
  <c r="ACJ24"/>
  <c r="ACF24"/>
  <c r="ACE24"/>
  <c r="ACD24"/>
  <c r="ACC24"/>
  <c r="ACM23"/>
  <c r="ACL23"/>
  <c r="ACK23"/>
  <c r="ACJ23"/>
  <c r="ACF23"/>
  <c r="ACE23"/>
  <c r="ACD23"/>
  <c r="ACC23"/>
  <c r="ACM22"/>
  <c r="ACL22"/>
  <c r="ACK22"/>
  <c r="ACJ22"/>
  <c r="ACF22"/>
  <c r="ACE22"/>
  <c r="ACD22"/>
  <c r="ACC22"/>
  <c r="ACM21"/>
  <c r="ACL21"/>
  <c r="ACK21"/>
  <c r="ACJ21"/>
  <c r="ACF21"/>
  <c r="ACE21"/>
  <c r="ACD21"/>
  <c r="ACC21"/>
  <c r="ACM20"/>
  <c r="ACL20"/>
  <c r="ACK20"/>
  <c r="ACJ20"/>
  <c r="ACF20"/>
  <c r="ACE20"/>
  <c r="ACD20"/>
  <c r="ACC20"/>
  <c r="ACM19"/>
  <c r="ACL19"/>
  <c r="ACK19"/>
  <c r="ACJ19"/>
  <c r="ACF19"/>
  <c r="ACE19"/>
  <c r="ACD19"/>
  <c r="ACC19"/>
  <c r="ACM18"/>
  <c r="ACL18"/>
  <c r="ACK18"/>
  <c r="ACJ18"/>
  <c r="ACF18"/>
  <c r="ACE18"/>
  <c r="ACD18"/>
  <c r="ACC18"/>
  <c r="ACM17"/>
  <c r="ACL17"/>
  <c r="ACK17"/>
  <c r="ACJ17"/>
  <c r="ACF17"/>
  <c r="ACE17"/>
  <c r="ACD17"/>
  <c r="ACC17"/>
  <c r="ACM16"/>
  <c r="ACL16"/>
  <c r="ACK16"/>
  <c r="ACJ16"/>
  <c r="ACF16"/>
  <c r="ACE16"/>
  <c r="ACD16"/>
  <c r="ACC16"/>
  <c r="ACM15"/>
  <c r="ACL15"/>
  <c r="ACK15"/>
  <c r="ACJ15"/>
  <c r="ACF15"/>
  <c r="ACE15"/>
  <c r="ACD15"/>
  <c r="ACC15"/>
  <c r="ACM14"/>
  <c r="ACL14"/>
  <c r="ACK14"/>
  <c r="ACJ14"/>
  <c r="ACF14"/>
  <c r="ACE14"/>
  <c r="ACD14"/>
  <c r="ACC14"/>
  <c r="ACM13"/>
  <c r="ACL13"/>
  <c r="ACK13"/>
  <c r="ACJ13"/>
  <c r="ACF13"/>
  <c r="ACE13"/>
  <c r="ACD13"/>
  <c r="ACC13"/>
  <c r="ACM12"/>
  <c r="ACL12"/>
  <c r="ACK12"/>
  <c r="ACJ12"/>
  <c r="ACF12"/>
  <c r="ACE12"/>
  <c r="ACD12"/>
  <c r="ACC12"/>
  <c r="ACM11"/>
  <c r="ACL11"/>
  <c r="ACK11"/>
  <c r="ACJ11"/>
  <c r="ACF11"/>
  <c r="ACE11"/>
  <c r="ACD11"/>
  <c r="ACC11"/>
  <c r="ACM10"/>
  <c r="ACL10"/>
  <c r="ACK10"/>
  <c r="ACJ10"/>
  <c r="ACF10"/>
  <c r="ACE10"/>
  <c r="ACD10"/>
  <c r="ACC10"/>
  <c r="ACM9"/>
  <c r="ACL9"/>
  <c r="ACK9"/>
  <c r="ACJ9"/>
  <c r="ACF9"/>
  <c r="ACE9"/>
  <c r="ACD9"/>
  <c r="ACC9"/>
  <c r="ACM8"/>
  <c r="ACL8"/>
  <c r="ACK8"/>
  <c r="ACJ8"/>
  <c r="ACF8"/>
  <c r="ACE8"/>
  <c r="ACD8"/>
  <c r="ACC8"/>
  <c r="ACM7"/>
  <c r="ACL7"/>
  <c r="ACK7"/>
  <c r="ACJ7"/>
  <c r="ACF7"/>
  <c r="ACE7"/>
  <c r="ACD7"/>
  <c r="ACC7"/>
  <c r="ACM6"/>
  <c r="ACL6"/>
  <c r="ACK6"/>
  <c r="ACJ6"/>
  <c r="ACF6"/>
  <c r="ACE6"/>
  <c r="ACD6"/>
  <c r="ACC6"/>
  <c r="ACM5"/>
  <c r="ACL5"/>
  <c r="ACK5"/>
  <c r="ACJ5"/>
  <c r="ACE5"/>
  <c r="ACD5"/>
  <c r="ACC5"/>
  <c r="ABT6"/>
  <c r="ABU6"/>
  <c r="ABV6"/>
  <c r="ABT7"/>
  <c r="ABU7"/>
  <c r="ABV7"/>
  <c r="ABT8"/>
  <c r="ABU8"/>
  <c r="ABV8"/>
  <c r="ABT9"/>
  <c r="ABU9"/>
  <c r="ABV9"/>
  <c r="ABT10"/>
  <c r="ABU10"/>
  <c r="ABV10"/>
  <c r="ABT11"/>
  <c r="ABU11"/>
  <c r="ABV11"/>
  <c r="ABT12"/>
  <c r="ABU12"/>
  <c r="ABV12"/>
  <c r="ABT13"/>
  <c r="ABU13"/>
  <c r="ABV13"/>
  <c r="ABT14"/>
  <c r="ABU14"/>
  <c r="ABV14"/>
  <c r="ABT15"/>
  <c r="ABU15"/>
  <c r="ABV15"/>
  <c r="ABT16"/>
  <c r="ABU16"/>
  <c r="ABV16"/>
  <c r="ABT17"/>
  <c r="ABU17"/>
  <c r="ABV17"/>
  <c r="ABT18"/>
  <c r="ABU18"/>
  <c r="ABV18"/>
  <c r="ABT19"/>
  <c r="ABU19"/>
  <c r="ABV19"/>
  <c r="ABT20"/>
  <c r="ABU20"/>
  <c r="ABV20"/>
  <c r="ABT21"/>
  <c r="ABU21"/>
  <c r="ABV21"/>
  <c r="ABT22"/>
  <c r="ABU22"/>
  <c r="ABV22"/>
  <c r="ABT23"/>
  <c r="ABU23"/>
  <c r="ABV23"/>
  <c r="ABT24"/>
  <c r="ABU24"/>
  <c r="ABV24"/>
  <c r="ABT25"/>
  <c r="ABU25"/>
  <c r="ABV25"/>
  <c r="ABT26"/>
  <c r="ABU26"/>
  <c r="ABV26"/>
  <c r="ABT27"/>
  <c r="ABU27"/>
  <c r="ABV27"/>
  <c r="ABT28"/>
  <c r="ABU28"/>
  <c r="ABV28"/>
  <c r="ABT29"/>
  <c r="ABU29"/>
  <c r="ABV29"/>
  <c r="ABT30"/>
  <c r="ABU30"/>
  <c r="ABV30"/>
  <c r="ABT31"/>
  <c r="ABU31"/>
  <c r="ABV31"/>
  <c r="ABT32"/>
  <c r="ABU32"/>
  <c r="ABV32"/>
  <c r="ABT33"/>
  <c r="ABU33"/>
  <c r="ABV33"/>
  <c r="ABT34"/>
  <c r="ABU34"/>
  <c r="ABV34"/>
  <c r="ABT35"/>
  <c r="ABU35"/>
  <c r="ABV35"/>
  <c r="ABT36"/>
  <c r="ABU36"/>
  <c r="ABV36"/>
  <c r="ABT37"/>
  <c r="ABU37"/>
  <c r="ABV37"/>
  <c r="ABT38"/>
  <c r="ABU38"/>
  <c r="ABV38"/>
  <c r="ABT39"/>
  <c r="ABU39"/>
  <c r="ABV39"/>
  <c r="ABT40"/>
  <c r="ABU40"/>
  <c r="ABV40"/>
  <c r="ABT41"/>
  <c r="ABU41"/>
  <c r="ABV41"/>
  <c r="ABT42"/>
  <c r="ABU42"/>
  <c r="ABV42"/>
  <c r="ABT43"/>
  <c r="ABU43"/>
  <c r="ABV43"/>
  <c r="ABT44"/>
  <c r="ABU44"/>
  <c r="ABV44"/>
  <c r="ABT45"/>
  <c r="ABU45"/>
  <c r="ABV45"/>
  <c r="ABT46"/>
  <c r="ABU46"/>
  <c r="ABV46"/>
  <c r="ABT47"/>
  <c r="ABU47"/>
  <c r="ABV47"/>
  <c r="ABT48"/>
  <c r="ABU48"/>
  <c r="ABV48"/>
  <c r="ABT49"/>
  <c r="ABU49"/>
  <c r="ABV49"/>
  <c r="ABT50"/>
  <c r="ABU50"/>
  <c r="ABV50"/>
  <c r="ABT51"/>
  <c r="ABU51"/>
  <c r="ABV51"/>
  <c r="ABT52"/>
  <c r="ABU52"/>
  <c r="ABV52"/>
  <c r="ABT53"/>
  <c r="ABU53"/>
  <c r="ABV53"/>
  <c r="ABT54"/>
  <c r="ABU54"/>
  <c r="ABV54"/>
  <c r="ABT55"/>
  <c r="ABU55"/>
  <c r="ABV55"/>
  <c r="ABT56"/>
  <c r="ABU56"/>
  <c r="ABV56"/>
  <c r="ABT57"/>
  <c r="ABU57"/>
  <c r="ABV57"/>
  <c r="ABT58"/>
  <c r="ABU58"/>
  <c r="ABV58"/>
  <c r="ABT59"/>
  <c r="ABU59"/>
  <c r="ABV59"/>
  <c r="ABT60"/>
  <c r="ABU60"/>
  <c r="ABV60"/>
  <c r="ABT61"/>
  <c r="ABU61"/>
  <c r="ABV61"/>
  <c r="ABT62"/>
  <c r="ABU62"/>
  <c r="ABV62"/>
  <c r="ABT63"/>
  <c r="ABU63"/>
  <c r="ABV63"/>
  <c r="ABT64"/>
  <c r="ABU64"/>
  <c r="ABV64"/>
  <c r="ABT65"/>
  <c r="ABU65"/>
  <c r="ABV65"/>
  <c r="ABT66"/>
  <c r="ABU66"/>
  <c r="ABV66"/>
  <c r="ABT67"/>
  <c r="ABU67"/>
  <c r="ABV67"/>
  <c r="ABT68"/>
  <c r="ABU68"/>
  <c r="ABV68"/>
  <c r="ABT69"/>
  <c r="ABU69"/>
  <c r="ABV69"/>
  <c r="ABT70"/>
  <c r="ABU70"/>
  <c r="ABV70"/>
  <c r="ABT71"/>
  <c r="ABU71"/>
  <c r="ABV71"/>
  <c r="ABT72"/>
  <c r="ABU72"/>
  <c r="ABV72"/>
  <c r="ABT73"/>
  <c r="ABU73"/>
  <c r="ABV73"/>
  <c r="ABT74"/>
  <c r="ABU74"/>
  <c r="ABV74"/>
  <c r="ABT75"/>
  <c r="ABU75"/>
  <c r="ABV75"/>
  <c r="ABT76"/>
  <c r="ABU76"/>
  <c r="ABV76"/>
  <c r="ABT77"/>
  <c r="ABU77"/>
  <c r="ABV77"/>
  <c r="ABT78"/>
  <c r="ABU78"/>
  <c r="ABV78"/>
  <c r="ABT79"/>
  <c r="ABU79"/>
  <c r="ABV79"/>
  <c r="ABT80"/>
  <c r="ABU80"/>
  <c r="ABV80"/>
  <c r="ABT81"/>
  <c r="ABU81"/>
  <c r="ABV81"/>
  <c r="ABT82"/>
  <c r="ABU82"/>
  <c r="ABV82"/>
  <c r="ABT83"/>
  <c r="ABU83"/>
  <c r="ABV83"/>
  <c r="ABT84"/>
  <c r="ABU84"/>
  <c r="ABV84"/>
  <c r="ABT85"/>
  <c r="ABU85"/>
  <c r="ABV85"/>
  <c r="ABT86"/>
  <c r="ABU86"/>
  <c r="ABV86"/>
  <c r="ABV5"/>
  <c r="ABT5"/>
  <c r="ABU5"/>
  <c r="ABS5"/>
  <c r="ABZ86"/>
  <c r="ABY86"/>
  <c r="ABX86"/>
  <c r="ABW86"/>
  <c r="ABS86"/>
  <c r="ABR86"/>
  <c r="ABQ86"/>
  <c r="ABP86"/>
  <c r="ABZ85"/>
  <c r="ABY85"/>
  <c r="ABX85"/>
  <c r="ABW85"/>
  <c r="ABS85"/>
  <c r="ABR85"/>
  <c r="ABQ85"/>
  <c r="ABP85"/>
  <c r="ABZ84"/>
  <c r="ABY84"/>
  <c r="ABX84"/>
  <c r="ABW84"/>
  <c r="ABS84"/>
  <c r="ABR84"/>
  <c r="ABQ84"/>
  <c r="ABP84"/>
  <c r="ABZ83"/>
  <c r="ABY83"/>
  <c r="ABX83"/>
  <c r="ABW83"/>
  <c r="ABS83"/>
  <c r="ABR83"/>
  <c r="ABQ83"/>
  <c r="ABP83"/>
  <c r="ABZ82"/>
  <c r="ABY82"/>
  <c r="ABX82"/>
  <c r="ABW82"/>
  <c r="ABS82"/>
  <c r="ABR82"/>
  <c r="ABQ82"/>
  <c r="ABP82"/>
  <c r="ABZ81"/>
  <c r="ABY81"/>
  <c r="ABX81"/>
  <c r="ABW81"/>
  <c r="ABS81"/>
  <c r="ABR81"/>
  <c r="ABQ81"/>
  <c r="ABP81"/>
  <c r="ABZ80"/>
  <c r="ABY80"/>
  <c r="ABX80"/>
  <c r="ABW80"/>
  <c r="ABS80"/>
  <c r="ABR80"/>
  <c r="ABQ80"/>
  <c r="ABP80"/>
  <c r="ABZ79"/>
  <c r="ABY79"/>
  <c r="ABX79"/>
  <c r="ABW79"/>
  <c r="ABS79"/>
  <c r="ABR79"/>
  <c r="ABQ79"/>
  <c r="ABP79"/>
  <c r="ABZ78"/>
  <c r="ABY78"/>
  <c r="ABX78"/>
  <c r="ABW78"/>
  <c r="ABS78"/>
  <c r="ABR78"/>
  <c r="ABQ78"/>
  <c r="ABP78"/>
  <c r="ABZ77"/>
  <c r="ABY77"/>
  <c r="ABX77"/>
  <c r="ABW77"/>
  <c r="ABS77"/>
  <c r="ABR77"/>
  <c r="ABQ77"/>
  <c r="ABP77"/>
  <c r="ABZ76"/>
  <c r="ABY76"/>
  <c r="ABX76"/>
  <c r="ABW76"/>
  <c r="ABS76"/>
  <c r="ABR76"/>
  <c r="ABQ76"/>
  <c r="ABP76"/>
  <c r="ABZ75"/>
  <c r="ABY75"/>
  <c r="ABX75"/>
  <c r="ABW75"/>
  <c r="ABS75"/>
  <c r="ABR75"/>
  <c r="ABQ75"/>
  <c r="ABP75"/>
  <c r="ABZ74"/>
  <c r="ABY74"/>
  <c r="ABX74"/>
  <c r="ABW74"/>
  <c r="ABS74"/>
  <c r="ABR74"/>
  <c r="ABQ74"/>
  <c r="ABP74"/>
  <c r="ABZ73"/>
  <c r="ABY73"/>
  <c r="ABX73"/>
  <c r="ABW73"/>
  <c r="ABS73"/>
  <c r="ABR73"/>
  <c r="ABQ73"/>
  <c r="ABP73"/>
  <c r="ABZ72"/>
  <c r="ABY72"/>
  <c r="ABX72"/>
  <c r="ABW72"/>
  <c r="ABS72"/>
  <c r="ABR72"/>
  <c r="ABQ72"/>
  <c r="ABP72"/>
  <c r="ABZ71"/>
  <c r="ABY71"/>
  <c r="ABX71"/>
  <c r="ABW71"/>
  <c r="ABS71"/>
  <c r="ABR71"/>
  <c r="ABQ71"/>
  <c r="ABP71"/>
  <c r="ABZ70"/>
  <c r="ABY70"/>
  <c r="ABX70"/>
  <c r="ABW70"/>
  <c r="ABS70"/>
  <c r="ABR70"/>
  <c r="ABQ70"/>
  <c r="ABP70"/>
  <c r="ABZ69"/>
  <c r="ABY69"/>
  <c r="ABX69"/>
  <c r="ABW69"/>
  <c r="ABS69"/>
  <c r="ABR69"/>
  <c r="ABQ69"/>
  <c r="ABP69"/>
  <c r="ABZ68"/>
  <c r="ABY68"/>
  <c r="ABX68"/>
  <c r="ABW68"/>
  <c r="ABS68"/>
  <c r="ABR68"/>
  <c r="ABQ68"/>
  <c r="ABP68"/>
  <c r="ABZ67"/>
  <c r="ABY67"/>
  <c r="ABX67"/>
  <c r="ABW67"/>
  <c r="ABS67"/>
  <c r="ABR67"/>
  <c r="ABQ67"/>
  <c r="ABP67"/>
  <c r="ABZ66"/>
  <c r="ABY66"/>
  <c r="ABX66"/>
  <c r="ABW66"/>
  <c r="ABS66"/>
  <c r="ABR66"/>
  <c r="ABQ66"/>
  <c r="ABP66"/>
  <c r="ABZ65"/>
  <c r="ABY65"/>
  <c r="ABX65"/>
  <c r="ABW65"/>
  <c r="ABS65"/>
  <c r="ABR65"/>
  <c r="ABQ65"/>
  <c r="ABP65"/>
  <c r="ABZ64"/>
  <c r="ABY64"/>
  <c r="ABX64"/>
  <c r="ABW64"/>
  <c r="ABS64"/>
  <c r="ABR64"/>
  <c r="ABQ64"/>
  <c r="ABP64"/>
  <c r="ABZ63"/>
  <c r="ABY63"/>
  <c r="ABX63"/>
  <c r="ABW63"/>
  <c r="ABS63"/>
  <c r="ABR63"/>
  <c r="ABQ63"/>
  <c r="ABP63"/>
  <c r="ABZ62"/>
  <c r="ABY62"/>
  <c r="ABX62"/>
  <c r="ABW62"/>
  <c r="ABS62"/>
  <c r="ABR62"/>
  <c r="ABQ62"/>
  <c r="ABP62"/>
  <c r="ABZ61"/>
  <c r="ABY61"/>
  <c r="ABX61"/>
  <c r="ABW61"/>
  <c r="ABS61"/>
  <c r="ABR61"/>
  <c r="ABQ61"/>
  <c r="ABP61"/>
  <c r="ABZ60"/>
  <c r="ABY60"/>
  <c r="ABX60"/>
  <c r="ABW60"/>
  <c r="ABS60"/>
  <c r="ABR60"/>
  <c r="ABQ60"/>
  <c r="ABP60"/>
  <c r="ABZ59"/>
  <c r="ABY59"/>
  <c r="ABX59"/>
  <c r="ABW59"/>
  <c r="ABS59"/>
  <c r="ABR59"/>
  <c r="ABQ59"/>
  <c r="ABP59"/>
  <c r="ABZ58"/>
  <c r="ABY58"/>
  <c r="ABX58"/>
  <c r="ABW58"/>
  <c r="ABS58"/>
  <c r="ABR58"/>
  <c r="ABQ58"/>
  <c r="ABP58"/>
  <c r="ABZ57"/>
  <c r="ABY57"/>
  <c r="ABX57"/>
  <c r="ABW57"/>
  <c r="ABS57"/>
  <c r="ABR57"/>
  <c r="ABQ57"/>
  <c r="ABP57"/>
  <c r="ABZ56"/>
  <c r="ABY56"/>
  <c r="ABX56"/>
  <c r="ABW56"/>
  <c r="ABS56"/>
  <c r="ABR56"/>
  <c r="ABQ56"/>
  <c r="ABP56"/>
  <c r="ABZ55"/>
  <c r="ABY55"/>
  <c r="ABX55"/>
  <c r="ABW55"/>
  <c r="ABS55"/>
  <c r="ABR55"/>
  <c r="ABQ55"/>
  <c r="ABP55"/>
  <c r="ABZ54"/>
  <c r="ABY54"/>
  <c r="ABX54"/>
  <c r="ABW54"/>
  <c r="ABS54"/>
  <c r="ABR54"/>
  <c r="ABQ54"/>
  <c r="ABP54"/>
  <c r="ABZ53"/>
  <c r="ABY53"/>
  <c r="ABX53"/>
  <c r="ABW53"/>
  <c r="ABS53"/>
  <c r="ABR53"/>
  <c r="ABQ53"/>
  <c r="ABP53"/>
  <c r="ABZ52"/>
  <c r="ABY52"/>
  <c r="ABX52"/>
  <c r="ABW52"/>
  <c r="ABS52"/>
  <c r="ABR52"/>
  <c r="ABQ52"/>
  <c r="ABP52"/>
  <c r="ABZ51"/>
  <c r="ABY51"/>
  <c r="ABX51"/>
  <c r="ABW51"/>
  <c r="ABS51"/>
  <c r="ABR51"/>
  <c r="ABQ51"/>
  <c r="ABP51"/>
  <c r="ABZ50"/>
  <c r="ABY50"/>
  <c r="ABX50"/>
  <c r="ABW50"/>
  <c r="ABS50"/>
  <c r="ABR50"/>
  <c r="ABQ50"/>
  <c r="ABP50"/>
  <c r="ABZ49"/>
  <c r="ABY49"/>
  <c r="ABX49"/>
  <c r="ABW49"/>
  <c r="ABS49"/>
  <c r="ABR49"/>
  <c r="ABQ49"/>
  <c r="ABP49"/>
  <c r="ABZ48"/>
  <c r="ABY48"/>
  <c r="ABX48"/>
  <c r="ABW48"/>
  <c r="ABS48"/>
  <c r="ABR48"/>
  <c r="ABQ48"/>
  <c r="ABP48"/>
  <c r="ABZ47"/>
  <c r="ABY47"/>
  <c r="ABX47"/>
  <c r="ABW47"/>
  <c r="ABS47"/>
  <c r="ABR47"/>
  <c r="ABQ47"/>
  <c r="ABP47"/>
  <c r="ABZ46"/>
  <c r="ABY46"/>
  <c r="ABX46"/>
  <c r="ABW46"/>
  <c r="ABS46"/>
  <c r="ABR46"/>
  <c r="ABQ46"/>
  <c r="ABP46"/>
  <c r="ABZ45"/>
  <c r="ABY45"/>
  <c r="ABX45"/>
  <c r="ABW45"/>
  <c r="ABS45"/>
  <c r="ABR45"/>
  <c r="ABQ45"/>
  <c r="ABP45"/>
  <c r="ABZ44"/>
  <c r="ABY44"/>
  <c r="ABX44"/>
  <c r="ABW44"/>
  <c r="ABS44"/>
  <c r="ABR44"/>
  <c r="ABQ44"/>
  <c r="ABP44"/>
  <c r="ABZ43"/>
  <c r="ABY43"/>
  <c r="ABX43"/>
  <c r="ABW43"/>
  <c r="ABS43"/>
  <c r="ABR43"/>
  <c r="ABQ43"/>
  <c r="ABP43"/>
  <c r="ABZ42"/>
  <c r="ABY42"/>
  <c r="ABX42"/>
  <c r="ABW42"/>
  <c r="ABS42"/>
  <c r="ABR42"/>
  <c r="ABQ42"/>
  <c r="ABP42"/>
  <c r="ABZ41"/>
  <c r="ABY41"/>
  <c r="ABX41"/>
  <c r="ABW41"/>
  <c r="ABS41"/>
  <c r="ABR41"/>
  <c r="ABQ41"/>
  <c r="ABP41"/>
  <c r="ABZ40"/>
  <c r="ABY40"/>
  <c r="ABX40"/>
  <c r="ABW40"/>
  <c r="ABS40"/>
  <c r="ABR40"/>
  <c r="ABQ40"/>
  <c r="ABP40"/>
  <c r="ABZ39"/>
  <c r="ABY39"/>
  <c r="ABX39"/>
  <c r="ABW39"/>
  <c r="ABS39"/>
  <c r="ABR39"/>
  <c r="ABQ39"/>
  <c r="ABP39"/>
  <c r="ABZ38"/>
  <c r="ABY38"/>
  <c r="ABX38"/>
  <c r="ABW38"/>
  <c r="ABS38"/>
  <c r="ABR38"/>
  <c r="ABQ38"/>
  <c r="ABP38"/>
  <c r="ABZ37"/>
  <c r="ABY37"/>
  <c r="ABX37"/>
  <c r="ABW37"/>
  <c r="ABS37"/>
  <c r="ABR37"/>
  <c r="ABQ37"/>
  <c r="ABP37"/>
  <c r="ABZ36"/>
  <c r="ABY36"/>
  <c r="ABX36"/>
  <c r="ABW36"/>
  <c r="ABS36"/>
  <c r="ABR36"/>
  <c r="ABQ36"/>
  <c r="ABP36"/>
  <c r="ABZ35"/>
  <c r="ABY35"/>
  <c r="ABX35"/>
  <c r="ABW35"/>
  <c r="ABS35"/>
  <c r="ABR35"/>
  <c r="ABQ35"/>
  <c r="ABP35"/>
  <c r="ABZ34"/>
  <c r="ABY34"/>
  <c r="ABX34"/>
  <c r="ABW34"/>
  <c r="ABS34"/>
  <c r="ABR34"/>
  <c r="ABQ34"/>
  <c r="ABP34"/>
  <c r="ABZ33"/>
  <c r="ABY33"/>
  <c r="ABX33"/>
  <c r="ABW33"/>
  <c r="ABS33"/>
  <c r="ABR33"/>
  <c r="ABQ33"/>
  <c r="ABP33"/>
  <c r="ABZ32"/>
  <c r="ABY32"/>
  <c r="ABX32"/>
  <c r="ABW32"/>
  <c r="ABS32"/>
  <c r="ABR32"/>
  <c r="ABQ32"/>
  <c r="ABP32"/>
  <c r="ABZ31"/>
  <c r="ABY31"/>
  <c r="ABX31"/>
  <c r="ABW31"/>
  <c r="ABS31"/>
  <c r="ABR31"/>
  <c r="ABQ31"/>
  <c r="ABP31"/>
  <c r="ABZ30"/>
  <c r="ABY30"/>
  <c r="ABX30"/>
  <c r="ABW30"/>
  <c r="ABS30"/>
  <c r="ABR30"/>
  <c r="ABQ30"/>
  <c r="ABP30"/>
  <c r="ABZ29"/>
  <c r="ABY29"/>
  <c r="ABX29"/>
  <c r="ABW29"/>
  <c r="ABS29"/>
  <c r="ABR29"/>
  <c r="ABQ29"/>
  <c r="ABP29"/>
  <c r="ABZ28"/>
  <c r="ABY28"/>
  <c r="ABX28"/>
  <c r="ABW28"/>
  <c r="ABS28"/>
  <c r="ABR28"/>
  <c r="ABQ28"/>
  <c r="ABP28"/>
  <c r="ABZ27"/>
  <c r="ABY27"/>
  <c r="ABX27"/>
  <c r="ABW27"/>
  <c r="ABS27"/>
  <c r="ABR27"/>
  <c r="ABQ27"/>
  <c r="ABP27"/>
  <c r="ABZ26"/>
  <c r="ABY26"/>
  <c r="ABX26"/>
  <c r="ABW26"/>
  <c r="ABS26"/>
  <c r="ABR26"/>
  <c r="ABQ26"/>
  <c r="ABP26"/>
  <c r="ABZ25"/>
  <c r="ABY25"/>
  <c r="ABX25"/>
  <c r="ABW25"/>
  <c r="ABS25"/>
  <c r="ABR25"/>
  <c r="ABQ25"/>
  <c r="ABP25"/>
  <c r="ABZ24"/>
  <c r="ABY24"/>
  <c r="ABX24"/>
  <c r="ABW24"/>
  <c r="ABS24"/>
  <c r="ABR24"/>
  <c r="ABQ24"/>
  <c r="ABP24"/>
  <c r="ABZ23"/>
  <c r="ABY23"/>
  <c r="ABX23"/>
  <c r="ABW23"/>
  <c r="ABS23"/>
  <c r="ABR23"/>
  <c r="ABQ23"/>
  <c r="ABP23"/>
  <c r="ABZ22"/>
  <c r="ABY22"/>
  <c r="ABX22"/>
  <c r="ABW22"/>
  <c r="ABS22"/>
  <c r="ABR22"/>
  <c r="ABQ22"/>
  <c r="ABP22"/>
  <c r="ABZ21"/>
  <c r="ABY21"/>
  <c r="ABX21"/>
  <c r="ABW21"/>
  <c r="ABS21"/>
  <c r="ABR21"/>
  <c r="ABQ21"/>
  <c r="ABP21"/>
  <c r="ABZ20"/>
  <c r="ABY20"/>
  <c r="ABX20"/>
  <c r="ABW20"/>
  <c r="ABS20"/>
  <c r="ABR20"/>
  <c r="ABQ20"/>
  <c r="ABP20"/>
  <c r="ABZ19"/>
  <c r="ABY19"/>
  <c r="ABX19"/>
  <c r="ABW19"/>
  <c r="ABS19"/>
  <c r="ABR19"/>
  <c r="ABQ19"/>
  <c r="ABP19"/>
  <c r="ABZ18"/>
  <c r="ABY18"/>
  <c r="ABX18"/>
  <c r="ABW18"/>
  <c r="ABS18"/>
  <c r="ABR18"/>
  <c r="ABQ18"/>
  <c r="ABP18"/>
  <c r="ABZ17"/>
  <c r="ABY17"/>
  <c r="ABX17"/>
  <c r="ABW17"/>
  <c r="ABS17"/>
  <c r="ABR17"/>
  <c r="ABQ17"/>
  <c r="ABP17"/>
  <c r="ABZ16"/>
  <c r="ABY16"/>
  <c r="ABX16"/>
  <c r="ABW16"/>
  <c r="ABS16"/>
  <c r="ABR16"/>
  <c r="ABQ16"/>
  <c r="ABP16"/>
  <c r="ABZ15"/>
  <c r="ABY15"/>
  <c r="ABX15"/>
  <c r="ABW15"/>
  <c r="ABS15"/>
  <c r="ABR15"/>
  <c r="ABQ15"/>
  <c r="ABP15"/>
  <c r="ABZ14"/>
  <c r="ABY14"/>
  <c r="ABX14"/>
  <c r="ABW14"/>
  <c r="ABS14"/>
  <c r="ABR14"/>
  <c r="ABQ14"/>
  <c r="ABP14"/>
  <c r="ABZ13"/>
  <c r="ABY13"/>
  <c r="ABX13"/>
  <c r="ABW13"/>
  <c r="ABS13"/>
  <c r="ABR13"/>
  <c r="ABQ13"/>
  <c r="ABP13"/>
  <c r="ABZ12"/>
  <c r="ABY12"/>
  <c r="ABX12"/>
  <c r="ABW12"/>
  <c r="ABS12"/>
  <c r="ABR12"/>
  <c r="ABQ12"/>
  <c r="ABP12"/>
  <c r="ABZ11"/>
  <c r="ABY11"/>
  <c r="ABX11"/>
  <c r="ABW11"/>
  <c r="ABS11"/>
  <c r="ABR11"/>
  <c r="ABQ11"/>
  <c r="ABP11"/>
  <c r="ABZ10"/>
  <c r="ABY10"/>
  <c r="ABX10"/>
  <c r="ABW10"/>
  <c r="ABS10"/>
  <c r="ABR10"/>
  <c r="ABQ10"/>
  <c r="ABP10"/>
  <c r="ABZ9"/>
  <c r="ABY9"/>
  <c r="ABX9"/>
  <c r="ABW9"/>
  <c r="ABS9"/>
  <c r="ABR9"/>
  <c r="ABQ9"/>
  <c r="ABP9"/>
  <c r="ABZ8"/>
  <c r="ABY8"/>
  <c r="ABX8"/>
  <c r="ABW8"/>
  <c r="ABS8"/>
  <c r="ABR8"/>
  <c r="ABQ8"/>
  <c r="ABP8"/>
  <c r="ABZ7"/>
  <c r="ABY7"/>
  <c r="ABX7"/>
  <c r="ABW7"/>
  <c r="ABS7"/>
  <c r="ABR7"/>
  <c r="ABQ7"/>
  <c r="ABP7"/>
  <c r="ABZ6"/>
  <c r="ABY6"/>
  <c r="ABX6"/>
  <c r="ABW6"/>
  <c r="ABS6"/>
  <c r="ABR6"/>
  <c r="ABQ6"/>
  <c r="ABP6"/>
  <c r="ABZ5"/>
  <c r="ABY5"/>
  <c r="ABX5"/>
  <c r="ABW5"/>
  <c r="ABR5"/>
  <c r="ABQ5"/>
  <c r="ABP5"/>
  <c r="YG6"/>
  <c r="YH6"/>
  <c r="YI6"/>
  <c r="YG7"/>
  <c r="YH7"/>
  <c r="YI7"/>
  <c r="YG8"/>
  <c r="YH8"/>
  <c r="YI8"/>
  <c r="YG9"/>
  <c r="YH9"/>
  <c r="YI9"/>
  <c r="YG10"/>
  <c r="YH10"/>
  <c r="YI10"/>
  <c r="YG11"/>
  <c r="YH11"/>
  <c r="YI11"/>
  <c r="YG12"/>
  <c r="YH12"/>
  <c r="YI12"/>
  <c r="YG13"/>
  <c r="YH13"/>
  <c r="YI13"/>
  <c r="YG14"/>
  <c r="YH14"/>
  <c r="YI14"/>
  <c r="YG15"/>
  <c r="YH15"/>
  <c r="YI15"/>
  <c r="YG16"/>
  <c r="YH16"/>
  <c r="YI16"/>
  <c r="YG17"/>
  <c r="YH17"/>
  <c r="YI17"/>
  <c r="YG18"/>
  <c r="YH18"/>
  <c r="YI18"/>
  <c r="YG19"/>
  <c r="YH19"/>
  <c r="YI19"/>
  <c r="YG20"/>
  <c r="YH20"/>
  <c r="YI20"/>
  <c r="YG21"/>
  <c r="YH21"/>
  <c r="YI21"/>
  <c r="YG22"/>
  <c r="YH22"/>
  <c r="YI22"/>
  <c r="YG23"/>
  <c r="YH23"/>
  <c r="YI23"/>
  <c r="YG24"/>
  <c r="YH24"/>
  <c r="YI24"/>
  <c r="YG25"/>
  <c r="YH25"/>
  <c r="YI25"/>
  <c r="YG26"/>
  <c r="YH26"/>
  <c r="YI26"/>
  <c r="YG27"/>
  <c r="YH27"/>
  <c r="YI27"/>
  <c r="YG28"/>
  <c r="YH28"/>
  <c r="YI28"/>
  <c r="YG29"/>
  <c r="YH29"/>
  <c r="YI29"/>
  <c r="YG30"/>
  <c r="YH30"/>
  <c r="YI30"/>
  <c r="YG31"/>
  <c r="YH31"/>
  <c r="YI31"/>
  <c r="YG32"/>
  <c r="YH32"/>
  <c r="YI32"/>
  <c r="YG33"/>
  <c r="YH33"/>
  <c r="YI33"/>
  <c r="YG34"/>
  <c r="YH34"/>
  <c r="YI34"/>
  <c r="YG35"/>
  <c r="YH35"/>
  <c r="YI35"/>
  <c r="YG36"/>
  <c r="YH36"/>
  <c r="YI36"/>
  <c r="YG37"/>
  <c r="YH37"/>
  <c r="YI37"/>
  <c r="YG38"/>
  <c r="YH38"/>
  <c r="YI38"/>
  <c r="YG39"/>
  <c r="YH39"/>
  <c r="YI39"/>
  <c r="YG40"/>
  <c r="YH40"/>
  <c r="YI40"/>
  <c r="YG41"/>
  <c r="YH41"/>
  <c r="YI41"/>
  <c r="YG42"/>
  <c r="YH42"/>
  <c r="YI42"/>
  <c r="YG43"/>
  <c r="YH43"/>
  <c r="YI43"/>
  <c r="YG44"/>
  <c r="YH44"/>
  <c r="YI44"/>
  <c r="YG45"/>
  <c r="YH45"/>
  <c r="YI45"/>
  <c r="YG46"/>
  <c r="YH46"/>
  <c r="YI46"/>
  <c r="YG47"/>
  <c r="YH47"/>
  <c r="YI47"/>
  <c r="YG48"/>
  <c r="YH48"/>
  <c r="YI48"/>
  <c r="YG49"/>
  <c r="YH49"/>
  <c r="YI49"/>
  <c r="YG50"/>
  <c r="YH50"/>
  <c r="YI50"/>
  <c r="YG51"/>
  <c r="YH51"/>
  <c r="YI51"/>
  <c r="YG52"/>
  <c r="YH52"/>
  <c r="YI52"/>
  <c r="YG53"/>
  <c r="YH53"/>
  <c r="YI53"/>
  <c r="YG54"/>
  <c r="YH54"/>
  <c r="YI54"/>
  <c r="YG55"/>
  <c r="YH55"/>
  <c r="YI55"/>
  <c r="YG56"/>
  <c r="YH56"/>
  <c r="YI56"/>
  <c r="YG57"/>
  <c r="YH57"/>
  <c r="YI57"/>
  <c r="YG58"/>
  <c r="YH58"/>
  <c r="YI58"/>
  <c r="YG59"/>
  <c r="YH59"/>
  <c r="YI59"/>
  <c r="YG60"/>
  <c r="YH60"/>
  <c r="YI60"/>
  <c r="YG61"/>
  <c r="YH61"/>
  <c r="YI61"/>
  <c r="YG62"/>
  <c r="YH62"/>
  <c r="YI62"/>
  <c r="YG63"/>
  <c r="YH63"/>
  <c r="YI63"/>
  <c r="YG64"/>
  <c r="YH64"/>
  <c r="YI64"/>
  <c r="YG65"/>
  <c r="YH65"/>
  <c r="YI65"/>
  <c r="YG66"/>
  <c r="YH66"/>
  <c r="YI66"/>
  <c r="YG67"/>
  <c r="YH67"/>
  <c r="YI67"/>
  <c r="YG68"/>
  <c r="YH68"/>
  <c r="YI68"/>
  <c r="YG69"/>
  <c r="YH69"/>
  <c r="YI69"/>
  <c r="YG70"/>
  <c r="YH70"/>
  <c r="YI70"/>
  <c r="YG71"/>
  <c r="YH71"/>
  <c r="YI71"/>
  <c r="YG72"/>
  <c r="YH72"/>
  <c r="YI72"/>
  <c r="YG73"/>
  <c r="YH73"/>
  <c r="YI73"/>
  <c r="YG74"/>
  <c r="YH74"/>
  <c r="YI74"/>
  <c r="YG75"/>
  <c r="YH75"/>
  <c r="YI75"/>
  <c r="YG76"/>
  <c r="YH76"/>
  <c r="YI76"/>
  <c r="YG77"/>
  <c r="YH77"/>
  <c r="YI77"/>
  <c r="YG78"/>
  <c r="YH78"/>
  <c r="YI78"/>
  <c r="YG79"/>
  <c r="YH79"/>
  <c r="YI79"/>
  <c r="YG80"/>
  <c r="YH80"/>
  <c r="YI80"/>
  <c r="YG81"/>
  <c r="YH81"/>
  <c r="YI81"/>
  <c r="YI5"/>
  <c r="YG5"/>
  <c r="YH5"/>
  <c r="YF5"/>
  <c r="YM81"/>
  <c r="YL81"/>
  <c r="YK81"/>
  <c r="YJ81"/>
  <c r="YF81"/>
  <c r="YE81"/>
  <c r="YD81"/>
  <c r="YC81"/>
  <c r="YM80"/>
  <c r="YL80"/>
  <c r="YK80"/>
  <c r="YJ80"/>
  <c r="YF80"/>
  <c r="YE80"/>
  <c r="YD80"/>
  <c r="YC80"/>
  <c r="YM79"/>
  <c r="YL79"/>
  <c r="YK79"/>
  <c r="YJ79"/>
  <c r="YF79"/>
  <c r="YE79"/>
  <c r="YD79"/>
  <c r="YC79"/>
  <c r="YM78"/>
  <c r="YL78"/>
  <c r="YK78"/>
  <c r="YJ78"/>
  <c r="YF78"/>
  <c r="YE78"/>
  <c r="YD78"/>
  <c r="YC78"/>
  <c r="YM77"/>
  <c r="YL77"/>
  <c r="YK77"/>
  <c r="YJ77"/>
  <c r="YF77"/>
  <c r="YE77"/>
  <c r="YD77"/>
  <c r="YC77"/>
  <c r="YM76"/>
  <c r="YL76"/>
  <c r="YK76"/>
  <c r="YJ76"/>
  <c r="YF76"/>
  <c r="YE76"/>
  <c r="YD76"/>
  <c r="YC76"/>
  <c r="YM75"/>
  <c r="YL75"/>
  <c r="YK75"/>
  <c r="YJ75"/>
  <c r="YF75"/>
  <c r="YE75"/>
  <c r="YD75"/>
  <c r="YC75"/>
  <c r="YM74"/>
  <c r="YL74"/>
  <c r="YK74"/>
  <c r="YJ74"/>
  <c r="YF74"/>
  <c r="YE74"/>
  <c r="YD74"/>
  <c r="YC74"/>
  <c r="YM73"/>
  <c r="YL73"/>
  <c r="YK73"/>
  <c r="YJ73"/>
  <c r="YF73"/>
  <c r="YE73"/>
  <c r="YD73"/>
  <c r="YC73"/>
  <c r="YM72"/>
  <c r="YL72"/>
  <c r="YK72"/>
  <c r="YJ72"/>
  <c r="YF72"/>
  <c r="YE72"/>
  <c r="YD72"/>
  <c r="YC72"/>
  <c r="YM71"/>
  <c r="YL71"/>
  <c r="YK71"/>
  <c r="YJ71"/>
  <c r="YF71"/>
  <c r="YE71"/>
  <c r="YD71"/>
  <c r="YC71"/>
  <c r="YM70"/>
  <c r="YL70"/>
  <c r="YK70"/>
  <c r="YJ70"/>
  <c r="YF70"/>
  <c r="YE70"/>
  <c r="YD70"/>
  <c r="YC70"/>
  <c r="YM69"/>
  <c r="YL69"/>
  <c r="YK69"/>
  <c r="YJ69"/>
  <c r="YF69"/>
  <c r="YE69"/>
  <c r="YD69"/>
  <c r="YC69"/>
  <c r="YM68"/>
  <c r="YL68"/>
  <c r="YK68"/>
  <c r="YJ68"/>
  <c r="YF68"/>
  <c r="YE68"/>
  <c r="YD68"/>
  <c r="YC68"/>
  <c r="YM67"/>
  <c r="YL67"/>
  <c r="YK67"/>
  <c r="YJ67"/>
  <c r="YF67"/>
  <c r="YE67"/>
  <c r="YD67"/>
  <c r="YC67"/>
  <c r="YM66"/>
  <c r="YL66"/>
  <c r="YK66"/>
  <c r="YJ66"/>
  <c r="YF66"/>
  <c r="YE66"/>
  <c r="YD66"/>
  <c r="YC66"/>
  <c r="YM65"/>
  <c r="YL65"/>
  <c r="YK65"/>
  <c r="YJ65"/>
  <c r="YF65"/>
  <c r="YE65"/>
  <c r="YD65"/>
  <c r="YC65"/>
  <c r="YM64"/>
  <c r="YL64"/>
  <c r="YK64"/>
  <c r="YJ64"/>
  <c r="YF64"/>
  <c r="YE64"/>
  <c r="YD64"/>
  <c r="YC64"/>
  <c r="YM63"/>
  <c r="YL63"/>
  <c r="YK63"/>
  <c r="YJ63"/>
  <c r="YF63"/>
  <c r="YE63"/>
  <c r="YD63"/>
  <c r="YC63"/>
  <c r="YM62"/>
  <c r="YL62"/>
  <c r="YK62"/>
  <c r="YJ62"/>
  <c r="YF62"/>
  <c r="YE62"/>
  <c r="YD62"/>
  <c r="YC62"/>
  <c r="YM61"/>
  <c r="YL61"/>
  <c r="YK61"/>
  <c r="YJ61"/>
  <c r="YF61"/>
  <c r="YE61"/>
  <c r="YD61"/>
  <c r="YC61"/>
  <c r="YM60"/>
  <c r="YL60"/>
  <c r="YK60"/>
  <c r="YJ60"/>
  <c r="YF60"/>
  <c r="YE60"/>
  <c r="YD60"/>
  <c r="YC60"/>
  <c r="YM59"/>
  <c r="YL59"/>
  <c r="YK59"/>
  <c r="YJ59"/>
  <c r="YF59"/>
  <c r="YE59"/>
  <c r="YD59"/>
  <c r="YC59"/>
  <c r="YM58"/>
  <c r="YL58"/>
  <c r="YK58"/>
  <c r="YJ58"/>
  <c r="YF58"/>
  <c r="YE58"/>
  <c r="YD58"/>
  <c r="YC58"/>
  <c r="YM57"/>
  <c r="YL57"/>
  <c r="YK57"/>
  <c r="YJ57"/>
  <c r="YF57"/>
  <c r="YE57"/>
  <c r="YD57"/>
  <c r="YC57"/>
  <c r="YM56"/>
  <c r="YL56"/>
  <c r="YK56"/>
  <c r="YJ56"/>
  <c r="YF56"/>
  <c r="YE56"/>
  <c r="YD56"/>
  <c r="YC56"/>
  <c r="YM55"/>
  <c r="YL55"/>
  <c r="YK55"/>
  <c r="YJ55"/>
  <c r="YF55"/>
  <c r="YE55"/>
  <c r="YD55"/>
  <c r="YC55"/>
  <c r="YM54"/>
  <c r="YL54"/>
  <c r="YK54"/>
  <c r="YJ54"/>
  <c r="YF54"/>
  <c r="YE54"/>
  <c r="YD54"/>
  <c r="YC54"/>
  <c r="YM53"/>
  <c r="YL53"/>
  <c r="YK53"/>
  <c r="YJ53"/>
  <c r="YF53"/>
  <c r="YE53"/>
  <c r="YD53"/>
  <c r="YC53"/>
  <c r="YM52"/>
  <c r="YL52"/>
  <c r="YK52"/>
  <c r="YJ52"/>
  <c r="YF52"/>
  <c r="YE52"/>
  <c r="YD52"/>
  <c r="YC52"/>
  <c r="YM51"/>
  <c r="YL51"/>
  <c r="YK51"/>
  <c r="YJ51"/>
  <c r="YF51"/>
  <c r="YE51"/>
  <c r="YD51"/>
  <c r="YC51"/>
  <c r="YM50"/>
  <c r="YL50"/>
  <c r="YK50"/>
  <c r="YJ50"/>
  <c r="YF50"/>
  <c r="YE50"/>
  <c r="YD50"/>
  <c r="YC50"/>
  <c r="YM49"/>
  <c r="YL49"/>
  <c r="YK49"/>
  <c r="YJ49"/>
  <c r="YF49"/>
  <c r="YE49"/>
  <c r="YD49"/>
  <c r="YC49"/>
  <c r="YM48"/>
  <c r="YL48"/>
  <c r="YK48"/>
  <c r="YJ48"/>
  <c r="YF48"/>
  <c r="YE48"/>
  <c r="YD48"/>
  <c r="YC48"/>
  <c r="YM47"/>
  <c r="YL47"/>
  <c r="YK47"/>
  <c r="YJ47"/>
  <c r="YF47"/>
  <c r="YE47"/>
  <c r="YD47"/>
  <c r="YC47"/>
  <c r="YM46"/>
  <c r="YL46"/>
  <c r="YK46"/>
  <c r="YJ46"/>
  <c r="YF46"/>
  <c r="YE46"/>
  <c r="YD46"/>
  <c r="YC46"/>
  <c r="YM45"/>
  <c r="YL45"/>
  <c r="YK45"/>
  <c r="YJ45"/>
  <c r="YF45"/>
  <c r="YE45"/>
  <c r="YD45"/>
  <c r="YC45"/>
  <c r="YM44"/>
  <c r="YL44"/>
  <c r="YK44"/>
  <c r="YJ44"/>
  <c r="YF44"/>
  <c r="YE44"/>
  <c r="YD44"/>
  <c r="YC44"/>
  <c r="YM43"/>
  <c r="YL43"/>
  <c r="YK43"/>
  <c r="YJ43"/>
  <c r="YF43"/>
  <c r="YE43"/>
  <c r="YD43"/>
  <c r="YC43"/>
  <c r="YM42"/>
  <c r="YL42"/>
  <c r="YK42"/>
  <c r="YJ42"/>
  <c r="YF42"/>
  <c r="YE42"/>
  <c r="YD42"/>
  <c r="YC42"/>
  <c r="YM41"/>
  <c r="YL41"/>
  <c r="YK41"/>
  <c r="YJ41"/>
  <c r="YF41"/>
  <c r="YE41"/>
  <c r="YD41"/>
  <c r="YC41"/>
  <c r="YM40"/>
  <c r="YL40"/>
  <c r="YK40"/>
  <c r="YJ40"/>
  <c r="YF40"/>
  <c r="YE40"/>
  <c r="YD40"/>
  <c r="YC40"/>
  <c r="YM39"/>
  <c r="YL39"/>
  <c r="YK39"/>
  <c r="YJ39"/>
  <c r="YF39"/>
  <c r="YE39"/>
  <c r="YD39"/>
  <c r="YC39"/>
  <c r="YM38"/>
  <c r="YL38"/>
  <c r="YK38"/>
  <c r="YJ38"/>
  <c r="YF38"/>
  <c r="YE38"/>
  <c r="YD38"/>
  <c r="YC38"/>
  <c r="YM37"/>
  <c r="YL37"/>
  <c r="YK37"/>
  <c r="YJ37"/>
  <c r="YF37"/>
  <c r="YE37"/>
  <c r="YD37"/>
  <c r="YC37"/>
  <c r="YM36"/>
  <c r="YL36"/>
  <c r="YK36"/>
  <c r="YJ36"/>
  <c r="YF36"/>
  <c r="YE36"/>
  <c r="YD36"/>
  <c r="YC36"/>
  <c r="YM35"/>
  <c r="YL35"/>
  <c r="YK35"/>
  <c r="YJ35"/>
  <c r="YF35"/>
  <c r="YE35"/>
  <c r="YD35"/>
  <c r="YC35"/>
  <c r="YM34"/>
  <c r="YL34"/>
  <c r="YK34"/>
  <c r="YJ34"/>
  <c r="YF34"/>
  <c r="YE34"/>
  <c r="YD34"/>
  <c r="YC34"/>
  <c r="YM33"/>
  <c r="YL33"/>
  <c r="YK33"/>
  <c r="YJ33"/>
  <c r="YF33"/>
  <c r="YE33"/>
  <c r="YD33"/>
  <c r="YC33"/>
  <c r="YM32"/>
  <c r="YL32"/>
  <c r="YK32"/>
  <c r="YJ32"/>
  <c r="YF32"/>
  <c r="YE32"/>
  <c r="YD32"/>
  <c r="YC32"/>
  <c r="YM31"/>
  <c r="YL31"/>
  <c r="YK31"/>
  <c r="YJ31"/>
  <c r="YF31"/>
  <c r="YE31"/>
  <c r="YD31"/>
  <c r="YC31"/>
  <c r="YM30"/>
  <c r="YL30"/>
  <c r="YK30"/>
  <c r="YJ30"/>
  <c r="YF30"/>
  <c r="YE30"/>
  <c r="YD30"/>
  <c r="YC30"/>
  <c r="YM29"/>
  <c r="YL29"/>
  <c r="YK29"/>
  <c r="YJ29"/>
  <c r="YF29"/>
  <c r="YE29"/>
  <c r="YD29"/>
  <c r="YC29"/>
  <c r="YM28"/>
  <c r="YL28"/>
  <c r="YK28"/>
  <c r="YJ28"/>
  <c r="YF28"/>
  <c r="YE28"/>
  <c r="YD28"/>
  <c r="YC28"/>
  <c r="YM27"/>
  <c r="YL27"/>
  <c r="YK27"/>
  <c r="YJ27"/>
  <c r="YF27"/>
  <c r="YE27"/>
  <c r="YD27"/>
  <c r="YC27"/>
  <c r="YM26"/>
  <c r="YL26"/>
  <c r="YK26"/>
  <c r="YJ26"/>
  <c r="YF26"/>
  <c r="YE26"/>
  <c r="YD26"/>
  <c r="YC26"/>
  <c r="YM25"/>
  <c r="YL25"/>
  <c r="YK25"/>
  <c r="YJ25"/>
  <c r="YF25"/>
  <c r="YE25"/>
  <c r="YD25"/>
  <c r="YC25"/>
  <c r="YM24"/>
  <c r="YL24"/>
  <c r="YK24"/>
  <c r="YJ24"/>
  <c r="YF24"/>
  <c r="YE24"/>
  <c r="YD24"/>
  <c r="YC24"/>
  <c r="YM23"/>
  <c r="YL23"/>
  <c r="YK23"/>
  <c r="YJ23"/>
  <c r="YF23"/>
  <c r="YE23"/>
  <c r="YD23"/>
  <c r="YC23"/>
  <c r="YM22"/>
  <c r="YL22"/>
  <c r="YK22"/>
  <c r="YJ22"/>
  <c r="YF22"/>
  <c r="YE22"/>
  <c r="YD22"/>
  <c r="YC22"/>
  <c r="YM21"/>
  <c r="YL21"/>
  <c r="YK21"/>
  <c r="YJ21"/>
  <c r="YF21"/>
  <c r="YE21"/>
  <c r="YD21"/>
  <c r="YC21"/>
  <c r="YM20"/>
  <c r="YL20"/>
  <c r="YK20"/>
  <c r="YJ20"/>
  <c r="YF20"/>
  <c r="YE20"/>
  <c r="YD20"/>
  <c r="YC20"/>
  <c r="YM19"/>
  <c r="YL19"/>
  <c r="YK19"/>
  <c r="YJ19"/>
  <c r="YF19"/>
  <c r="YE19"/>
  <c r="YD19"/>
  <c r="YC19"/>
  <c r="YM18"/>
  <c r="YL18"/>
  <c r="YK18"/>
  <c r="YJ18"/>
  <c r="YF18"/>
  <c r="YE18"/>
  <c r="YD18"/>
  <c r="YC18"/>
  <c r="YM17"/>
  <c r="YL17"/>
  <c r="YK17"/>
  <c r="YJ17"/>
  <c r="YF17"/>
  <c r="YE17"/>
  <c r="YD17"/>
  <c r="YC17"/>
  <c r="YM16"/>
  <c r="YL16"/>
  <c r="YK16"/>
  <c r="YJ16"/>
  <c r="YF16"/>
  <c r="YE16"/>
  <c r="YD16"/>
  <c r="YC16"/>
  <c r="YM15"/>
  <c r="YL15"/>
  <c r="YK15"/>
  <c r="YJ15"/>
  <c r="YF15"/>
  <c r="YE15"/>
  <c r="YD15"/>
  <c r="YC15"/>
  <c r="YM14"/>
  <c r="YL14"/>
  <c r="YK14"/>
  <c r="YJ14"/>
  <c r="YF14"/>
  <c r="YE14"/>
  <c r="YD14"/>
  <c r="YC14"/>
  <c r="YM13"/>
  <c r="YL13"/>
  <c r="YK13"/>
  <c r="YJ13"/>
  <c r="YF13"/>
  <c r="YE13"/>
  <c r="YD13"/>
  <c r="YC13"/>
  <c r="YM12"/>
  <c r="YL12"/>
  <c r="YK12"/>
  <c r="YJ12"/>
  <c r="YF12"/>
  <c r="YE12"/>
  <c r="YD12"/>
  <c r="YC12"/>
  <c r="YM11"/>
  <c r="YL11"/>
  <c r="YK11"/>
  <c r="YJ11"/>
  <c r="YF11"/>
  <c r="YE11"/>
  <c r="YD11"/>
  <c r="YC11"/>
  <c r="YM10"/>
  <c r="YL10"/>
  <c r="YK10"/>
  <c r="YJ10"/>
  <c r="YF10"/>
  <c r="YE10"/>
  <c r="YD10"/>
  <c r="YC10"/>
  <c r="YM9"/>
  <c r="YL9"/>
  <c r="YK9"/>
  <c r="YJ9"/>
  <c r="YF9"/>
  <c r="YE9"/>
  <c r="YD9"/>
  <c r="YC9"/>
  <c r="YM8"/>
  <c r="YL8"/>
  <c r="YK8"/>
  <c r="YJ8"/>
  <c r="YF8"/>
  <c r="YE8"/>
  <c r="YD8"/>
  <c r="YC8"/>
  <c r="YM7"/>
  <c r="YL7"/>
  <c r="YK7"/>
  <c r="YJ7"/>
  <c r="YF7"/>
  <c r="YE7"/>
  <c r="YD7"/>
  <c r="YC7"/>
  <c r="YM6"/>
  <c r="YL6"/>
  <c r="YK6"/>
  <c r="YJ6"/>
  <c r="YF6"/>
  <c r="YE6"/>
  <c r="YD6"/>
  <c r="YC6"/>
  <c r="YM5"/>
  <c r="YL5"/>
  <c r="YK5"/>
  <c r="YJ5"/>
  <c r="YE5"/>
  <c r="YD5"/>
  <c r="YC5"/>
  <c r="XT6"/>
  <c r="XU6"/>
  <c r="XV6"/>
  <c r="XT7"/>
  <c r="XU7"/>
  <c r="XV7"/>
  <c r="XT8"/>
  <c r="XU8"/>
  <c r="XV8"/>
  <c r="XT9"/>
  <c r="XU9"/>
  <c r="XV9"/>
  <c r="XT10"/>
  <c r="XU10"/>
  <c r="XV10"/>
  <c r="XT11"/>
  <c r="XU11"/>
  <c r="XV11"/>
  <c r="XT12"/>
  <c r="XU12"/>
  <c r="XV12"/>
  <c r="XT13"/>
  <c r="XU13"/>
  <c r="XV13"/>
  <c r="XT14"/>
  <c r="XU14"/>
  <c r="XV14"/>
  <c r="XT15"/>
  <c r="XU15"/>
  <c r="XV15"/>
  <c r="XT16"/>
  <c r="XU16"/>
  <c r="XV16"/>
  <c r="XT17"/>
  <c r="XU17"/>
  <c r="XV17"/>
  <c r="XT18"/>
  <c r="XU18"/>
  <c r="XV18"/>
  <c r="XT19"/>
  <c r="XU19"/>
  <c r="XV19"/>
  <c r="XT20"/>
  <c r="XU20"/>
  <c r="XV20"/>
  <c r="XT21"/>
  <c r="XU21"/>
  <c r="XV21"/>
  <c r="XT22"/>
  <c r="XU22"/>
  <c r="XV22"/>
  <c r="XT23"/>
  <c r="XU23"/>
  <c r="XV23"/>
  <c r="XT24"/>
  <c r="XU24"/>
  <c r="XV24"/>
  <c r="XT25"/>
  <c r="XU25"/>
  <c r="XV25"/>
  <c r="XT26"/>
  <c r="XU26"/>
  <c r="XV26"/>
  <c r="XT27"/>
  <c r="XU27"/>
  <c r="XV27"/>
  <c r="XT28"/>
  <c r="XU28"/>
  <c r="XV28"/>
  <c r="XT29"/>
  <c r="XU29"/>
  <c r="XV29"/>
  <c r="XT30"/>
  <c r="XU30"/>
  <c r="XV30"/>
  <c r="XT31"/>
  <c r="XU31"/>
  <c r="XV31"/>
  <c r="XT32"/>
  <c r="XU32"/>
  <c r="XV32"/>
  <c r="XT33"/>
  <c r="XU33"/>
  <c r="XV33"/>
  <c r="XT34"/>
  <c r="XU34"/>
  <c r="XV34"/>
  <c r="XT35"/>
  <c r="XU35"/>
  <c r="XV35"/>
  <c r="XT36"/>
  <c r="XU36"/>
  <c r="XV36"/>
  <c r="XT37"/>
  <c r="XU37"/>
  <c r="XV37"/>
  <c r="XT38"/>
  <c r="XU38"/>
  <c r="XV38"/>
  <c r="XT39"/>
  <c r="XU39"/>
  <c r="XV39"/>
  <c r="XT40"/>
  <c r="XU40"/>
  <c r="XV40"/>
  <c r="XT41"/>
  <c r="XU41"/>
  <c r="XV41"/>
  <c r="XT42"/>
  <c r="XU42"/>
  <c r="XV42"/>
  <c r="XT43"/>
  <c r="XU43"/>
  <c r="XV43"/>
  <c r="XT44"/>
  <c r="XU44"/>
  <c r="XV44"/>
  <c r="XT45"/>
  <c r="XU45"/>
  <c r="XV45"/>
  <c r="XT46"/>
  <c r="XU46"/>
  <c r="XV46"/>
  <c r="XT47"/>
  <c r="XU47"/>
  <c r="XV47"/>
  <c r="XT48"/>
  <c r="XU48"/>
  <c r="XV48"/>
  <c r="XT49"/>
  <c r="XU49"/>
  <c r="XV49"/>
  <c r="XT50"/>
  <c r="XU50"/>
  <c r="XV50"/>
  <c r="XT51"/>
  <c r="XU51"/>
  <c r="XV51"/>
  <c r="XT52"/>
  <c r="XU52"/>
  <c r="XV52"/>
  <c r="XT53"/>
  <c r="XU53"/>
  <c r="XV53"/>
  <c r="XT54"/>
  <c r="XU54"/>
  <c r="XV54"/>
  <c r="XT55"/>
  <c r="XU55"/>
  <c r="XV55"/>
  <c r="XT56"/>
  <c r="XU56"/>
  <c r="XV56"/>
  <c r="XT57"/>
  <c r="XU57"/>
  <c r="XV57"/>
  <c r="XT58"/>
  <c r="XU58"/>
  <c r="XV58"/>
  <c r="XT59"/>
  <c r="XU59"/>
  <c r="XV59"/>
  <c r="XT60"/>
  <c r="XU60"/>
  <c r="XV60"/>
  <c r="XT61"/>
  <c r="XU61"/>
  <c r="XV61"/>
  <c r="XT62"/>
  <c r="XU62"/>
  <c r="XV62"/>
  <c r="XT63"/>
  <c r="XU63"/>
  <c r="XV63"/>
  <c r="XT64"/>
  <c r="XU64"/>
  <c r="XV64"/>
  <c r="XT65"/>
  <c r="XU65"/>
  <c r="XV65"/>
  <c r="XT66"/>
  <c r="XU66"/>
  <c r="XV66"/>
  <c r="XT67"/>
  <c r="XU67"/>
  <c r="XV67"/>
  <c r="XT68"/>
  <c r="XU68"/>
  <c r="XV68"/>
  <c r="XT69"/>
  <c r="XU69"/>
  <c r="XV69"/>
  <c r="XT70"/>
  <c r="XU70"/>
  <c r="XV70"/>
  <c r="XT71"/>
  <c r="XU71"/>
  <c r="XV71"/>
  <c r="XT72"/>
  <c r="XU72"/>
  <c r="XV72"/>
  <c r="XT73"/>
  <c r="XU73"/>
  <c r="XV73"/>
  <c r="XT74"/>
  <c r="XU74"/>
  <c r="XV74"/>
  <c r="XT75"/>
  <c r="XU75"/>
  <c r="XV75"/>
  <c r="XT76"/>
  <c r="XU76"/>
  <c r="XV76"/>
  <c r="XT77"/>
  <c r="XU77"/>
  <c r="XV77"/>
  <c r="XT78"/>
  <c r="XU78"/>
  <c r="XV78"/>
  <c r="XT79"/>
  <c r="XU79"/>
  <c r="XV79"/>
  <c r="XT80"/>
  <c r="XU80"/>
  <c r="XV80"/>
  <c r="XT81"/>
  <c r="XU81"/>
  <c r="XV81"/>
  <c r="XT82"/>
  <c r="XU82"/>
  <c r="XV82"/>
  <c r="XT83"/>
  <c r="XU83"/>
  <c r="XV83"/>
  <c r="XT84"/>
  <c r="XU84"/>
  <c r="XV84"/>
  <c r="XT85"/>
  <c r="XU85"/>
  <c r="XV85"/>
  <c r="XT86"/>
  <c r="XU86"/>
  <c r="XV86"/>
  <c r="XV5"/>
  <c r="XT5"/>
  <c r="XU5"/>
  <c r="XS5"/>
  <c r="XZ86"/>
  <c r="XY86"/>
  <c r="XX86"/>
  <c r="XW86"/>
  <c r="XS86"/>
  <c r="XR86"/>
  <c r="XQ86"/>
  <c r="XP86"/>
  <c r="XZ85"/>
  <c r="XY85"/>
  <c r="XX85"/>
  <c r="XW85"/>
  <c r="XS85"/>
  <c r="XR85"/>
  <c r="XQ85"/>
  <c r="XP85"/>
  <c r="XZ84"/>
  <c r="XY84"/>
  <c r="XX84"/>
  <c r="XW84"/>
  <c r="XS84"/>
  <c r="XR84"/>
  <c r="XQ84"/>
  <c r="XP84"/>
  <c r="XZ83"/>
  <c r="XY83"/>
  <c r="XX83"/>
  <c r="XW83"/>
  <c r="XS83"/>
  <c r="XR83"/>
  <c r="XQ83"/>
  <c r="XP83"/>
  <c r="XZ82"/>
  <c r="XY82"/>
  <c r="XX82"/>
  <c r="XW82"/>
  <c r="XS82"/>
  <c r="XR82"/>
  <c r="XQ82"/>
  <c r="XP82"/>
  <c r="XZ81"/>
  <c r="XY81"/>
  <c r="XX81"/>
  <c r="XW81"/>
  <c r="XS81"/>
  <c r="XR81"/>
  <c r="XQ81"/>
  <c r="XP81"/>
  <c r="XZ80"/>
  <c r="XY80"/>
  <c r="XX80"/>
  <c r="XW80"/>
  <c r="XS80"/>
  <c r="XR80"/>
  <c r="XQ80"/>
  <c r="XP80"/>
  <c r="XZ79"/>
  <c r="XY79"/>
  <c r="XX79"/>
  <c r="XW79"/>
  <c r="XS79"/>
  <c r="XR79"/>
  <c r="XQ79"/>
  <c r="XP79"/>
  <c r="XZ78"/>
  <c r="XY78"/>
  <c r="XX78"/>
  <c r="XW78"/>
  <c r="XS78"/>
  <c r="XR78"/>
  <c r="XQ78"/>
  <c r="XP78"/>
  <c r="XZ77"/>
  <c r="XY77"/>
  <c r="XX77"/>
  <c r="XW77"/>
  <c r="XS77"/>
  <c r="XR77"/>
  <c r="XQ77"/>
  <c r="XP77"/>
  <c r="XZ76"/>
  <c r="XY76"/>
  <c r="XX76"/>
  <c r="XW76"/>
  <c r="XS76"/>
  <c r="XR76"/>
  <c r="XQ76"/>
  <c r="XP76"/>
  <c r="XZ75"/>
  <c r="XY75"/>
  <c r="XX75"/>
  <c r="XW75"/>
  <c r="XS75"/>
  <c r="XR75"/>
  <c r="XQ75"/>
  <c r="XP75"/>
  <c r="XZ74"/>
  <c r="XY74"/>
  <c r="XX74"/>
  <c r="XW74"/>
  <c r="XS74"/>
  <c r="XR74"/>
  <c r="XQ74"/>
  <c r="XP74"/>
  <c r="XZ73"/>
  <c r="XY73"/>
  <c r="XX73"/>
  <c r="XW73"/>
  <c r="XS73"/>
  <c r="XR73"/>
  <c r="XQ73"/>
  <c r="XP73"/>
  <c r="XZ72"/>
  <c r="XY72"/>
  <c r="XX72"/>
  <c r="XW72"/>
  <c r="XS72"/>
  <c r="XR72"/>
  <c r="XQ72"/>
  <c r="XP72"/>
  <c r="XZ71"/>
  <c r="XY71"/>
  <c r="XX71"/>
  <c r="XW71"/>
  <c r="XS71"/>
  <c r="XR71"/>
  <c r="XQ71"/>
  <c r="XP71"/>
  <c r="XZ70"/>
  <c r="XY70"/>
  <c r="XX70"/>
  <c r="XW70"/>
  <c r="XS70"/>
  <c r="XR70"/>
  <c r="XQ70"/>
  <c r="XP70"/>
  <c r="XZ69"/>
  <c r="XY69"/>
  <c r="XX69"/>
  <c r="XW69"/>
  <c r="XS69"/>
  <c r="XR69"/>
  <c r="XQ69"/>
  <c r="XP69"/>
  <c r="XZ68"/>
  <c r="XY68"/>
  <c r="XX68"/>
  <c r="XW68"/>
  <c r="XS68"/>
  <c r="XR68"/>
  <c r="XQ68"/>
  <c r="XP68"/>
  <c r="XZ67"/>
  <c r="XY67"/>
  <c r="XX67"/>
  <c r="XW67"/>
  <c r="XS67"/>
  <c r="XR67"/>
  <c r="XQ67"/>
  <c r="XP67"/>
  <c r="XZ66"/>
  <c r="XY66"/>
  <c r="XX66"/>
  <c r="XW66"/>
  <c r="XS66"/>
  <c r="XR66"/>
  <c r="XQ66"/>
  <c r="XP66"/>
  <c r="XZ65"/>
  <c r="XY65"/>
  <c r="XX65"/>
  <c r="XW65"/>
  <c r="XS65"/>
  <c r="XR65"/>
  <c r="XQ65"/>
  <c r="XP65"/>
  <c r="XZ64"/>
  <c r="XY64"/>
  <c r="XX64"/>
  <c r="XW64"/>
  <c r="XS64"/>
  <c r="XR64"/>
  <c r="XQ64"/>
  <c r="XP64"/>
  <c r="XZ63"/>
  <c r="XY63"/>
  <c r="XX63"/>
  <c r="XW63"/>
  <c r="XS63"/>
  <c r="XR63"/>
  <c r="XQ63"/>
  <c r="XP63"/>
  <c r="XZ62"/>
  <c r="XY62"/>
  <c r="XX62"/>
  <c r="XW62"/>
  <c r="XS62"/>
  <c r="XR62"/>
  <c r="XQ62"/>
  <c r="XP62"/>
  <c r="XZ61"/>
  <c r="XY61"/>
  <c r="XX61"/>
  <c r="XW61"/>
  <c r="XS61"/>
  <c r="XR61"/>
  <c r="XQ61"/>
  <c r="XP61"/>
  <c r="XZ60"/>
  <c r="XY60"/>
  <c r="XX60"/>
  <c r="XW60"/>
  <c r="XS60"/>
  <c r="XR60"/>
  <c r="XQ60"/>
  <c r="XP60"/>
  <c r="XZ59"/>
  <c r="XY59"/>
  <c r="XX59"/>
  <c r="XW59"/>
  <c r="XS59"/>
  <c r="XR59"/>
  <c r="XQ59"/>
  <c r="XP59"/>
  <c r="XZ58"/>
  <c r="XY58"/>
  <c r="XX58"/>
  <c r="XW58"/>
  <c r="XS58"/>
  <c r="XR58"/>
  <c r="XQ58"/>
  <c r="XP58"/>
  <c r="XZ57"/>
  <c r="XY57"/>
  <c r="XX57"/>
  <c r="XW57"/>
  <c r="XS57"/>
  <c r="XR57"/>
  <c r="XQ57"/>
  <c r="XP57"/>
  <c r="XZ56"/>
  <c r="XY56"/>
  <c r="XX56"/>
  <c r="XW56"/>
  <c r="XS56"/>
  <c r="XR56"/>
  <c r="XQ56"/>
  <c r="XP56"/>
  <c r="XZ55"/>
  <c r="XY55"/>
  <c r="XX55"/>
  <c r="XW55"/>
  <c r="XS55"/>
  <c r="XR55"/>
  <c r="XQ55"/>
  <c r="XP55"/>
  <c r="XZ54"/>
  <c r="XY54"/>
  <c r="XX54"/>
  <c r="XW54"/>
  <c r="XS54"/>
  <c r="XR54"/>
  <c r="XQ54"/>
  <c r="XP54"/>
  <c r="XZ53"/>
  <c r="XY53"/>
  <c r="XX53"/>
  <c r="XW53"/>
  <c r="XS53"/>
  <c r="XR53"/>
  <c r="XQ53"/>
  <c r="XP53"/>
  <c r="XZ52"/>
  <c r="XY52"/>
  <c r="XX52"/>
  <c r="XW52"/>
  <c r="XS52"/>
  <c r="XR52"/>
  <c r="XQ52"/>
  <c r="XP52"/>
  <c r="XZ51"/>
  <c r="XY51"/>
  <c r="XX51"/>
  <c r="XW51"/>
  <c r="XS51"/>
  <c r="XR51"/>
  <c r="XQ51"/>
  <c r="XP51"/>
  <c r="XZ50"/>
  <c r="XY50"/>
  <c r="XX50"/>
  <c r="XW50"/>
  <c r="XS50"/>
  <c r="XR50"/>
  <c r="XQ50"/>
  <c r="XP50"/>
  <c r="XZ49"/>
  <c r="XY49"/>
  <c r="XX49"/>
  <c r="XW49"/>
  <c r="XS49"/>
  <c r="XR49"/>
  <c r="XQ49"/>
  <c r="XP49"/>
  <c r="XZ48"/>
  <c r="XY48"/>
  <c r="XX48"/>
  <c r="XW48"/>
  <c r="XS48"/>
  <c r="XR48"/>
  <c r="XQ48"/>
  <c r="XP48"/>
  <c r="XZ47"/>
  <c r="XY47"/>
  <c r="XX47"/>
  <c r="XW47"/>
  <c r="XS47"/>
  <c r="XR47"/>
  <c r="XQ47"/>
  <c r="XP47"/>
  <c r="XZ46"/>
  <c r="XY46"/>
  <c r="XX46"/>
  <c r="XW46"/>
  <c r="XS46"/>
  <c r="XR46"/>
  <c r="XQ46"/>
  <c r="XP46"/>
  <c r="XZ45"/>
  <c r="XY45"/>
  <c r="XX45"/>
  <c r="XW45"/>
  <c r="XS45"/>
  <c r="XR45"/>
  <c r="XQ45"/>
  <c r="XP45"/>
  <c r="XZ44"/>
  <c r="XY44"/>
  <c r="XX44"/>
  <c r="XW44"/>
  <c r="XS44"/>
  <c r="XR44"/>
  <c r="XQ44"/>
  <c r="XP44"/>
  <c r="XZ43"/>
  <c r="XY43"/>
  <c r="XX43"/>
  <c r="XW43"/>
  <c r="XS43"/>
  <c r="XR43"/>
  <c r="XQ43"/>
  <c r="XP43"/>
  <c r="XZ42"/>
  <c r="XY42"/>
  <c r="XX42"/>
  <c r="XW42"/>
  <c r="XS42"/>
  <c r="XR42"/>
  <c r="XQ42"/>
  <c r="XP42"/>
  <c r="XZ41"/>
  <c r="XY41"/>
  <c r="XX41"/>
  <c r="XW41"/>
  <c r="XS41"/>
  <c r="XR41"/>
  <c r="XQ41"/>
  <c r="XP41"/>
  <c r="XZ40"/>
  <c r="XY40"/>
  <c r="XX40"/>
  <c r="XW40"/>
  <c r="XS40"/>
  <c r="XR40"/>
  <c r="XQ40"/>
  <c r="XP40"/>
  <c r="XZ39"/>
  <c r="XY39"/>
  <c r="XX39"/>
  <c r="XW39"/>
  <c r="XS39"/>
  <c r="XR39"/>
  <c r="XQ39"/>
  <c r="XP39"/>
  <c r="XZ38"/>
  <c r="XY38"/>
  <c r="XX38"/>
  <c r="XW38"/>
  <c r="XS38"/>
  <c r="XR38"/>
  <c r="XQ38"/>
  <c r="XP38"/>
  <c r="XZ37"/>
  <c r="XY37"/>
  <c r="XX37"/>
  <c r="XW37"/>
  <c r="XS37"/>
  <c r="XR37"/>
  <c r="XQ37"/>
  <c r="XP37"/>
  <c r="XZ36"/>
  <c r="XY36"/>
  <c r="XX36"/>
  <c r="XW36"/>
  <c r="XS36"/>
  <c r="XR36"/>
  <c r="XQ36"/>
  <c r="XP36"/>
  <c r="XZ35"/>
  <c r="XY35"/>
  <c r="XX35"/>
  <c r="XW35"/>
  <c r="XS35"/>
  <c r="XR35"/>
  <c r="XQ35"/>
  <c r="XP35"/>
  <c r="XZ34"/>
  <c r="XY34"/>
  <c r="XX34"/>
  <c r="XW34"/>
  <c r="XS34"/>
  <c r="XR34"/>
  <c r="XQ34"/>
  <c r="XP34"/>
  <c r="XZ33"/>
  <c r="XY33"/>
  <c r="XX33"/>
  <c r="XW33"/>
  <c r="XS33"/>
  <c r="XR33"/>
  <c r="XQ33"/>
  <c r="XP33"/>
  <c r="XZ32"/>
  <c r="XY32"/>
  <c r="XX32"/>
  <c r="XW32"/>
  <c r="XS32"/>
  <c r="XR32"/>
  <c r="XQ32"/>
  <c r="XP32"/>
  <c r="XZ31"/>
  <c r="XY31"/>
  <c r="XX31"/>
  <c r="XW31"/>
  <c r="XS31"/>
  <c r="XR31"/>
  <c r="XQ31"/>
  <c r="XP31"/>
  <c r="XZ30"/>
  <c r="XY30"/>
  <c r="XX30"/>
  <c r="XW30"/>
  <c r="XS30"/>
  <c r="XR30"/>
  <c r="XQ30"/>
  <c r="XP30"/>
  <c r="XZ29"/>
  <c r="XY29"/>
  <c r="XX29"/>
  <c r="XW29"/>
  <c r="XS29"/>
  <c r="XR29"/>
  <c r="XQ29"/>
  <c r="XP29"/>
  <c r="XZ28"/>
  <c r="XY28"/>
  <c r="XX28"/>
  <c r="XW28"/>
  <c r="XS28"/>
  <c r="XR28"/>
  <c r="XQ28"/>
  <c r="XP28"/>
  <c r="XZ27"/>
  <c r="XY27"/>
  <c r="XX27"/>
  <c r="XW27"/>
  <c r="XS27"/>
  <c r="XR27"/>
  <c r="XQ27"/>
  <c r="XP27"/>
  <c r="XZ26"/>
  <c r="XY26"/>
  <c r="XX26"/>
  <c r="XW26"/>
  <c r="XS26"/>
  <c r="XR26"/>
  <c r="XQ26"/>
  <c r="XP26"/>
  <c r="XZ25"/>
  <c r="XY25"/>
  <c r="XX25"/>
  <c r="XW25"/>
  <c r="XS25"/>
  <c r="XR25"/>
  <c r="XQ25"/>
  <c r="XP25"/>
  <c r="XZ24"/>
  <c r="XY24"/>
  <c r="XX24"/>
  <c r="XW24"/>
  <c r="XS24"/>
  <c r="XR24"/>
  <c r="XQ24"/>
  <c r="XP24"/>
  <c r="XZ23"/>
  <c r="XY23"/>
  <c r="XX23"/>
  <c r="XW23"/>
  <c r="XS23"/>
  <c r="XR23"/>
  <c r="XQ23"/>
  <c r="XP23"/>
  <c r="XZ22"/>
  <c r="XY22"/>
  <c r="XX22"/>
  <c r="XW22"/>
  <c r="XS22"/>
  <c r="XR22"/>
  <c r="XQ22"/>
  <c r="XP22"/>
  <c r="XZ21"/>
  <c r="XY21"/>
  <c r="XX21"/>
  <c r="XW21"/>
  <c r="XS21"/>
  <c r="XR21"/>
  <c r="XQ21"/>
  <c r="XP21"/>
  <c r="XZ20"/>
  <c r="XY20"/>
  <c r="XX20"/>
  <c r="XW20"/>
  <c r="XS20"/>
  <c r="XR20"/>
  <c r="XQ20"/>
  <c r="XP20"/>
  <c r="XZ19"/>
  <c r="XY19"/>
  <c r="XX19"/>
  <c r="XW19"/>
  <c r="XS19"/>
  <c r="XR19"/>
  <c r="XQ19"/>
  <c r="XP19"/>
  <c r="XZ18"/>
  <c r="XY18"/>
  <c r="XX18"/>
  <c r="XW18"/>
  <c r="XS18"/>
  <c r="XR18"/>
  <c r="XQ18"/>
  <c r="XP18"/>
  <c r="XZ17"/>
  <c r="XY17"/>
  <c r="XX17"/>
  <c r="XW17"/>
  <c r="XS17"/>
  <c r="XR17"/>
  <c r="XQ17"/>
  <c r="XP17"/>
  <c r="XZ16"/>
  <c r="XY16"/>
  <c r="XX16"/>
  <c r="XW16"/>
  <c r="XS16"/>
  <c r="XR16"/>
  <c r="XQ16"/>
  <c r="XP16"/>
  <c r="XZ15"/>
  <c r="XY15"/>
  <c r="XX15"/>
  <c r="XW15"/>
  <c r="XS15"/>
  <c r="XR15"/>
  <c r="XQ15"/>
  <c r="XP15"/>
  <c r="XZ14"/>
  <c r="XY14"/>
  <c r="XX14"/>
  <c r="XW14"/>
  <c r="XS14"/>
  <c r="XR14"/>
  <c r="XQ14"/>
  <c r="XP14"/>
  <c r="XZ13"/>
  <c r="XY13"/>
  <c r="XX13"/>
  <c r="XW13"/>
  <c r="XS13"/>
  <c r="XR13"/>
  <c r="XQ13"/>
  <c r="XP13"/>
  <c r="XZ12"/>
  <c r="XY12"/>
  <c r="XX12"/>
  <c r="XW12"/>
  <c r="XS12"/>
  <c r="XR12"/>
  <c r="XQ12"/>
  <c r="XP12"/>
  <c r="XZ11"/>
  <c r="XY11"/>
  <c r="XX11"/>
  <c r="XW11"/>
  <c r="XS11"/>
  <c r="XR11"/>
  <c r="XQ11"/>
  <c r="XP11"/>
  <c r="XZ10"/>
  <c r="XY10"/>
  <c r="XX10"/>
  <c r="XW10"/>
  <c r="XS10"/>
  <c r="XR10"/>
  <c r="XQ10"/>
  <c r="XP10"/>
  <c r="XZ9"/>
  <c r="XY9"/>
  <c r="XX9"/>
  <c r="XW9"/>
  <c r="XS9"/>
  <c r="XR9"/>
  <c r="XQ9"/>
  <c r="XP9"/>
  <c r="XZ8"/>
  <c r="XY8"/>
  <c r="XX8"/>
  <c r="XW8"/>
  <c r="XS8"/>
  <c r="XR8"/>
  <c r="XQ8"/>
  <c r="XP8"/>
  <c r="XZ7"/>
  <c r="XY7"/>
  <c r="XX7"/>
  <c r="XW7"/>
  <c r="XS7"/>
  <c r="XR7"/>
  <c r="XQ7"/>
  <c r="XP7"/>
  <c r="XZ6"/>
  <c r="XY6"/>
  <c r="XX6"/>
  <c r="XW6"/>
  <c r="XS6"/>
  <c r="XR6"/>
  <c r="XQ6"/>
  <c r="XP6"/>
  <c r="XZ5"/>
  <c r="XY5"/>
  <c r="XX5"/>
  <c r="XW5"/>
  <c r="XR5"/>
  <c r="XQ5"/>
  <c r="XP5"/>
  <c r="XG6"/>
  <c r="XH6"/>
  <c r="XI6"/>
  <c r="XG7"/>
  <c r="XH7"/>
  <c r="XI7"/>
  <c r="XG8"/>
  <c r="XH8"/>
  <c r="XI8"/>
  <c r="XG9"/>
  <c r="XH9"/>
  <c r="XI9"/>
  <c r="XG10"/>
  <c r="XH10"/>
  <c r="XI10"/>
  <c r="XG11"/>
  <c r="XH11"/>
  <c r="XI11"/>
  <c r="XG12"/>
  <c r="XH12"/>
  <c r="XI12"/>
  <c r="XG13"/>
  <c r="XH13"/>
  <c r="XI13"/>
  <c r="XG14"/>
  <c r="XH14"/>
  <c r="XI14"/>
  <c r="XG15"/>
  <c r="XH15"/>
  <c r="XI15"/>
  <c r="XG16"/>
  <c r="XH16"/>
  <c r="XI16"/>
  <c r="XG17"/>
  <c r="XH17"/>
  <c r="XI17"/>
  <c r="XG18"/>
  <c r="XH18"/>
  <c r="XI18"/>
  <c r="XG19"/>
  <c r="XH19"/>
  <c r="XI19"/>
  <c r="XG20"/>
  <c r="XH20"/>
  <c r="XI20"/>
  <c r="XG21"/>
  <c r="XH21"/>
  <c r="XI21"/>
  <c r="XG22"/>
  <c r="XH22"/>
  <c r="XI22"/>
  <c r="XG23"/>
  <c r="XH23"/>
  <c r="XI23"/>
  <c r="XG24"/>
  <c r="XH24"/>
  <c r="XI24"/>
  <c r="XG25"/>
  <c r="XH25"/>
  <c r="XI25"/>
  <c r="XG26"/>
  <c r="XH26"/>
  <c r="XI26"/>
  <c r="XG27"/>
  <c r="XH27"/>
  <c r="XI27"/>
  <c r="XG28"/>
  <c r="XH28"/>
  <c r="XI28"/>
  <c r="XG29"/>
  <c r="XH29"/>
  <c r="XI29"/>
  <c r="XG30"/>
  <c r="XH30"/>
  <c r="XI30"/>
  <c r="XG31"/>
  <c r="XH31"/>
  <c r="XI31"/>
  <c r="XG32"/>
  <c r="XH32"/>
  <c r="XI32"/>
  <c r="XG33"/>
  <c r="XH33"/>
  <c r="XI33"/>
  <c r="XG34"/>
  <c r="XH34"/>
  <c r="XI34"/>
  <c r="XG35"/>
  <c r="XH35"/>
  <c r="XI35"/>
  <c r="XG36"/>
  <c r="XH36"/>
  <c r="XI36"/>
  <c r="XG37"/>
  <c r="XH37"/>
  <c r="XI37"/>
  <c r="XG38"/>
  <c r="XH38"/>
  <c r="XI38"/>
  <c r="XG39"/>
  <c r="XH39"/>
  <c r="XI39"/>
  <c r="XG40"/>
  <c r="XH40"/>
  <c r="XI40"/>
  <c r="XG41"/>
  <c r="XH41"/>
  <c r="XI41"/>
  <c r="XG42"/>
  <c r="XH42"/>
  <c r="XI42"/>
  <c r="XG43"/>
  <c r="XH43"/>
  <c r="XI43"/>
  <c r="XG44"/>
  <c r="XH44"/>
  <c r="XI44"/>
  <c r="XG45"/>
  <c r="XH45"/>
  <c r="XI45"/>
  <c r="XG46"/>
  <c r="XH46"/>
  <c r="XI46"/>
  <c r="XG47"/>
  <c r="XH47"/>
  <c r="XI47"/>
  <c r="XG48"/>
  <c r="XH48"/>
  <c r="XI48"/>
  <c r="XG49"/>
  <c r="XH49"/>
  <c r="XI49"/>
  <c r="XG50"/>
  <c r="XH50"/>
  <c r="XI50"/>
  <c r="XG51"/>
  <c r="XH51"/>
  <c r="XI51"/>
  <c r="XG52"/>
  <c r="XH52"/>
  <c r="XI52"/>
  <c r="XG53"/>
  <c r="XH53"/>
  <c r="XI53"/>
  <c r="XG54"/>
  <c r="XH54"/>
  <c r="XI54"/>
  <c r="XG55"/>
  <c r="XH55"/>
  <c r="XI55"/>
  <c r="XG56"/>
  <c r="XH56"/>
  <c r="XI56"/>
  <c r="XG57"/>
  <c r="XH57"/>
  <c r="XI57"/>
  <c r="XG58"/>
  <c r="XH58"/>
  <c r="XI58"/>
  <c r="XG59"/>
  <c r="XH59"/>
  <c r="XI59"/>
  <c r="XG60"/>
  <c r="XH60"/>
  <c r="XI60"/>
  <c r="XG61"/>
  <c r="XH61"/>
  <c r="XI61"/>
  <c r="XG62"/>
  <c r="XH62"/>
  <c r="XI62"/>
  <c r="XG63"/>
  <c r="XH63"/>
  <c r="XI63"/>
  <c r="XG64"/>
  <c r="XH64"/>
  <c r="XI64"/>
  <c r="XG65"/>
  <c r="XH65"/>
  <c r="XI65"/>
  <c r="XG66"/>
  <c r="XH66"/>
  <c r="XI66"/>
  <c r="XG67"/>
  <c r="XH67"/>
  <c r="XI67"/>
  <c r="XG68"/>
  <c r="XH68"/>
  <c r="XI68"/>
  <c r="XG69"/>
  <c r="XH69"/>
  <c r="XI69"/>
  <c r="XG70"/>
  <c r="XH70"/>
  <c r="XI70"/>
  <c r="XG71"/>
  <c r="XH71"/>
  <c r="XI71"/>
  <c r="XG72"/>
  <c r="XH72"/>
  <c r="XI72"/>
  <c r="XG73"/>
  <c r="XH73"/>
  <c r="XI73"/>
  <c r="XG74"/>
  <c r="XH74"/>
  <c r="XI74"/>
  <c r="XG75"/>
  <c r="XH75"/>
  <c r="XI75"/>
  <c r="XG76"/>
  <c r="XH76"/>
  <c r="XI76"/>
  <c r="XG77"/>
  <c r="XH77"/>
  <c r="XI77"/>
  <c r="XG78"/>
  <c r="XH78"/>
  <c r="XI78"/>
  <c r="XG79"/>
  <c r="XH79"/>
  <c r="XI79"/>
  <c r="XG80"/>
  <c r="XH80"/>
  <c r="XI80"/>
  <c r="XG81"/>
  <c r="XH81"/>
  <c r="XI81"/>
  <c r="XG82"/>
  <c r="XH82"/>
  <c r="XI82"/>
  <c r="XG83"/>
  <c r="XH83"/>
  <c r="XI83"/>
  <c r="XG84"/>
  <c r="XH84"/>
  <c r="XI84"/>
  <c r="XG85"/>
  <c r="XH85"/>
  <c r="XI85"/>
  <c r="XG86"/>
  <c r="XH86"/>
  <c r="XI86"/>
  <c r="XI5"/>
  <c r="XG5"/>
  <c r="XH5"/>
  <c r="XF5"/>
  <c r="XM86"/>
  <c r="XL86"/>
  <c r="XK86"/>
  <c r="XJ86"/>
  <c r="XF86"/>
  <c r="XE86"/>
  <c r="XD86"/>
  <c r="XC86"/>
  <c r="XM85"/>
  <c r="XL85"/>
  <c r="XK85"/>
  <c r="XJ85"/>
  <c r="XF85"/>
  <c r="XE85"/>
  <c r="XD85"/>
  <c r="XC85"/>
  <c r="XM84"/>
  <c r="XL84"/>
  <c r="XK84"/>
  <c r="XJ84"/>
  <c r="XF84"/>
  <c r="XE84"/>
  <c r="XD84"/>
  <c r="XC84"/>
  <c r="XM83"/>
  <c r="XL83"/>
  <c r="XK83"/>
  <c r="XJ83"/>
  <c r="XF83"/>
  <c r="XE83"/>
  <c r="XD83"/>
  <c r="XC83"/>
  <c r="XM82"/>
  <c r="XL82"/>
  <c r="XK82"/>
  <c r="XJ82"/>
  <c r="XF82"/>
  <c r="XE82"/>
  <c r="XD82"/>
  <c r="XC82"/>
  <c r="XM81"/>
  <c r="XL81"/>
  <c r="XK81"/>
  <c r="XJ81"/>
  <c r="XF81"/>
  <c r="XE81"/>
  <c r="XD81"/>
  <c r="XC81"/>
  <c r="XM80"/>
  <c r="XL80"/>
  <c r="XK80"/>
  <c r="XJ80"/>
  <c r="XF80"/>
  <c r="XE80"/>
  <c r="XD80"/>
  <c r="XC80"/>
  <c r="XM79"/>
  <c r="XL79"/>
  <c r="XK79"/>
  <c r="XJ79"/>
  <c r="XF79"/>
  <c r="XE79"/>
  <c r="XD79"/>
  <c r="XC79"/>
  <c r="XM78"/>
  <c r="XL78"/>
  <c r="XK78"/>
  <c r="XJ78"/>
  <c r="XF78"/>
  <c r="XE78"/>
  <c r="XD78"/>
  <c r="XC78"/>
  <c r="XM77"/>
  <c r="XL77"/>
  <c r="XK77"/>
  <c r="XJ77"/>
  <c r="XF77"/>
  <c r="XE77"/>
  <c r="XD77"/>
  <c r="XC77"/>
  <c r="XM76"/>
  <c r="XL76"/>
  <c r="XK76"/>
  <c r="XJ76"/>
  <c r="XF76"/>
  <c r="XE76"/>
  <c r="XD76"/>
  <c r="XC76"/>
  <c r="XM75"/>
  <c r="XL75"/>
  <c r="XK75"/>
  <c r="XJ75"/>
  <c r="XF75"/>
  <c r="XE75"/>
  <c r="XD75"/>
  <c r="XC75"/>
  <c r="XM74"/>
  <c r="XL74"/>
  <c r="XK74"/>
  <c r="XJ74"/>
  <c r="XF74"/>
  <c r="XE74"/>
  <c r="XD74"/>
  <c r="XC74"/>
  <c r="XM73"/>
  <c r="XL73"/>
  <c r="XK73"/>
  <c r="XJ73"/>
  <c r="XF73"/>
  <c r="XE73"/>
  <c r="XD73"/>
  <c r="XC73"/>
  <c r="XM72"/>
  <c r="XL72"/>
  <c r="XK72"/>
  <c r="XJ72"/>
  <c r="XF72"/>
  <c r="XE72"/>
  <c r="XD72"/>
  <c r="XC72"/>
  <c r="XM71"/>
  <c r="XL71"/>
  <c r="XK71"/>
  <c r="XJ71"/>
  <c r="XF71"/>
  <c r="XE71"/>
  <c r="XD71"/>
  <c r="XC71"/>
  <c r="XM70"/>
  <c r="XL70"/>
  <c r="XK70"/>
  <c r="XJ70"/>
  <c r="XF70"/>
  <c r="XE70"/>
  <c r="XD70"/>
  <c r="XC70"/>
  <c r="XM69"/>
  <c r="XL69"/>
  <c r="XK69"/>
  <c r="XJ69"/>
  <c r="XF69"/>
  <c r="XE69"/>
  <c r="XD69"/>
  <c r="XC69"/>
  <c r="XM68"/>
  <c r="XL68"/>
  <c r="XK68"/>
  <c r="XJ68"/>
  <c r="XF68"/>
  <c r="XE68"/>
  <c r="XD68"/>
  <c r="XC68"/>
  <c r="XM67"/>
  <c r="XL67"/>
  <c r="XK67"/>
  <c r="XJ67"/>
  <c r="XF67"/>
  <c r="XE67"/>
  <c r="XD67"/>
  <c r="XC67"/>
  <c r="XM66"/>
  <c r="XL66"/>
  <c r="XK66"/>
  <c r="XJ66"/>
  <c r="XF66"/>
  <c r="XE66"/>
  <c r="XD66"/>
  <c r="XC66"/>
  <c r="XM65"/>
  <c r="XL65"/>
  <c r="XK65"/>
  <c r="XJ65"/>
  <c r="XF65"/>
  <c r="XE65"/>
  <c r="XD65"/>
  <c r="XC65"/>
  <c r="XM64"/>
  <c r="XL64"/>
  <c r="XK64"/>
  <c r="XJ64"/>
  <c r="XF64"/>
  <c r="XE64"/>
  <c r="XD64"/>
  <c r="XC64"/>
  <c r="XM63"/>
  <c r="XL63"/>
  <c r="XK63"/>
  <c r="XJ63"/>
  <c r="XF63"/>
  <c r="XE63"/>
  <c r="XD63"/>
  <c r="XC63"/>
  <c r="XM62"/>
  <c r="XL62"/>
  <c r="XK62"/>
  <c r="XJ62"/>
  <c r="XF62"/>
  <c r="XE62"/>
  <c r="XD62"/>
  <c r="XC62"/>
  <c r="XM61"/>
  <c r="XL61"/>
  <c r="XK61"/>
  <c r="XJ61"/>
  <c r="XF61"/>
  <c r="XE61"/>
  <c r="XD61"/>
  <c r="XC61"/>
  <c r="XM60"/>
  <c r="XL60"/>
  <c r="XK60"/>
  <c r="XJ60"/>
  <c r="XF60"/>
  <c r="XE60"/>
  <c r="XD60"/>
  <c r="XC60"/>
  <c r="XM59"/>
  <c r="XL59"/>
  <c r="XK59"/>
  <c r="XJ59"/>
  <c r="XF59"/>
  <c r="XE59"/>
  <c r="XD59"/>
  <c r="XC59"/>
  <c r="XM58"/>
  <c r="XL58"/>
  <c r="XK58"/>
  <c r="XJ58"/>
  <c r="XF58"/>
  <c r="XE58"/>
  <c r="XD58"/>
  <c r="XC58"/>
  <c r="XM57"/>
  <c r="XL57"/>
  <c r="XK57"/>
  <c r="XJ57"/>
  <c r="XF57"/>
  <c r="XE57"/>
  <c r="XD57"/>
  <c r="XC57"/>
  <c r="XM56"/>
  <c r="XL56"/>
  <c r="XK56"/>
  <c r="XJ56"/>
  <c r="XF56"/>
  <c r="XE56"/>
  <c r="XD56"/>
  <c r="XC56"/>
  <c r="XM55"/>
  <c r="XL55"/>
  <c r="XK55"/>
  <c r="XJ55"/>
  <c r="XF55"/>
  <c r="XE55"/>
  <c r="XD55"/>
  <c r="XC55"/>
  <c r="XM54"/>
  <c r="XL54"/>
  <c r="XK54"/>
  <c r="XJ54"/>
  <c r="XF54"/>
  <c r="XE54"/>
  <c r="XD54"/>
  <c r="XC54"/>
  <c r="XM53"/>
  <c r="XL53"/>
  <c r="XK53"/>
  <c r="XJ53"/>
  <c r="XF53"/>
  <c r="XE53"/>
  <c r="XD53"/>
  <c r="XC53"/>
  <c r="XM52"/>
  <c r="XL52"/>
  <c r="XK52"/>
  <c r="XJ52"/>
  <c r="XF52"/>
  <c r="XE52"/>
  <c r="XD52"/>
  <c r="XC52"/>
  <c r="XM51"/>
  <c r="XL51"/>
  <c r="XK51"/>
  <c r="XJ51"/>
  <c r="XF51"/>
  <c r="XE51"/>
  <c r="XD51"/>
  <c r="XC51"/>
  <c r="XM50"/>
  <c r="XL50"/>
  <c r="XK50"/>
  <c r="XJ50"/>
  <c r="XF50"/>
  <c r="XE50"/>
  <c r="XD50"/>
  <c r="XC50"/>
  <c r="XM49"/>
  <c r="XL49"/>
  <c r="XK49"/>
  <c r="XJ49"/>
  <c r="XF49"/>
  <c r="XE49"/>
  <c r="XD49"/>
  <c r="XC49"/>
  <c r="XM48"/>
  <c r="XL48"/>
  <c r="XK48"/>
  <c r="XJ48"/>
  <c r="XF48"/>
  <c r="XE48"/>
  <c r="XD48"/>
  <c r="XC48"/>
  <c r="XM47"/>
  <c r="XL47"/>
  <c r="XK47"/>
  <c r="XJ47"/>
  <c r="XF47"/>
  <c r="XE47"/>
  <c r="XD47"/>
  <c r="XC47"/>
  <c r="XM46"/>
  <c r="XL46"/>
  <c r="XK46"/>
  <c r="XJ46"/>
  <c r="XF46"/>
  <c r="XE46"/>
  <c r="XD46"/>
  <c r="XC46"/>
  <c r="XM45"/>
  <c r="XL45"/>
  <c r="XK45"/>
  <c r="XJ45"/>
  <c r="XF45"/>
  <c r="XE45"/>
  <c r="XD45"/>
  <c r="XC45"/>
  <c r="XM44"/>
  <c r="XL44"/>
  <c r="XK44"/>
  <c r="XJ44"/>
  <c r="XF44"/>
  <c r="XE44"/>
  <c r="XD44"/>
  <c r="XC44"/>
  <c r="XM43"/>
  <c r="XL43"/>
  <c r="XK43"/>
  <c r="XJ43"/>
  <c r="XF43"/>
  <c r="XE43"/>
  <c r="XD43"/>
  <c r="XC43"/>
  <c r="XM42"/>
  <c r="XL42"/>
  <c r="XK42"/>
  <c r="XJ42"/>
  <c r="XF42"/>
  <c r="XE42"/>
  <c r="XD42"/>
  <c r="XC42"/>
  <c r="XM41"/>
  <c r="XL41"/>
  <c r="XK41"/>
  <c r="XJ41"/>
  <c r="XF41"/>
  <c r="XE41"/>
  <c r="XD41"/>
  <c r="XC41"/>
  <c r="XM40"/>
  <c r="XL40"/>
  <c r="XK40"/>
  <c r="XJ40"/>
  <c r="XF40"/>
  <c r="XE40"/>
  <c r="XD40"/>
  <c r="XC40"/>
  <c r="XM39"/>
  <c r="XL39"/>
  <c r="XK39"/>
  <c r="XJ39"/>
  <c r="XF39"/>
  <c r="XE39"/>
  <c r="XD39"/>
  <c r="XC39"/>
  <c r="XM38"/>
  <c r="XL38"/>
  <c r="XK38"/>
  <c r="XJ38"/>
  <c r="XF38"/>
  <c r="XE38"/>
  <c r="XD38"/>
  <c r="XC38"/>
  <c r="XM37"/>
  <c r="XL37"/>
  <c r="XK37"/>
  <c r="XJ37"/>
  <c r="XF37"/>
  <c r="XE37"/>
  <c r="XD37"/>
  <c r="XC37"/>
  <c r="XM36"/>
  <c r="XL36"/>
  <c r="XK36"/>
  <c r="XJ36"/>
  <c r="XF36"/>
  <c r="XE36"/>
  <c r="XD36"/>
  <c r="XC36"/>
  <c r="XM35"/>
  <c r="XL35"/>
  <c r="XK35"/>
  <c r="XJ35"/>
  <c r="XF35"/>
  <c r="XE35"/>
  <c r="XD35"/>
  <c r="XC35"/>
  <c r="XM34"/>
  <c r="XL34"/>
  <c r="XK34"/>
  <c r="XJ34"/>
  <c r="XF34"/>
  <c r="XE34"/>
  <c r="XD34"/>
  <c r="XC34"/>
  <c r="XM33"/>
  <c r="XL33"/>
  <c r="XK33"/>
  <c r="XJ33"/>
  <c r="XF33"/>
  <c r="XE33"/>
  <c r="XD33"/>
  <c r="XC33"/>
  <c r="XM32"/>
  <c r="XL32"/>
  <c r="XK32"/>
  <c r="XJ32"/>
  <c r="XF32"/>
  <c r="XE32"/>
  <c r="XD32"/>
  <c r="XC32"/>
  <c r="XM31"/>
  <c r="XL31"/>
  <c r="XK31"/>
  <c r="XJ31"/>
  <c r="XF31"/>
  <c r="XE31"/>
  <c r="XD31"/>
  <c r="XC31"/>
  <c r="XM30"/>
  <c r="XL30"/>
  <c r="XK30"/>
  <c r="XJ30"/>
  <c r="XF30"/>
  <c r="XE30"/>
  <c r="XD30"/>
  <c r="XC30"/>
  <c r="XM29"/>
  <c r="XL29"/>
  <c r="XK29"/>
  <c r="XJ29"/>
  <c r="XF29"/>
  <c r="XE29"/>
  <c r="XD29"/>
  <c r="XC29"/>
  <c r="XM28"/>
  <c r="XL28"/>
  <c r="XK28"/>
  <c r="XJ28"/>
  <c r="XF28"/>
  <c r="XE28"/>
  <c r="XD28"/>
  <c r="XC28"/>
  <c r="XM27"/>
  <c r="XL27"/>
  <c r="XK27"/>
  <c r="XJ27"/>
  <c r="XF27"/>
  <c r="XE27"/>
  <c r="XD27"/>
  <c r="XC27"/>
  <c r="XM26"/>
  <c r="XL26"/>
  <c r="XK26"/>
  <c r="XJ26"/>
  <c r="XF26"/>
  <c r="XE26"/>
  <c r="XD26"/>
  <c r="XC26"/>
  <c r="XM25"/>
  <c r="XL25"/>
  <c r="XK25"/>
  <c r="XJ25"/>
  <c r="XF25"/>
  <c r="XE25"/>
  <c r="XD25"/>
  <c r="XC25"/>
  <c r="XM24"/>
  <c r="XL24"/>
  <c r="XK24"/>
  <c r="XJ24"/>
  <c r="XF24"/>
  <c r="XE24"/>
  <c r="XD24"/>
  <c r="XC24"/>
  <c r="XM23"/>
  <c r="XL23"/>
  <c r="XK23"/>
  <c r="XJ23"/>
  <c r="XF23"/>
  <c r="XE23"/>
  <c r="XD23"/>
  <c r="XC23"/>
  <c r="XM22"/>
  <c r="XL22"/>
  <c r="XK22"/>
  <c r="XJ22"/>
  <c r="XF22"/>
  <c r="XE22"/>
  <c r="XD22"/>
  <c r="XC22"/>
  <c r="XM21"/>
  <c r="XL21"/>
  <c r="XK21"/>
  <c r="XJ21"/>
  <c r="XF21"/>
  <c r="XE21"/>
  <c r="XD21"/>
  <c r="XC21"/>
  <c r="XM20"/>
  <c r="XL20"/>
  <c r="XK20"/>
  <c r="XJ20"/>
  <c r="XF20"/>
  <c r="XE20"/>
  <c r="XD20"/>
  <c r="XC20"/>
  <c r="XM19"/>
  <c r="XL19"/>
  <c r="XK19"/>
  <c r="XJ19"/>
  <c r="XF19"/>
  <c r="XE19"/>
  <c r="XD19"/>
  <c r="XC19"/>
  <c r="XM18"/>
  <c r="XL18"/>
  <c r="XK18"/>
  <c r="XJ18"/>
  <c r="XF18"/>
  <c r="XE18"/>
  <c r="XD18"/>
  <c r="XC18"/>
  <c r="XM17"/>
  <c r="XL17"/>
  <c r="XK17"/>
  <c r="XJ17"/>
  <c r="XF17"/>
  <c r="XE17"/>
  <c r="XD17"/>
  <c r="XC17"/>
  <c r="XM16"/>
  <c r="XL16"/>
  <c r="XK16"/>
  <c r="XJ16"/>
  <c r="XF16"/>
  <c r="XE16"/>
  <c r="XD16"/>
  <c r="XC16"/>
  <c r="XM15"/>
  <c r="XL15"/>
  <c r="XK15"/>
  <c r="XJ15"/>
  <c r="XF15"/>
  <c r="XE15"/>
  <c r="XD15"/>
  <c r="XC15"/>
  <c r="XM14"/>
  <c r="XL14"/>
  <c r="XK14"/>
  <c r="XJ14"/>
  <c r="XF14"/>
  <c r="XE14"/>
  <c r="XD14"/>
  <c r="XC14"/>
  <c r="XM13"/>
  <c r="XL13"/>
  <c r="XK13"/>
  <c r="XJ13"/>
  <c r="XF13"/>
  <c r="XE13"/>
  <c r="XD13"/>
  <c r="XC13"/>
  <c r="XM12"/>
  <c r="XL12"/>
  <c r="XK12"/>
  <c r="XJ12"/>
  <c r="XF12"/>
  <c r="XE12"/>
  <c r="XD12"/>
  <c r="XC12"/>
  <c r="XM11"/>
  <c r="XL11"/>
  <c r="XK11"/>
  <c r="XJ11"/>
  <c r="XF11"/>
  <c r="XE11"/>
  <c r="XD11"/>
  <c r="XC11"/>
  <c r="XM10"/>
  <c r="XL10"/>
  <c r="XK10"/>
  <c r="XJ10"/>
  <c r="XF10"/>
  <c r="XE10"/>
  <c r="XD10"/>
  <c r="XC10"/>
  <c r="XM9"/>
  <c r="XL9"/>
  <c r="XK9"/>
  <c r="XJ9"/>
  <c r="XF9"/>
  <c r="XE9"/>
  <c r="XD9"/>
  <c r="XC9"/>
  <c r="XM8"/>
  <c r="XL8"/>
  <c r="XK8"/>
  <c r="XJ8"/>
  <c r="XF8"/>
  <c r="XE8"/>
  <c r="XD8"/>
  <c r="XC8"/>
  <c r="XM7"/>
  <c r="XL7"/>
  <c r="XK7"/>
  <c r="XJ7"/>
  <c r="XF7"/>
  <c r="XE7"/>
  <c r="XD7"/>
  <c r="XC7"/>
  <c r="XM6"/>
  <c r="XL6"/>
  <c r="XK6"/>
  <c r="XJ6"/>
  <c r="XF6"/>
  <c r="XE6"/>
  <c r="XD6"/>
  <c r="XC6"/>
  <c r="XM5"/>
  <c r="XL5"/>
  <c r="XK5"/>
  <c r="XJ5"/>
  <c r="XE5"/>
  <c r="XD5"/>
  <c r="XC5"/>
  <c r="WT6"/>
  <c r="WU6"/>
  <c r="WV6"/>
  <c r="WT7"/>
  <c r="WU7"/>
  <c r="WV7"/>
  <c r="WT8"/>
  <c r="WU8"/>
  <c r="WV8"/>
  <c r="WT9"/>
  <c r="WU9"/>
  <c r="WV9"/>
  <c r="WT10"/>
  <c r="WU10"/>
  <c r="WV10"/>
  <c r="WT11"/>
  <c r="WU11"/>
  <c r="WV11"/>
  <c r="WT12"/>
  <c r="WU12"/>
  <c r="WV12"/>
  <c r="WT13"/>
  <c r="WU13"/>
  <c r="WV13"/>
  <c r="WT14"/>
  <c r="WU14"/>
  <c r="WV14"/>
  <c r="WT15"/>
  <c r="WU15"/>
  <c r="WV15"/>
  <c r="WT16"/>
  <c r="WU16"/>
  <c r="WV16"/>
  <c r="WT17"/>
  <c r="WU17"/>
  <c r="WV17"/>
  <c r="WT18"/>
  <c r="WU18"/>
  <c r="WV18"/>
  <c r="WT19"/>
  <c r="WU19"/>
  <c r="WV19"/>
  <c r="WT20"/>
  <c r="WU20"/>
  <c r="WV20"/>
  <c r="WT21"/>
  <c r="WU21"/>
  <c r="WV21"/>
  <c r="WT22"/>
  <c r="WU22"/>
  <c r="WV22"/>
  <c r="WT23"/>
  <c r="WU23"/>
  <c r="WV23"/>
  <c r="WT24"/>
  <c r="WU24"/>
  <c r="WV24"/>
  <c r="WT25"/>
  <c r="WU25"/>
  <c r="WV25"/>
  <c r="WT26"/>
  <c r="WU26"/>
  <c r="WV26"/>
  <c r="WT27"/>
  <c r="WU27"/>
  <c r="WV27"/>
  <c r="WT28"/>
  <c r="WU28"/>
  <c r="WV28"/>
  <c r="WT29"/>
  <c r="WU29"/>
  <c r="WV29"/>
  <c r="WT30"/>
  <c r="WU30"/>
  <c r="WV30"/>
  <c r="WT31"/>
  <c r="WU31"/>
  <c r="WV31"/>
  <c r="WT32"/>
  <c r="WU32"/>
  <c r="WV32"/>
  <c r="WT33"/>
  <c r="WU33"/>
  <c r="WV33"/>
  <c r="WT34"/>
  <c r="WU34"/>
  <c r="WV34"/>
  <c r="WT35"/>
  <c r="WU35"/>
  <c r="WV35"/>
  <c r="WT36"/>
  <c r="WU36"/>
  <c r="WV36"/>
  <c r="WT37"/>
  <c r="WU37"/>
  <c r="WV37"/>
  <c r="WT38"/>
  <c r="WU38"/>
  <c r="WV38"/>
  <c r="WT39"/>
  <c r="WU39"/>
  <c r="WV39"/>
  <c r="WT40"/>
  <c r="WU40"/>
  <c r="WV40"/>
  <c r="WT41"/>
  <c r="WU41"/>
  <c r="WV41"/>
  <c r="WT42"/>
  <c r="WU42"/>
  <c r="WV42"/>
  <c r="WT43"/>
  <c r="WU43"/>
  <c r="WV43"/>
  <c r="WT44"/>
  <c r="WU44"/>
  <c r="WV44"/>
  <c r="WT45"/>
  <c r="WU45"/>
  <c r="WV45"/>
  <c r="WT46"/>
  <c r="WU46"/>
  <c r="WV46"/>
  <c r="WT47"/>
  <c r="WU47"/>
  <c r="WV47"/>
  <c r="WT48"/>
  <c r="WU48"/>
  <c r="WV48"/>
  <c r="WT49"/>
  <c r="WU49"/>
  <c r="WV49"/>
  <c r="WT50"/>
  <c r="WU50"/>
  <c r="WV50"/>
  <c r="WT51"/>
  <c r="WU51"/>
  <c r="WV51"/>
  <c r="WT52"/>
  <c r="WU52"/>
  <c r="WV52"/>
  <c r="WT53"/>
  <c r="WU53"/>
  <c r="WV53"/>
  <c r="WT54"/>
  <c r="WU54"/>
  <c r="WV54"/>
  <c r="WT55"/>
  <c r="WU55"/>
  <c r="WV55"/>
  <c r="WT56"/>
  <c r="WU56"/>
  <c r="WV56"/>
  <c r="WT57"/>
  <c r="WU57"/>
  <c r="WV57"/>
  <c r="WT58"/>
  <c r="WU58"/>
  <c r="WV58"/>
  <c r="WT59"/>
  <c r="WU59"/>
  <c r="WV59"/>
  <c r="WT60"/>
  <c r="WU60"/>
  <c r="WV60"/>
  <c r="WT61"/>
  <c r="WU61"/>
  <c r="WV61"/>
  <c r="WT62"/>
  <c r="WU62"/>
  <c r="WV62"/>
  <c r="WT63"/>
  <c r="WU63"/>
  <c r="WV63"/>
  <c r="WT64"/>
  <c r="WU64"/>
  <c r="WV64"/>
  <c r="WT65"/>
  <c r="WU65"/>
  <c r="WV65"/>
  <c r="WT66"/>
  <c r="WU66"/>
  <c r="WV66"/>
  <c r="WT67"/>
  <c r="WU67"/>
  <c r="WV67"/>
  <c r="WT68"/>
  <c r="WU68"/>
  <c r="WV68"/>
  <c r="WT69"/>
  <c r="WU69"/>
  <c r="WV69"/>
  <c r="WT70"/>
  <c r="WU70"/>
  <c r="WV70"/>
  <c r="WT71"/>
  <c r="WU71"/>
  <c r="WV71"/>
  <c r="WT72"/>
  <c r="WU72"/>
  <c r="WV72"/>
  <c r="WT73"/>
  <c r="WU73"/>
  <c r="WV73"/>
  <c r="WT74"/>
  <c r="WU74"/>
  <c r="WV74"/>
  <c r="WT75"/>
  <c r="WU75"/>
  <c r="WV75"/>
  <c r="WT76"/>
  <c r="WU76"/>
  <c r="WV76"/>
  <c r="WT77"/>
  <c r="WU77"/>
  <c r="WV77"/>
  <c r="WT78"/>
  <c r="WU78"/>
  <c r="WV78"/>
  <c r="WT79"/>
  <c r="WU79"/>
  <c r="WV79"/>
  <c r="WT80"/>
  <c r="WU80"/>
  <c r="WV80"/>
  <c r="WT81"/>
  <c r="WU81"/>
  <c r="WV81"/>
  <c r="WV5"/>
  <c r="WT5"/>
  <c r="WU5"/>
  <c r="WS5"/>
  <c r="WZ81"/>
  <c r="WY81"/>
  <c r="WX81"/>
  <c r="WW81"/>
  <c r="WS81"/>
  <c r="WR81"/>
  <c r="WQ81"/>
  <c r="WP81"/>
  <c r="WZ80"/>
  <c r="WY80"/>
  <c r="WX80"/>
  <c r="WW80"/>
  <c r="WS80"/>
  <c r="WR80"/>
  <c r="WQ80"/>
  <c r="WP80"/>
  <c r="WZ79"/>
  <c r="WY79"/>
  <c r="WX79"/>
  <c r="WW79"/>
  <c r="WS79"/>
  <c r="WR79"/>
  <c r="WQ79"/>
  <c r="WP79"/>
  <c r="WZ78"/>
  <c r="WY78"/>
  <c r="WX78"/>
  <c r="WW78"/>
  <c r="WS78"/>
  <c r="WR78"/>
  <c r="WQ78"/>
  <c r="WP78"/>
  <c r="WZ77"/>
  <c r="WY77"/>
  <c r="WX77"/>
  <c r="WW77"/>
  <c r="WS77"/>
  <c r="WR77"/>
  <c r="WQ77"/>
  <c r="WP77"/>
  <c r="WZ76"/>
  <c r="WY76"/>
  <c r="WX76"/>
  <c r="WW76"/>
  <c r="WS76"/>
  <c r="WR76"/>
  <c r="WQ76"/>
  <c r="WP76"/>
  <c r="WZ75"/>
  <c r="WY75"/>
  <c r="WX75"/>
  <c r="WW75"/>
  <c r="WS75"/>
  <c r="WR75"/>
  <c r="WQ75"/>
  <c r="WP75"/>
  <c r="WZ74"/>
  <c r="WY74"/>
  <c r="WX74"/>
  <c r="WW74"/>
  <c r="WS74"/>
  <c r="WR74"/>
  <c r="WQ74"/>
  <c r="WP74"/>
  <c r="WZ73"/>
  <c r="WY73"/>
  <c r="WX73"/>
  <c r="WW73"/>
  <c r="WS73"/>
  <c r="WR73"/>
  <c r="WQ73"/>
  <c r="WP73"/>
  <c r="WZ72"/>
  <c r="WY72"/>
  <c r="WX72"/>
  <c r="WW72"/>
  <c r="WS72"/>
  <c r="WR72"/>
  <c r="WQ72"/>
  <c r="WP72"/>
  <c r="WZ71"/>
  <c r="WY71"/>
  <c r="WX71"/>
  <c r="WW71"/>
  <c r="WS71"/>
  <c r="WR71"/>
  <c r="WQ71"/>
  <c r="WP71"/>
  <c r="WZ70"/>
  <c r="WY70"/>
  <c r="WX70"/>
  <c r="WW70"/>
  <c r="WS70"/>
  <c r="WR70"/>
  <c r="WQ70"/>
  <c r="WP70"/>
  <c r="WZ69"/>
  <c r="WY69"/>
  <c r="WX69"/>
  <c r="WW69"/>
  <c r="WS69"/>
  <c r="WR69"/>
  <c r="WQ69"/>
  <c r="WP69"/>
  <c r="WZ68"/>
  <c r="WY68"/>
  <c r="WX68"/>
  <c r="WW68"/>
  <c r="WS68"/>
  <c r="WR68"/>
  <c r="WQ68"/>
  <c r="WP68"/>
  <c r="WZ67"/>
  <c r="WY67"/>
  <c r="WX67"/>
  <c r="WW67"/>
  <c r="WS67"/>
  <c r="WR67"/>
  <c r="WQ67"/>
  <c r="WP67"/>
  <c r="WZ66"/>
  <c r="WY66"/>
  <c r="WX66"/>
  <c r="WW66"/>
  <c r="WS66"/>
  <c r="WR66"/>
  <c r="WQ66"/>
  <c r="WP66"/>
  <c r="WZ65"/>
  <c r="WY65"/>
  <c r="WX65"/>
  <c r="WW65"/>
  <c r="WS65"/>
  <c r="WR65"/>
  <c r="WQ65"/>
  <c r="WP65"/>
  <c r="WZ64"/>
  <c r="WY64"/>
  <c r="WX64"/>
  <c r="WW64"/>
  <c r="WS64"/>
  <c r="WR64"/>
  <c r="WQ64"/>
  <c r="WP64"/>
  <c r="WZ63"/>
  <c r="WY63"/>
  <c r="WX63"/>
  <c r="WW63"/>
  <c r="WS63"/>
  <c r="WR63"/>
  <c r="WQ63"/>
  <c r="WP63"/>
  <c r="WZ62"/>
  <c r="WY62"/>
  <c r="WX62"/>
  <c r="WW62"/>
  <c r="WS62"/>
  <c r="WR62"/>
  <c r="WQ62"/>
  <c r="WP62"/>
  <c r="WZ61"/>
  <c r="WY61"/>
  <c r="WX61"/>
  <c r="WW61"/>
  <c r="WS61"/>
  <c r="WR61"/>
  <c r="WQ61"/>
  <c r="WP61"/>
  <c r="WZ60"/>
  <c r="WY60"/>
  <c r="WX60"/>
  <c r="WW60"/>
  <c r="WS60"/>
  <c r="WR60"/>
  <c r="WQ60"/>
  <c r="WP60"/>
  <c r="WZ59"/>
  <c r="WY59"/>
  <c r="WX59"/>
  <c r="WW59"/>
  <c r="WS59"/>
  <c r="WR59"/>
  <c r="WQ59"/>
  <c r="WP59"/>
  <c r="WZ58"/>
  <c r="WY58"/>
  <c r="WX58"/>
  <c r="WW58"/>
  <c r="WS58"/>
  <c r="WR58"/>
  <c r="WQ58"/>
  <c r="WP58"/>
  <c r="WZ57"/>
  <c r="WY57"/>
  <c r="WX57"/>
  <c r="WW57"/>
  <c r="WS57"/>
  <c r="WR57"/>
  <c r="WQ57"/>
  <c r="WP57"/>
  <c r="WZ56"/>
  <c r="WY56"/>
  <c r="WX56"/>
  <c r="WW56"/>
  <c r="WS56"/>
  <c r="WR56"/>
  <c r="WQ56"/>
  <c r="WP56"/>
  <c r="WZ55"/>
  <c r="WY55"/>
  <c r="WX55"/>
  <c r="WW55"/>
  <c r="WS55"/>
  <c r="WR55"/>
  <c r="WQ55"/>
  <c r="WP55"/>
  <c r="WZ54"/>
  <c r="WY54"/>
  <c r="WX54"/>
  <c r="WW54"/>
  <c r="WS54"/>
  <c r="WR54"/>
  <c r="WQ54"/>
  <c r="WP54"/>
  <c r="WZ53"/>
  <c r="WY53"/>
  <c r="WX53"/>
  <c r="WW53"/>
  <c r="WS53"/>
  <c r="WR53"/>
  <c r="WQ53"/>
  <c r="WP53"/>
  <c r="WZ52"/>
  <c r="WY52"/>
  <c r="WX52"/>
  <c r="WW52"/>
  <c r="WS52"/>
  <c r="WR52"/>
  <c r="WQ52"/>
  <c r="WP52"/>
  <c r="WZ51"/>
  <c r="WY51"/>
  <c r="WX51"/>
  <c r="WW51"/>
  <c r="WS51"/>
  <c r="WR51"/>
  <c r="WQ51"/>
  <c r="WP51"/>
  <c r="WZ50"/>
  <c r="WY50"/>
  <c r="WX50"/>
  <c r="WW50"/>
  <c r="WS50"/>
  <c r="WR50"/>
  <c r="WQ50"/>
  <c r="WP50"/>
  <c r="WZ49"/>
  <c r="WY49"/>
  <c r="WX49"/>
  <c r="WW49"/>
  <c r="WS49"/>
  <c r="WR49"/>
  <c r="WQ49"/>
  <c r="WP49"/>
  <c r="WZ48"/>
  <c r="WY48"/>
  <c r="WX48"/>
  <c r="WW48"/>
  <c r="WS48"/>
  <c r="WR48"/>
  <c r="WQ48"/>
  <c r="WP48"/>
  <c r="WZ47"/>
  <c r="WY47"/>
  <c r="WX47"/>
  <c r="WW47"/>
  <c r="WS47"/>
  <c r="WR47"/>
  <c r="WQ47"/>
  <c r="WP47"/>
  <c r="WZ46"/>
  <c r="WY46"/>
  <c r="WX46"/>
  <c r="WW46"/>
  <c r="WS46"/>
  <c r="WR46"/>
  <c r="WQ46"/>
  <c r="WP46"/>
  <c r="WZ45"/>
  <c r="WY45"/>
  <c r="WX45"/>
  <c r="WW45"/>
  <c r="WS45"/>
  <c r="WR45"/>
  <c r="WQ45"/>
  <c r="WP45"/>
  <c r="WZ44"/>
  <c r="WY44"/>
  <c r="WX44"/>
  <c r="WW44"/>
  <c r="WS44"/>
  <c r="WR44"/>
  <c r="WQ44"/>
  <c r="WP44"/>
  <c r="WZ43"/>
  <c r="WY43"/>
  <c r="WX43"/>
  <c r="WW43"/>
  <c r="WS43"/>
  <c r="WR43"/>
  <c r="WQ43"/>
  <c r="WP43"/>
  <c r="WZ42"/>
  <c r="WY42"/>
  <c r="WX42"/>
  <c r="WW42"/>
  <c r="WS42"/>
  <c r="WR42"/>
  <c r="WQ42"/>
  <c r="WP42"/>
  <c r="WZ41"/>
  <c r="WY41"/>
  <c r="WX41"/>
  <c r="WW41"/>
  <c r="WS41"/>
  <c r="WR41"/>
  <c r="WQ41"/>
  <c r="WP41"/>
  <c r="WZ40"/>
  <c r="WY40"/>
  <c r="WX40"/>
  <c r="WW40"/>
  <c r="WS40"/>
  <c r="WR40"/>
  <c r="WQ40"/>
  <c r="WP40"/>
  <c r="WZ39"/>
  <c r="WY39"/>
  <c r="WX39"/>
  <c r="WW39"/>
  <c r="WS39"/>
  <c r="WR39"/>
  <c r="WQ39"/>
  <c r="WP39"/>
  <c r="WZ38"/>
  <c r="WY38"/>
  <c r="WX38"/>
  <c r="WW38"/>
  <c r="WS38"/>
  <c r="WR38"/>
  <c r="WQ38"/>
  <c r="WP38"/>
  <c r="WZ37"/>
  <c r="WY37"/>
  <c r="WX37"/>
  <c r="WW37"/>
  <c r="WS37"/>
  <c r="WR37"/>
  <c r="WQ37"/>
  <c r="WP37"/>
  <c r="WZ36"/>
  <c r="WY36"/>
  <c r="WX36"/>
  <c r="WW36"/>
  <c r="WS36"/>
  <c r="WR36"/>
  <c r="WQ36"/>
  <c r="WP36"/>
  <c r="WZ35"/>
  <c r="WY35"/>
  <c r="WX35"/>
  <c r="WW35"/>
  <c r="WS35"/>
  <c r="WR35"/>
  <c r="WQ35"/>
  <c r="WP35"/>
  <c r="WZ34"/>
  <c r="WY34"/>
  <c r="WX34"/>
  <c r="WW34"/>
  <c r="WS34"/>
  <c r="WR34"/>
  <c r="WQ34"/>
  <c r="WP34"/>
  <c r="WZ33"/>
  <c r="WY33"/>
  <c r="WX33"/>
  <c r="WW33"/>
  <c r="WS33"/>
  <c r="WR33"/>
  <c r="WQ33"/>
  <c r="WP33"/>
  <c r="WZ32"/>
  <c r="WY32"/>
  <c r="WX32"/>
  <c r="WW32"/>
  <c r="WS32"/>
  <c r="WR32"/>
  <c r="WQ32"/>
  <c r="WP32"/>
  <c r="WZ31"/>
  <c r="WY31"/>
  <c r="WX31"/>
  <c r="WW31"/>
  <c r="WS31"/>
  <c r="WR31"/>
  <c r="WQ31"/>
  <c r="WP31"/>
  <c r="WZ30"/>
  <c r="WY30"/>
  <c r="WX30"/>
  <c r="WW30"/>
  <c r="WS30"/>
  <c r="WR30"/>
  <c r="WQ30"/>
  <c r="WP30"/>
  <c r="WZ29"/>
  <c r="WY29"/>
  <c r="WX29"/>
  <c r="WW29"/>
  <c r="WS29"/>
  <c r="WR29"/>
  <c r="WQ29"/>
  <c r="WP29"/>
  <c r="WZ28"/>
  <c r="WY28"/>
  <c r="WX28"/>
  <c r="WW28"/>
  <c r="WS28"/>
  <c r="WR28"/>
  <c r="WQ28"/>
  <c r="WP28"/>
  <c r="WZ27"/>
  <c r="WY27"/>
  <c r="WX27"/>
  <c r="WW27"/>
  <c r="WS27"/>
  <c r="WR27"/>
  <c r="WQ27"/>
  <c r="WP27"/>
  <c r="WZ26"/>
  <c r="WY26"/>
  <c r="WX26"/>
  <c r="WW26"/>
  <c r="WS26"/>
  <c r="WR26"/>
  <c r="WQ26"/>
  <c r="WP26"/>
  <c r="WZ25"/>
  <c r="WY25"/>
  <c r="WX25"/>
  <c r="WW25"/>
  <c r="WS25"/>
  <c r="WR25"/>
  <c r="WQ25"/>
  <c r="WP25"/>
  <c r="WZ24"/>
  <c r="WY24"/>
  <c r="WX24"/>
  <c r="WW24"/>
  <c r="WS24"/>
  <c r="WR24"/>
  <c r="WQ24"/>
  <c r="WP24"/>
  <c r="WZ23"/>
  <c r="WY23"/>
  <c r="WX23"/>
  <c r="WW23"/>
  <c r="WS23"/>
  <c r="WR23"/>
  <c r="WQ23"/>
  <c r="WP23"/>
  <c r="WZ22"/>
  <c r="WY22"/>
  <c r="WX22"/>
  <c r="WW22"/>
  <c r="WS22"/>
  <c r="WR22"/>
  <c r="WQ22"/>
  <c r="WP22"/>
  <c r="WZ21"/>
  <c r="WY21"/>
  <c r="WX21"/>
  <c r="WW21"/>
  <c r="WS21"/>
  <c r="WR21"/>
  <c r="WQ21"/>
  <c r="WP21"/>
  <c r="WZ20"/>
  <c r="WY20"/>
  <c r="WX20"/>
  <c r="WW20"/>
  <c r="WS20"/>
  <c r="WR20"/>
  <c r="WQ20"/>
  <c r="WP20"/>
  <c r="WZ19"/>
  <c r="WY19"/>
  <c r="WX19"/>
  <c r="WW19"/>
  <c r="WS19"/>
  <c r="WR19"/>
  <c r="WQ19"/>
  <c r="WP19"/>
  <c r="WZ18"/>
  <c r="WY18"/>
  <c r="WX18"/>
  <c r="WW18"/>
  <c r="WS18"/>
  <c r="WR18"/>
  <c r="WQ18"/>
  <c r="WP18"/>
  <c r="WZ17"/>
  <c r="WY17"/>
  <c r="WX17"/>
  <c r="WW17"/>
  <c r="WS17"/>
  <c r="WR17"/>
  <c r="WQ17"/>
  <c r="WP17"/>
  <c r="WZ16"/>
  <c r="WY16"/>
  <c r="WX16"/>
  <c r="WW16"/>
  <c r="WS16"/>
  <c r="WR16"/>
  <c r="WQ16"/>
  <c r="WP16"/>
  <c r="WZ15"/>
  <c r="WY15"/>
  <c r="WX15"/>
  <c r="WW15"/>
  <c r="WS15"/>
  <c r="WR15"/>
  <c r="WQ15"/>
  <c r="WP15"/>
  <c r="WZ14"/>
  <c r="WY14"/>
  <c r="WX14"/>
  <c r="WW14"/>
  <c r="WS14"/>
  <c r="WR14"/>
  <c r="WQ14"/>
  <c r="WP14"/>
  <c r="WZ13"/>
  <c r="WY13"/>
  <c r="WX13"/>
  <c r="WW13"/>
  <c r="WS13"/>
  <c r="WR13"/>
  <c r="WQ13"/>
  <c r="WP13"/>
  <c r="WZ12"/>
  <c r="WY12"/>
  <c r="WX12"/>
  <c r="WW12"/>
  <c r="WS12"/>
  <c r="WR12"/>
  <c r="WQ12"/>
  <c r="WP12"/>
  <c r="WZ11"/>
  <c r="WY11"/>
  <c r="WX11"/>
  <c r="WW11"/>
  <c r="WS11"/>
  <c r="WR11"/>
  <c r="WQ11"/>
  <c r="WP11"/>
  <c r="WZ10"/>
  <c r="WY10"/>
  <c r="WX10"/>
  <c r="WW10"/>
  <c r="WS10"/>
  <c r="WR10"/>
  <c r="WQ10"/>
  <c r="WP10"/>
  <c r="WZ9"/>
  <c r="WY9"/>
  <c r="WX9"/>
  <c r="WW9"/>
  <c r="WS9"/>
  <c r="WR9"/>
  <c r="WQ9"/>
  <c r="WP9"/>
  <c r="WZ8"/>
  <c r="WY8"/>
  <c r="WX8"/>
  <c r="WW8"/>
  <c r="WS8"/>
  <c r="WR8"/>
  <c r="WQ8"/>
  <c r="WP8"/>
  <c r="WZ7"/>
  <c r="WY7"/>
  <c r="WX7"/>
  <c r="WW7"/>
  <c r="WS7"/>
  <c r="WR7"/>
  <c r="WQ7"/>
  <c r="WP7"/>
  <c r="WZ6"/>
  <c r="WY6"/>
  <c r="WX6"/>
  <c r="WW6"/>
  <c r="WS6"/>
  <c r="WR6"/>
  <c r="WQ6"/>
  <c r="WP6"/>
  <c r="WZ5"/>
  <c r="WY5"/>
  <c r="WX5"/>
  <c r="WW5"/>
  <c r="WR5"/>
  <c r="WQ5"/>
  <c r="WP5"/>
  <c r="WG6"/>
  <c r="WH6"/>
  <c r="WI6"/>
  <c r="WG7"/>
  <c r="WH7"/>
  <c r="WI7"/>
  <c r="WG8"/>
  <c r="WH8"/>
  <c r="WI8"/>
  <c r="WG9"/>
  <c r="WH9"/>
  <c r="WI9"/>
  <c r="WG10"/>
  <c r="WH10"/>
  <c r="WI10"/>
  <c r="WG11"/>
  <c r="WH11"/>
  <c r="WI11"/>
  <c r="WG12"/>
  <c r="WH12"/>
  <c r="WI12"/>
  <c r="WG13"/>
  <c r="WH13"/>
  <c r="WI13"/>
  <c r="WG14"/>
  <c r="WH14"/>
  <c r="WI14"/>
  <c r="WG15"/>
  <c r="WH15"/>
  <c r="WI15"/>
  <c r="WG16"/>
  <c r="WH16"/>
  <c r="WI16"/>
  <c r="WG17"/>
  <c r="WH17"/>
  <c r="WI17"/>
  <c r="WG18"/>
  <c r="WH18"/>
  <c r="WI18"/>
  <c r="WG19"/>
  <c r="WH19"/>
  <c r="WI19"/>
  <c r="WG20"/>
  <c r="WH20"/>
  <c r="WI20"/>
  <c r="WG21"/>
  <c r="WH21"/>
  <c r="WI21"/>
  <c r="WG22"/>
  <c r="WH22"/>
  <c r="WI22"/>
  <c r="WG23"/>
  <c r="WH23"/>
  <c r="WI23"/>
  <c r="WG24"/>
  <c r="WH24"/>
  <c r="WI24"/>
  <c r="WG25"/>
  <c r="WH25"/>
  <c r="WI25"/>
  <c r="WG26"/>
  <c r="WH26"/>
  <c r="WI26"/>
  <c r="WG27"/>
  <c r="WH27"/>
  <c r="WI27"/>
  <c r="WG28"/>
  <c r="WH28"/>
  <c r="WI28"/>
  <c r="WG29"/>
  <c r="WH29"/>
  <c r="WI29"/>
  <c r="WG30"/>
  <c r="WH30"/>
  <c r="WI30"/>
  <c r="WG31"/>
  <c r="WH31"/>
  <c r="WI31"/>
  <c r="WG32"/>
  <c r="WH32"/>
  <c r="WI32"/>
  <c r="WG33"/>
  <c r="WH33"/>
  <c r="WI33"/>
  <c r="WG34"/>
  <c r="WH34"/>
  <c r="WI34"/>
  <c r="WG35"/>
  <c r="WH35"/>
  <c r="WI35"/>
  <c r="WG36"/>
  <c r="WH36"/>
  <c r="WI36"/>
  <c r="WG37"/>
  <c r="WH37"/>
  <c r="WI37"/>
  <c r="WG38"/>
  <c r="WH38"/>
  <c r="WI38"/>
  <c r="WG39"/>
  <c r="WH39"/>
  <c r="WI39"/>
  <c r="WG40"/>
  <c r="WH40"/>
  <c r="WI40"/>
  <c r="WG41"/>
  <c r="WH41"/>
  <c r="WI41"/>
  <c r="WG42"/>
  <c r="WH42"/>
  <c r="WI42"/>
  <c r="WG43"/>
  <c r="WH43"/>
  <c r="WI43"/>
  <c r="WG44"/>
  <c r="WH44"/>
  <c r="WI44"/>
  <c r="WG45"/>
  <c r="WH45"/>
  <c r="WI45"/>
  <c r="WG46"/>
  <c r="WH46"/>
  <c r="WI46"/>
  <c r="WG47"/>
  <c r="WH47"/>
  <c r="WI47"/>
  <c r="WG48"/>
  <c r="WH48"/>
  <c r="WI48"/>
  <c r="WG49"/>
  <c r="WH49"/>
  <c r="WI49"/>
  <c r="WG50"/>
  <c r="WH50"/>
  <c r="WI50"/>
  <c r="WG51"/>
  <c r="WH51"/>
  <c r="WI51"/>
  <c r="WG52"/>
  <c r="WH52"/>
  <c r="WI52"/>
  <c r="WG53"/>
  <c r="WH53"/>
  <c r="WI53"/>
  <c r="WG54"/>
  <c r="WH54"/>
  <c r="WI54"/>
  <c r="WG55"/>
  <c r="WH55"/>
  <c r="WI55"/>
  <c r="WG56"/>
  <c r="WH56"/>
  <c r="WI56"/>
  <c r="WG57"/>
  <c r="WH57"/>
  <c r="WI57"/>
  <c r="WG58"/>
  <c r="WH58"/>
  <c r="WI58"/>
  <c r="WG59"/>
  <c r="WH59"/>
  <c r="WI59"/>
  <c r="WG60"/>
  <c r="WH60"/>
  <c r="WI60"/>
  <c r="WG61"/>
  <c r="WH61"/>
  <c r="WI61"/>
  <c r="WG62"/>
  <c r="WH62"/>
  <c r="WI62"/>
  <c r="WG63"/>
  <c r="WH63"/>
  <c r="WI63"/>
  <c r="WG64"/>
  <c r="WH64"/>
  <c r="WI64"/>
  <c r="WG65"/>
  <c r="WH65"/>
  <c r="WI65"/>
  <c r="WG66"/>
  <c r="WH66"/>
  <c r="WI66"/>
  <c r="WG67"/>
  <c r="WH67"/>
  <c r="WI67"/>
  <c r="WG68"/>
  <c r="WH68"/>
  <c r="WI68"/>
  <c r="WG69"/>
  <c r="WH69"/>
  <c r="WI69"/>
  <c r="WG70"/>
  <c r="WH70"/>
  <c r="WI70"/>
  <c r="WG71"/>
  <c r="WH71"/>
  <c r="WI71"/>
  <c r="WG72"/>
  <c r="WH72"/>
  <c r="WI72"/>
  <c r="WG73"/>
  <c r="WH73"/>
  <c r="WI73"/>
  <c r="WG74"/>
  <c r="WH74"/>
  <c r="WI74"/>
  <c r="WG75"/>
  <c r="WH75"/>
  <c r="WI75"/>
  <c r="WG76"/>
  <c r="WH76"/>
  <c r="WI76"/>
  <c r="WG77"/>
  <c r="WH77"/>
  <c r="WI77"/>
  <c r="WG78"/>
  <c r="WH78"/>
  <c r="WI78"/>
  <c r="WG79"/>
  <c r="WH79"/>
  <c r="WI79"/>
  <c r="WG80"/>
  <c r="WH80"/>
  <c r="WI80"/>
  <c r="WG81"/>
  <c r="WH81"/>
  <c r="WI81"/>
  <c r="WG82"/>
  <c r="WH82"/>
  <c r="WI82"/>
  <c r="WG83"/>
  <c r="WH83"/>
  <c r="WI83"/>
  <c r="WG84"/>
  <c r="WH84"/>
  <c r="WI84"/>
  <c r="WG85"/>
  <c r="WH85"/>
  <c r="WI85"/>
  <c r="WG86"/>
  <c r="WH86"/>
  <c r="WI86"/>
  <c r="WI5"/>
  <c r="WG5"/>
  <c r="WH5"/>
  <c r="WF5"/>
  <c r="WM86"/>
  <c r="WL86"/>
  <c r="WK86"/>
  <c r="WJ86"/>
  <c r="WF86"/>
  <c r="WE86"/>
  <c r="WD86"/>
  <c r="WC86"/>
  <c r="WM85"/>
  <c r="WL85"/>
  <c r="WK85"/>
  <c r="WJ85"/>
  <c r="WF85"/>
  <c r="WE85"/>
  <c r="WD85"/>
  <c r="WC85"/>
  <c r="WM84"/>
  <c r="WL84"/>
  <c r="WK84"/>
  <c r="WJ84"/>
  <c r="WF84"/>
  <c r="WE84"/>
  <c r="WD84"/>
  <c r="WC84"/>
  <c r="WM83"/>
  <c r="WL83"/>
  <c r="WK83"/>
  <c r="WJ83"/>
  <c r="WF83"/>
  <c r="WE83"/>
  <c r="WD83"/>
  <c r="WC83"/>
  <c r="WM82"/>
  <c r="WL82"/>
  <c r="WK82"/>
  <c r="WJ82"/>
  <c r="WF82"/>
  <c r="WE82"/>
  <c r="WD82"/>
  <c r="WC82"/>
  <c r="WM81"/>
  <c r="WL81"/>
  <c r="WK81"/>
  <c r="WJ81"/>
  <c r="WF81"/>
  <c r="WE81"/>
  <c r="WD81"/>
  <c r="WC81"/>
  <c r="WM80"/>
  <c r="WL80"/>
  <c r="WK80"/>
  <c r="WJ80"/>
  <c r="WF80"/>
  <c r="WE80"/>
  <c r="WD80"/>
  <c r="WC80"/>
  <c r="WM79"/>
  <c r="WL79"/>
  <c r="WK79"/>
  <c r="WJ79"/>
  <c r="WF79"/>
  <c r="WE79"/>
  <c r="WD79"/>
  <c r="WC79"/>
  <c r="WM78"/>
  <c r="WL78"/>
  <c r="WK78"/>
  <c r="WJ78"/>
  <c r="WF78"/>
  <c r="WE78"/>
  <c r="WD78"/>
  <c r="WC78"/>
  <c r="WM77"/>
  <c r="WL77"/>
  <c r="WK77"/>
  <c r="WJ77"/>
  <c r="WF77"/>
  <c r="WE77"/>
  <c r="WD77"/>
  <c r="WC77"/>
  <c r="WM76"/>
  <c r="WL76"/>
  <c r="WK76"/>
  <c r="WJ76"/>
  <c r="WF76"/>
  <c r="WE76"/>
  <c r="WD76"/>
  <c r="WC76"/>
  <c r="WM75"/>
  <c r="WL75"/>
  <c r="WK75"/>
  <c r="WJ75"/>
  <c r="WF75"/>
  <c r="WE75"/>
  <c r="WD75"/>
  <c r="WC75"/>
  <c r="WM74"/>
  <c r="WL74"/>
  <c r="WK74"/>
  <c r="WJ74"/>
  <c r="WF74"/>
  <c r="WE74"/>
  <c r="WD74"/>
  <c r="WC74"/>
  <c r="WM73"/>
  <c r="WL73"/>
  <c r="WK73"/>
  <c r="WJ73"/>
  <c r="WF73"/>
  <c r="WE73"/>
  <c r="WD73"/>
  <c r="WC73"/>
  <c r="WM72"/>
  <c r="WL72"/>
  <c r="WK72"/>
  <c r="WJ72"/>
  <c r="WF72"/>
  <c r="WE72"/>
  <c r="WD72"/>
  <c r="WC72"/>
  <c r="WM71"/>
  <c r="WL71"/>
  <c r="WK71"/>
  <c r="WJ71"/>
  <c r="WF71"/>
  <c r="WE71"/>
  <c r="WD71"/>
  <c r="WC71"/>
  <c r="WM70"/>
  <c r="WL70"/>
  <c r="WK70"/>
  <c r="WJ70"/>
  <c r="WF70"/>
  <c r="WE70"/>
  <c r="WD70"/>
  <c r="WC70"/>
  <c r="WM69"/>
  <c r="WL69"/>
  <c r="WK69"/>
  <c r="WJ69"/>
  <c r="WF69"/>
  <c r="WE69"/>
  <c r="WD69"/>
  <c r="WC69"/>
  <c r="WM68"/>
  <c r="WL68"/>
  <c r="WK68"/>
  <c r="WJ68"/>
  <c r="WF68"/>
  <c r="WE68"/>
  <c r="WD68"/>
  <c r="WC68"/>
  <c r="WM67"/>
  <c r="WL67"/>
  <c r="WK67"/>
  <c r="WJ67"/>
  <c r="WF67"/>
  <c r="WE67"/>
  <c r="WD67"/>
  <c r="WC67"/>
  <c r="WM66"/>
  <c r="WL66"/>
  <c r="WK66"/>
  <c r="WJ66"/>
  <c r="WF66"/>
  <c r="WE66"/>
  <c r="WD66"/>
  <c r="WC66"/>
  <c r="WM65"/>
  <c r="WL65"/>
  <c r="WK65"/>
  <c r="WJ65"/>
  <c r="WF65"/>
  <c r="WE65"/>
  <c r="WD65"/>
  <c r="WC65"/>
  <c r="WM64"/>
  <c r="WL64"/>
  <c r="WK64"/>
  <c r="WJ64"/>
  <c r="WF64"/>
  <c r="WE64"/>
  <c r="WD64"/>
  <c r="WC64"/>
  <c r="WM63"/>
  <c r="WL63"/>
  <c r="WK63"/>
  <c r="WJ63"/>
  <c r="WF63"/>
  <c r="WE63"/>
  <c r="WD63"/>
  <c r="WC63"/>
  <c r="WM62"/>
  <c r="WL62"/>
  <c r="WK62"/>
  <c r="WJ62"/>
  <c r="WF62"/>
  <c r="WE62"/>
  <c r="WD62"/>
  <c r="WC62"/>
  <c r="WM61"/>
  <c r="WL61"/>
  <c r="WK61"/>
  <c r="WJ61"/>
  <c r="WF61"/>
  <c r="WE61"/>
  <c r="WD61"/>
  <c r="WC61"/>
  <c r="WM60"/>
  <c r="WL60"/>
  <c r="WK60"/>
  <c r="WJ60"/>
  <c r="WF60"/>
  <c r="WE60"/>
  <c r="WD60"/>
  <c r="WC60"/>
  <c r="WM59"/>
  <c r="WL59"/>
  <c r="WK59"/>
  <c r="WJ59"/>
  <c r="WF59"/>
  <c r="WE59"/>
  <c r="WD59"/>
  <c r="WC59"/>
  <c r="WM58"/>
  <c r="WL58"/>
  <c r="WK58"/>
  <c r="WJ58"/>
  <c r="WF58"/>
  <c r="WE58"/>
  <c r="WD58"/>
  <c r="WC58"/>
  <c r="WM57"/>
  <c r="WL57"/>
  <c r="WK57"/>
  <c r="WJ57"/>
  <c r="WF57"/>
  <c r="WE57"/>
  <c r="WD57"/>
  <c r="WC57"/>
  <c r="WM56"/>
  <c r="WL56"/>
  <c r="WK56"/>
  <c r="WJ56"/>
  <c r="WF56"/>
  <c r="WE56"/>
  <c r="WD56"/>
  <c r="WC56"/>
  <c r="WM55"/>
  <c r="WL55"/>
  <c r="WK55"/>
  <c r="WJ55"/>
  <c r="WF55"/>
  <c r="WE55"/>
  <c r="WD55"/>
  <c r="WC55"/>
  <c r="WM54"/>
  <c r="WL54"/>
  <c r="WK54"/>
  <c r="WJ54"/>
  <c r="WF54"/>
  <c r="WE54"/>
  <c r="WD54"/>
  <c r="WC54"/>
  <c r="WM53"/>
  <c r="WL53"/>
  <c r="WK53"/>
  <c r="WJ53"/>
  <c r="WF53"/>
  <c r="WE53"/>
  <c r="WD53"/>
  <c r="WC53"/>
  <c r="WM52"/>
  <c r="WL52"/>
  <c r="WK52"/>
  <c r="WJ52"/>
  <c r="WF52"/>
  <c r="WE52"/>
  <c r="WD52"/>
  <c r="WC52"/>
  <c r="WM51"/>
  <c r="WL51"/>
  <c r="WK51"/>
  <c r="WJ51"/>
  <c r="WF51"/>
  <c r="WE51"/>
  <c r="WD51"/>
  <c r="WC51"/>
  <c r="WM50"/>
  <c r="WL50"/>
  <c r="WK50"/>
  <c r="WJ50"/>
  <c r="WF50"/>
  <c r="WE50"/>
  <c r="WD50"/>
  <c r="WC50"/>
  <c r="WM49"/>
  <c r="WL49"/>
  <c r="WK49"/>
  <c r="WJ49"/>
  <c r="WF49"/>
  <c r="WE49"/>
  <c r="WD49"/>
  <c r="WC49"/>
  <c r="WM48"/>
  <c r="WL48"/>
  <c r="WK48"/>
  <c r="WJ48"/>
  <c r="WF48"/>
  <c r="WE48"/>
  <c r="WD48"/>
  <c r="WC48"/>
  <c r="WM47"/>
  <c r="WL47"/>
  <c r="WK47"/>
  <c r="WJ47"/>
  <c r="WF47"/>
  <c r="WE47"/>
  <c r="WD47"/>
  <c r="WC47"/>
  <c r="WM46"/>
  <c r="WL46"/>
  <c r="WK46"/>
  <c r="WJ46"/>
  <c r="WF46"/>
  <c r="WE46"/>
  <c r="WD46"/>
  <c r="WC46"/>
  <c r="WM45"/>
  <c r="WL45"/>
  <c r="WK45"/>
  <c r="WJ45"/>
  <c r="WF45"/>
  <c r="WE45"/>
  <c r="WD45"/>
  <c r="WC45"/>
  <c r="WM44"/>
  <c r="WL44"/>
  <c r="WK44"/>
  <c r="WJ44"/>
  <c r="WF44"/>
  <c r="WE44"/>
  <c r="WD44"/>
  <c r="WC44"/>
  <c r="WM43"/>
  <c r="WL43"/>
  <c r="WK43"/>
  <c r="WJ43"/>
  <c r="WF43"/>
  <c r="WE43"/>
  <c r="WD43"/>
  <c r="WC43"/>
  <c r="WM42"/>
  <c r="WL42"/>
  <c r="WK42"/>
  <c r="WJ42"/>
  <c r="WF42"/>
  <c r="WE42"/>
  <c r="WD42"/>
  <c r="WC42"/>
  <c r="WM41"/>
  <c r="WL41"/>
  <c r="WK41"/>
  <c r="WJ41"/>
  <c r="WF41"/>
  <c r="WE41"/>
  <c r="WD41"/>
  <c r="WC41"/>
  <c r="WM40"/>
  <c r="WL40"/>
  <c r="WK40"/>
  <c r="WJ40"/>
  <c r="WF40"/>
  <c r="WE40"/>
  <c r="WD40"/>
  <c r="WC40"/>
  <c r="WM39"/>
  <c r="WL39"/>
  <c r="WK39"/>
  <c r="WJ39"/>
  <c r="WF39"/>
  <c r="WE39"/>
  <c r="WD39"/>
  <c r="WC39"/>
  <c r="WM38"/>
  <c r="WL38"/>
  <c r="WK38"/>
  <c r="WJ38"/>
  <c r="WF38"/>
  <c r="WE38"/>
  <c r="WD38"/>
  <c r="WC38"/>
  <c r="WM37"/>
  <c r="WL37"/>
  <c r="WK37"/>
  <c r="WJ37"/>
  <c r="WF37"/>
  <c r="WE37"/>
  <c r="WD37"/>
  <c r="WC37"/>
  <c r="WM36"/>
  <c r="WL36"/>
  <c r="WK36"/>
  <c r="WJ36"/>
  <c r="WF36"/>
  <c r="WE36"/>
  <c r="WD36"/>
  <c r="WC36"/>
  <c r="WM35"/>
  <c r="WL35"/>
  <c r="WK35"/>
  <c r="WJ35"/>
  <c r="WF35"/>
  <c r="WE35"/>
  <c r="WD35"/>
  <c r="WC35"/>
  <c r="WM34"/>
  <c r="WL34"/>
  <c r="WK34"/>
  <c r="WJ34"/>
  <c r="WF34"/>
  <c r="WE34"/>
  <c r="WD34"/>
  <c r="WC34"/>
  <c r="WM33"/>
  <c r="WL33"/>
  <c r="WK33"/>
  <c r="WJ33"/>
  <c r="WF33"/>
  <c r="WE33"/>
  <c r="WD33"/>
  <c r="WC33"/>
  <c r="WM32"/>
  <c r="WL32"/>
  <c r="WK32"/>
  <c r="WJ32"/>
  <c r="WF32"/>
  <c r="WE32"/>
  <c r="WD32"/>
  <c r="WC32"/>
  <c r="WM31"/>
  <c r="WL31"/>
  <c r="WK31"/>
  <c r="WJ31"/>
  <c r="WF31"/>
  <c r="WE31"/>
  <c r="WD31"/>
  <c r="WC31"/>
  <c r="WM30"/>
  <c r="WL30"/>
  <c r="WK30"/>
  <c r="WJ30"/>
  <c r="WF30"/>
  <c r="WE30"/>
  <c r="WD30"/>
  <c r="WC30"/>
  <c r="WM29"/>
  <c r="WL29"/>
  <c r="WK29"/>
  <c r="WJ29"/>
  <c r="WF29"/>
  <c r="WE29"/>
  <c r="WD29"/>
  <c r="WC29"/>
  <c r="WM28"/>
  <c r="WL28"/>
  <c r="WK28"/>
  <c r="WJ28"/>
  <c r="WF28"/>
  <c r="WE28"/>
  <c r="WD28"/>
  <c r="WC28"/>
  <c r="WM27"/>
  <c r="WL27"/>
  <c r="WK27"/>
  <c r="WJ27"/>
  <c r="WF27"/>
  <c r="WE27"/>
  <c r="WD27"/>
  <c r="WC27"/>
  <c r="WM26"/>
  <c r="WL26"/>
  <c r="WK26"/>
  <c r="WJ26"/>
  <c r="WF26"/>
  <c r="WE26"/>
  <c r="WD26"/>
  <c r="WC26"/>
  <c r="WM25"/>
  <c r="WL25"/>
  <c r="WK25"/>
  <c r="WJ25"/>
  <c r="WF25"/>
  <c r="WE25"/>
  <c r="WD25"/>
  <c r="WC25"/>
  <c r="WM24"/>
  <c r="WL24"/>
  <c r="WK24"/>
  <c r="WJ24"/>
  <c r="WF24"/>
  <c r="WE24"/>
  <c r="WD24"/>
  <c r="WC24"/>
  <c r="WM23"/>
  <c r="WL23"/>
  <c r="WK23"/>
  <c r="WJ23"/>
  <c r="WF23"/>
  <c r="WE23"/>
  <c r="WD23"/>
  <c r="WC23"/>
  <c r="WM22"/>
  <c r="WL22"/>
  <c r="WK22"/>
  <c r="WJ22"/>
  <c r="WF22"/>
  <c r="WE22"/>
  <c r="WD22"/>
  <c r="WC22"/>
  <c r="WM21"/>
  <c r="WL21"/>
  <c r="WK21"/>
  <c r="WJ21"/>
  <c r="WF21"/>
  <c r="WE21"/>
  <c r="WD21"/>
  <c r="WC21"/>
  <c r="WM20"/>
  <c r="WL20"/>
  <c r="WK20"/>
  <c r="WJ20"/>
  <c r="WF20"/>
  <c r="WE20"/>
  <c r="WD20"/>
  <c r="WC20"/>
  <c r="WM19"/>
  <c r="WL19"/>
  <c r="WK19"/>
  <c r="WJ19"/>
  <c r="WF19"/>
  <c r="WE19"/>
  <c r="WD19"/>
  <c r="WC19"/>
  <c r="WM18"/>
  <c r="WL18"/>
  <c r="WK18"/>
  <c r="WJ18"/>
  <c r="WF18"/>
  <c r="WE18"/>
  <c r="WD18"/>
  <c r="WC18"/>
  <c r="WM17"/>
  <c r="WL17"/>
  <c r="WK17"/>
  <c r="WJ17"/>
  <c r="WF17"/>
  <c r="WE17"/>
  <c r="WD17"/>
  <c r="WC17"/>
  <c r="WM16"/>
  <c r="WL16"/>
  <c r="WK16"/>
  <c r="WJ16"/>
  <c r="WF16"/>
  <c r="WE16"/>
  <c r="WD16"/>
  <c r="WC16"/>
  <c r="WM15"/>
  <c r="WL15"/>
  <c r="WK15"/>
  <c r="WJ15"/>
  <c r="WF15"/>
  <c r="WE15"/>
  <c r="WD15"/>
  <c r="WC15"/>
  <c r="WM14"/>
  <c r="WL14"/>
  <c r="WK14"/>
  <c r="WJ14"/>
  <c r="WF14"/>
  <c r="WE14"/>
  <c r="WD14"/>
  <c r="WC14"/>
  <c r="WM13"/>
  <c r="WL13"/>
  <c r="WK13"/>
  <c r="WJ13"/>
  <c r="WF13"/>
  <c r="WE13"/>
  <c r="WD13"/>
  <c r="WC13"/>
  <c r="WM12"/>
  <c r="WL12"/>
  <c r="WK12"/>
  <c r="WJ12"/>
  <c r="WF12"/>
  <c r="WE12"/>
  <c r="WD12"/>
  <c r="WC12"/>
  <c r="WM11"/>
  <c r="WL11"/>
  <c r="WK11"/>
  <c r="WJ11"/>
  <c r="WF11"/>
  <c r="WE11"/>
  <c r="WD11"/>
  <c r="WC11"/>
  <c r="WM10"/>
  <c r="WL10"/>
  <c r="WK10"/>
  <c r="WJ10"/>
  <c r="WF10"/>
  <c r="WE10"/>
  <c r="WD10"/>
  <c r="WC10"/>
  <c r="WM9"/>
  <c r="WL9"/>
  <c r="WK9"/>
  <c r="WJ9"/>
  <c r="WF9"/>
  <c r="WE9"/>
  <c r="WD9"/>
  <c r="WC9"/>
  <c r="WM8"/>
  <c r="WL8"/>
  <c r="WK8"/>
  <c r="WJ8"/>
  <c r="WF8"/>
  <c r="WE8"/>
  <c r="WD8"/>
  <c r="WC8"/>
  <c r="WM7"/>
  <c r="WL7"/>
  <c r="WK7"/>
  <c r="WJ7"/>
  <c r="WF7"/>
  <c r="WE7"/>
  <c r="WD7"/>
  <c r="WC7"/>
  <c r="WM6"/>
  <c r="WL6"/>
  <c r="WK6"/>
  <c r="WJ6"/>
  <c r="WF6"/>
  <c r="WE6"/>
  <c r="WD6"/>
  <c r="WC6"/>
  <c r="WM5"/>
  <c r="WL5"/>
  <c r="WK5"/>
  <c r="WJ5"/>
  <c r="WE5"/>
  <c r="WD5"/>
  <c r="WC5"/>
  <c r="VT6"/>
  <c r="VU6"/>
  <c r="VV6"/>
  <c r="VT7"/>
  <c r="VU7"/>
  <c r="VV7"/>
  <c r="VT8"/>
  <c r="VU8"/>
  <c r="VV8"/>
  <c r="VT9"/>
  <c r="VU9"/>
  <c r="VV9"/>
  <c r="VT10"/>
  <c r="VU10"/>
  <c r="VV10"/>
  <c r="VT11"/>
  <c r="VU11"/>
  <c r="VV11"/>
  <c r="VT12"/>
  <c r="VU12"/>
  <c r="VV12"/>
  <c r="VT13"/>
  <c r="VU13"/>
  <c r="VV13"/>
  <c r="VT14"/>
  <c r="VU14"/>
  <c r="VV14"/>
  <c r="VT15"/>
  <c r="VU15"/>
  <c r="VV15"/>
  <c r="VT16"/>
  <c r="VU16"/>
  <c r="VV16"/>
  <c r="VT17"/>
  <c r="VU17"/>
  <c r="VV17"/>
  <c r="VT18"/>
  <c r="VU18"/>
  <c r="VV18"/>
  <c r="VT19"/>
  <c r="VU19"/>
  <c r="VV19"/>
  <c r="VT20"/>
  <c r="VU20"/>
  <c r="VV20"/>
  <c r="VT21"/>
  <c r="VU21"/>
  <c r="VV21"/>
  <c r="VT22"/>
  <c r="VU22"/>
  <c r="VV22"/>
  <c r="VT23"/>
  <c r="VU23"/>
  <c r="VV23"/>
  <c r="VT24"/>
  <c r="VU24"/>
  <c r="VV24"/>
  <c r="VT25"/>
  <c r="VU25"/>
  <c r="VV25"/>
  <c r="VT26"/>
  <c r="VU26"/>
  <c r="VV26"/>
  <c r="VT27"/>
  <c r="VU27"/>
  <c r="VV27"/>
  <c r="VT28"/>
  <c r="VU28"/>
  <c r="VV28"/>
  <c r="VT29"/>
  <c r="VU29"/>
  <c r="VV29"/>
  <c r="VT30"/>
  <c r="VU30"/>
  <c r="VV30"/>
  <c r="VT31"/>
  <c r="VU31"/>
  <c r="VV31"/>
  <c r="VT32"/>
  <c r="VU32"/>
  <c r="VV32"/>
  <c r="VT33"/>
  <c r="VU33"/>
  <c r="VV33"/>
  <c r="VT34"/>
  <c r="VU34"/>
  <c r="VV34"/>
  <c r="VT35"/>
  <c r="VU35"/>
  <c r="VV35"/>
  <c r="VT36"/>
  <c r="VU36"/>
  <c r="VV36"/>
  <c r="VT37"/>
  <c r="VU37"/>
  <c r="VV37"/>
  <c r="VT38"/>
  <c r="VU38"/>
  <c r="VV38"/>
  <c r="VT39"/>
  <c r="VU39"/>
  <c r="VV39"/>
  <c r="VT40"/>
  <c r="VU40"/>
  <c r="VV40"/>
  <c r="VT41"/>
  <c r="VU41"/>
  <c r="VV41"/>
  <c r="VT42"/>
  <c r="VU42"/>
  <c r="VV42"/>
  <c r="VT43"/>
  <c r="VU43"/>
  <c r="VV43"/>
  <c r="VT44"/>
  <c r="VU44"/>
  <c r="VV44"/>
  <c r="VT45"/>
  <c r="VU45"/>
  <c r="VV45"/>
  <c r="VT46"/>
  <c r="VU46"/>
  <c r="VV46"/>
  <c r="VT47"/>
  <c r="VU47"/>
  <c r="VV47"/>
  <c r="VT48"/>
  <c r="VU48"/>
  <c r="VV48"/>
  <c r="VT49"/>
  <c r="VU49"/>
  <c r="VV49"/>
  <c r="VT50"/>
  <c r="VU50"/>
  <c r="VV50"/>
  <c r="VT51"/>
  <c r="VU51"/>
  <c r="VV51"/>
  <c r="VT52"/>
  <c r="VU52"/>
  <c r="VV52"/>
  <c r="VT53"/>
  <c r="VU53"/>
  <c r="VV53"/>
  <c r="VT54"/>
  <c r="VU54"/>
  <c r="VV54"/>
  <c r="VT55"/>
  <c r="VU55"/>
  <c r="VV55"/>
  <c r="VT56"/>
  <c r="VU56"/>
  <c r="VV56"/>
  <c r="VT57"/>
  <c r="VU57"/>
  <c r="VV57"/>
  <c r="VT58"/>
  <c r="VU58"/>
  <c r="VV58"/>
  <c r="VT59"/>
  <c r="VU59"/>
  <c r="VV59"/>
  <c r="VT60"/>
  <c r="VU60"/>
  <c r="VV60"/>
  <c r="VT61"/>
  <c r="VU61"/>
  <c r="VV61"/>
  <c r="VT62"/>
  <c r="VU62"/>
  <c r="VV62"/>
  <c r="VT63"/>
  <c r="VU63"/>
  <c r="VV63"/>
  <c r="VT64"/>
  <c r="VU64"/>
  <c r="VV64"/>
  <c r="VT65"/>
  <c r="VU65"/>
  <c r="VV65"/>
  <c r="VT66"/>
  <c r="VU66"/>
  <c r="VV66"/>
  <c r="VT67"/>
  <c r="VU67"/>
  <c r="VV67"/>
  <c r="VT68"/>
  <c r="VU68"/>
  <c r="VV68"/>
  <c r="VT69"/>
  <c r="VU69"/>
  <c r="VV69"/>
  <c r="VT70"/>
  <c r="VU70"/>
  <c r="VV70"/>
  <c r="VT71"/>
  <c r="VU71"/>
  <c r="VV71"/>
  <c r="VT72"/>
  <c r="VU72"/>
  <c r="VV72"/>
  <c r="VT73"/>
  <c r="VU73"/>
  <c r="VV73"/>
  <c r="VT74"/>
  <c r="VU74"/>
  <c r="VV74"/>
  <c r="VT75"/>
  <c r="VU75"/>
  <c r="VV75"/>
  <c r="VT76"/>
  <c r="VU76"/>
  <c r="VV76"/>
  <c r="VT77"/>
  <c r="VU77"/>
  <c r="VV77"/>
  <c r="VT78"/>
  <c r="VU78"/>
  <c r="VV78"/>
  <c r="VT79"/>
  <c r="VU79"/>
  <c r="VV79"/>
  <c r="VT80"/>
  <c r="VU80"/>
  <c r="VV80"/>
  <c r="VT81"/>
  <c r="VU81"/>
  <c r="VV81"/>
  <c r="VT82"/>
  <c r="VU82"/>
  <c r="VV82"/>
  <c r="VT83"/>
  <c r="VU83"/>
  <c r="VV83"/>
  <c r="VT84"/>
  <c r="VU84"/>
  <c r="VV84"/>
  <c r="VT85"/>
  <c r="VU85"/>
  <c r="VV85"/>
  <c r="VT86"/>
  <c r="VU86"/>
  <c r="VV86"/>
  <c r="VU5"/>
  <c r="VV5"/>
  <c r="VT5"/>
  <c r="VS5"/>
  <c r="VZ86"/>
  <c r="VY86"/>
  <c r="VX86"/>
  <c r="VW86"/>
  <c r="VS86"/>
  <c r="VR86"/>
  <c r="VQ86"/>
  <c r="VP86"/>
  <c r="VZ85"/>
  <c r="VY85"/>
  <c r="VX85"/>
  <c r="VW85"/>
  <c r="VS85"/>
  <c r="VR85"/>
  <c r="VQ85"/>
  <c r="VP85"/>
  <c r="VZ84"/>
  <c r="VY84"/>
  <c r="VX84"/>
  <c r="VW84"/>
  <c r="VS84"/>
  <c r="VR84"/>
  <c r="VQ84"/>
  <c r="VP84"/>
  <c r="VZ83"/>
  <c r="VY83"/>
  <c r="VX83"/>
  <c r="VW83"/>
  <c r="VS83"/>
  <c r="VR83"/>
  <c r="VQ83"/>
  <c r="VP83"/>
  <c r="VZ82"/>
  <c r="VY82"/>
  <c r="VX82"/>
  <c r="VW82"/>
  <c r="VS82"/>
  <c r="VR82"/>
  <c r="VQ82"/>
  <c r="VP82"/>
  <c r="VZ81"/>
  <c r="VY81"/>
  <c r="VX81"/>
  <c r="VW81"/>
  <c r="VS81"/>
  <c r="VR81"/>
  <c r="VQ81"/>
  <c r="VP81"/>
  <c r="VZ80"/>
  <c r="VY80"/>
  <c r="VX80"/>
  <c r="VW80"/>
  <c r="VS80"/>
  <c r="VR80"/>
  <c r="VQ80"/>
  <c r="VP80"/>
  <c r="VZ79"/>
  <c r="VY79"/>
  <c r="VX79"/>
  <c r="VW79"/>
  <c r="VS79"/>
  <c r="VR79"/>
  <c r="VQ79"/>
  <c r="VP79"/>
  <c r="VZ78"/>
  <c r="VY78"/>
  <c r="VX78"/>
  <c r="VW78"/>
  <c r="VS78"/>
  <c r="VR78"/>
  <c r="VQ78"/>
  <c r="VP78"/>
  <c r="VZ77"/>
  <c r="VY77"/>
  <c r="VX77"/>
  <c r="VW77"/>
  <c r="VS77"/>
  <c r="VR77"/>
  <c r="VQ77"/>
  <c r="VP77"/>
  <c r="VZ76"/>
  <c r="VY76"/>
  <c r="VX76"/>
  <c r="VW76"/>
  <c r="VS76"/>
  <c r="VR76"/>
  <c r="VQ76"/>
  <c r="VP76"/>
  <c r="VZ75"/>
  <c r="VY75"/>
  <c r="VX75"/>
  <c r="VW75"/>
  <c r="VS75"/>
  <c r="VR75"/>
  <c r="VQ75"/>
  <c r="VP75"/>
  <c r="VZ74"/>
  <c r="VY74"/>
  <c r="VX74"/>
  <c r="VW74"/>
  <c r="VS74"/>
  <c r="VR74"/>
  <c r="VQ74"/>
  <c r="VP74"/>
  <c r="VZ73"/>
  <c r="VY73"/>
  <c r="VX73"/>
  <c r="VW73"/>
  <c r="VS73"/>
  <c r="VR73"/>
  <c r="VQ73"/>
  <c r="VP73"/>
  <c r="VZ72"/>
  <c r="VY72"/>
  <c r="VX72"/>
  <c r="VW72"/>
  <c r="VS72"/>
  <c r="VR72"/>
  <c r="VQ72"/>
  <c r="VP72"/>
  <c r="VZ71"/>
  <c r="VY71"/>
  <c r="VX71"/>
  <c r="VW71"/>
  <c r="VS71"/>
  <c r="VR71"/>
  <c r="VQ71"/>
  <c r="VP71"/>
  <c r="VZ70"/>
  <c r="VY70"/>
  <c r="VX70"/>
  <c r="VW70"/>
  <c r="VS70"/>
  <c r="VR70"/>
  <c r="VQ70"/>
  <c r="VP70"/>
  <c r="VZ69"/>
  <c r="VY69"/>
  <c r="VX69"/>
  <c r="VW69"/>
  <c r="VS69"/>
  <c r="VR69"/>
  <c r="VQ69"/>
  <c r="VP69"/>
  <c r="VZ68"/>
  <c r="VY68"/>
  <c r="VX68"/>
  <c r="VW68"/>
  <c r="VS68"/>
  <c r="VR68"/>
  <c r="VQ68"/>
  <c r="VP68"/>
  <c r="VZ67"/>
  <c r="VY67"/>
  <c r="VX67"/>
  <c r="VW67"/>
  <c r="VS67"/>
  <c r="VR67"/>
  <c r="VQ67"/>
  <c r="VP67"/>
  <c r="VZ66"/>
  <c r="VY66"/>
  <c r="VX66"/>
  <c r="VW66"/>
  <c r="VS66"/>
  <c r="VR66"/>
  <c r="VQ66"/>
  <c r="VP66"/>
  <c r="VZ65"/>
  <c r="VY65"/>
  <c r="VX65"/>
  <c r="VW65"/>
  <c r="VS65"/>
  <c r="VR65"/>
  <c r="VQ65"/>
  <c r="VP65"/>
  <c r="VZ64"/>
  <c r="VY64"/>
  <c r="VX64"/>
  <c r="VW64"/>
  <c r="VS64"/>
  <c r="VR64"/>
  <c r="VQ64"/>
  <c r="VP64"/>
  <c r="VZ63"/>
  <c r="VY63"/>
  <c r="VX63"/>
  <c r="VW63"/>
  <c r="VS63"/>
  <c r="VR63"/>
  <c r="VQ63"/>
  <c r="VP63"/>
  <c r="VZ62"/>
  <c r="VY62"/>
  <c r="VX62"/>
  <c r="VW62"/>
  <c r="VS62"/>
  <c r="VR62"/>
  <c r="VQ62"/>
  <c r="VP62"/>
  <c r="VZ61"/>
  <c r="VY61"/>
  <c r="VX61"/>
  <c r="VW61"/>
  <c r="VS61"/>
  <c r="VR61"/>
  <c r="VQ61"/>
  <c r="VP61"/>
  <c r="VZ60"/>
  <c r="VY60"/>
  <c r="VX60"/>
  <c r="VW60"/>
  <c r="VS60"/>
  <c r="VR60"/>
  <c r="VQ60"/>
  <c r="VP60"/>
  <c r="VZ59"/>
  <c r="VY59"/>
  <c r="VX59"/>
  <c r="VW59"/>
  <c r="VS59"/>
  <c r="VR59"/>
  <c r="VQ59"/>
  <c r="VP59"/>
  <c r="VZ58"/>
  <c r="VY58"/>
  <c r="VX58"/>
  <c r="VW58"/>
  <c r="VS58"/>
  <c r="VR58"/>
  <c r="VQ58"/>
  <c r="VP58"/>
  <c r="VZ57"/>
  <c r="VY57"/>
  <c r="VX57"/>
  <c r="VW57"/>
  <c r="VS57"/>
  <c r="VR57"/>
  <c r="VQ57"/>
  <c r="VP57"/>
  <c r="VZ56"/>
  <c r="VY56"/>
  <c r="VX56"/>
  <c r="VW56"/>
  <c r="VS56"/>
  <c r="VR56"/>
  <c r="VQ56"/>
  <c r="VP56"/>
  <c r="VZ55"/>
  <c r="VY55"/>
  <c r="VX55"/>
  <c r="VW55"/>
  <c r="VS55"/>
  <c r="VR55"/>
  <c r="VQ55"/>
  <c r="VP55"/>
  <c r="VZ54"/>
  <c r="VY54"/>
  <c r="VX54"/>
  <c r="VW54"/>
  <c r="VS54"/>
  <c r="VR54"/>
  <c r="VQ54"/>
  <c r="VP54"/>
  <c r="VZ53"/>
  <c r="VY53"/>
  <c r="VX53"/>
  <c r="VW53"/>
  <c r="VS53"/>
  <c r="VR53"/>
  <c r="VQ53"/>
  <c r="VP53"/>
  <c r="VZ52"/>
  <c r="VY52"/>
  <c r="VX52"/>
  <c r="VW52"/>
  <c r="VS52"/>
  <c r="VR52"/>
  <c r="VQ52"/>
  <c r="VP52"/>
  <c r="VZ51"/>
  <c r="VY51"/>
  <c r="VX51"/>
  <c r="VW51"/>
  <c r="VS51"/>
  <c r="VR51"/>
  <c r="VQ51"/>
  <c r="VP51"/>
  <c r="VZ50"/>
  <c r="VY50"/>
  <c r="VX50"/>
  <c r="VW50"/>
  <c r="VS50"/>
  <c r="VR50"/>
  <c r="VQ50"/>
  <c r="VP50"/>
  <c r="VZ49"/>
  <c r="VY49"/>
  <c r="VX49"/>
  <c r="VW49"/>
  <c r="VS49"/>
  <c r="VR49"/>
  <c r="VQ49"/>
  <c r="VP49"/>
  <c r="VZ48"/>
  <c r="VY48"/>
  <c r="VX48"/>
  <c r="VW48"/>
  <c r="VS48"/>
  <c r="VR48"/>
  <c r="VQ48"/>
  <c r="VP48"/>
  <c r="VZ47"/>
  <c r="VY47"/>
  <c r="VX47"/>
  <c r="VW47"/>
  <c r="VS47"/>
  <c r="VR47"/>
  <c r="VQ47"/>
  <c r="VP47"/>
  <c r="VZ46"/>
  <c r="VY46"/>
  <c r="VX46"/>
  <c r="VW46"/>
  <c r="VS46"/>
  <c r="VR46"/>
  <c r="VQ46"/>
  <c r="VP46"/>
  <c r="VZ45"/>
  <c r="VY45"/>
  <c r="VX45"/>
  <c r="VW45"/>
  <c r="VS45"/>
  <c r="VR45"/>
  <c r="VQ45"/>
  <c r="VP45"/>
  <c r="VZ44"/>
  <c r="VY44"/>
  <c r="VX44"/>
  <c r="VW44"/>
  <c r="VS44"/>
  <c r="VR44"/>
  <c r="VQ44"/>
  <c r="VP44"/>
  <c r="VZ43"/>
  <c r="VY43"/>
  <c r="VX43"/>
  <c r="VW43"/>
  <c r="VS43"/>
  <c r="VR43"/>
  <c r="VQ43"/>
  <c r="VP43"/>
  <c r="VZ42"/>
  <c r="VY42"/>
  <c r="VX42"/>
  <c r="VW42"/>
  <c r="VS42"/>
  <c r="VR42"/>
  <c r="VQ42"/>
  <c r="VP42"/>
  <c r="VZ41"/>
  <c r="VY41"/>
  <c r="VX41"/>
  <c r="VW41"/>
  <c r="VS41"/>
  <c r="VR41"/>
  <c r="VQ41"/>
  <c r="VP41"/>
  <c r="VZ40"/>
  <c r="VY40"/>
  <c r="VX40"/>
  <c r="VW40"/>
  <c r="VS40"/>
  <c r="VR40"/>
  <c r="VQ40"/>
  <c r="VP40"/>
  <c r="VZ39"/>
  <c r="VY39"/>
  <c r="VX39"/>
  <c r="VW39"/>
  <c r="VS39"/>
  <c r="VR39"/>
  <c r="VQ39"/>
  <c r="VP39"/>
  <c r="VZ38"/>
  <c r="VY38"/>
  <c r="VX38"/>
  <c r="VW38"/>
  <c r="VS38"/>
  <c r="VR38"/>
  <c r="VQ38"/>
  <c r="VP38"/>
  <c r="VZ37"/>
  <c r="VY37"/>
  <c r="VX37"/>
  <c r="VW37"/>
  <c r="VS37"/>
  <c r="VR37"/>
  <c r="VQ37"/>
  <c r="VP37"/>
  <c r="VZ36"/>
  <c r="VY36"/>
  <c r="VX36"/>
  <c r="VW36"/>
  <c r="VS36"/>
  <c r="VR36"/>
  <c r="VQ36"/>
  <c r="VP36"/>
  <c r="VZ35"/>
  <c r="VY35"/>
  <c r="VX35"/>
  <c r="VW35"/>
  <c r="VS35"/>
  <c r="VR35"/>
  <c r="VQ35"/>
  <c r="VP35"/>
  <c r="VZ34"/>
  <c r="VY34"/>
  <c r="VX34"/>
  <c r="VW34"/>
  <c r="VS34"/>
  <c r="VR34"/>
  <c r="VQ34"/>
  <c r="VP34"/>
  <c r="VZ33"/>
  <c r="VY33"/>
  <c r="VX33"/>
  <c r="VW33"/>
  <c r="VS33"/>
  <c r="VR33"/>
  <c r="VQ33"/>
  <c r="VP33"/>
  <c r="VZ32"/>
  <c r="VY32"/>
  <c r="VX32"/>
  <c r="VW32"/>
  <c r="VS32"/>
  <c r="VR32"/>
  <c r="VQ32"/>
  <c r="VP32"/>
  <c r="VZ31"/>
  <c r="VY31"/>
  <c r="VX31"/>
  <c r="VW31"/>
  <c r="VS31"/>
  <c r="VR31"/>
  <c r="VQ31"/>
  <c r="VP31"/>
  <c r="VZ30"/>
  <c r="VY30"/>
  <c r="VX30"/>
  <c r="VW30"/>
  <c r="VS30"/>
  <c r="VR30"/>
  <c r="VQ30"/>
  <c r="VP30"/>
  <c r="VZ29"/>
  <c r="VY29"/>
  <c r="VX29"/>
  <c r="VW29"/>
  <c r="VS29"/>
  <c r="VR29"/>
  <c r="VQ29"/>
  <c r="VP29"/>
  <c r="VZ28"/>
  <c r="VY28"/>
  <c r="VX28"/>
  <c r="VW28"/>
  <c r="VS28"/>
  <c r="VR28"/>
  <c r="VQ28"/>
  <c r="VP28"/>
  <c r="VZ27"/>
  <c r="VY27"/>
  <c r="VX27"/>
  <c r="VW27"/>
  <c r="VS27"/>
  <c r="VR27"/>
  <c r="VQ27"/>
  <c r="VP27"/>
  <c r="VZ26"/>
  <c r="VY26"/>
  <c r="VX26"/>
  <c r="VW26"/>
  <c r="VS26"/>
  <c r="VR26"/>
  <c r="VQ26"/>
  <c r="VP26"/>
  <c r="VZ25"/>
  <c r="VY25"/>
  <c r="VX25"/>
  <c r="VW25"/>
  <c r="VS25"/>
  <c r="VR25"/>
  <c r="VQ25"/>
  <c r="VP25"/>
  <c r="VZ24"/>
  <c r="VY24"/>
  <c r="VX24"/>
  <c r="VW24"/>
  <c r="VS24"/>
  <c r="VR24"/>
  <c r="VQ24"/>
  <c r="VP24"/>
  <c r="VZ23"/>
  <c r="VY23"/>
  <c r="VX23"/>
  <c r="VW23"/>
  <c r="VS23"/>
  <c r="VR23"/>
  <c r="VQ23"/>
  <c r="VP23"/>
  <c r="VZ22"/>
  <c r="VY22"/>
  <c r="VX22"/>
  <c r="VW22"/>
  <c r="VS22"/>
  <c r="VR22"/>
  <c r="VQ22"/>
  <c r="VP22"/>
  <c r="VZ21"/>
  <c r="VY21"/>
  <c r="VX21"/>
  <c r="VW21"/>
  <c r="VS21"/>
  <c r="VR21"/>
  <c r="VQ21"/>
  <c r="VP21"/>
  <c r="VZ20"/>
  <c r="VY20"/>
  <c r="VX20"/>
  <c r="VW20"/>
  <c r="VS20"/>
  <c r="VR20"/>
  <c r="VQ20"/>
  <c r="VP20"/>
  <c r="VZ19"/>
  <c r="VY19"/>
  <c r="VX19"/>
  <c r="VW19"/>
  <c r="VS19"/>
  <c r="VR19"/>
  <c r="VQ19"/>
  <c r="VP19"/>
  <c r="VZ18"/>
  <c r="VY18"/>
  <c r="VX18"/>
  <c r="VW18"/>
  <c r="VS18"/>
  <c r="VR18"/>
  <c r="VQ18"/>
  <c r="VP18"/>
  <c r="VZ17"/>
  <c r="VY17"/>
  <c r="VX17"/>
  <c r="VW17"/>
  <c r="VS17"/>
  <c r="VR17"/>
  <c r="VQ17"/>
  <c r="VP17"/>
  <c r="VZ16"/>
  <c r="VY16"/>
  <c r="VX16"/>
  <c r="VW16"/>
  <c r="VS16"/>
  <c r="VR16"/>
  <c r="VQ16"/>
  <c r="VP16"/>
  <c r="VZ15"/>
  <c r="VY15"/>
  <c r="VX15"/>
  <c r="VW15"/>
  <c r="VS15"/>
  <c r="VR15"/>
  <c r="VQ15"/>
  <c r="VP15"/>
  <c r="VZ14"/>
  <c r="VY14"/>
  <c r="VX14"/>
  <c r="VW14"/>
  <c r="VS14"/>
  <c r="VR14"/>
  <c r="VQ14"/>
  <c r="VP14"/>
  <c r="VZ13"/>
  <c r="VY13"/>
  <c r="VX13"/>
  <c r="VW13"/>
  <c r="VS13"/>
  <c r="VR13"/>
  <c r="VQ13"/>
  <c r="VP13"/>
  <c r="VZ12"/>
  <c r="VY12"/>
  <c r="VX12"/>
  <c r="VW12"/>
  <c r="VS12"/>
  <c r="VR12"/>
  <c r="VQ12"/>
  <c r="VP12"/>
  <c r="VZ11"/>
  <c r="VY11"/>
  <c r="VX11"/>
  <c r="VW11"/>
  <c r="VS11"/>
  <c r="VR11"/>
  <c r="VQ11"/>
  <c r="VP11"/>
  <c r="VZ10"/>
  <c r="VY10"/>
  <c r="VX10"/>
  <c r="VW10"/>
  <c r="VS10"/>
  <c r="VR10"/>
  <c r="VQ10"/>
  <c r="VP10"/>
  <c r="VZ9"/>
  <c r="VY9"/>
  <c r="VX9"/>
  <c r="VW9"/>
  <c r="VS9"/>
  <c r="VR9"/>
  <c r="VQ9"/>
  <c r="VP9"/>
  <c r="VZ8"/>
  <c r="VY8"/>
  <c r="VX8"/>
  <c r="VW8"/>
  <c r="VS8"/>
  <c r="VR8"/>
  <c r="VQ8"/>
  <c r="VP8"/>
  <c r="VZ7"/>
  <c r="VY7"/>
  <c r="VX7"/>
  <c r="VW7"/>
  <c r="VS7"/>
  <c r="VR7"/>
  <c r="VQ7"/>
  <c r="VP7"/>
  <c r="VZ6"/>
  <c r="VY6"/>
  <c r="VX6"/>
  <c r="VW6"/>
  <c r="VS6"/>
  <c r="VR6"/>
  <c r="VQ6"/>
  <c r="VP6"/>
  <c r="VZ5"/>
  <c r="VY5"/>
  <c r="VX5"/>
  <c r="VW5"/>
  <c r="VR5"/>
  <c r="VQ5"/>
  <c r="VP5"/>
  <c r="VG6"/>
  <c r="VH6"/>
  <c r="VI6"/>
  <c r="VG7"/>
  <c r="VH7"/>
  <c r="VI7"/>
  <c r="VG8"/>
  <c r="VH8"/>
  <c r="VI8"/>
  <c r="VG9"/>
  <c r="VH9"/>
  <c r="VI9"/>
  <c r="VG10"/>
  <c r="VH10"/>
  <c r="VI10"/>
  <c r="VG11"/>
  <c r="VH11"/>
  <c r="VI11"/>
  <c r="VG12"/>
  <c r="VH12"/>
  <c r="VI12"/>
  <c r="VG13"/>
  <c r="VH13"/>
  <c r="VI13"/>
  <c r="VG14"/>
  <c r="VH14"/>
  <c r="VI14"/>
  <c r="VG15"/>
  <c r="VH15"/>
  <c r="VI15"/>
  <c r="VG16"/>
  <c r="VH16"/>
  <c r="VI16"/>
  <c r="VG17"/>
  <c r="VH17"/>
  <c r="VI17"/>
  <c r="VG18"/>
  <c r="VH18"/>
  <c r="VI18"/>
  <c r="VG19"/>
  <c r="VH19"/>
  <c r="VI19"/>
  <c r="VG20"/>
  <c r="VH20"/>
  <c r="VI20"/>
  <c r="VG21"/>
  <c r="VH21"/>
  <c r="VI21"/>
  <c r="VG22"/>
  <c r="VH22"/>
  <c r="VI22"/>
  <c r="VG23"/>
  <c r="VH23"/>
  <c r="VI23"/>
  <c r="VG24"/>
  <c r="VH24"/>
  <c r="VI24"/>
  <c r="VG25"/>
  <c r="VH25"/>
  <c r="VI25"/>
  <c r="VG26"/>
  <c r="VH26"/>
  <c r="VI26"/>
  <c r="VG27"/>
  <c r="VH27"/>
  <c r="VI27"/>
  <c r="VG28"/>
  <c r="VH28"/>
  <c r="VI28"/>
  <c r="VG29"/>
  <c r="VH29"/>
  <c r="VI29"/>
  <c r="VG30"/>
  <c r="VH30"/>
  <c r="VI30"/>
  <c r="VG31"/>
  <c r="VH31"/>
  <c r="VI31"/>
  <c r="VG32"/>
  <c r="VH32"/>
  <c r="VI32"/>
  <c r="VG33"/>
  <c r="VH33"/>
  <c r="VI33"/>
  <c r="VG34"/>
  <c r="VH34"/>
  <c r="VI34"/>
  <c r="VG35"/>
  <c r="VH35"/>
  <c r="VI35"/>
  <c r="VG36"/>
  <c r="VH36"/>
  <c r="VI36"/>
  <c r="VG37"/>
  <c r="VH37"/>
  <c r="VI37"/>
  <c r="VG38"/>
  <c r="VH38"/>
  <c r="VI38"/>
  <c r="VG39"/>
  <c r="VH39"/>
  <c r="VI39"/>
  <c r="VG40"/>
  <c r="VH40"/>
  <c r="VI40"/>
  <c r="VG41"/>
  <c r="VH41"/>
  <c r="VI41"/>
  <c r="VG42"/>
  <c r="VH42"/>
  <c r="VI42"/>
  <c r="VG43"/>
  <c r="VH43"/>
  <c r="VI43"/>
  <c r="VG44"/>
  <c r="VH44"/>
  <c r="VI44"/>
  <c r="VG45"/>
  <c r="VH45"/>
  <c r="VI45"/>
  <c r="VG46"/>
  <c r="VH46"/>
  <c r="VI46"/>
  <c r="VG47"/>
  <c r="VH47"/>
  <c r="VI47"/>
  <c r="VG48"/>
  <c r="VH48"/>
  <c r="VI48"/>
  <c r="VG49"/>
  <c r="VH49"/>
  <c r="VI49"/>
  <c r="VG50"/>
  <c r="VH50"/>
  <c r="VI50"/>
  <c r="VG51"/>
  <c r="VH51"/>
  <c r="VI51"/>
  <c r="VG52"/>
  <c r="VH52"/>
  <c r="VI52"/>
  <c r="VG53"/>
  <c r="VH53"/>
  <c r="VI53"/>
  <c r="VG54"/>
  <c r="VH54"/>
  <c r="VI54"/>
  <c r="VG55"/>
  <c r="VH55"/>
  <c r="VI55"/>
  <c r="VG56"/>
  <c r="VH56"/>
  <c r="VI56"/>
  <c r="VG57"/>
  <c r="VH57"/>
  <c r="VI57"/>
  <c r="VG58"/>
  <c r="VH58"/>
  <c r="VI58"/>
  <c r="VG59"/>
  <c r="VH59"/>
  <c r="VI59"/>
  <c r="VG60"/>
  <c r="VH60"/>
  <c r="VI60"/>
  <c r="VG61"/>
  <c r="VH61"/>
  <c r="VI61"/>
  <c r="VG62"/>
  <c r="VH62"/>
  <c r="VI62"/>
  <c r="VG63"/>
  <c r="VH63"/>
  <c r="VI63"/>
  <c r="VG64"/>
  <c r="VH64"/>
  <c r="VI64"/>
  <c r="VG65"/>
  <c r="VH65"/>
  <c r="VI65"/>
  <c r="VG66"/>
  <c r="VH66"/>
  <c r="VI66"/>
  <c r="VG67"/>
  <c r="VH67"/>
  <c r="VI67"/>
  <c r="VG68"/>
  <c r="VH68"/>
  <c r="VI68"/>
  <c r="VG69"/>
  <c r="VH69"/>
  <c r="VI69"/>
  <c r="VG70"/>
  <c r="VH70"/>
  <c r="VI70"/>
  <c r="VG71"/>
  <c r="VH71"/>
  <c r="VI71"/>
  <c r="VG72"/>
  <c r="VH72"/>
  <c r="VI72"/>
  <c r="VG73"/>
  <c r="VH73"/>
  <c r="VI73"/>
  <c r="VG74"/>
  <c r="VH74"/>
  <c r="VI74"/>
  <c r="VG75"/>
  <c r="VH75"/>
  <c r="VI75"/>
  <c r="VG76"/>
  <c r="VH76"/>
  <c r="VI76"/>
  <c r="VG77"/>
  <c r="VH77"/>
  <c r="VI77"/>
  <c r="VG78"/>
  <c r="VH78"/>
  <c r="VI78"/>
  <c r="VG79"/>
  <c r="VH79"/>
  <c r="VI79"/>
  <c r="VG80"/>
  <c r="VH80"/>
  <c r="VI80"/>
  <c r="VG81"/>
  <c r="VH81"/>
  <c r="VI81"/>
  <c r="VI5"/>
  <c r="VG5"/>
  <c r="VH5"/>
  <c r="VF5"/>
  <c r="VM81"/>
  <c r="VL81"/>
  <c r="VK81"/>
  <c r="VJ81"/>
  <c r="VF81"/>
  <c r="VE81"/>
  <c r="VD81"/>
  <c r="VC81"/>
  <c r="VM80"/>
  <c r="VL80"/>
  <c r="VK80"/>
  <c r="VJ80"/>
  <c r="VF80"/>
  <c r="VE80"/>
  <c r="VD80"/>
  <c r="VC80"/>
  <c r="VM79"/>
  <c r="VL79"/>
  <c r="VK79"/>
  <c r="VJ79"/>
  <c r="VF79"/>
  <c r="VE79"/>
  <c r="VD79"/>
  <c r="VC79"/>
  <c r="VM78"/>
  <c r="VL78"/>
  <c r="VK78"/>
  <c r="VJ78"/>
  <c r="VF78"/>
  <c r="VE78"/>
  <c r="VD78"/>
  <c r="VC78"/>
  <c r="VM77"/>
  <c r="VL77"/>
  <c r="VK77"/>
  <c r="VJ77"/>
  <c r="VF77"/>
  <c r="VE77"/>
  <c r="VD77"/>
  <c r="VC77"/>
  <c r="VM76"/>
  <c r="VL76"/>
  <c r="VK76"/>
  <c r="VJ76"/>
  <c r="VF76"/>
  <c r="VE76"/>
  <c r="VD76"/>
  <c r="VC76"/>
  <c r="VM75"/>
  <c r="VL75"/>
  <c r="VK75"/>
  <c r="VJ75"/>
  <c r="VF75"/>
  <c r="VE75"/>
  <c r="VD75"/>
  <c r="VC75"/>
  <c r="VM74"/>
  <c r="VL74"/>
  <c r="VK74"/>
  <c r="VJ74"/>
  <c r="VF74"/>
  <c r="VE74"/>
  <c r="VD74"/>
  <c r="VC74"/>
  <c r="VM73"/>
  <c r="VL73"/>
  <c r="VK73"/>
  <c r="VJ73"/>
  <c r="VF73"/>
  <c r="VE73"/>
  <c r="VD73"/>
  <c r="VC73"/>
  <c r="VM72"/>
  <c r="VL72"/>
  <c r="VK72"/>
  <c r="VJ72"/>
  <c r="VF72"/>
  <c r="VE72"/>
  <c r="VD72"/>
  <c r="VC72"/>
  <c r="VM71"/>
  <c r="VL71"/>
  <c r="VK71"/>
  <c r="VJ71"/>
  <c r="VF71"/>
  <c r="VE71"/>
  <c r="VD71"/>
  <c r="VC71"/>
  <c r="VM70"/>
  <c r="VL70"/>
  <c r="VK70"/>
  <c r="VJ70"/>
  <c r="VF70"/>
  <c r="VE70"/>
  <c r="VD70"/>
  <c r="VC70"/>
  <c r="VM69"/>
  <c r="VL69"/>
  <c r="VK69"/>
  <c r="VJ69"/>
  <c r="VF69"/>
  <c r="VE69"/>
  <c r="VD69"/>
  <c r="VC69"/>
  <c r="VM68"/>
  <c r="VL68"/>
  <c r="VK68"/>
  <c r="VJ68"/>
  <c r="VF68"/>
  <c r="VE68"/>
  <c r="VD68"/>
  <c r="VC68"/>
  <c r="VM67"/>
  <c r="VL67"/>
  <c r="VK67"/>
  <c r="VJ67"/>
  <c r="VF67"/>
  <c r="VE67"/>
  <c r="VD67"/>
  <c r="VC67"/>
  <c r="VM66"/>
  <c r="VL66"/>
  <c r="VK66"/>
  <c r="VJ66"/>
  <c r="VF66"/>
  <c r="VE66"/>
  <c r="VD66"/>
  <c r="VC66"/>
  <c r="VM65"/>
  <c r="VL65"/>
  <c r="VK65"/>
  <c r="VJ65"/>
  <c r="VF65"/>
  <c r="VE65"/>
  <c r="VD65"/>
  <c r="VC65"/>
  <c r="VM64"/>
  <c r="VL64"/>
  <c r="VK64"/>
  <c r="VJ64"/>
  <c r="VF64"/>
  <c r="VE64"/>
  <c r="VD64"/>
  <c r="VC64"/>
  <c r="VM63"/>
  <c r="VL63"/>
  <c r="VK63"/>
  <c r="VJ63"/>
  <c r="VF63"/>
  <c r="VE63"/>
  <c r="VD63"/>
  <c r="VC63"/>
  <c r="VM62"/>
  <c r="VL62"/>
  <c r="VK62"/>
  <c r="VJ62"/>
  <c r="VF62"/>
  <c r="VE62"/>
  <c r="VD62"/>
  <c r="VC62"/>
  <c r="VM61"/>
  <c r="VL61"/>
  <c r="VK61"/>
  <c r="VJ61"/>
  <c r="VF61"/>
  <c r="VE61"/>
  <c r="VD61"/>
  <c r="VC61"/>
  <c r="VM60"/>
  <c r="VL60"/>
  <c r="VK60"/>
  <c r="VJ60"/>
  <c r="VF60"/>
  <c r="VE60"/>
  <c r="VD60"/>
  <c r="VC60"/>
  <c r="VM59"/>
  <c r="VL59"/>
  <c r="VK59"/>
  <c r="VJ59"/>
  <c r="VF59"/>
  <c r="VE59"/>
  <c r="VD59"/>
  <c r="VC59"/>
  <c r="VM58"/>
  <c r="VL58"/>
  <c r="VK58"/>
  <c r="VJ58"/>
  <c r="VF58"/>
  <c r="VE58"/>
  <c r="VD58"/>
  <c r="VC58"/>
  <c r="VM57"/>
  <c r="VL57"/>
  <c r="VK57"/>
  <c r="VJ57"/>
  <c r="VF57"/>
  <c r="VE57"/>
  <c r="VD57"/>
  <c r="VC57"/>
  <c r="VM56"/>
  <c r="VL56"/>
  <c r="VK56"/>
  <c r="VJ56"/>
  <c r="VF56"/>
  <c r="VE56"/>
  <c r="VD56"/>
  <c r="VC56"/>
  <c r="VM55"/>
  <c r="VL55"/>
  <c r="VK55"/>
  <c r="VJ55"/>
  <c r="VF55"/>
  <c r="VE55"/>
  <c r="VD55"/>
  <c r="VC55"/>
  <c r="VM54"/>
  <c r="VL54"/>
  <c r="VK54"/>
  <c r="VJ54"/>
  <c r="VF54"/>
  <c r="VE54"/>
  <c r="VD54"/>
  <c r="VC54"/>
  <c r="VM53"/>
  <c r="VL53"/>
  <c r="VK53"/>
  <c r="VJ53"/>
  <c r="VF53"/>
  <c r="VE53"/>
  <c r="VD53"/>
  <c r="VC53"/>
  <c r="VM52"/>
  <c r="VL52"/>
  <c r="VK52"/>
  <c r="VJ52"/>
  <c r="VF52"/>
  <c r="VE52"/>
  <c r="VD52"/>
  <c r="VC52"/>
  <c r="VM51"/>
  <c r="VL51"/>
  <c r="VK51"/>
  <c r="VJ51"/>
  <c r="VF51"/>
  <c r="VE51"/>
  <c r="VD51"/>
  <c r="VC51"/>
  <c r="VM50"/>
  <c r="VL50"/>
  <c r="VK50"/>
  <c r="VJ50"/>
  <c r="VF50"/>
  <c r="VE50"/>
  <c r="VD50"/>
  <c r="VC50"/>
  <c r="VM49"/>
  <c r="VL49"/>
  <c r="VK49"/>
  <c r="VJ49"/>
  <c r="VF49"/>
  <c r="VE49"/>
  <c r="VD49"/>
  <c r="VC49"/>
  <c r="VM48"/>
  <c r="VL48"/>
  <c r="VK48"/>
  <c r="VJ48"/>
  <c r="VF48"/>
  <c r="VE48"/>
  <c r="VD48"/>
  <c r="VC48"/>
  <c r="VM47"/>
  <c r="VL47"/>
  <c r="VK47"/>
  <c r="VJ47"/>
  <c r="VF47"/>
  <c r="VE47"/>
  <c r="VD47"/>
  <c r="VC47"/>
  <c r="VM46"/>
  <c r="VL46"/>
  <c r="VK46"/>
  <c r="VJ46"/>
  <c r="VF46"/>
  <c r="VE46"/>
  <c r="VD46"/>
  <c r="VC46"/>
  <c r="VM45"/>
  <c r="VL45"/>
  <c r="VK45"/>
  <c r="VJ45"/>
  <c r="VF45"/>
  <c r="VE45"/>
  <c r="VD45"/>
  <c r="VC45"/>
  <c r="VM44"/>
  <c r="VL44"/>
  <c r="VK44"/>
  <c r="VJ44"/>
  <c r="VF44"/>
  <c r="VE44"/>
  <c r="VD44"/>
  <c r="VC44"/>
  <c r="VM43"/>
  <c r="VL43"/>
  <c r="VK43"/>
  <c r="VJ43"/>
  <c r="VF43"/>
  <c r="VE43"/>
  <c r="VD43"/>
  <c r="VC43"/>
  <c r="VM42"/>
  <c r="VL42"/>
  <c r="VK42"/>
  <c r="VJ42"/>
  <c r="VF42"/>
  <c r="VE42"/>
  <c r="VD42"/>
  <c r="VC42"/>
  <c r="VM41"/>
  <c r="VL41"/>
  <c r="VK41"/>
  <c r="VJ41"/>
  <c r="VF41"/>
  <c r="VE41"/>
  <c r="VD41"/>
  <c r="VC41"/>
  <c r="VM40"/>
  <c r="VL40"/>
  <c r="VK40"/>
  <c r="VJ40"/>
  <c r="VF40"/>
  <c r="VE40"/>
  <c r="VD40"/>
  <c r="VC40"/>
  <c r="VM39"/>
  <c r="VL39"/>
  <c r="VK39"/>
  <c r="VJ39"/>
  <c r="VF39"/>
  <c r="VE39"/>
  <c r="VD39"/>
  <c r="VC39"/>
  <c r="VM38"/>
  <c r="VL38"/>
  <c r="VK38"/>
  <c r="VJ38"/>
  <c r="VF38"/>
  <c r="VE38"/>
  <c r="VD38"/>
  <c r="VC38"/>
  <c r="VM37"/>
  <c r="VL37"/>
  <c r="VK37"/>
  <c r="VJ37"/>
  <c r="VF37"/>
  <c r="VE37"/>
  <c r="VD37"/>
  <c r="VC37"/>
  <c r="VM36"/>
  <c r="VL36"/>
  <c r="VK36"/>
  <c r="VJ36"/>
  <c r="VF36"/>
  <c r="VE36"/>
  <c r="VD36"/>
  <c r="VC36"/>
  <c r="VM35"/>
  <c r="VL35"/>
  <c r="VK35"/>
  <c r="VJ35"/>
  <c r="VF35"/>
  <c r="VE35"/>
  <c r="VD35"/>
  <c r="VC35"/>
  <c r="VM34"/>
  <c r="VL34"/>
  <c r="VK34"/>
  <c r="VJ34"/>
  <c r="VF34"/>
  <c r="VE34"/>
  <c r="VD34"/>
  <c r="VC34"/>
  <c r="VM33"/>
  <c r="VL33"/>
  <c r="VK33"/>
  <c r="VJ33"/>
  <c r="VF33"/>
  <c r="VE33"/>
  <c r="VD33"/>
  <c r="VC33"/>
  <c r="VM32"/>
  <c r="VL32"/>
  <c r="VK32"/>
  <c r="VJ32"/>
  <c r="VF32"/>
  <c r="VE32"/>
  <c r="VD32"/>
  <c r="VC32"/>
  <c r="VM31"/>
  <c r="VL31"/>
  <c r="VK31"/>
  <c r="VJ31"/>
  <c r="VF31"/>
  <c r="VE31"/>
  <c r="VD31"/>
  <c r="VC31"/>
  <c r="VM30"/>
  <c r="VL30"/>
  <c r="VK30"/>
  <c r="VJ30"/>
  <c r="VF30"/>
  <c r="VE30"/>
  <c r="VD30"/>
  <c r="VC30"/>
  <c r="VM29"/>
  <c r="VL29"/>
  <c r="VK29"/>
  <c r="VJ29"/>
  <c r="VF29"/>
  <c r="VE29"/>
  <c r="VD29"/>
  <c r="VC29"/>
  <c r="VM28"/>
  <c r="VL28"/>
  <c r="VK28"/>
  <c r="VJ28"/>
  <c r="VF28"/>
  <c r="VE28"/>
  <c r="VD28"/>
  <c r="VC28"/>
  <c r="VM27"/>
  <c r="VL27"/>
  <c r="VK27"/>
  <c r="VJ27"/>
  <c r="VF27"/>
  <c r="VE27"/>
  <c r="VD27"/>
  <c r="VC27"/>
  <c r="VM26"/>
  <c r="VL26"/>
  <c r="VK26"/>
  <c r="VJ26"/>
  <c r="VF26"/>
  <c r="VE26"/>
  <c r="VD26"/>
  <c r="VC26"/>
  <c r="VM25"/>
  <c r="VL25"/>
  <c r="VK25"/>
  <c r="VJ25"/>
  <c r="VF25"/>
  <c r="VE25"/>
  <c r="VD25"/>
  <c r="VC25"/>
  <c r="VM24"/>
  <c r="VL24"/>
  <c r="VK24"/>
  <c r="VJ24"/>
  <c r="VF24"/>
  <c r="VE24"/>
  <c r="VD24"/>
  <c r="VC24"/>
  <c r="VM23"/>
  <c r="VL23"/>
  <c r="VK23"/>
  <c r="VJ23"/>
  <c r="VF23"/>
  <c r="VE23"/>
  <c r="VD23"/>
  <c r="VC23"/>
  <c r="VM22"/>
  <c r="VL22"/>
  <c r="VK22"/>
  <c r="VJ22"/>
  <c r="VF22"/>
  <c r="VE22"/>
  <c r="VD22"/>
  <c r="VC22"/>
  <c r="VM21"/>
  <c r="VL21"/>
  <c r="VK21"/>
  <c r="VJ21"/>
  <c r="VF21"/>
  <c r="VE21"/>
  <c r="VD21"/>
  <c r="VC21"/>
  <c r="VM20"/>
  <c r="VL20"/>
  <c r="VK20"/>
  <c r="VJ20"/>
  <c r="VF20"/>
  <c r="VE20"/>
  <c r="VD20"/>
  <c r="VC20"/>
  <c r="VM19"/>
  <c r="VL19"/>
  <c r="VK19"/>
  <c r="VJ19"/>
  <c r="VF19"/>
  <c r="VE19"/>
  <c r="VD19"/>
  <c r="VC19"/>
  <c r="VM18"/>
  <c r="VL18"/>
  <c r="VK18"/>
  <c r="VJ18"/>
  <c r="VF18"/>
  <c r="VE18"/>
  <c r="VD18"/>
  <c r="VC18"/>
  <c r="VM17"/>
  <c r="VL17"/>
  <c r="VK17"/>
  <c r="VJ17"/>
  <c r="VF17"/>
  <c r="VE17"/>
  <c r="VD17"/>
  <c r="VC17"/>
  <c r="VM16"/>
  <c r="VL16"/>
  <c r="VK16"/>
  <c r="VJ16"/>
  <c r="VF16"/>
  <c r="VE16"/>
  <c r="VD16"/>
  <c r="VC16"/>
  <c r="VM15"/>
  <c r="VL15"/>
  <c r="VK15"/>
  <c r="VJ15"/>
  <c r="VF15"/>
  <c r="VE15"/>
  <c r="VD15"/>
  <c r="VC15"/>
  <c r="VM14"/>
  <c r="VL14"/>
  <c r="VK14"/>
  <c r="VJ14"/>
  <c r="VF14"/>
  <c r="VE14"/>
  <c r="VD14"/>
  <c r="VC14"/>
  <c r="VM13"/>
  <c r="VL13"/>
  <c r="VK13"/>
  <c r="VJ13"/>
  <c r="VF13"/>
  <c r="VE13"/>
  <c r="VD13"/>
  <c r="VC13"/>
  <c r="VM12"/>
  <c r="VL12"/>
  <c r="VK12"/>
  <c r="VJ12"/>
  <c r="VF12"/>
  <c r="VE12"/>
  <c r="VD12"/>
  <c r="VC12"/>
  <c r="VM11"/>
  <c r="VL11"/>
  <c r="VK11"/>
  <c r="VJ11"/>
  <c r="VF11"/>
  <c r="VE11"/>
  <c r="VD11"/>
  <c r="VC11"/>
  <c r="VM10"/>
  <c r="VL10"/>
  <c r="VK10"/>
  <c r="VJ10"/>
  <c r="VF10"/>
  <c r="VE10"/>
  <c r="VD10"/>
  <c r="VC10"/>
  <c r="VM9"/>
  <c r="VL9"/>
  <c r="VK9"/>
  <c r="VJ9"/>
  <c r="VF9"/>
  <c r="VE9"/>
  <c r="VD9"/>
  <c r="VC9"/>
  <c r="VM8"/>
  <c r="VL8"/>
  <c r="VK8"/>
  <c r="VJ8"/>
  <c r="VF8"/>
  <c r="VE8"/>
  <c r="VD8"/>
  <c r="VC8"/>
  <c r="VM7"/>
  <c r="VL7"/>
  <c r="VK7"/>
  <c r="VJ7"/>
  <c r="VF7"/>
  <c r="VE7"/>
  <c r="VD7"/>
  <c r="VC7"/>
  <c r="VM6"/>
  <c r="VL6"/>
  <c r="VK6"/>
  <c r="VJ6"/>
  <c r="VF6"/>
  <c r="VE6"/>
  <c r="VD6"/>
  <c r="VC6"/>
  <c r="VM5"/>
  <c r="VL5"/>
  <c r="VK5"/>
  <c r="VJ5"/>
  <c r="VE5"/>
  <c r="VD5"/>
  <c r="VC5"/>
  <c r="UT6"/>
  <c r="UU6"/>
  <c r="UV6"/>
  <c r="UT7"/>
  <c r="UU7"/>
  <c r="UV7"/>
  <c r="UT8"/>
  <c r="UU8"/>
  <c r="UV8"/>
  <c r="UT9"/>
  <c r="UU9"/>
  <c r="UV9"/>
  <c r="UT10"/>
  <c r="UU10"/>
  <c r="UV10"/>
  <c r="UT11"/>
  <c r="UU11"/>
  <c r="UV11"/>
  <c r="UT12"/>
  <c r="UU12"/>
  <c r="UV12"/>
  <c r="UT13"/>
  <c r="UU13"/>
  <c r="UV13"/>
  <c r="UT14"/>
  <c r="UU14"/>
  <c r="UV14"/>
  <c r="UT15"/>
  <c r="UU15"/>
  <c r="UV15"/>
  <c r="UT16"/>
  <c r="UU16"/>
  <c r="UV16"/>
  <c r="UT17"/>
  <c r="UU17"/>
  <c r="UV17"/>
  <c r="UT18"/>
  <c r="UU18"/>
  <c r="UV18"/>
  <c r="UT19"/>
  <c r="UU19"/>
  <c r="UV19"/>
  <c r="UT20"/>
  <c r="UU20"/>
  <c r="UV20"/>
  <c r="UT21"/>
  <c r="UU21"/>
  <c r="UV21"/>
  <c r="UT22"/>
  <c r="UU22"/>
  <c r="UV22"/>
  <c r="UT23"/>
  <c r="UU23"/>
  <c r="UV23"/>
  <c r="UT24"/>
  <c r="UU24"/>
  <c r="UV24"/>
  <c r="UT25"/>
  <c r="UU25"/>
  <c r="UV25"/>
  <c r="UT26"/>
  <c r="UU26"/>
  <c r="UV26"/>
  <c r="UT27"/>
  <c r="UU27"/>
  <c r="UV27"/>
  <c r="UT28"/>
  <c r="UU28"/>
  <c r="UV28"/>
  <c r="UT29"/>
  <c r="UU29"/>
  <c r="UV29"/>
  <c r="UT30"/>
  <c r="UU30"/>
  <c r="UV30"/>
  <c r="UT31"/>
  <c r="UU31"/>
  <c r="UV31"/>
  <c r="UT32"/>
  <c r="UU32"/>
  <c r="UV32"/>
  <c r="UT33"/>
  <c r="UU33"/>
  <c r="UV33"/>
  <c r="UT34"/>
  <c r="UU34"/>
  <c r="UV34"/>
  <c r="UT35"/>
  <c r="UU35"/>
  <c r="UV35"/>
  <c r="UT36"/>
  <c r="UU36"/>
  <c r="UV36"/>
  <c r="UT37"/>
  <c r="UU37"/>
  <c r="UV37"/>
  <c r="UT38"/>
  <c r="UU38"/>
  <c r="UV38"/>
  <c r="UT39"/>
  <c r="UU39"/>
  <c r="UV39"/>
  <c r="UT40"/>
  <c r="UU40"/>
  <c r="UV40"/>
  <c r="UT41"/>
  <c r="UU41"/>
  <c r="UV41"/>
  <c r="UT42"/>
  <c r="UU42"/>
  <c r="UV42"/>
  <c r="UT43"/>
  <c r="UU43"/>
  <c r="UV43"/>
  <c r="UT44"/>
  <c r="UU44"/>
  <c r="UV44"/>
  <c r="UT45"/>
  <c r="UU45"/>
  <c r="UV45"/>
  <c r="UT46"/>
  <c r="UU46"/>
  <c r="UV46"/>
  <c r="UT47"/>
  <c r="UU47"/>
  <c r="UV47"/>
  <c r="UT48"/>
  <c r="UU48"/>
  <c r="UV48"/>
  <c r="UT49"/>
  <c r="UU49"/>
  <c r="UV49"/>
  <c r="UT50"/>
  <c r="UU50"/>
  <c r="UV50"/>
  <c r="UT51"/>
  <c r="UU51"/>
  <c r="UV51"/>
  <c r="UT52"/>
  <c r="UU52"/>
  <c r="UV52"/>
  <c r="UT53"/>
  <c r="UU53"/>
  <c r="UV53"/>
  <c r="UT54"/>
  <c r="UU54"/>
  <c r="UV54"/>
  <c r="UT55"/>
  <c r="UU55"/>
  <c r="UV55"/>
  <c r="UT56"/>
  <c r="UU56"/>
  <c r="UV56"/>
  <c r="UT57"/>
  <c r="UU57"/>
  <c r="UV57"/>
  <c r="UT58"/>
  <c r="UU58"/>
  <c r="UV58"/>
  <c r="UT59"/>
  <c r="UU59"/>
  <c r="UV59"/>
  <c r="UT60"/>
  <c r="UU60"/>
  <c r="UV60"/>
  <c r="UT61"/>
  <c r="UU61"/>
  <c r="UV61"/>
  <c r="UT62"/>
  <c r="UU62"/>
  <c r="UV62"/>
  <c r="UT63"/>
  <c r="UU63"/>
  <c r="UV63"/>
  <c r="UT64"/>
  <c r="UU64"/>
  <c r="UV64"/>
  <c r="UT65"/>
  <c r="UU65"/>
  <c r="UV65"/>
  <c r="UT66"/>
  <c r="UU66"/>
  <c r="UV66"/>
  <c r="UT67"/>
  <c r="UU67"/>
  <c r="UV67"/>
  <c r="UT68"/>
  <c r="UU68"/>
  <c r="UV68"/>
  <c r="UT69"/>
  <c r="UU69"/>
  <c r="UV69"/>
  <c r="UT70"/>
  <c r="UU70"/>
  <c r="UV70"/>
  <c r="UT71"/>
  <c r="UU71"/>
  <c r="UV71"/>
  <c r="UT72"/>
  <c r="UU72"/>
  <c r="UV72"/>
  <c r="UT73"/>
  <c r="UU73"/>
  <c r="UV73"/>
  <c r="UT74"/>
  <c r="UU74"/>
  <c r="UV74"/>
  <c r="UT75"/>
  <c r="UU75"/>
  <c r="UV75"/>
  <c r="UT76"/>
  <c r="UU76"/>
  <c r="UV76"/>
  <c r="UT77"/>
  <c r="UU77"/>
  <c r="UV77"/>
  <c r="UT78"/>
  <c r="UU78"/>
  <c r="UV78"/>
  <c r="UT79"/>
  <c r="UU79"/>
  <c r="UV79"/>
  <c r="UT80"/>
  <c r="UU80"/>
  <c r="UV80"/>
  <c r="UT81"/>
  <c r="UU81"/>
  <c r="UV81"/>
  <c r="UT82"/>
  <c r="UU82"/>
  <c r="UV82"/>
  <c r="UT83"/>
  <c r="UU83"/>
  <c r="UV83"/>
  <c r="UT84"/>
  <c r="UU84"/>
  <c r="UV84"/>
  <c r="UT85"/>
  <c r="UU85"/>
  <c r="UV85"/>
  <c r="UT86"/>
  <c r="UU86"/>
  <c r="UV86"/>
  <c r="UV5"/>
  <c r="UT5"/>
  <c r="UU5"/>
  <c r="US5"/>
  <c r="UZ86"/>
  <c r="UY86"/>
  <c r="UX86"/>
  <c r="UW86"/>
  <c r="US86"/>
  <c r="UR86"/>
  <c r="UQ86"/>
  <c r="UP86"/>
  <c r="UZ85"/>
  <c r="UY85"/>
  <c r="UX85"/>
  <c r="UW85"/>
  <c r="US85"/>
  <c r="UR85"/>
  <c r="UQ85"/>
  <c r="UP85"/>
  <c r="UZ84"/>
  <c r="UY84"/>
  <c r="UX84"/>
  <c r="UW84"/>
  <c r="US84"/>
  <c r="UR84"/>
  <c r="UQ84"/>
  <c r="UP84"/>
  <c r="UZ83"/>
  <c r="UY83"/>
  <c r="UX83"/>
  <c r="UW83"/>
  <c r="US83"/>
  <c r="UR83"/>
  <c r="UQ83"/>
  <c r="UP83"/>
  <c r="UZ82"/>
  <c r="UY82"/>
  <c r="UX82"/>
  <c r="UW82"/>
  <c r="US82"/>
  <c r="UR82"/>
  <c r="UQ82"/>
  <c r="UP82"/>
  <c r="UZ81"/>
  <c r="UY81"/>
  <c r="UX81"/>
  <c r="UW81"/>
  <c r="US81"/>
  <c r="UR81"/>
  <c r="UQ81"/>
  <c r="UP81"/>
  <c r="UZ80"/>
  <c r="UY80"/>
  <c r="UX80"/>
  <c r="UW80"/>
  <c r="US80"/>
  <c r="UR80"/>
  <c r="UQ80"/>
  <c r="UP80"/>
  <c r="UZ79"/>
  <c r="UY79"/>
  <c r="UX79"/>
  <c r="UW79"/>
  <c r="US79"/>
  <c r="UR79"/>
  <c r="UQ79"/>
  <c r="UP79"/>
  <c r="UZ78"/>
  <c r="UY78"/>
  <c r="UX78"/>
  <c r="UW78"/>
  <c r="US78"/>
  <c r="UR78"/>
  <c r="UQ78"/>
  <c r="UP78"/>
  <c r="UZ77"/>
  <c r="UY77"/>
  <c r="UX77"/>
  <c r="UW77"/>
  <c r="US77"/>
  <c r="UR77"/>
  <c r="UQ77"/>
  <c r="UP77"/>
  <c r="UZ76"/>
  <c r="UY76"/>
  <c r="UX76"/>
  <c r="UW76"/>
  <c r="US76"/>
  <c r="UR76"/>
  <c r="UQ76"/>
  <c r="UP76"/>
  <c r="UZ75"/>
  <c r="UY75"/>
  <c r="UX75"/>
  <c r="UW75"/>
  <c r="US75"/>
  <c r="UR75"/>
  <c r="UQ75"/>
  <c r="UP75"/>
  <c r="UZ74"/>
  <c r="UY74"/>
  <c r="UX74"/>
  <c r="UW74"/>
  <c r="US74"/>
  <c r="UR74"/>
  <c r="UQ74"/>
  <c r="UP74"/>
  <c r="UZ73"/>
  <c r="UY73"/>
  <c r="UX73"/>
  <c r="UW73"/>
  <c r="US73"/>
  <c r="UR73"/>
  <c r="UQ73"/>
  <c r="UP73"/>
  <c r="UZ72"/>
  <c r="UY72"/>
  <c r="UX72"/>
  <c r="UW72"/>
  <c r="US72"/>
  <c r="UR72"/>
  <c r="UQ72"/>
  <c r="UP72"/>
  <c r="UZ71"/>
  <c r="UY71"/>
  <c r="UX71"/>
  <c r="UW71"/>
  <c r="US71"/>
  <c r="UR71"/>
  <c r="UQ71"/>
  <c r="UP71"/>
  <c r="UZ70"/>
  <c r="UY70"/>
  <c r="UX70"/>
  <c r="UW70"/>
  <c r="US70"/>
  <c r="UR70"/>
  <c r="UQ70"/>
  <c r="UP70"/>
  <c r="UZ69"/>
  <c r="UY69"/>
  <c r="UX69"/>
  <c r="UW69"/>
  <c r="US69"/>
  <c r="UR69"/>
  <c r="UQ69"/>
  <c r="UP69"/>
  <c r="UZ68"/>
  <c r="UY68"/>
  <c r="UX68"/>
  <c r="UW68"/>
  <c r="US68"/>
  <c r="UR68"/>
  <c r="UQ68"/>
  <c r="UP68"/>
  <c r="UZ67"/>
  <c r="UY67"/>
  <c r="UX67"/>
  <c r="UW67"/>
  <c r="US67"/>
  <c r="UR67"/>
  <c r="UQ67"/>
  <c r="UP67"/>
  <c r="UZ66"/>
  <c r="UY66"/>
  <c r="UX66"/>
  <c r="UW66"/>
  <c r="US66"/>
  <c r="UR66"/>
  <c r="UQ66"/>
  <c r="UP66"/>
  <c r="UZ65"/>
  <c r="UY65"/>
  <c r="UX65"/>
  <c r="UW65"/>
  <c r="US65"/>
  <c r="UR65"/>
  <c r="UQ65"/>
  <c r="UP65"/>
  <c r="UZ64"/>
  <c r="UY64"/>
  <c r="UX64"/>
  <c r="UW64"/>
  <c r="US64"/>
  <c r="UR64"/>
  <c r="UQ64"/>
  <c r="UP64"/>
  <c r="UZ63"/>
  <c r="UY63"/>
  <c r="UX63"/>
  <c r="UW63"/>
  <c r="US63"/>
  <c r="UR63"/>
  <c r="UQ63"/>
  <c r="UP63"/>
  <c r="UZ62"/>
  <c r="UY62"/>
  <c r="UX62"/>
  <c r="UW62"/>
  <c r="US62"/>
  <c r="UR62"/>
  <c r="UQ62"/>
  <c r="UP62"/>
  <c r="UZ61"/>
  <c r="UY61"/>
  <c r="UX61"/>
  <c r="UW61"/>
  <c r="US61"/>
  <c r="UR61"/>
  <c r="UQ61"/>
  <c r="UP61"/>
  <c r="UZ60"/>
  <c r="UY60"/>
  <c r="UX60"/>
  <c r="UW60"/>
  <c r="US60"/>
  <c r="UR60"/>
  <c r="UQ60"/>
  <c r="UP60"/>
  <c r="UZ59"/>
  <c r="UY59"/>
  <c r="UX59"/>
  <c r="UW59"/>
  <c r="US59"/>
  <c r="UR59"/>
  <c r="UQ59"/>
  <c r="UP59"/>
  <c r="UZ58"/>
  <c r="UY58"/>
  <c r="UX58"/>
  <c r="UW58"/>
  <c r="US58"/>
  <c r="UR58"/>
  <c r="UQ58"/>
  <c r="UP58"/>
  <c r="UZ57"/>
  <c r="UY57"/>
  <c r="UX57"/>
  <c r="UW57"/>
  <c r="US57"/>
  <c r="UR57"/>
  <c r="UQ57"/>
  <c r="UP57"/>
  <c r="UZ56"/>
  <c r="UY56"/>
  <c r="UX56"/>
  <c r="UW56"/>
  <c r="US56"/>
  <c r="UR56"/>
  <c r="UQ56"/>
  <c r="UP56"/>
  <c r="UZ55"/>
  <c r="UY55"/>
  <c r="UX55"/>
  <c r="UW55"/>
  <c r="US55"/>
  <c r="UR55"/>
  <c r="UQ55"/>
  <c r="UP55"/>
  <c r="UZ54"/>
  <c r="UY54"/>
  <c r="UX54"/>
  <c r="UW54"/>
  <c r="US54"/>
  <c r="UR54"/>
  <c r="UQ54"/>
  <c r="UP54"/>
  <c r="UZ53"/>
  <c r="UY53"/>
  <c r="UX53"/>
  <c r="UW53"/>
  <c r="US53"/>
  <c r="UR53"/>
  <c r="UQ53"/>
  <c r="UP53"/>
  <c r="UZ52"/>
  <c r="UY52"/>
  <c r="UX52"/>
  <c r="UW52"/>
  <c r="US52"/>
  <c r="UR52"/>
  <c r="UQ52"/>
  <c r="UP52"/>
  <c r="UZ51"/>
  <c r="UY51"/>
  <c r="UX51"/>
  <c r="UW51"/>
  <c r="US51"/>
  <c r="UR51"/>
  <c r="UQ51"/>
  <c r="UP51"/>
  <c r="UZ50"/>
  <c r="UY50"/>
  <c r="UX50"/>
  <c r="UW50"/>
  <c r="US50"/>
  <c r="UR50"/>
  <c r="UQ50"/>
  <c r="UP50"/>
  <c r="UZ49"/>
  <c r="UY49"/>
  <c r="UX49"/>
  <c r="UW49"/>
  <c r="US49"/>
  <c r="UR49"/>
  <c r="UQ49"/>
  <c r="UP49"/>
  <c r="UZ48"/>
  <c r="UY48"/>
  <c r="UX48"/>
  <c r="UW48"/>
  <c r="US48"/>
  <c r="UR48"/>
  <c r="UQ48"/>
  <c r="UP48"/>
  <c r="UZ47"/>
  <c r="UY47"/>
  <c r="UX47"/>
  <c r="UW47"/>
  <c r="US47"/>
  <c r="UR47"/>
  <c r="UQ47"/>
  <c r="UP47"/>
  <c r="UZ46"/>
  <c r="UY46"/>
  <c r="UX46"/>
  <c r="UW46"/>
  <c r="US46"/>
  <c r="UR46"/>
  <c r="UQ46"/>
  <c r="UP46"/>
  <c r="UZ45"/>
  <c r="UY45"/>
  <c r="UX45"/>
  <c r="UW45"/>
  <c r="US45"/>
  <c r="UR45"/>
  <c r="UQ45"/>
  <c r="UP45"/>
  <c r="UZ44"/>
  <c r="UY44"/>
  <c r="UX44"/>
  <c r="UW44"/>
  <c r="US44"/>
  <c r="UR44"/>
  <c r="UQ44"/>
  <c r="UP44"/>
  <c r="UZ43"/>
  <c r="UY43"/>
  <c r="UX43"/>
  <c r="UW43"/>
  <c r="US43"/>
  <c r="UR43"/>
  <c r="UQ43"/>
  <c r="UP43"/>
  <c r="UZ42"/>
  <c r="UY42"/>
  <c r="UX42"/>
  <c r="UW42"/>
  <c r="US42"/>
  <c r="UR42"/>
  <c r="UQ42"/>
  <c r="UP42"/>
  <c r="UZ41"/>
  <c r="UY41"/>
  <c r="UX41"/>
  <c r="UW41"/>
  <c r="US41"/>
  <c r="UR41"/>
  <c r="UQ41"/>
  <c r="UP41"/>
  <c r="UZ40"/>
  <c r="UY40"/>
  <c r="UX40"/>
  <c r="UW40"/>
  <c r="US40"/>
  <c r="UR40"/>
  <c r="UQ40"/>
  <c r="UP40"/>
  <c r="UZ39"/>
  <c r="UY39"/>
  <c r="UX39"/>
  <c r="UW39"/>
  <c r="US39"/>
  <c r="UR39"/>
  <c r="UQ39"/>
  <c r="UP39"/>
  <c r="UZ38"/>
  <c r="UY38"/>
  <c r="UX38"/>
  <c r="UW38"/>
  <c r="US38"/>
  <c r="UR38"/>
  <c r="UQ38"/>
  <c r="UP38"/>
  <c r="UZ37"/>
  <c r="UY37"/>
  <c r="UX37"/>
  <c r="UW37"/>
  <c r="US37"/>
  <c r="UR37"/>
  <c r="UQ37"/>
  <c r="UP37"/>
  <c r="UZ36"/>
  <c r="UY36"/>
  <c r="UX36"/>
  <c r="UW36"/>
  <c r="US36"/>
  <c r="UR36"/>
  <c r="UQ36"/>
  <c r="UP36"/>
  <c r="UZ35"/>
  <c r="UY35"/>
  <c r="UX35"/>
  <c r="UW35"/>
  <c r="US35"/>
  <c r="UR35"/>
  <c r="UQ35"/>
  <c r="UP35"/>
  <c r="UZ34"/>
  <c r="UY34"/>
  <c r="UX34"/>
  <c r="UW34"/>
  <c r="US34"/>
  <c r="UR34"/>
  <c r="UQ34"/>
  <c r="UP34"/>
  <c r="UZ33"/>
  <c r="UY33"/>
  <c r="UX33"/>
  <c r="UW33"/>
  <c r="US33"/>
  <c r="UR33"/>
  <c r="UQ33"/>
  <c r="UP33"/>
  <c r="UZ32"/>
  <c r="UY32"/>
  <c r="UX32"/>
  <c r="UW32"/>
  <c r="US32"/>
  <c r="UR32"/>
  <c r="UQ32"/>
  <c r="UP32"/>
  <c r="UZ31"/>
  <c r="UY31"/>
  <c r="UX31"/>
  <c r="UW31"/>
  <c r="US31"/>
  <c r="UR31"/>
  <c r="UQ31"/>
  <c r="UP31"/>
  <c r="UZ30"/>
  <c r="UY30"/>
  <c r="UX30"/>
  <c r="UW30"/>
  <c r="US30"/>
  <c r="UR30"/>
  <c r="UQ30"/>
  <c r="UP30"/>
  <c r="UZ29"/>
  <c r="UY29"/>
  <c r="UX29"/>
  <c r="UW29"/>
  <c r="US29"/>
  <c r="UR29"/>
  <c r="UQ29"/>
  <c r="UP29"/>
  <c r="UZ28"/>
  <c r="UY28"/>
  <c r="UX28"/>
  <c r="UW28"/>
  <c r="US28"/>
  <c r="UR28"/>
  <c r="UQ28"/>
  <c r="UP28"/>
  <c r="UZ27"/>
  <c r="UY27"/>
  <c r="UX27"/>
  <c r="UW27"/>
  <c r="US27"/>
  <c r="UR27"/>
  <c r="UQ27"/>
  <c r="UP27"/>
  <c r="UZ26"/>
  <c r="UY26"/>
  <c r="UX26"/>
  <c r="UW26"/>
  <c r="US26"/>
  <c r="UR26"/>
  <c r="UQ26"/>
  <c r="UP26"/>
  <c r="UZ25"/>
  <c r="UY25"/>
  <c r="UX25"/>
  <c r="UW25"/>
  <c r="US25"/>
  <c r="UR25"/>
  <c r="UQ25"/>
  <c r="UP25"/>
  <c r="UZ24"/>
  <c r="UY24"/>
  <c r="UX24"/>
  <c r="UW24"/>
  <c r="US24"/>
  <c r="UR24"/>
  <c r="UQ24"/>
  <c r="UP24"/>
  <c r="UZ23"/>
  <c r="UY23"/>
  <c r="UX23"/>
  <c r="UW23"/>
  <c r="US23"/>
  <c r="UR23"/>
  <c r="UQ23"/>
  <c r="UP23"/>
  <c r="UZ22"/>
  <c r="UY22"/>
  <c r="UX22"/>
  <c r="UW22"/>
  <c r="US22"/>
  <c r="UR22"/>
  <c r="UQ22"/>
  <c r="UP22"/>
  <c r="UZ21"/>
  <c r="UY21"/>
  <c r="UX21"/>
  <c r="UW21"/>
  <c r="US21"/>
  <c r="UR21"/>
  <c r="UQ21"/>
  <c r="UP21"/>
  <c r="UZ20"/>
  <c r="UY20"/>
  <c r="UX20"/>
  <c r="UW20"/>
  <c r="US20"/>
  <c r="UR20"/>
  <c r="UQ20"/>
  <c r="UP20"/>
  <c r="UZ19"/>
  <c r="UY19"/>
  <c r="UX19"/>
  <c r="UW19"/>
  <c r="US19"/>
  <c r="UR19"/>
  <c r="UQ19"/>
  <c r="UP19"/>
  <c r="UZ18"/>
  <c r="UY18"/>
  <c r="UX18"/>
  <c r="UW18"/>
  <c r="US18"/>
  <c r="UR18"/>
  <c r="UQ18"/>
  <c r="UP18"/>
  <c r="UZ17"/>
  <c r="UY17"/>
  <c r="UX17"/>
  <c r="UW17"/>
  <c r="US17"/>
  <c r="UR17"/>
  <c r="UQ17"/>
  <c r="UP17"/>
  <c r="UZ16"/>
  <c r="UY16"/>
  <c r="UX16"/>
  <c r="UW16"/>
  <c r="US16"/>
  <c r="UR16"/>
  <c r="UQ16"/>
  <c r="UP16"/>
  <c r="UZ15"/>
  <c r="UY15"/>
  <c r="UX15"/>
  <c r="UW15"/>
  <c r="US15"/>
  <c r="UR15"/>
  <c r="UQ15"/>
  <c r="UP15"/>
  <c r="UZ14"/>
  <c r="UY14"/>
  <c r="UX14"/>
  <c r="UW14"/>
  <c r="US14"/>
  <c r="UR14"/>
  <c r="UQ14"/>
  <c r="UP14"/>
  <c r="UZ13"/>
  <c r="UY13"/>
  <c r="UX13"/>
  <c r="UW13"/>
  <c r="US13"/>
  <c r="UR13"/>
  <c r="UQ13"/>
  <c r="UP13"/>
  <c r="UZ12"/>
  <c r="UY12"/>
  <c r="UX12"/>
  <c r="UW12"/>
  <c r="US12"/>
  <c r="UR12"/>
  <c r="UQ12"/>
  <c r="UP12"/>
  <c r="UZ11"/>
  <c r="UY11"/>
  <c r="UX11"/>
  <c r="UW11"/>
  <c r="US11"/>
  <c r="UR11"/>
  <c r="UQ11"/>
  <c r="UP11"/>
  <c r="UZ10"/>
  <c r="UY10"/>
  <c r="UX10"/>
  <c r="UW10"/>
  <c r="US10"/>
  <c r="UR10"/>
  <c r="UQ10"/>
  <c r="UP10"/>
  <c r="UZ9"/>
  <c r="UY9"/>
  <c r="UX9"/>
  <c r="UW9"/>
  <c r="US9"/>
  <c r="UR9"/>
  <c r="UQ9"/>
  <c r="UP9"/>
  <c r="UZ8"/>
  <c r="UY8"/>
  <c r="UX8"/>
  <c r="UW8"/>
  <c r="US8"/>
  <c r="UR8"/>
  <c r="UQ8"/>
  <c r="UP8"/>
  <c r="UZ7"/>
  <c r="UY7"/>
  <c r="UX7"/>
  <c r="UW7"/>
  <c r="US7"/>
  <c r="UR7"/>
  <c r="UQ7"/>
  <c r="UP7"/>
  <c r="UZ6"/>
  <c r="UY6"/>
  <c r="UX6"/>
  <c r="UW6"/>
  <c r="US6"/>
  <c r="UR6"/>
  <c r="UQ6"/>
  <c r="UP6"/>
  <c r="UZ5"/>
  <c r="UY5"/>
  <c r="UX5"/>
  <c r="UW5"/>
  <c r="UR5"/>
  <c r="UQ5"/>
  <c r="UP5"/>
  <c r="UG6"/>
  <c r="UH6"/>
  <c r="UI6"/>
  <c r="UG7"/>
  <c r="UH7"/>
  <c r="UI7"/>
  <c r="UG8"/>
  <c r="UH8"/>
  <c r="UI8"/>
  <c r="UG9"/>
  <c r="UH9"/>
  <c r="UI9"/>
  <c r="UG10"/>
  <c r="UH10"/>
  <c r="UI10"/>
  <c r="UG11"/>
  <c r="UH11"/>
  <c r="UI11"/>
  <c r="UG12"/>
  <c r="UH12"/>
  <c r="UI12"/>
  <c r="UG13"/>
  <c r="UH13"/>
  <c r="UI13"/>
  <c r="UG14"/>
  <c r="UH14"/>
  <c r="UI14"/>
  <c r="UG15"/>
  <c r="UH15"/>
  <c r="UI15"/>
  <c r="UG16"/>
  <c r="UH16"/>
  <c r="UI16"/>
  <c r="UG17"/>
  <c r="UH17"/>
  <c r="UI17"/>
  <c r="UG18"/>
  <c r="UH18"/>
  <c r="UI18"/>
  <c r="UG19"/>
  <c r="UH19"/>
  <c r="UI19"/>
  <c r="UG20"/>
  <c r="UH20"/>
  <c r="UI20"/>
  <c r="UG21"/>
  <c r="UH21"/>
  <c r="UI21"/>
  <c r="UG22"/>
  <c r="UH22"/>
  <c r="UI22"/>
  <c r="UG23"/>
  <c r="UH23"/>
  <c r="UI23"/>
  <c r="UG24"/>
  <c r="UH24"/>
  <c r="UI24"/>
  <c r="UG25"/>
  <c r="UH25"/>
  <c r="UI25"/>
  <c r="UG26"/>
  <c r="UH26"/>
  <c r="UI26"/>
  <c r="UG27"/>
  <c r="UH27"/>
  <c r="UI27"/>
  <c r="UG28"/>
  <c r="UH28"/>
  <c r="UI28"/>
  <c r="UG29"/>
  <c r="UH29"/>
  <c r="UI29"/>
  <c r="UG30"/>
  <c r="UH30"/>
  <c r="UI30"/>
  <c r="UG31"/>
  <c r="UH31"/>
  <c r="UI31"/>
  <c r="UG32"/>
  <c r="UH32"/>
  <c r="UI32"/>
  <c r="UG33"/>
  <c r="UH33"/>
  <c r="UI33"/>
  <c r="UG34"/>
  <c r="UH34"/>
  <c r="UI34"/>
  <c r="UG35"/>
  <c r="UH35"/>
  <c r="UI35"/>
  <c r="UG36"/>
  <c r="UH36"/>
  <c r="UI36"/>
  <c r="UG37"/>
  <c r="UH37"/>
  <c r="UI37"/>
  <c r="UG38"/>
  <c r="UH38"/>
  <c r="UI38"/>
  <c r="UG39"/>
  <c r="UH39"/>
  <c r="UI39"/>
  <c r="UG40"/>
  <c r="UH40"/>
  <c r="UI40"/>
  <c r="UG41"/>
  <c r="UH41"/>
  <c r="UI41"/>
  <c r="UG42"/>
  <c r="UH42"/>
  <c r="UI42"/>
  <c r="UG43"/>
  <c r="UH43"/>
  <c r="UI43"/>
  <c r="UG44"/>
  <c r="UH44"/>
  <c r="UI44"/>
  <c r="UG45"/>
  <c r="UH45"/>
  <c r="UI45"/>
  <c r="UG46"/>
  <c r="UH46"/>
  <c r="UI46"/>
  <c r="UG47"/>
  <c r="UH47"/>
  <c r="UI47"/>
  <c r="UG48"/>
  <c r="UH48"/>
  <c r="UI48"/>
  <c r="UG49"/>
  <c r="UH49"/>
  <c r="UI49"/>
  <c r="UG50"/>
  <c r="UH50"/>
  <c r="UI50"/>
  <c r="UG51"/>
  <c r="UH51"/>
  <c r="UI51"/>
  <c r="UG52"/>
  <c r="UH52"/>
  <c r="UI52"/>
  <c r="UG53"/>
  <c r="UH53"/>
  <c r="UI53"/>
  <c r="UG54"/>
  <c r="UH54"/>
  <c r="UI54"/>
  <c r="UG55"/>
  <c r="UH55"/>
  <c r="UI55"/>
  <c r="UG56"/>
  <c r="UH56"/>
  <c r="UI56"/>
  <c r="UG57"/>
  <c r="UH57"/>
  <c r="UI57"/>
  <c r="UG58"/>
  <c r="UH58"/>
  <c r="UI58"/>
  <c r="UG59"/>
  <c r="UH59"/>
  <c r="UI59"/>
  <c r="UG60"/>
  <c r="UH60"/>
  <c r="UI60"/>
  <c r="UG61"/>
  <c r="UH61"/>
  <c r="UI61"/>
  <c r="UG62"/>
  <c r="UH62"/>
  <c r="UI62"/>
  <c r="UG63"/>
  <c r="UH63"/>
  <c r="UI63"/>
  <c r="UG64"/>
  <c r="UH64"/>
  <c r="UI64"/>
  <c r="UG65"/>
  <c r="UH65"/>
  <c r="UI65"/>
  <c r="UG66"/>
  <c r="UH66"/>
  <c r="UI66"/>
  <c r="UG67"/>
  <c r="UH67"/>
  <c r="UI67"/>
  <c r="UG68"/>
  <c r="UH68"/>
  <c r="UI68"/>
  <c r="UG69"/>
  <c r="UH69"/>
  <c r="UI69"/>
  <c r="UG70"/>
  <c r="UH70"/>
  <c r="UI70"/>
  <c r="UG71"/>
  <c r="UH71"/>
  <c r="UI71"/>
  <c r="UG72"/>
  <c r="UH72"/>
  <c r="UI72"/>
  <c r="UG73"/>
  <c r="UH73"/>
  <c r="UI73"/>
  <c r="UG74"/>
  <c r="UH74"/>
  <c r="UI74"/>
  <c r="UG75"/>
  <c r="UH75"/>
  <c r="UI75"/>
  <c r="UG76"/>
  <c r="UH76"/>
  <c r="UI76"/>
  <c r="UG77"/>
  <c r="UH77"/>
  <c r="UI77"/>
  <c r="UG78"/>
  <c r="UH78"/>
  <c r="UI78"/>
  <c r="UG79"/>
  <c r="UH79"/>
  <c r="UI79"/>
  <c r="UG80"/>
  <c r="UH80"/>
  <c r="UI80"/>
  <c r="UG81"/>
  <c r="UH81"/>
  <c r="UI81"/>
  <c r="UG82"/>
  <c r="UH82"/>
  <c r="UI82"/>
  <c r="UG83"/>
  <c r="UH83"/>
  <c r="UI83"/>
  <c r="UG84"/>
  <c r="UH84"/>
  <c r="UI84"/>
  <c r="UG85"/>
  <c r="UH85"/>
  <c r="UI85"/>
  <c r="UG86"/>
  <c r="UH86"/>
  <c r="UI86"/>
  <c r="UI5"/>
  <c r="UG5"/>
  <c r="UH5"/>
  <c r="UF5"/>
  <c r="UM86"/>
  <c r="UL86"/>
  <c r="UK86"/>
  <c r="UJ86"/>
  <c r="UF86"/>
  <c r="UE86"/>
  <c r="UD86"/>
  <c r="UC86"/>
  <c r="UM85"/>
  <c r="UL85"/>
  <c r="UK85"/>
  <c r="UJ85"/>
  <c r="UF85"/>
  <c r="UE85"/>
  <c r="UD85"/>
  <c r="UC85"/>
  <c r="UM84"/>
  <c r="UL84"/>
  <c r="UK84"/>
  <c r="UJ84"/>
  <c r="UF84"/>
  <c r="UE84"/>
  <c r="UD84"/>
  <c r="UC84"/>
  <c r="UM83"/>
  <c r="UL83"/>
  <c r="UK83"/>
  <c r="UJ83"/>
  <c r="UF83"/>
  <c r="UE83"/>
  <c r="UD83"/>
  <c r="UC83"/>
  <c r="UM82"/>
  <c r="UL82"/>
  <c r="UK82"/>
  <c r="UJ82"/>
  <c r="UF82"/>
  <c r="UE82"/>
  <c r="UD82"/>
  <c r="UC82"/>
  <c r="UM81"/>
  <c r="UL81"/>
  <c r="UK81"/>
  <c r="UJ81"/>
  <c r="UF81"/>
  <c r="UE81"/>
  <c r="UD81"/>
  <c r="UC81"/>
  <c r="UM80"/>
  <c r="UL80"/>
  <c r="UK80"/>
  <c r="UJ80"/>
  <c r="UF80"/>
  <c r="UE80"/>
  <c r="UD80"/>
  <c r="UC80"/>
  <c r="UM79"/>
  <c r="UL79"/>
  <c r="UK79"/>
  <c r="UJ79"/>
  <c r="UF79"/>
  <c r="UE79"/>
  <c r="UD79"/>
  <c r="UC79"/>
  <c r="UM78"/>
  <c r="UL78"/>
  <c r="UK78"/>
  <c r="UJ78"/>
  <c r="UF78"/>
  <c r="UE78"/>
  <c r="UD78"/>
  <c r="UC78"/>
  <c r="UM77"/>
  <c r="UL77"/>
  <c r="UK77"/>
  <c r="UJ77"/>
  <c r="UF77"/>
  <c r="UE77"/>
  <c r="UD77"/>
  <c r="UC77"/>
  <c r="UM76"/>
  <c r="UL76"/>
  <c r="UK76"/>
  <c r="UJ76"/>
  <c r="UF76"/>
  <c r="UE76"/>
  <c r="UD76"/>
  <c r="UC76"/>
  <c r="UM75"/>
  <c r="UL75"/>
  <c r="UK75"/>
  <c r="UJ75"/>
  <c r="UF75"/>
  <c r="UE75"/>
  <c r="UD75"/>
  <c r="UC75"/>
  <c r="UM74"/>
  <c r="UL74"/>
  <c r="UK74"/>
  <c r="UJ74"/>
  <c r="UF74"/>
  <c r="UE74"/>
  <c r="UD74"/>
  <c r="UC74"/>
  <c r="UM73"/>
  <c r="UL73"/>
  <c r="UK73"/>
  <c r="UJ73"/>
  <c r="UF73"/>
  <c r="UE73"/>
  <c r="UD73"/>
  <c r="UC73"/>
  <c r="UM72"/>
  <c r="UL72"/>
  <c r="UK72"/>
  <c r="UJ72"/>
  <c r="UF72"/>
  <c r="UE72"/>
  <c r="UD72"/>
  <c r="UC72"/>
  <c r="UM71"/>
  <c r="UL71"/>
  <c r="UK71"/>
  <c r="UJ71"/>
  <c r="UF71"/>
  <c r="UE71"/>
  <c r="UD71"/>
  <c r="UC71"/>
  <c r="UM70"/>
  <c r="UL70"/>
  <c r="UK70"/>
  <c r="UJ70"/>
  <c r="UF70"/>
  <c r="UE70"/>
  <c r="UD70"/>
  <c r="UC70"/>
  <c r="UM69"/>
  <c r="UL69"/>
  <c r="UK69"/>
  <c r="UJ69"/>
  <c r="UF69"/>
  <c r="UE69"/>
  <c r="UD69"/>
  <c r="UC69"/>
  <c r="UM68"/>
  <c r="UL68"/>
  <c r="UK68"/>
  <c r="UJ68"/>
  <c r="UF68"/>
  <c r="UE68"/>
  <c r="UD68"/>
  <c r="UC68"/>
  <c r="UM67"/>
  <c r="UL67"/>
  <c r="UK67"/>
  <c r="UJ67"/>
  <c r="UF67"/>
  <c r="UE67"/>
  <c r="UD67"/>
  <c r="UC67"/>
  <c r="UM66"/>
  <c r="UL66"/>
  <c r="UK66"/>
  <c r="UJ66"/>
  <c r="UF66"/>
  <c r="UE66"/>
  <c r="UD66"/>
  <c r="UC66"/>
  <c r="UM65"/>
  <c r="UL65"/>
  <c r="UK65"/>
  <c r="UJ65"/>
  <c r="UF65"/>
  <c r="UE65"/>
  <c r="UD65"/>
  <c r="UC65"/>
  <c r="UM64"/>
  <c r="UL64"/>
  <c r="UK64"/>
  <c r="UJ64"/>
  <c r="UF64"/>
  <c r="UE64"/>
  <c r="UD64"/>
  <c r="UC64"/>
  <c r="UM63"/>
  <c r="UL63"/>
  <c r="UK63"/>
  <c r="UJ63"/>
  <c r="UF63"/>
  <c r="UE63"/>
  <c r="UD63"/>
  <c r="UC63"/>
  <c r="UM62"/>
  <c r="UL62"/>
  <c r="UK62"/>
  <c r="UJ62"/>
  <c r="UF62"/>
  <c r="UE62"/>
  <c r="UD62"/>
  <c r="UC62"/>
  <c r="UM61"/>
  <c r="UL61"/>
  <c r="UK61"/>
  <c r="UJ61"/>
  <c r="UF61"/>
  <c r="UE61"/>
  <c r="UD61"/>
  <c r="UC61"/>
  <c r="UM60"/>
  <c r="UL60"/>
  <c r="UK60"/>
  <c r="UJ60"/>
  <c r="UF60"/>
  <c r="UE60"/>
  <c r="UD60"/>
  <c r="UC60"/>
  <c r="UM59"/>
  <c r="UL59"/>
  <c r="UK59"/>
  <c r="UJ59"/>
  <c r="UF59"/>
  <c r="UE59"/>
  <c r="UD59"/>
  <c r="UC59"/>
  <c r="UM58"/>
  <c r="UL58"/>
  <c r="UK58"/>
  <c r="UJ58"/>
  <c r="UF58"/>
  <c r="UE58"/>
  <c r="UD58"/>
  <c r="UC58"/>
  <c r="UM57"/>
  <c r="UL57"/>
  <c r="UK57"/>
  <c r="UJ57"/>
  <c r="UF57"/>
  <c r="UE57"/>
  <c r="UD57"/>
  <c r="UC57"/>
  <c r="UM56"/>
  <c r="UL56"/>
  <c r="UK56"/>
  <c r="UJ56"/>
  <c r="UF56"/>
  <c r="UE56"/>
  <c r="UD56"/>
  <c r="UC56"/>
  <c r="UM55"/>
  <c r="UL55"/>
  <c r="UK55"/>
  <c r="UJ55"/>
  <c r="UF55"/>
  <c r="UE55"/>
  <c r="UD55"/>
  <c r="UC55"/>
  <c r="UM54"/>
  <c r="UL54"/>
  <c r="UK54"/>
  <c r="UJ54"/>
  <c r="UF54"/>
  <c r="UE54"/>
  <c r="UD54"/>
  <c r="UC54"/>
  <c r="UM53"/>
  <c r="UL53"/>
  <c r="UK53"/>
  <c r="UJ53"/>
  <c r="UF53"/>
  <c r="UE53"/>
  <c r="UD53"/>
  <c r="UC53"/>
  <c r="UM52"/>
  <c r="UL52"/>
  <c r="UK52"/>
  <c r="UJ52"/>
  <c r="UF52"/>
  <c r="UE52"/>
  <c r="UD52"/>
  <c r="UC52"/>
  <c r="UM51"/>
  <c r="UL51"/>
  <c r="UK51"/>
  <c r="UJ51"/>
  <c r="UF51"/>
  <c r="UE51"/>
  <c r="UD51"/>
  <c r="UC51"/>
  <c r="UM50"/>
  <c r="UL50"/>
  <c r="UK50"/>
  <c r="UJ50"/>
  <c r="UF50"/>
  <c r="UE50"/>
  <c r="UD50"/>
  <c r="UC50"/>
  <c r="UM49"/>
  <c r="UL49"/>
  <c r="UK49"/>
  <c r="UJ49"/>
  <c r="UF49"/>
  <c r="UE49"/>
  <c r="UD49"/>
  <c r="UC49"/>
  <c r="UM48"/>
  <c r="UL48"/>
  <c r="UK48"/>
  <c r="UJ48"/>
  <c r="UF48"/>
  <c r="UE48"/>
  <c r="UD48"/>
  <c r="UC48"/>
  <c r="UM47"/>
  <c r="UL47"/>
  <c r="UK47"/>
  <c r="UJ47"/>
  <c r="UF47"/>
  <c r="UE47"/>
  <c r="UD47"/>
  <c r="UC47"/>
  <c r="UM46"/>
  <c r="UL46"/>
  <c r="UK46"/>
  <c r="UJ46"/>
  <c r="UF46"/>
  <c r="UE46"/>
  <c r="UD46"/>
  <c r="UC46"/>
  <c r="UM45"/>
  <c r="UL45"/>
  <c r="UK45"/>
  <c r="UJ45"/>
  <c r="UF45"/>
  <c r="UE45"/>
  <c r="UD45"/>
  <c r="UC45"/>
  <c r="UM44"/>
  <c r="UL44"/>
  <c r="UK44"/>
  <c r="UJ44"/>
  <c r="UF44"/>
  <c r="UE44"/>
  <c r="UD44"/>
  <c r="UC44"/>
  <c r="UM43"/>
  <c r="UL43"/>
  <c r="UK43"/>
  <c r="UJ43"/>
  <c r="UF43"/>
  <c r="UE43"/>
  <c r="UD43"/>
  <c r="UC43"/>
  <c r="UM42"/>
  <c r="UL42"/>
  <c r="UK42"/>
  <c r="UJ42"/>
  <c r="UF42"/>
  <c r="UE42"/>
  <c r="UD42"/>
  <c r="UC42"/>
  <c r="UM41"/>
  <c r="UL41"/>
  <c r="UK41"/>
  <c r="UJ41"/>
  <c r="UF41"/>
  <c r="UE41"/>
  <c r="UD41"/>
  <c r="UC41"/>
  <c r="UM40"/>
  <c r="UL40"/>
  <c r="UK40"/>
  <c r="UJ40"/>
  <c r="UF40"/>
  <c r="UE40"/>
  <c r="UD40"/>
  <c r="UC40"/>
  <c r="UM39"/>
  <c r="UL39"/>
  <c r="UK39"/>
  <c r="UJ39"/>
  <c r="UF39"/>
  <c r="UE39"/>
  <c r="UD39"/>
  <c r="UC39"/>
  <c r="UM38"/>
  <c r="UL38"/>
  <c r="UK38"/>
  <c r="UJ38"/>
  <c r="UF38"/>
  <c r="UE38"/>
  <c r="UD38"/>
  <c r="UC38"/>
  <c r="UM37"/>
  <c r="UL37"/>
  <c r="UK37"/>
  <c r="UJ37"/>
  <c r="UF37"/>
  <c r="UE37"/>
  <c r="UD37"/>
  <c r="UC37"/>
  <c r="UM36"/>
  <c r="UL36"/>
  <c r="UK36"/>
  <c r="UJ36"/>
  <c r="UF36"/>
  <c r="UE36"/>
  <c r="UD36"/>
  <c r="UC36"/>
  <c r="UM35"/>
  <c r="UL35"/>
  <c r="UK35"/>
  <c r="UJ35"/>
  <c r="UF35"/>
  <c r="UE35"/>
  <c r="UD35"/>
  <c r="UC35"/>
  <c r="UM34"/>
  <c r="UL34"/>
  <c r="UK34"/>
  <c r="UJ34"/>
  <c r="UF34"/>
  <c r="UE34"/>
  <c r="UD34"/>
  <c r="UC34"/>
  <c r="UM33"/>
  <c r="UL33"/>
  <c r="UK33"/>
  <c r="UJ33"/>
  <c r="UF33"/>
  <c r="UE33"/>
  <c r="UD33"/>
  <c r="UC33"/>
  <c r="UM32"/>
  <c r="UL32"/>
  <c r="UK32"/>
  <c r="UJ32"/>
  <c r="UF32"/>
  <c r="UE32"/>
  <c r="UD32"/>
  <c r="UC32"/>
  <c r="UM31"/>
  <c r="UL31"/>
  <c r="UK31"/>
  <c r="UJ31"/>
  <c r="UF31"/>
  <c r="UE31"/>
  <c r="UD31"/>
  <c r="UC31"/>
  <c r="UM30"/>
  <c r="UL30"/>
  <c r="UK30"/>
  <c r="UJ30"/>
  <c r="UF30"/>
  <c r="UE30"/>
  <c r="UD30"/>
  <c r="UC30"/>
  <c r="UM29"/>
  <c r="UL29"/>
  <c r="UK29"/>
  <c r="UJ29"/>
  <c r="UF29"/>
  <c r="UE29"/>
  <c r="UD29"/>
  <c r="UC29"/>
  <c r="UM28"/>
  <c r="UL28"/>
  <c r="UK28"/>
  <c r="UJ28"/>
  <c r="UF28"/>
  <c r="UE28"/>
  <c r="UD28"/>
  <c r="UC28"/>
  <c r="UM27"/>
  <c r="UL27"/>
  <c r="UK27"/>
  <c r="UJ27"/>
  <c r="UF27"/>
  <c r="UE27"/>
  <c r="UD27"/>
  <c r="UC27"/>
  <c r="UM26"/>
  <c r="UL26"/>
  <c r="UK26"/>
  <c r="UJ26"/>
  <c r="UF26"/>
  <c r="UE26"/>
  <c r="UD26"/>
  <c r="UC26"/>
  <c r="UM25"/>
  <c r="UL25"/>
  <c r="UK25"/>
  <c r="UJ25"/>
  <c r="UF25"/>
  <c r="UE25"/>
  <c r="UD25"/>
  <c r="UC25"/>
  <c r="UM24"/>
  <c r="UL24"/>
  <c r="UK24"/>
  <c r="UJ24"/>
  <c r="UF24"/>
  <c r="UE24"/>
  <c r="UD24"/>
  <c r="UC24"/>
  <c r="UM23"/>
  <c r="UL23"/>
  <c r="UK23"/>
  <c r="UJ23"/>
  <c r="UF23"/>
  <c r="UE23"/>
  <c r="UD23"/>
  <c r="UC23"/>
  <c r="UM22"/>
  <c r="UL22"/>
  <c r="UK22"/>
  <c r="UJ22"/>
  <c r="UF22"/>
  <c r="UE22"/>
  <c r="UD22"/>
  <c r="UC22"/>
  <c r="UM21"/>
  <c r="UL21"/>
  <c r="UK21"/>
  <c r="UJ21"/>
  <c r="UF21"/>
  <c r="UE21"/>
  <c r="UD21"/>
  <c r="UC21"/>
  <c r="UM20"/>
  <c r="UL20"/>
  <c r="UK20"/>
  <c r="UJ20"/>
  <c r="UF20"/>
  <c r="UE20"/>
  <c r="UD20"/>
  <c r="UC20"/>
  <c r="UM19"/>
  <c r="UL19"/>
  <c r="UK19"/>
  <c r="UJ19"/>
  <c r="UF19"/>
  <c r="UE19"/>
  <c r="UD19"/>
  <c r="UC19"/>
  <c r="UM18"/>
  <c r="UL18"/>
  <c r="UK18"/>
  <c r="UJ18"/>
  <c r="UF18"/>
  <c r="UE18"/>
  <c r="UD18"/>
  <c r="UC18"/>
  <c r="UM17"/>
  <c r="UL17"/>
  <c r="UK17"/>
  <c r="UJ17"/>
  <c r="UF17"/>
  <c r="UE17"/>
  <c r="UD17"/>
  <c r="UC17"/>
  <c r="UM16"/>
  <c r="UL16"/>
  <c r="UK16"/>
  <c r="UJ16"/>
  <c r="UF16"/>
  <c r="UE16"/>
  <c r="UD16"/>
  <c r="UC16"/>
  <c r="UM15"/>
  <c r="UL15"/>
  <c r="UK15"/>
  <c r="UJ15"/>
  <c r="UF15"/>
  <c r="UE15"/>
  <c r="UD15"/>
  <c r="UC15"/>
  <c r="UM14"/>
  <c r="UL14"/>
  <c r="UK14"/>
  <c r="UJ14"/>
  <c r="UF14"/>
  <c r="UE14"/>
  <c r="UD14"/>
  <c r="UC14"/>
  <c r="UM13"/>
  <c r="UL13"/>
  <c r="UK13"/>
  <c r="UJ13"/>
  <c r="UF13"/>
  <c r="UE13"/>
  <c r="UD13"/>
  <c r="UC13"/>
  <c r="UM12"/>
  <c r="UL12"/>
  <c r="UK12"/>
  <c r="UJ12"/>
  <c r="UF12"/>
  <c r="UE12"/>
  <c r="UD12"/>
  <c r="UC12"/>
  <c r="UM11"/>
  <c r="UL11"/>
  <c r="UK11"/>
  <c r="UJ11"/>
  <c r="UF11"/>
  <c r="UE11"/>
  <c r="UD11"/>
  <c r="UC11"/>
  <c r="UM10"/>
  <c r="UL10"/>
  <c r="UK10"/>
  <c r="UJ10"/>
  <c r="UF10"/>
  <c r="UE10"/>
  <c r="UD10"/>
  <c r="UC10"/>
  <c r="UM9"/>
  <c r="UL9"/>
  <c r="UK9"/>
  <c r="UJ9"/>
  <c r="UF9"/>
  <c r="UE9"/>
  <c r="UD9"/>
  <c r="UC9"/>
  <c r="UM8"/>
  <c r="UL8"/>
  <c r="UK8"/>
  <c r="UJ8"/>
  <c r="UF8"/>
  <c r="UE8"/>
  <c r="UD8"/>
  <c r="UC8"/>
  <c r="UM7"/>
  <c r="UL7"/>
  <c r="UK7"/>
  <c r="UJ7"/>
  <c r="UF7"/>
  <c r="UE7"/>
  <c r="UD7"/>
  <c r="UC7"/>
  <c r="UM6"/>
  <c r="UL6"/>
  <c r="UK6"/>
  <c r="UJ6"/>
  <c r="UF6"/>
  <c r="UE6"/>
  <c r="UD6"/>
  <c r="UC6"/>
  <c r="UM5"/>
  <c r="UL5"/>
  <c r="UK5"/>
  <c r="UJ5"/>
  <c r="UE5"/>
  <c r="UD5"/>
  <c r="UC5"/>
  <c r="TT6" l="1"/>
  <c r="TU6"/>
  <c r="TV6"/>
  <c r="TT7"/>
  <c r="TU7"/>
  <c r="TV7"/>
  <c r="TT8"/>
  <c r="TU8"/>
  <c r="TV8"/>
  <c r="TT9"/>
  <c r="TU9"/>
  <c r="TV9"/>
  <c r="TT10"/>
  <c r="TU10"/>
  <c r="TV10"/>
  <c r="TT11"/>
  <c r="TU11"/>
  <c r="TV11"/>
  <c r="TT12"/>
  <c r="TU12"/>
  <c r="TV12"/>
  <c r="TT13"/>
  <c r="TU13"/>
  <c r="TV13"/>
  <c r="TT14"/>
  <c r="TU14"/>
  <c r="TV14"/>
  <c r="TT15"/>
  <c r="TU15"/>
  <c r="TV15"/>
  <c r="TT16"/>
  <c r="TU16"/>
  <c r="TV16"/>
  <c r="TT17"/>
  <c r="TU17"/>
  <c r="TV17"/>
  <c r="TT18"/>
  <c r="TU18"/>
  <c r="TV18"/>
  <c r="TT19"/>
  <c r="TU19"/>
  <c r="TV19"/>
  <c r="TT20"/>
  <c r="TU20"/>
  <c r="TV20"/>
  <c r="TT21"/>
  <c r="TU21"/>
  <c r="TV21"/>
  <c r="TT22"/>
  <c r="TU22"/>
  <c r="TV22"/>
  <c r="TT23"/>
  <c r="TU23"/>
  <c r="TV23"/>
  <c r="TT24"/>
  <c r="TU24"/>
  <c r="TV24"/>
  <c r="TT25"/>
  <c r="TU25"/>
  <c r="TV25"/>
  <c r="TT26"/>
  <c r="TU26"/>
  <c r="TV26"/>
  <c r="TT27"/>
  <c r="TU27"/>
  <c r="TV27"/>
  <c r="TT28"/>
  <c r="TU28"/>
  <c r="TV28"/>
  <c r="TT29"/>
  <c r="TU29"/>
  <c r="TV29"/>
  <c r="TT30"/>
  <c r="TU30"/>
  <c r="TV30"/>
  <c r="TT31"/>
  <c r="TU31"/>
  <c r="TV31"/>
  <c r="TT32"/>
  <c r="TU32"/>
  <c r="TV32"/>
  <c r="TT33"/>
  <c r="TU33"/>
  <c r="TV33"/>
  <c r="TT34"/>
  <c r="TU34"/>
  <c r="TV34"/>
  <c r="TT35"/>
  <c r="TU35"/>
  <c r="TV35"/>
  <c r="TT36"/>
  <c r="TU36"/>
  <c r="TV36"/>
  <c r="TT37"/>
  <c r="TU37"/>
  <c r="TV37"/>
  <c r="TT38"/>
  <c r="TU38"/>
  <c r="TV38"/>
  <c r="TT39"/>
  <c r="TU39"/>
  <c r="TV39"/>
  <c r="TT40"/>
  <c r="TU40"/>
  <c r="TV40"/>
  <c r="TT41"/>
  <c r="TU41"/>
  <c r="TV41"/>
  <c r="TT42"/>
  <c r="TU42"/>
  <c r="TV42"/>
  <c r="TT43"/>
  <c r="TU43"/>
  <c r="TV43"/>
  <c r="TT44"/>
  <c r="TU44"/>
  <c r="TV44"/>
  <c r="TT45"/>
  <c r="TU45"/>
  <c r="TV45"/>
  <c r="TT46"/>
  <c r="TU46"/>
  <c r="TV46"/>
  <c r="TT47"/>
  <c r="TU47"/>
  <c r="TV47"/>
  <c r="TT48"/>
  <c r="TU48"/>
  <c r="TV48"/>
  <c r="TT49"/>
  <c r="TU49"/>
  <c r="TV49"/>
  <c r="TT50"/>
  <c r="TU50"/>
  <c r="TV50"/>
  <c r="TT51"/>
  <c r="TU51"/>
  <c r="TV51"/>
  <c r="TT52"/>
  <c r="TU52"/>
  <c r="TV52"/>
  <c r="TT53"/>
  <c r="TU53"/>
  <c r="TV53"/>
  <c r="TT54"/>
  <c r="TU54"/>
  <c r="TV54"/>
  <c r="TT55"/>
  <c r="TU55"/>
  <c r="TV55"/>
  <c r="TT56"/>
  <c r="TU56"/>
  <c r="TV56"/>
  <c r="TT57"/>
  <c r="TU57"/>
  <c r="TV57"/>
  <c r="TT58"/>
  <c r="TU58"/>
  <c r="TV58"/>
  <c r="TT59"/>
  <c r="TU59"/>
  <c r="TV59"/>
  <c r="TT60"/>
  <c r="TU60"/>
  <c r="TV60"/>
  <c r="TT61"/>
  <c r="TU61"/>
  <c r="TV61"/>
  <c r="TT62"/>
  <c r="TU62"/>
  <c r="TV62"/>
  <c r="TT63"/>
  <c r="TU63"/>
  <c r="TV63"/>
  <c r="TT64"/>
  <c r="TU64"/>
  <c r="TV64"/>
  <c r="TT65"/>
  <c r="TU65"/>
  <c r="TV65"/>
  <c r="TT66"/>
  <c r="TU66"/>
  <c r="TV66"/>
  <c r="TT67"/>
  <c r="TU67"/>
  <c r="TV67"/>
  <c r="TT68"/>
  <c r="TU68"/>
  <c r="TV68"/>
  <c r="TT69"/>
  <c r="TU69"/>
  <c r="TV69"/>
  <c r="TT70"/>
  <c r="TU70"/>
  <c r="TV70"/>
  <c r="TT71"/>
  <c r="TU71"/>
  <c r="TV71"/>
  <c r="TT72"/>
  <c r="TU72"/>
  <c r="TV72"/>
  <c r="TT73"/>
  <c r="TU73"/>
  <c r="TV73"/>
  <c r="TT74"/>
  <c r="TU74"/>
  <c r="TV74"/>
  <c r="TT75"/>
  <c r="TU75"/>
  <c r="TV75"/>
  <c r="TT76"/>
  <c r="TU76"/>
  <c r="TV76"/>
  <c r="TT77"/>
  <c r="TU77"/>
  <c r="TV77"/>
  <c r="TT78"/>
  <c r="TU78"/>
  <c r="TV78"/>
  <c r="TT79"/>
  <c r="TU79"/>
  <c r="TV79"/>
  <c r="TT80"/>
  <c r="TU80"/>
  <c r="TV80"/>
  <c r="TT81"/>
  <c r="TU81"/>
  <c r="TV81"/>
  <c r="TT82"/>
  <c r="TU82"/>
  <c r="TV82"/>
  <c r="TV5"/>
  <c r="TU5"/>
  <c r="TT5"/>
  <c r="TS5"/>
  <c r="TZ82"/>
  <c r="TY82"/>
  <c r="TX82"/>
  <c r="TW82"/>
  <c r="TS82"/>
  <c r="TR82"/>
  <c r="TQ82"/>
  <c r="TP82"/>
  <c r="TZ81"/>
  <c r="TY81"/>
  <c r="TX81"/>
  <c r="TW81"/>
  <c r="TS81"/>
  <c r="TR81"/>
  <c r="TQ81"/>
  <c r="TP81"/>
  <c r="TZ80"/>
  <c r="TY80"/>
  <c r="TX80"/>
  <c r="TW80"/>
  <c r="TS80"/>
  <c r="TR80"/>
  <c r="TQ80"/>
  <c r="TP80"/>
  <c r="TZ79"/>
  <c r="TY79"/>
  <c r="TX79"/>
  <c r="TW79"/>
  <c r="TS79"/>
  <c r="TR79"/>
  <c r="TQ79"/>
  <c r="TP79"/>
  <c r="TZ78"/>
  <c r="TY78"/>
  <c r="TX78"/>
  <c r="TW78"/>
  <c r="TS78"/>
  <c r="TR78"/>
  <c r="TQ78"/>
  <c r="TP78"/>
  <c r="TZ77"/>
  <c r="TY77"/>
  <c r="TX77"/>
  <c r="TW77"/>
  <c r="TS77"/>
  <c r="TR77"/>
  <c r="TQ77"/>
  <c r="TP77"/>
  <c r="TZ76"/>
  <c r="TY76"/>
  <c r="TX76"/>
  <c r="TW76"/>
  <c r="TS76"/>
  <c r="TR76"/>
  <c r="TQ76"/>
  <c r="TP76"/>
  <c r="TZ75"/>
  <c r="TY75"/>
  <c r="TX75"/>
  <c r="TW75"/>
  <c r="TS75"/>
  <c r="TR75"/>
  <c r="TQ75"/>
  <c r="TP75"/>
  <c r="TZ74"/>
  <c r="TY74"/>
  <c r="TX74"/>
  <c r="TW74"/>
  <c r="TS74"/>
  <c r="TR74"/>
  <c r="TQ74"/>
  <c r="TP74"/>
  <c r="TZ73"/>
  <c r="TY73"/>
  <c r="TX73"/>
  <c r="TW73"/>
  <c r="TS73"/>
  <c r="TR73"/>
  <c r="TQ73"/>
  <c r="TP73"/>
  <c r="TZ72"/>
  <c r="TY72"/>
  <c r="TX72"/>
  <c r="TW72"/>
  <c r="TS72"/>
  <c r="TR72"/>
  <c r="TQ72"/>
  <c r="TP72"/>
  <c r="TZ71"/>
  <c r="TY71"/>
  <c r="TX71"/>
  <c r="TW71"/>
  <c r="TS71"/>
  <c r="TR71"/>
  <c r="TQ71"/>
  <c r="TP71"/>
  <c r="TZ70"/>
  <c r="TY70"/>
  <c r="TX70"/>
  <c r="TW70"/>
  <c r="TS70"/>
  <c r="TR70"/>
  <c r="TQ70"/>
  <c r="TP70"/>
  <c r="TZ69"/>
  <c r="TY69"/>
  <c r="TX69"/>
  <c r="TW69"/>
  <c r="TS69"/>
  <c r="TR69"/>
  <c r="TQ69"/>
  <c r="TP69"/>
  <c r="TZ68"/>
  <c r="TY68"/>
  <c r="TX68"/>
  <c r="TW68"/>
  <c r="TS68"/>
  <c r="TR68"/>
  <c r="TQ68"/>
  <c r="TP68"/>
  <c r="TZ67"/>
  <c r="TY67"/>
  <c r="TX67"/>
  <c r="TW67"/>
  <c r="TS67"/>
  <c r="TR67"/>
  <c r="TQ67"/>
  <c r="TP67"/>
  <c r="TZ66"/>
  <c r="TY66"/>
  <c r="TX66"/>
  <c r="TW66"/>
  <c r="TS66"/>
  <c r="TR66"/>
  <c r="TQ66"/>
  <c r="TP66"/>
  <c r="TZ65"/>
  <c r="TY65"/>
  <c r="TX65"/>
  <c r="TW65"/>
  <c r="TS65"/>
  <c r="TR65"/>
  <c r="TQ65"/>
  <c r="TP65"/>
  <c r="TZ64"/>
  <c r="TY64"/>
  <c r="TX64"/>
  <c r="TW64"/>
  <c r="TS64"/>
  <c r="TR64"/>
  <c r="TQ64"/>
  <c r="TP64"/>
  <c r="TZ63"/>
  <c r="TY63"/>
  <c r="TX63"/>
  <c r="TW63"/>
  <c r="TS63"/>
  <c r="TR63"/>
  <c r="TQ63"/>
  <c r="TP63"/>
  <c r="TZ62"/>
  <c r="TY62"/>
  <c r="TX62"/>
  <c r="TW62"/>
  <c r="TS62"/>
  <c r="TR62"/>
  <c r="TQ62"/>
  <c r="TP62"/>
  <c r="TZ61"/>
  <c r="TY61"/>
  <c r="TX61"/>
  <c r="TW61"/>
  <c r="TS61"/>
  <c r="TR61"/>
  <c r="TQ61"/>
  <c r="TP61"/>
  <c r="TZ60"/>
  <c r="TY60"/>
  <c r="TX60"/>
  <c r="TW60"/>
  <c r="TS60"/>
  <c r="TR60"/>
  <c r="TQ60"/>
  <c r="TP60"/>
  <c r="TZ59"/>
  <c r="TY59"/>
  <c r="TX59"/>
  <c r="TW59"/>
  <c r="TS59"/>
  <c r="TR59"/>
  <c r="TQ59"/>
  <c r="TP59"/>
  <c r="TZ58"/>
  <c r="TY58"/>
  <c r="TX58"/>
  <c r="TW58"/>
  <c r="TS58"/>
  <c r="TR58"/>
  <c r="TQ58"/>
  <c r="TP58"/>
  <c r="TZ57"/>
  <c r="TY57"/>
  <c r="TX57"/>
  <c r="TW57"/>
  <c r="TS57"/>
  <c r="TR57"/>
  <c r="TQ57"/>
  <c r="TP57"/>
  <c r="TZ56"/>
  <c r="TY56"/>
  <c r="TX56"/>
  <c r="TW56"/>
  <c r="TS56"/>
  <c r="TR56"/>
  <c r="TQ56"/>
  <c r="TP56"/>
  <c r="TZ55"/>
  <c r="TY55"/>
  <c r="TX55"/>
  <c r="TW55"/>
  <c r="TS55"/>
  <c r="TR55"/>
  <c r="TQ55"/>
  <c r="TP55"/>
  <c r="TZ54"/>
  <c r="TY54"/>
  <c r="TX54"/>
  <c r="TW54"/>
  <c r="TS54"/>
  <c r="TR54"/>
  <c r="TQ54"/>
  <c r="TP54"/>
  <c r="TZ53"/>
  <c r="TY53"/>
  <c r="TX53"/>
  <c r="TW53"/>
  <c r="TS53"/>
  <c r="TR53"/>
  <c r="TQ53"/>
  <c r="TP53"/>
  <c r="TZ52"/>
  <c r="TY52"/>
  <c r="TX52"/>
  <c r="TW52"/>
  <c r="TS52"/>
  <c r="TR52"/>
  <c r="TQ52"/>
  <c r="TP52"/>
  <c r="TZ51"/>
  <c r="TY51"/>
  <c r="TX51"/>
  <c r="TW51"/>
  <c r="TS51"/>
  <c r="TR51"/>
  <c r="TQ51"/>
  <c r="TP51"/>
  <c r="TZ50"/>
  <c r="TY50"/>
  <c r="TX50"/>
  <c r="TW50"/>
  <c r="TS50"/>
  <c r="TR50"/>
  <c r="TQ50"/>
  <c r="TP50"/>
  <c r="TZ49"/>
  <c r="TY49"/>
  <c r="TX49"/>
  <c r="TW49"/>
  <c r="TS49"/>
  <c r="TR49"/>
  <c r="TQ49"/>
  <c r="TP49"/>
  <c r="TZ48"/>
  <c r="TY48"/>
  <c r="TX48"/>
  <c r="TW48"/>
  <c r="TS48"/>
  <c r="TR48"/>
  <c r="TQ48"/>
  <c r="TP48"/>
  <c r="TZ47"/>
  <c r="TY47"/>
  <c r="TX47"/>
  <c r="TW47"/>
  <c r="TS47"/>
  <c r="TR47"/>
  <c r="TQ47"/>
  <c r="TP47"/>
  <c r="TZ46"/>
  <c r="TY46"/>
  <c r="TX46"/>
  <c r="TW46"/>
  <c r="TS46"/>
  <c r="TR46"/>
  <c r="TQ46"/>
  <c r="TP46"/>
  <c r="TZ45"/>
  <c r="TY45"/>
  <c r="TX45"/>
  <c r="TW45"/>
  <c r="TS45"/>
  <c r="TR45"/>
  <c r="TQ45"/>
  <c r="TP45"/>
  <c r="TZ44"/>
  <c r="TY44"/>
  <c r="TX44"/>
  <c r="TW44"/>
  <c r="TS44"/>
  <c r="TR44"/>
  <c r="TQ44"/>
  <c r="TP44"/>
  <c r="TZ43"/>
  <c r="TY43"/>
  <c r="TX43"/>
  <c r="TW43"/>
  <c r="TS43"/>
  <c r="TR43"/>
  <c r="TQ43"/>
  <c r="TP43"/>
  <c r="TZ42"/>
  <c r="TY42"/>
  <c r="TX42"/>
  <c r="TW42"/>
  <c r="TS42"/>
  <c r="TR42"/>
  <c r="TQ42"/>
  <c r="TP42"/>
  <c r="TZ41"/>
  <c r="TY41"/>
  <c r="TX41"/>
  <c r="TW41"/>
  <c r="TS41"/>
  <c r="TR41"/>
  <c r="TQ41"/>
  <c r="TP41"/>
  <c r="TZ40"/>
  <c r="TY40"/>
  <c r="TX40"/>
  <c r="TW40"/>
  <c r="TS40"/>
  <c r="TR40"/>
  <c r="TQ40"/>
  <c r="TP40"/>
  <c r="TZ39"/>
  <c r="TY39"/>
  <c r="TX39"/>
  <c r="TW39"/>
  <c r="TS39"/>
  <c r="TR39"/>
  <c r="TQ39"/>
  <c r="TP39"/>
  <c r="TZ38"/>
  <c r="TY38"/>
  <c r="TX38"/>
  <c r="TW38"/>
  <c r="TS38"/>
  <c r="TR38"/>
  <c r="TQ38"/>
  <c r="TP38"/>
  <c r="TZ37"/>
  <c r="TY37"/>
  <c r="TX37"/>
  <c r="TW37"/>
  <c r="TS37"/>
  <c r="TR37"/>
  <c r="TQ37"/>
  <c r="TP37"/>
  <c r="TZ36"/>
  <c r="TY36"/>
  <c r="TX36"/>
  <c r="TW36"/>
  <c r="TS36"/>
  <c r="TR36"/>
  <c r="TQ36"/>
  <c r="TP36"/>
  <c r="TZ35"/>
  <c r="TY35"/>
  <c r="TX35"/>
  <c r="TW35"/>
  <c r="TS35"/>
  <c r="TR35"/>
  <c r="TQ35"/>
  <c r="TP35"/>
  <c r="TZ34"/>
  <c r="TY34"/>
  <c r="TX34"/>
  <c r="TW34"/>
  <c r="TS34"/>
  <c r="TR34"/>
  <c r="TQ34"/>
  <c r="TP34"/>
  <c r="TZ33"/>
  <c r="TY33"/>
  <c r="TX33"/>
  <c r="TW33"/>
  <c r="TS33"/>
  <c r="TR33"/>
  <c r="TQ33"/>
  <c r="TP33"/>
  <c r="TZ32"/>
  <c r="TY32"/>
  <c r="TX32"/>
  <c r="TW32"/>
  <c r="TS32"/>
  <c r="TR32"/>
  <c r="TQ32"/>
  <c r="TP32"/>
  <c r="TZ31"/>
  <c r="TY31"/>
  <c r="TX31"/>
  <c r="TW31"/>
  <c r="TS31"/>
  <c r="TR31"/>
  <c r="TQ31"/>
  <c r="TP31"/>
  <c r="TZ30"/>
  <c r="TY30"/>
  <c r="TX30"/>
  <c r="TW30"/>
  <c r="TS30"/>
  <c r="TR30"/>
  <c r="TQ30"/>
  <c r="TP30"/>
  <c r="TZ29"/>
  <c r="TY29"/>
  <c r="TX29"/>
  <c r="TW29"/>
  <c r="TS29"/>
  <c r="TR29"/>
  <c r="TQ29"/>
  <c r="TP29"/>
  <c r="TZ28"/>
  <c r="TY28"/>
  <c r="TX28"/>
  <c r="TW28"/>
  <c r="TS28"/>
  <c r="TR28"/>
  <c r="TQ28"/>
  <c r="TP28"/>
  <c r="TZ27"/>
  <c r="TY27"/>
  <c r="TX27"/>
  <c r="TW27"/>
  <c r="TS27"/>
  <c r="TR27"/>
  <c r="TQ27"/>
  <c r="TP27"/>
  <c r="TZ26"/>
  <c r="TY26"/>
  <c r="TX26"/>
  <c r="TW26"/>
  <c r="TS26"/>
  <c r="TR26"/>
  <c r="TQ26"/>
  <c r="TP26"/>
  <c r="TZ25"/>
  <c r="TY25"/>
  <c r="TX25"/>
  <c r="TW25"/>
  <c r="TS25"/>
  <c r="TR25"/>
  <c r="TQ25"/>
  <c r="TP25"/>
  <c r="TZ24"/>
  <c r="TY24"/>
  <c r="TX24"/>
  <c r="TW24"/>
  <c r="TS24"/>
  <c r="TR24"/>
  <c r="TQ24"/>
  <c r="TP24"/>
  <c r="TZ23"/>
  <c r="TY23"/>
  <c r="TX23"/>
  <c r="TW23"/>
  <c r="TS23"/>
  <c r="TR23"/>
  <c r="TQ23"/>
  <c r="TP23"/>
  <c r="TZ22"/>
  <c r="TY22"/>
  <c r="TX22"/>
  <c r="TW22"/>
  <c r="TS22"/>
  <c r="TR22"/>
  <c r="TQ22"/>
  <c r="TP22"/>
  <c r="TZ21"/>
  <c r="TY21"/>
  <c r="TX21"/>
  <c r="TW21"/>
  <c r="TS21"/>
  <c r="TR21"/>
  <c r="TQ21"/>
  <c r="TP21"/>
  <c r="TZ20"/>
  <c r="TY20"/>
  <c r="TX20"/>
  <c r="TW20"/>
  <c r="TS20"/>
  <c r="TR20"/>
  <c r="TQ20"/>
  <c r="TP20"/>
  <c r="TZ19"/>
  <c r="TY19"/>
  <c r="TX19"/>
  <c r="TW19"/>
  <c r="TS19"/>
  <c r="TR19"/>
  <c r="TQ19"/>
  <c r="TP19"/>
  <c r="TZ18"/>
  <c r="TY18"/>
  <c r="TX18"/>
  <c r="TW18"/>
  <c r="TS18"/>
  <c r="TR18"/>
  <c r="TQ18"/>
  <c r="TP18"/>
  <c r="TZ17"/>
  <c r="TY17"/>
  <c r="TX17"/>
  <c r="TW17"/>
  <c r="TS17"/>
  <c r="TR17"/>
  <c r="TQ17"/>
  <c r="TP17"/>
  <c r="TZ16"/>
  <c r="TY16"/>
  <c r="TX16"/>
  <c r="TW16"/>
  <c r="TS16"/>
  <c r="TR16"/>
  <c r="TQ16"/>
  <c r="TP16"/>
  <c r="TZ15"/>
  <c r="TY15"/>
  <c r="TX15"/>
  <c r="TW15"/>
  <c r="TS15"/>
  <c r="TR15"/>
  <c r="TQ15"/>
  <c r="TP15"/>
  <c r="TZ14"/>
  <c r="TY14"/>
  <c r="TX14"/>
  <c r="TW14"/>
  <c r="TS14"/>
  <c r="TR14"/>
  <c r="TQ14"/>
  <c r="TP14"/>
  <c r="TZ13"/>
  <c r="TY13"/>
  <c r="TX13"/>
  <c r="TW13"/>
  <c r="TS13"/>
  <c r="TR13"/>
  <c r="TQ13"/>
  <c r="TP13"/>
  <c r="TZ12"/>
  <c r="TY12"/>
  <c r="TX12"/>
  <c r="TW12"/>
  <c r="TS12"/>
  <c r="TR12"/>
  <c r="TQ12"/>
  <c r="TP12"/>
  <c r="TZ11"/>
  <c r="TY11"/>
  <c r="TX11"/>
  <c r="TW11"/>
  <c r="TS11"/>
  <c r="TR11"/>
  <c r="TQ11"/>
  <c r="TP11"/>
  <c r="TZ10"/>
  <c r="TY10"/>
  <c r="TX10"/>
  <c r="TW10"/>
  <c r="TS10"/>
  <c r="TR10"/>
  <c r="TQ10"/>
  <c r="TP10"/>
  <c r="TZ9"/>
  <c r="TY9"/>
  <c r="TX9"/>
  <c r="TW9"/>
  <c r="TS9"/>
  <c r="TR9"/>
  <c r="TQ9"/>
  <c r="TP9"/>
  <c r="TZ8"/>
  <c r="TY8"/>
  <c r="TX8"/>
  <c r="TW8"/>
  <c r="TS8"/>
  <c r="TR8"/>
  <c r="TQ8"/>
  <c r="TP8"/>
  <c r="TZ7"/>
  <c r="TY7"/>
  <c r="TX7"/>
  <c r="TW7"/>
  <c r="TS7"/>
  <c r="TR7"/>
  <c r="TQ7"/>
  <c r="TP7"/>
  <c r="TZ6"/>
  <c r="TY6"/>
  <c r="TX6"/>
  <c r="TW6"/>
  <c r="TS6"/>
  <c r="TR6"/>
  <c r="TQ6"/>
  <c r="TP6"/>
  <c r="TZ5"/>
  <c r="TY5"/>
  <c r="TX5"/>
  <c r="TW5"/>
  <c r="TR5"/>
  <c r="TQ5"/>
  <c r="TP5"/>
  <c r="TG6"/>
  <c r="TH6"/>
  <c r="TI6"/>
  <c r="TG7"/>
  <c r="TH7"/>
  <c r="TI7"/>
  <c r="TG8"/>
  <c r="TH8"/>
  <c r="TI8"/>
  <c r="TG9"/>
  <c r="TH9"/>
  <c r="TI9"/>
  <c r="TG10"/>
  <c r="TH10"/>
  <c r="TI10"/>
  <c r="TG11"/>
  <c r="TH11"/>
  <c r="TI11"/>
  <c r="TG12"/>
  <c r="TH12"/>
  <c r="TI12"/>
  <c r="TG13"/>
  <c r="TH13"/>
  <c r="TI13"/>
  <c r="TG14"/>
  <c r="TH14"/>
  <c r="TI14"/>
  <c r="TG15"/>
  <c r="TH15"/>
  <c r="TI15"/>
  <c r="TG16"/>
  <c r="TH16"/>
  <c r="TI16"/>
  <c r="TG17"/>
  <c r="TH17"/>
  <c r="TI17"/>
  <c r="TG18"/>
  <c r="TH18"/>
  <c r="TI18"/>
  <c r="TG19"/>
  <c r="TH19"/>
  <c r="TI19"/>
  <c r="TG20"/>
  <c r="TH20"/>
  <c r="TI20"/>
  <c r="TG21"/>
  <c r="TH21"/>
  <c r="TI21"/>
  <c r="TG22"/>
  <c r="TH22"/>
  <c r="TI22"/>
  <c r="TG23"/>
  <c r="TH23"/>
  <c r="TI23"/>
  <c r="TG24"/>
  <c r="TH24"/>
  <c r="TI24"/>
  <c r="TG25"/>
  <c r="TH25"/>
  <c r="TI25"/>
  <c r="TG26"/>
  <c r="TH26"/>
  <c r="TI26"/>
  <c r="TG27"/>
  <c r="TH27"/>
  <c r="TI27"/>
  <c r="TG28"/>
  <c r="TH28"/>
  <c r="TI28"/>
  <c r="TG29"/>
  <c r="TH29"/>
  <c r="TI29"/>
  <c r="TG30"/>
  <c r="TH30"/>
  <c r="TI30"/>
  <c r="TG31"/>
  <c r="TH31"/>
  <c r="TI31"/>
  <c r="TG32"/>
  <c r="TH32"/>
  <c r="TI32"/>
  <c r="TG33"/>
  <c r="TH33"/>
  <c r="TI33"/>
  <c r="TG34"/>
  <c r="TH34"/>
  <c r="TI34"/>
  <c r="TG35"/>
  <c r="TH35"/>
  <c r="TI35"/>
  <c r="TG36"/>
  <c r="TH36"/>
  <c r="TI36"/>
  <c r="TG37"/>
  <c r="TH37"/>
  <c r="TI37"/>
  <c r="TG38"/>
  <c r="TH38"/>
  <c r="TI38"/>
  <c r="TG39"/>
  <c r="TH39"/>
  <c r="TI39"/>
  <c r="TG40"/>
  <c r="TH40"/>
  <c r="TI40"/>
  <c r="TG41"/>
  <c r="TH41"/>
  <c r="TI41"/>
  <c r="TG42"/>
  <c r="TH42"/>
  <c r="TI42"/>
  <c r="TG43"/>
  <c r="TH43"/>
  <c r="TI43"/>
  <c r="TG44"/>
  <c r="TH44"/>
  <c r="TI44"/>
  <c r="TG45"/>
  <c r="TH45"/>
  <c r="TI45"/>
  <c r="TG46"/>
  <c r="TH46"/>
  <c r="TI46"/>
  <c r="TG47"/>
  <c r="TH47"/>
  <c r="TI47"/>
  <c r="TG48"/>
  <c r="TH48"/>
  <c r="TI48"/>
  <c r="TG49"/>
  <c r="TH49"/>
  <c r="TI49"/>
  <c r="TG50"/>
  <c r="TH50"/>
  <c r="TI50"/>
  <c r="TG51"/>
  <c r="TH51"/>
  <c r="TI51"/>
  <c r="TG52"/>
  <c r="TH52"/>
  <c r="TI52"/>
  <c r="TG53"/>
  <c r="TH53"/>
  <c r="TI53"/>
  <c r="TG54"/>
  <c r="TH54"/>
  <c r="TI54"/>
  <c r="TG55"/>
  <c r="TH55"/>
  <c r="TI55"/>
  <c r="TG56"/>
  <c r="TH56"/>
  <c r="TI56"/>
  <c r="TG57"/>
  <c r="TH57"/>
  <c r="TI57"/>
  <c r="TG58"/>
  <c r="TH58"/>
  <c r="TI58"/>
  <c r="TG59"/>
  <c r="TH59"/>
  <c r="TI59"/>
  <c r="TG60"/>
  <c r="TH60"/>
  <c r="TI60"/>
  <c r="TG61"/>
  <c r="TH61"/>
  <c r="TI61"/>
  <c r="TG62"/>
  <c r="TH62"/>
  <c r="TI62"/>
  <c r="TG63"/>
  <c r="TH63"/>
  <c r="TI63"/>
  <c r="TG64"/>
  <c r="TH64"/>
  <c r="TI64"/>
  <c r="TG65"/>
  <c r="TH65"/>
  <c r="TI65"/>
  <c r="TG66"/>
  <c r="TH66"/>
  <c r="TI66"/>
  <c r="TG67"/>
  <c r="TH67"/>
  <c r="TI67"/>
  <c r="TG68"/>
  <c r="TH68"/>
  <c r="TI68"/>
  <c r="TG69"/>
  <c r="TH69"/>
  <c r="TI69"/>
  <c r="TG70"/>
  <c r="TH70"/>
  <c r="TI70"/>
  <c r="TG71"/>
  <c r="TH71"/>
  <c r="TI71"/>
  <c r="TG72"/>
  <c r="TH72"/>
  <c r="TI72"/>
  <c r="TG73"/>
  <c r="TH73"/>
  <c r="TI73"/>
  <c r="TG74"/>
  <c r="TH74"/>
  <c r="TI74"/>
  <c r="TG75"/>
  <c r="TH75"/>
  <c r="TI75"/>
  <c r="TG76"/>
  <c r="TH76"/>
  <c r="TI76"/>
  <c r="TG77"/>
  <c r="TH77"/>
  <c r="TI77"/>
  <c r="TG78"/>
  <c r="TH78"/>
  <c r="TI78"/>
  <c r="TG79"/>
  <c r="TH79"/>
  <c r="TI79"/>
  <c r="TG80"/>
  <c r="TH80"/>
  <c r="TI80"/>
  <c r="TG81"/>
  <c r="TH81"/>
  <c r="TI81"/>
  <c r="TG82"/>
  <c r="TH82"/>
  <c r="TI82"/>
  <c r="TG83"/>
  <c r="TH83"/>
  <c r="TI83"/>
  <c r="TG84"/>
  <c r="TH84"/>
  <c r="TI84"/>
  <c r="TG85"/>
  <c r="TH85"/>
  <c r="TI85"/>
  <c r="TG86"/>
  <c r="TH86"/>
  <c r="TI86"/>
  <c r="TI5"/>
  <c r="TG5"/>
  <c r="TH5"/>
  <c r="TF5"/>
  <c r="TM86"/>
  <c r="TL86"/>
  <c r="TK86"/>
  <c r="TJ86"/>
  <c r="TF86"/>
  <c r="TE86"/>
  <c r="TD86"/>
  <c r="TC86"/>
  <c r="TM85"/>
  <c r="TL85"/>
  <c r="TK85"/>
  <c r="TJ85"/>
  <c r="TF85"/>
  <c r="TE85"/>
  <c r="TD85"/>
  <c r="TC85"/>
  <c r="TM84"/>
  <c r="TL84"/>
  <c r="TK84"/>
  <c r="TJ84"/>
  <c r="TF84"/>
  <c r="TE84"/>
  <c r="TD84"/>
  <c r="TC84"/>
  <c r="TM83"/>
  <c r="TL83"/>
  <c r="TK83"/>
  <c r="TJ83"/>
  <c r="TF83"/>
  <c r="TE83"/>
  <c r="TD83"/>
  <c r="TC83"/>
  <c r="TM82"/>
  <c r="TL82"/>
  <c r="TK82"/>
  <c r="TJ82"/>
  <c r="TF82"/>
  <c r="TE82"/>
  <c r="TD82"/>
  <c r="TC82"/>
  <c r="TM81"/>
  <c r="TL81"/>
  <c r="TK81"/>
  <c r="TJ81"/>
  <c r="TF81"/>
  <c r="TE81"/>
  <c r="TD81"/>
  <c r="TC81"/>
  <c r="TM80"/>
  <c r="TL80"/>
  <c r="TK80"/>
  <c r="TJ80"/>
  <c r="TF80"/>
  <c r="TE80"/>
  <c r="TD80"/>
  <c r="TC80"/>
  <c r="TM79"/>
  <c r="TL79"/>
  <c r="TK79"/>
  <c r="TJ79"/>
  <c r="TF79"/>
  <c r="TE79"/>
  <c r="TD79"/>
  <c r="TC79"/>
  <c r="TM78"/>
  <c r="TL78"/>
  <c r="TK78"/>
  <c r="TJ78"/>
  <c r="TF78"/>
  <c r="TE78"/>
  <c r="TD78"/>
  <c r="TC78"/>
  <c r="TM77"/>
  <c r="TL77"/>
  <c r="TK77"/>
  <c r="TJ77"/>
  <c r="TF77"/>
  <c r="TE77"/>
  <c r="TD77"/>
  <c r="TC77"/>
  <c r="TM76"/>
  <c r="TL76"/>
  <c r="TK76"/>
  <c r="TJ76"/>
  <c r="TF76"/>
  <c r="TE76"/>
  <c r="TD76"/>
  <c r="TC76"/>
  <c r="TM75"/>
  <c r="TL75"/>
  <c r="TK75"/>
  <c r="TJ75"/>
  <c r="TF75"/>
  <c r="TE75"/>
  <c r="TD75"/>
  <c r="TC75"/>
  <c r="TM74"/>
  <c r="TL74"/>
  <c r="TK74"/>
  <c r="TJ74"/>
  <c r="TF74"/>
  <c r="TE74"/>
  <c r="TD74"/>
  <c r="TC74"/>
  <c r="TM73"/>
  <c r="TL73"/>
  <c r="TK73"/>
  <c r="TJ73"/>
  <c r="TF73"/>
  <c r="TE73"/>
  <c r="TD73"/>
  <c r="TC73"/>
  <c r="TM72"/>
  <c r="TL72"/>
  <c r="TK72"/>
  <c r="TJ72"/>
  <c r="TF72"/>
  <c r="TE72"/>
  <c r="TD72"/>
  <c r="TC72"/>
  <c r="TM71"/>
  <c r="TL71"/>
  <c r="TK71"/>
  <c r="TJ71"/>
  <c r="TF71"/>
  <c r="TE71"/>
  <c r="TD71"/>
  <c r="TC71"/>
  <c r="TM70"/>
  <c r="TL70"/>
  <c r="TK70"/>
  <c r="TJ70"/>
  <c r="TF70"/>
  <c r="TE70"/>
  <c r="TD70"/>
  <c r="TC70"/>
  <c r="TM69"/>
  <c r="TL69"/>
  <c r="TK69"/>
  <c r="TJ69"/>
  <c r="TF69"/>
  <c r="TE69"/>
  <c r="TD69"/>
  <c r="TC69"/>
  <c r="TM68"/>
  <c r="TL68"/>
  <c r="TK68"/>
  <c r="TJ68"/>
  <c r="TF68"/>
  <c r="TE68"/>
  <c r="TD68"/>
  <c r="TC68"/>
  <c r="TM67"/>
  <c r="TL67"/>
  <c r="TK67"/>
  <c r="TJ67"/>
  <c r="TF67"/>
  <c r="TE67"/>
  <c r="TD67"/>
  <c r="TC67"/>
  <c r="TM66"/>
  <c r="TL66"/>
  <c r="TK66"/>
  <c r="TJ66"/>
  <c r="TF66"/>
  <c r="TE66"/>
  <c r="TD66"/>
  <c r="TC66"/>
  <c r="TM65"/>
  <c r="TL65"/>
  <c r="TK65"/>
  <c r="TJ65"/>
  <c r="TF65"/>
  <c r="TE65"/>
  <c r="TD65"/>
  <c r="TC65"/>
  <c r="TM64"/>
  <c r="TL64"/>
  <c r="TK64"/>
  <c r="TJ64"/>
  <c r="TF64"/>
  <c r="TE64"/>
  <c r="TD64"/>
  <c r="TC64"/>
  <c r="TM63"/>
  <c r="TL63"/>
  <c r="TK63"/>
  <c r="TJ63"/>
  <c r="TF63"/>
  <c r="TE63"/>
  <c r="TD63"/>
  <c r="TC63"/>
  <c r="TM62"/>
  <c r="TL62"/>
  <c r="TK62"/>
  <c r="TJ62"/>
  <c r="TF62"/>
  <c r="TE62"/>
  <c r="TD62"/>
  <c r="TC62"/>
  <c r="TM61"/>
  <c r="TL61"/>
  <c r="TK61"/>
  <c r="TJ61"/>
  <c r="TF61"/>
  <c r="TE61"/>
  <c r="TD61"/>
  <c r="TC61"/>
  <c r="TM60"/>
  <c r="TL60"/>
  <c r="TK60"/>
  <c r="TJ60"/>
  <c r="TF60"/>
  <c r="TE60"/>
  <c r="TD60"/>
  <c r="TC60"/>
  <c r="TM59"/>
  <c r="TL59"/>
  <c r="TK59"/>
  <c r="TJ59"/>
  <c r="TF59"/>
  <c r="TE59"/>
  <c r="TD59"/>
  <c r="TC59"/>
  <c r="TM58"/>
  <c r="TL58"/>
  <c r="TK58"/>
  <c r="TJ58"/>
  <c r="TF58"/>
  <c r="TE58"/>
  <c r="TD58"/>
  <c r="TC58"/>
  <c r="TM57"/>
  <c r="TL57"/>
  <c r="TK57"/>
  <c r="TJ57"/>
  <c r="TF57"/>
  <c r="TE57"/>
  <c r="TD57"/>
  <c r="TC57"/>
  <c r="TM56"/>
  <c r="TL56"/>
  <c r="TK56"/>
  <c r="TJ56"/>
  <c r="TF56"/>
  <c r="TE56"/>
  <c r="TD56"/>
  <c r="TC56"/>
  <c r="TM55"/>
  <c r="TL55"/>
  <c r="TK55"/>
  <c r="TJ55"/>
  <c r="TF55"/>
  <c r="TE55"/>
  <c r="TD55"/>
  <c r="TC55"/>
  <c r="TM54"/>
  <c r="TL54"/>
  <c r="TK54"/>
  <c r="TJ54"/>
  <c r="TF54"/>
  <c r="TE54"/>
  <c r="TD54"/>
  <c r="TC54"/>
  <c r="TM53"/>
  <c r="TL53"/>
  <c r="TK53"/>
  <c r="TJ53"/>
  <c r="TF53"/>
  <c r="TE53"/>
  <c r="TD53"/>
  <c r="TC53"/>
  <c r="TM52"/>
  <c r="TL52"/>
  <c r="TK52"/>
  <c r="TJ52"/>
  <c r="TF52"/>
  <c r="TE52"/>
  <c r="TD52"/>
  <c r="TC52"/>
  <c r="TM51"/>
  <c r="TL51"/>
  <c r="TK51"/>
  <c r="TJ51"/>
  <c r="TF51"/>
  <c r="TE51"/>
  <c r="TD51"/>
  <c r="TC51"/>
  <c r="TM50"/>
  <c r="TL50"/>
  <c r="TK50"/>
  <c r="TJ50"/>
  <c r="TF50"/>
  <c r="TE50"/>
  <c r="TD50"/>
  <c r="TC50"/>
  <c r="TM49"/>
  <c r="TL49"/>
  <c r="TK49"/>
  <c r="TJ49"/>
  <c r="TF49"/>
  <c r="TE49"/>
  <c r="TD49"/>
  <c r="TC49"/>
  <c r="TM48"/>
  <c r="TL48"/>
  <c r="TK48"/>
  <c r="TJ48"/>
  <c r="TF48"/>
  <c r="TE48"/>
  <c r="TD48"/>
  <c r="TC48"/>
  <c r="TM47"/>
  <c r="TL47"/>
  <c r="TK47"/>
  <c r="TJ47"/>
  <c r="TF47"/>
  <c r="TE47"/>
  <c r="TD47"/>
  <c r="TC47"/>
  <c r="TM46"/>
  <c r="TL46"/>
  <c r="TK46"/>
  <c r="TJ46"/>
  <c r="TF46"/>
  <c r="TE46"/>
  <c r="TD46"/>
  <c r="TC46"/>
  <c r="TM45"/>
  <c r="TL45"/>
  <c r="TK45"/>
  <c r="TJ45"/>
  <c r="TF45"/>
  <c r="TE45"/>
  <c r="TD45"/>
  <c r="TC45"/>
  <c r="TM44"/>
  <c r="TL44"/>
  <c r="TK44"/>
  <c r="TJ44"/>
  <c r="TF44"/>
  <c r="TE44"/>
  <c r="TD44"/>
  <c r="TC44"/>
  <c r="TM43"/>
  <c r="TL43"/>
  <c r="TK43"/>
  <c r="TJ43"/>
  <c r="TF43"/>
  <c r="TE43"/>
  <c r="TD43"/>
  <c r="TC43"/>
  <c r="TM42"/>
  <c r="TL42"/>
  <c r="TK42"/>
  <c r="TJ42"/>
  <c r="TF42"/>
  <c r="TE42"/>
  <c r="TD42"/>
  <c r="TC42"/>
  <c r="TM41"/>
  <c r="TL41"/>
  <c r="TK41"/>
  <c r="TJ41"/>
  <c r="TF41"/>
  <c r="TE41"/>
  <c r="TD41"/>
  <c r="TC41"/>
  <c r="TM40"/>
  <c r="TL40"/>
  <c r="TK40"/>
  <c r="TJ40"/>
  <c r="TF40"/>
  <c r="TE40"/>
  <c r="TD40"/>
  <c r="TC40"/>
  <c r="TM39"/>
  <c r="TL39"/>
  <c r="TK39"/>
  <c r="TJ39"/>
  <c r="TF39"/>
  <c r="TE39"/>
  <c r="TD39"/>
  <c r="TC39"/>
  <c r="TM38"/>
  <c r="TL38"/>
  <c r="TK38"/>
  <c r="TJ38"/>
  <c r="TF38"/>
  <c r="TE38"/>
  <c r="TD38"/>
  <c r="TC38"/>
  <c r="TM37"/>
  <c r="TL37"/>
  <c r="TK37"/>
  <c r="TJ37"/>
  <c r="TF37"/>
  <c r="TE37"/>
  <c r="TD37"/>
  <c r="TC37"/>
  <c r="TM36"/>
  <c r="TL36"/>
  <c r="TK36"/>
  <c r="TJ36"/>
  <c r="TF36"/>
  <c r="TE36"/>
  <c r="TD36"/>
  <c r="TC36"/>
  <c r="TM35"/>
  <c r="TL35"/>
  <c r="TK35"/>
  <c r="TJ35"/>
  <c r="TF35"/>
  <c r="TE35"/>
  <c r="TD35"/>
  <c r="TC35"/>
  <c r="TM34"/>
  <c r="TL34"/>
  <c r="TK34"/>
  <c r="TJ34"/>
  <c r="TF34"/>
  <c r="TE34"/>
  <c r="TD34"/>
  <c r="TC34"/>
  <c r="TM33"/>
  <c r="TL33"/>
  <c r="TK33"/>
  <c r="TJ33"/>
  <c r="TF33"/>
  <c r="TE33"/>
  <c r="TD33"/>
  <c r="TC33"/>
  <c r="TM32"/>
  <c r="TL32"/>
  <c r="TK32"/>
  <c r="TJ32"/>
  <c r="TF32"/>
  <c r="TE32"/>
  <c r="TD32"/>
  <c r="TC32"/>
  <c r="TM31"/>
  <c r="TL31"/>
  <c r="TK31"/>
  <c r="TJ31"/>
  <c r="TF31"/>
  <c r="TE31"/>
  <c r="TD31"/>
  <c r="TC31"/>
  <c r="TM30"/>
  <c r="TL30"/>
  <c r="TK30"/>
  <c r="TJ30"/>
  <c r="TF30"/>
  <c r="TE30"/>
  <c r="TD30"/>
  <c r="TC30"/>
  <c r="TM29"/>
  <c r="TL29"/>
  <c r="TK29"/>
  <c r="TJ29"/>
  <c r="TF29"/>
  <c r="TE29"/>
  <c r="TD29"/>
  <c r="TC29"/>
  <c r="TM28"/>
  <c r="TL28"/>
  <c r="TK28"/>
  <c r="TJ28"/>
  <c r="TF28"/>
  <c r="TE28"/>
  <c r="TD28"/>
  <c r="TC28"/>
  <c r="TM27"/>
  <c r="TL27"/>
  <c r="TK27"/>
  <c r="TJ27"/>
  <c r="TF27"/>
  <c r="TE27"/>
  <c r="TD27"/>
  <c r="TC27"/>
  <c r="TM26"/>
  <c r="TL26"/>
  <c r="TK26"/>
  <c r="TJ26"/>
  <c r="TF26"/>
  <c r="TE26"/>
  <c r="TD26"/>
  <c r="TC26"/>
  <c r="TM25"/>
  <c r="TL25"/>
  <c r="TK25"/>
  <c r="TJ25"/>
  <c r="TF25"/>
  <c r="TE25"/>
  <c r="TD25"/>
  <c r="TC25"/>
  <c r="TM24"/>
  <c r="TL24"/>
  <c r="TK24"/>
  <c r="TJ24"/>
  <c r="TF24"/>
  <c r="TE24"/>
  <c r="TD24"/>
  <c r="TC24"/>
  <c r="TM23"/>
  <c r="TL23"/>
  <c r="TK23"/>
  <c r="TJ23"/>
  <c r="TF23"/>
  <c r="TE23"/>
  <c r="TD23"/>
  <c r="TC23"/>
  <c r="TM22"/>
  <c r="TL22"/>
  <c r="TK22"/>
  <c r="TJ22"/>
  <c r="TF22"/>
  <c r="TE22"/>
  <c r="TD22"/>
  <c r="TC22"/>
  <c r="TM21"/>
  <c r="TL21"/>
  <c r="TK21"/>
  <c r="TJ21"/>
  <c r="TF21"/>
  <c r="TE21"/>
  <c r="TD21"/>
  <c r="TC21"/>
  <c r="TM20"/>
  <c r="TL20"/>
  <c r="TK20"/>
  <c r="TJ20"/>
  <c r="TF20"/>
  <c r="TE20"/>
  <c r="TD20"/>
  <c r="TC20"/>
  <c r="TM19"/>
  <c r="TL19"/>
  <c r="TK19"/>
  <c r="TJ19"/>
  <c r="TF19"/>
  <c r="TE19"/>
  <c r="TD19"/>
  <c r="TC19"/>
  <c r="TM18"/>
  <c r="TL18"/>
  <c r="TK18"/>
  <c r="TJ18"/>
  <c r="TF18"/>
  <c r="TE18"/>
  <c r="TD18"/>
  <c r="TC18"/>
  <c r="TM17"/>
  <c r="TL17"/>
  <c r="TK17"/>
  <c r="TJ17"/>
  <c r="TF17"/>
  <c r="TE17"/>
  <c r="TD17"/>
  <c r="TC17"/>
  <c r="TM16"/>
  <c r="TL16"/>
  <c r="TK16"/>
  <c r="TJ16"/>
  <c r="TF16"/>
  <c r="TE16"/>
  <c r="TD16"/>
  <c r="TC16"/>
  <c r="TM15"/>
  <c r="TL15"/>
  <c r="TK15"/>
  <c r="TJ15"/>
  <c r="TF15"/>
  <c r="TE15"/>
  <c r="TD15"/>
  <c r="TC15"/>
  <c r="TM14"/>
  <c r="TL14"/>
  <c r="TK14"/>
  <c r="TJ14"/>
  <c r="TF14"/>
  <c r="TE14"/>
  <c r="TD14"/>
  <c r="TC14"/>
  <c r="TM13"/>
  <c r="TL13"/>
  <c r="TK13"/>
  <c r="TJ13"/>
  <c r="TF13"/>
  <c r="TE13"/>
  <c r="TD13"/>
  <c r="TC13"/>
  <c r="TM12"/>
  <c r="TL12"/>
  <c r="TK12"/>
  <c r="TJ12"/>
  <c r="TF12"/>
  <c r="TE12"/>
  <c r="TD12"/>
  <c r="TC12"/>
  <c r="TM11"/>
  <c r="TL11"/>
  <c r="TK11"/>
  <c r="TJ11"/>
  <c r="TF11"/>
  <c r="TE11"/>
  <c r="TD11"/>
  <c r="TC11"/>
  <c r="TM10"/>
  <c r="TL10"/>
  <c r="TK10"/>
  <c r="TJ10"/>
  <c r="TF10"/>
  <c r="TE10"/>
  <c r="TD10"/>
  <c r="TC10"/>
  <c r="TM9"/>
  <c r="TL9"/>
  <c r="TK9"/>
  <c r="TJ9"/>
  <c r="TF9"/>
  <c r="TE9"/>
  <c r="TD9"/>
  <c r="TC9"/>
  <c r="TM8"/>
  <c r="TL8"/>
  <c r="TK8"/>
  <c r="TJ8"/>
  <c r="TF8"/>
  <c r="TE8"/>
  <c r="TD8"/>
  <c r="TC8"/>
  <c r="TM7"/>
  <c r="TL7"/>
  <c r="TK7"/>
  <c r="TJ7"/>
  <c r="TF7"/>
  <c r="TE7"/>
  <c r="TD7"/>
  <c r="TC7"/>
  <c r="TM6"/>
  <c r="TL6"/>
  <c r="TK6"/>
  <c r="TJ6"/>
  <c r="TF6"/>
  <c r="TE6"/>
  <c r="TD6"/>
  <c r="TC6"/>
  <c r="TM5"/>
  <c r="TL5"/>
  <c r="TK5"/>
  <c r="TJ5"/>
  <c r="TE5"/>
  <c r="TD5"/>
  <c r="TC5"/>
  <c r="ST6"/>
  <c r="SU6"/>
  <c r="SV6"/>
  <c r="ST7"/>
  <c r="SU7"/>
  <c r="SV7"/>
  <c r="ST8"/>
  <c r="SU8"/>
  <c r="SV8"/>
  <c r="ST9"/>
  <c r="SU9"/>
  <c r="SV9"/>
  <c r="ST10"/>
  <c r="SU10"/>
  <c r="SV10"/>
  <c r="ST11"/>
  <c r="SU11"/>
  <c r="SV11"/>
  <c r="ST12"/>
  <c r="SU12"/>
  <c r="SV12"/>
  <c r="ST13"/>
  <c r="SU13"/>
  <c r="SV13"/>
  <c r="ST14"/>
  <c r="SU14"/>
  <c r="SV14"/>
  <c r="ST15"/>
  <c r="SU15"/>
  <c r="SV15"/>
  <c r="ST16"/>
  <c r="SU16"/>
  <c r="SV16"/>
  <c r="ST17"/>
  <c r="SU17"/>
  <c r="SV17"/>
  <c r="ST18"/>
  <c r="SU18"/>
  <c r="SV18"/>
  <c r="ST19"/>
  <c r="SU19"/>
  <c r="SV19"/>
  <c r="ST20"/>
  <c r="SU20"/>
  <c r="SV20"/>
  <c r="ST21"/>
  <c r="SU21"/>
  <c r="SV21"/>
  <c r="ST22"/>
  <c r="SU22"/>
  <c r="SV22"/>
  <c r="ST23"/>
  <c r="SU23"/>
  <c r="SV23"/>
  <c r="ST24"/>
  <c r="SU24"/>
  <c r="SV24"/>
  <c r="ST25"/>
  <c r="SU25"/>
  <c r="SV25"/>
  <c r="ST26"/>
  <c r="SU26"/>
  <c r="SV26"/>
  <c r="ST27"/>
  <c r="SU27"/>
  <c r="SV27"/>
  <c r="ST28"/>
  <c r="SU28"/>
  <c r="SV28"/>
  <c r="ST29"/>
  <c r="SU29"/>
  <c r="SV29"/>
  <c r="ST30"/>
  <c r="SU30"/>
  <c r="SV30"/>
  <c r="ST31"/>
  <c r="SU31"/>
  <c r="SV31"/>
  <c r="ST32"/>
  <c r="SU32"/>
  <c r="SV32"/>
  <c r="ST33"/>
  <c r="SU33"/>
  <c r="SV33"/>
  <c r="ST34"/>
  <c r="SU34"/>
  <c r="SV34"/>
  <c r="ST35"/>
  <c r="SU35"/>
  <c r="SV35"/>
  <c r="ST36"/>
  <c r="SU36"/>
  <c r="SV36"/>
  <c r="ST37"/>
  <c r="SU37"/>
  <c r="SV37"/>
  <c r="ST38"/>
  <c r="SU38"/>
  <c r="SV38"/>
  <c r="ST39"/>
  <c r="SU39"/>
  <c r="SV39"/>
  <c r="ST40"/>
  <c r="SU40"/>
  <c r="SV40"/>
  <c r="ST41"/>
  <c r="SU41"/>
  <c r="SV41"/>
  <c r="ST42"/>
  <c r="SU42"/>
  <c r="SV42"/>
  <c r="ST43"/>
  <c r="SU43"/>
  <c r="SV43"/>
  <c r="ST44"/>
  <c r="SU44"/>
  <c r="SV44"/>
  <c r="ST45"/>
  <c r="SU45"/>
  <c r="SV45"/>
  <c r="ST46"/>
  <c r="SU46"/>
  <c r="SV46"/>
  <c r="ST47"/>
  <c r="SU47"/>
  <c r="SV47"/>
  <c r="ST48"/>
  <c r="SU48"/>
  <c r="SV48"/>
  <c r="ST49"/>
  <c r="SU49"/>
  <c r="SV49"/>
  <c r="ST50"/>
  <c r="SU50"/>
  <c r="SV50"/>
  <c r="ST51"/>
  <c r="SU51"/>
  <c r="SV51"/>
  <c r="ST52"/>
  <c r="SU52"/>
  <c r="SV52"/>
  <c r="ST53"/>
  <c r="SU53"/>
  <c r="SV53"/>
  <c r="ST54"/>
  <c r="SU54"/>
  <c r="SV54"/>
  <c r="ST55"/>
  <c r="SU55"/>
  <c r="SV55"/>
  <c r="ST56"/>
  <c r="SU56"/>
  <c r="SV56"/>
  <c r="ST57"/>
  <c r="SU57"/>
  <c r="SV57"/>
  <c r="ST58"/>
  <c r="SU58"/>
  <c r="SV58"/>
  <c r="ST59"/>
  <c r="SU59"/>
  <c r="SV59"/>
  <c r="ST60"/>
  <c r="SU60"/>
  <c r="SV60"/>
  <c r="ST61"/>
  <c r="SU61"/>
  <c r="SV61"/>
  <c r="ST62"/>
  <c r="SU62"/>
  <c r="SV62"/>
  <c r="ST63"/>
  <c r="SU63"/>
  <c r="SV63"/>
  <c r="ST64"/>
  <c r="SU64"/>
  <c r="SV64"/>
  <c r="ST65"/>
  <c r="SU65"/>
  <c r="SV65"/>
  <c r="ST66"/>
  <c r="SU66"/>
  <c r="SV66"/>
  <c r="ST67"/>
  <c r="SU67"/>
  <c r="SV67"/>
  <c r="ST68"/>
  <c r="SU68"/>
  <c r="SV68"/>
  <c r="ST69"/>
  <c r="SU69"/>
  <c r="SV69"/>
  <c r="ST70"/>
  <c r="SU70"/>
  <c r="SV70"/>
  <c r="ST71"/>
  <c r="SU71"/>
  <c r="SV71"/>
  <c r="ST72"/>
  <c r="SU72"/>
  <c r="SV72"/>
  <c r="ST73"/>
  <c r="SU73"/>
  <c r="SV73"/>
  <c r="ST74"/>
  <c r="SU74"/>
  <c r="SV74"/>
  <c r="ST75"/>
  <c r="SU75"/>
  <c r="SV75"/>
  <c r="ST76"/>
  <c r="SU76"/>
  <c r="SV76"/>
  <c r="ST77"/>
  <c r="SU77"/>
  <c r="SV77"/>
  <c r="ST78"/>
  <c r="SU78"/>
  <c r="SV78"/>
  <c r="ST79"/>
  <c r="SU79"/>
  <c r="SV79"/>
  <c r="ST80"/>
  <c r="SU80"/>
  <c r="SV80"/>
  <c r="ST81"/>
  <c r="SU81"/>
  <c r="SV81"/>
  <c r="ST82"/>
  <c r="SU82"/>
  <c r="SV82"/>
  <c r="ST83"/>
  <c r="SU83"/>
  <c r="SV83"/>
  <c r="ST84"/>
  <c r="SU84"/>
  <c r="SV84"/>
  <c r="ST85"/>
  <c r="SU85"/>
  <c r="SV85"/>
  <c r="ST86"/>
  <c r="SU86"/>
  <c r="SV86"/>
  <c r="SV5"/>
  <c r="ST5"/>
  <c r="SU5"/>
  <c r="SS5"/>
  <c r="SZ86"/>
  <c r="SY86"/>
  <c r="SX86"/>
  <c r="SW86"/>
  <c r="SS86"/>
  <c r="SR86"/>
  <c r="SQ86"/>
  <c r="SP86"/>
  <c r="SZ85"/>
  <c r="SY85"/>
  <c r="SX85"/>
  <c r="SW85"/>
  <c r="SS85"/>
  <c r="SR85"/>
  <c r="SQ85"/>
  <c r="SP85"/>
  <c r="SZ84"/>
  <c r="SY84"/>
  <c r="SX84"/>
  <c r="SW84"/>
  <c r="SS84"/>
  <c r="SR84"/>
  <c r="SQ84"/>
  <c r="SP84"/>
  <c r="SZ83"/>
  <c r="SY83"/>
  <c r="SX83"/>
  <c r="SW83"/>
  <c r="SS83"/>
  <c r="SR83"/>
  <c r="SQ83"/>
  <c r="SP83"/>
  <c r="SZ82"/>
  <c r="SY82"/>
  <c r="SX82"/>
  <c r="SW82"/>
  <c r="SS82"/>
  <c r="SR82"/>
  <c r="SQ82"/>
  <c r="SP82"/>
  <c r="SZ81"/>
  <c r="SY81"/>
  <c r="SX81"/>
  <c r="SW81"/>
  <c r="SS81"/>
  <c r="SR81"/>
  <c r="SQ81"/>
  <c r="SP81"/>
  <c r="SZ80"/>
  <c r="SY80"/>
  <c r="SX80"/>
  <c r="SW80"/>
  <c r="SS80"/>
  <c r="SR80"/>
  <c r="SQ80"/>
  <c r="SP80"/>
  <c r="SZ79"/>
  <c r="SY79"/>
  <c r="SX79"/>
  <c r="SW79"/>
  <c r="SS79"/>
  <c r="SR79"/>
  <c r="SQ79"/>
  <c r="SP79"/>
  <c r="SZ78"/>
  <c r="SY78"/>
  <c r="SX78"/>
  <c r="SW78"/>
  <c r="SS78"/>
  <c r="SR78"/>
  <c r="SQ78"/>
  <c r="SP78"/>
  <c r="SZ77"/>
  <c r="SY77"/>
  <c r="SX77"/>
  <c r="SW77"/>
  <c r="SS77"/>
  <c r="SR77"/>
  <c r="SQ77"/>
  <c r="SP77"/>
  <c r="SZ76"/>
  <c r="SY76"/>
  <c r="SX76"/>
  <c r="SW76"/>
  <c r="SS76"/>
  <c r="SR76"/>
  <c r="SQ76"/>
  <c r="SP76"/>
  <c r="SZ75"/>
  <c r="SY75"/>
  <c r="SX75"/>
  <c r="SW75"/>
  <c r="SS75"/>
  <c r="SR75"/>
  <c r="SQ75"/>
  <c r="SP75"/>
  <c r="SZ74"/>
  <c r="SY74"/>
  <c r="SX74"/>
  <c r="SW74"/>
  <c r="SS74"/>
  <c r="SR74"/>
  <c r="SQ74"/>
  <c r="SP74"/>
  <c r="SZ73"/>
  <c r="SY73"/>
  <c r="SX73"/>
  <c r="SW73"/>
  <c r="SS73"/>
  <c r="SR73"/>
  <c r="SQ73"/>
  <c r="SP73"/>
  <c r="SZ72"/>
  <c r="SY72"/>
  <c r="SX72"/>
  <c r="SW72"/>
  <c r="SS72"/>
  <c r="SR72"/>
  <c r="SQ72"/>
  <c r="SP72"/>
  <c r="SZ71"/>
  <c r="SY71"/>
  <c r="SX71"/>
  <c r="SW71"/>
  <c r="SS71"/>
  <c r="SR71"/>
  <c r="SQ71"/>
  <c r="SP71"/>
  <c r="SZ70"/>
  <c r="SY70"/>
  <c r="SX70"/>
  <c r="SW70"/>
  <c r="SS70"/>
  <c r="SR70"/>
  <c r="SQ70"/>
  <c r="SP70"/>
  <c r="SZ69"/>
  <c r="SY69"/>
  <c r="SX69"/>
  <c r="SW69"/>
  <c r="SS69"/>
  <c r="SR69"/>
  <c r="SQ69"/>
  <c r="SP69"/>
  <c r="SZ68"/>
  <c r="SY68"/>
  <c r="SX68"/>
  <c r="SW68"/>
  <c r="SS68"/>
  <c r="SR68"/>
  <c r="SQ68"/>
  <c r="SP68"/>
  <c r="SZ67"/>
  <c r="SY67"/>
  <c r="SX67"/>
  <c r="SW67"/>
  <c r="SS67"/>
  <c r="SR67"/>
  <c r="SQ67"/>
  <c r="SP67"/>
  <c r="SZ66"/>
  <c r="SY66"/>
  <c r="SX66"/>
  <c r="SW66"/>
  <c r="SS66"/>
  <c r="SR66"/>
  <c r="SQ66"/>
  <c r="SP66"/>
  <c r="SZ65"/>
  <c r="SY65"/>
  <c r="SX65"/>
  <c r="SW65"/>
  <c r="SS65"/>
  <c r="SR65"/>
  <c r="SQ65"/>
  <c r="SP65"/>
  <c r="SZ64"/>
  <c r="SY64"/>
  <c r="SX64"/>
  <c r="SW64"/>
  <c r="SS64"/>
  <c r="SR64"/>
  <c r="SQ64"/>
  <c r="SP64"/>
  <c r="SZ63"/>
  <c r="SY63"/>
  <c r="SX63"/>
  <c r="SW63"/>
  <c r="SS63"/>
  <c r="SR63"/>
  <c r="SQ63"/>
  <c r="SP63"/>
  <c r="SZ62"/>
  <c r="SY62"/>
  <c r="SX62"/>
  <c r="SW62"/>
  <c r="SS62"/>
  <c r="SR62"/>
  <c r="SQ62"/>
  <c r="SP62"/>
  <c r="SZ61"/>
  <c r="SY61"/>
  <c r="SX61"/>
  <c r="SW61"/>
  <c r="SS61"/>
  <c r="SR61"/>
  <c r="SQ61"/>
  <c r="SP61"/>
  <c r="SZ60"/>
  <c r="SY60"/>
  <c r="SX60"/>
  <c r="SW60"/>
  <c r="SS60"/>
  <c r="SR60"/>
  <c r="SQ60"/>
  <c r="SP60"/>
  <c r="SZ59"/>
  <c r="SY59"/>
  <c r="SX59"/>
  <c r="SW59"/>
  <c r="SS59"/>
  <c r="SR59"/>
  <c r="SQ59"/>
  <c r="SP59"/>
  <c r="SZ58"/>
  <c r="SY58"/>
  <c r="SX58"/>
  <c r="SW58"/>
  <c r="SS58"/>
  <c r="SR58"/>
  <c r="SQ58"/>
  <c r="SP58"/>
  <c r="SZ57"/>
  <c r="SY57"/>
  <c r="SX57"/>
  <c r="SW57"/>
  <c r="SS57"/>
  <c r="SR57"/>
  <c r="SQ57"/>
  <c r="SP57"/>
  <c r="SZ56"/>
  <c r="SY56"/>
  <c r="SX56"/>
  <c r="SW56"/>
  <c r="SS56"/>
  <c r="SR56"/>
  <c r="SQ56"/>
  <c r="SP56"/>
  <c r="SZ55"/>
  <c r="SY55"/>
  <c r="SX55"/>
  <c r="SW55"/>
  <c r="SS55"/>
  <c r="SR55"/>
  <c r="SQ55"/>
  <c r="SP55"/>
  <c r="SZ54"/>
  <c r="SY54"/>
  <c r="SX54"/>
  <c r="SW54"/>
  <c r="SS54"/>
  <c r="SR54"/>
  <c r="SQ54"/>
  <c r="SP54"/>
  <c r="SZ53"/>
  <c r="SY53"/>
  <c r="SX53"/>
  <c r="SW53"/>
  <c r="SS53"/>
  <c r="SR53"/>
  <c r="SQ53"/>
  <c r="SP53"/>
  <c r="SZ52"/>
  <c r="SY52"/>
  <c r="SX52"/>
  <c r="SW52"/>
  <c r="SS52"/>
  <c r="SR52"/>
  <c r="SQ52"/>
  <c r="SP52"/>
  <c r="SZ51"/>
  <c r="SY51"/>
  <c r="SX51"/>
  <c r="SW51"/>
  <c r="SS51"/>
  <c r="SR51"/>
  <c r="SQ51"/>
  <c r="SP51"/>
  <c r="SZ50"/>
  <c r="SY50"/>
  <c r="SX50"/>
  <c r="SW50"/>
  <c r="SS50"/>
  <c r="SR50"/>
  <c r="SQ50"/>
  <c r="SP50"/>
  <c r="SZ49"/>
  <c r="SY49"/>
  <c r="SX49"/>
  <c r="SW49"/>
  <c r="SS49"/>
  <c r="SR49"/>
  <c r="SQ49"/>
  <c r="SP49"/>
  <c r="SZ48"/>
  <c r="SY48"/>
  <c r="SX48"/>
  <c r="SW48"/>
  <c r="SS48"/>
  <c r="SR48"/>
  <c r="SQ48"/>
  <c r="SP48"/>
  <c r="SZ47"/>
  <c r="SY47"/>
  <c r="SX47"/>
  <c r="SW47"/>
  <c r="SS47"/>
  <c r="SR47"/>
  <c r="SQ47"/>
  <c r="SP47"/>
  <c r="SZ46"/>
  <c r="SY46"/>
  <c r="SX46"/>
  <c r="SW46"/>
  <c r="SS46"/>
  <c r="SR46"/>
  <c r="SQ46"/>
  <c r="SP46"/>
  <c r="SZ45"/>
  <c r="SY45"/>
  <c r="SX45"/>
  <c r="SW45"/>
  <c r="SS45"/>
  <c r="SR45"/>
  <c r="SQ45"/>
  <c r="SP45"/>
  <c r="SZ44"/>
  <c r="SY44"/>
  <c r="SX44"/>
  <c r="SW44"/>
  <c r="SS44"/>
  <c r="SR44"/>
  <c r="SQ44"/>
  <c r="SP44"/>
  <c r="SZ43"/>
  <c r="SY43"/>
  <c r="SX43"/>
  <c r="SW43"/>
  <c r="SS43"/>
  <c r="SR43"/>
  <c r="SQ43"/>
  <c r="SP43"/>
  <c r="SZ42"/>
  <c r="SY42"/>
  <c r="SX42"/>
  <c r="SW42"/>
  <c r="SS42"/>
  <c r="SR42"/>
  <c r="SQ42"/>
  <c r="SP42"/>
  <c r="SZ41"/>
  <c r="SY41"/>
  <c r="SX41"/>
  <c r="SW41"/>
  <c r="SS41"/>
  <c r="SR41"/>
  <c r="SQ41"/>
  <c r="SP41"/>
  <c r="SZ40"/>
  <c r="SY40"/>
  <c r="SX40"/>
  <c r="SW40"/>
  <c r="SS40"/>
  <c r="SR40"/>
  <c r="SQ40"/>
  <c r="SP40"/>
  <c r="SZ39"/>
  <c r="SY39"/>
  <c r="SX39"/>
  <c r="SW39"/>
  <c r="SS39"/>
  <c r="SR39"/>
  <c r="SQ39"/>
  <c r="SP39"/>
  <c r="SZ38"/>
  <c r="SY38"/>
  <c r="SX38"/>
  <c r="SW38"/>
  <c r="SS38"/>
  <c r="SR38"/>
  <c r="SQ38"/>
  <c r="SP38"/>
  <c r="SZ37"/>
  <c r="SY37"/>
  <c r="SX37"/>
  <c r="SW37"/>
  <c r="SS37"/>
  <c r="SR37"/>
  <c r="SQ37"/>
  <c r="SP37"/>
  <c r="SZ36"/>
  <c r="SY36"/>
  <c r="SX36"/>
  <c r="SW36"/>
  <c r="SS36"/>
  <c r="SR36"/>
  <c r="SQ36"/>
  <c r="SP36"/>
  <c r="SZ35"/>
  <c r="SY35"/>
  <c r="SX35"/>
  <c r="SW35"/>
  <c r="SS35"/>
  <c r="SR35"/>
  <c r="SQ35"/>
  <c r="SP35"/>
  <c r="SZ34"/>
  <c r="SY34"/>
  <c r="SX34"/>
  <c r="SW34"/>
  <c r="SS34"/>
  <c r="SR34"/>
  <c r="SQ34"/>
  <c r="SP34"/>
  <c r="SZ33"/>
  <c r="SY33"/>
  <c r="SX33"/>
  <c r="SW33"/>
  <c r="SS33"/>
  <c r="SR33"/>
  <c r="SQ33"/>
  <c r="SP33"/>
  <c r="SZ32"/>
  <c r="SY32"/>
  <c r="SX32"/>
  <c r="SW32"/>
  <c r="SS32"/>
  <c r="SR32"/>
  <c r="SQ32"/>
  <c r="SP32"/>
  <c r="SZ31"/>
  <c r="SY31"/>
  <c r="SX31"/>
  <c r="SW31"/>
  <c r="SS31"/>
  <c r="SR31"/>
  <c r="SQ31"/>
  <c r="SP31"/>
  <c r="SZ30"/>
  <c r="SY30"/>
  <c r="SX30"/>
  <c r="SW30"/>
  <c r="SS30"/>
  <c r="SR30"/>
  <c r="SQ30"/>
  <c r="SP30"/>
  <c r="SZ29"/>
  <c r="SY29"/>
  <c r="SX29"/>
  <c r="SW29"/>
  <c r="SS29"/>
  <c r="SR29"/>
  <c r="SQ29"/>
  <c r="SP29"/>
  <c r="SZ28"/>
  <c r="SY28"/>
  <c r="SX28"/>
  <c r="SW28"/>
  <c r="SS28"/>
  <c r="SR28"/>
  <c r="SQ28"/>
  <c r="SP28"/>
  <c r="SZ27"/>
  <c r="SY27"/>
  <c r="SX27"/>
  <c r="SW27"/>
  <c r="SS27"/>
  <c r="SR27"/>
  <c r="SQ27"/>
  <c r="SP27"/>
  <c r="SZ26"/>
  <c r="SY26"/>
  <c r="SX26"/>
  <c r="SW26"/>
  <c r="SS26"/>
  <c r="SR26"/>
  <c r="SQ26"/>
  <c r="SP26"/>
  <c r="SZ25"/>
  <c r="SY25"/>
  <c r="SX25"/>
  <c r="SW25"/>
  <c r="SS25"/>
  <c r="SR25"/>
  <c r="SQ25"/>
  <c r="SP25"/>
  <c r="SZ24"/>
  <c r="SY24"/>
  <c r="SX24"/>
  <c r="SW24"/>
  <c r="SS24"/>
  <c r="SR24"/>
  <c r="SQ24"/>
  <c r="SP24"/>
  <c r="SZ23"/>
  <c r="SY23"/>
  <c r="SX23"/>
  <c r="SW23"/>
  <c r="SS23"/>
  <c r="SR23"/>
  <c r="SQ23"/>
  <c r="SP23"/>
  <c r="SZ22"/>
  <c r="SY22"/>
  <c r="SX22"/>
  <c r="SW22"/>
  <c r="SS22"/>
  <c r="SR22"/>
  <c r="SQ22"/>
  <c r="SP22"/>
  <c r="SZ21"/>
  <c r="SY21"/>
  <c r="SX21"/>
  <c r="SW21"/>
  <c r="SS21"/>
  <c r="SR21"/>
  <c r="SQ21"/>
  <c r="SP21"/>
  <c r="SZ20"/>
  <c r="SY20"/>
  <c r="SX20"/>
  <c r="SW20"/>
  <c r="SS20"/>
  <c r="SR20"/>
  <c r="SQ20"/>
  <c r="SP20"/>
  <c r="SZ19"/>
  <c r="SY19"/>
  <c r="SX19"/>
  <c r="SW19"/>
  <c r="SS19"/>
  <c r="SR19"/>
  <c r="SQ19"/>
  <c r="SP19"/>
  <c r="SZ18"/>
  <c r="SY18"/>
  <c r="SX18"/>
  <c r="SW18"/>
  <c r="SS18"/>
  <c r="SR18"/>
  <c r="SQ18"/>
  <c r="SP18"/>
  <c r="SZ17"/>
  <c r="SY17"/>
  <c r="SX17"/>
  <c r="SW17"/>
  <c r="SS17"/>
  <c r="SR17"/>
  <c r="SQ17"/>
  <c r="SP17"/>
  <c r="SZ16"/>
  <c r="SY16"/>
  <c r="SX16"/>
  <c r="SW16"/>
  <c r="SS16"/>
  <c r="SR16"/>
  <c r="SQ16"/>
  <c r="SP16"/>
  <c r="SZ15"/>
  <c r="SY15"/>
  <c r="SX15"/>
  <c r="SW15"/>
  <c r="SS15"/>
  <c r="SR15"/>
  <c r="SQ15"/>
  <c r="SP15"/>
  <c r="SZ14"/>
  <c r="SY14"/>
  <c r="SX14"/>
  <c r="SW14"/>
  <c r="SS14"/>
  <c r="SR14"/>
  <c r="SQ14"/>
  <c r="SP14"/>
  <c r="SZ13"/>
  <c r="SY13"/>
  <c r="SX13"/>
  <c r="SW13"/>
  <c r="SS13"/>
  <c r="SR13"/>
  <c r="SQ13"/>
  <c r="SP13"/>
  <c r="SZ12"/>
  <c r="SY12"/>
  <c r="SX12"/>
  <c r="SW12"/>
  <c r="SS12"/>
  <c r="SR12"/>
  <c r="SQ12"/>
  <c r="SP12"/>
  <c r="SZ11"/>
  <c r="SY11"/>
  <c r="SX11"/>
  <c r="SW11"/>
  <c r="SS11"/>
  <c r="SR11"/>
  <c r="SQ11"/>
  <c r="SP11"/>
  <c r="SZ10"/>
  <c r="SY10"/>
  <c r="SX10"/>
  <c r="SW10"/>
  <c r="SS10"/>
  <c r="SR10"/>
  <c r="SQ10"/>
  <c r="SP10"/>
  <c r="SZ9"/>
  <c r="SY9"/>
  <c r="SX9"/>
  <c r="SW9"/>
  <c r="SS9"/>
  <c r="SR9"/>
  <c r="SQ9"/>
  <c r="SP9"/>
  <c r="SZ8"/>
  <c r="SY8"/>
  <c r="SX8"/>
  <c r="SW8"/>
  <c r="SS8"/>
  <c r="SR8"/>
  <c r="SQ8"/>
  <c r="SP8"/>
  <c r="SZ7"/>
  <c r="SY7"/>
  <c r="SX7"/>
  <c r="SW7"/>
  <c r="SS7"/>
  <c r="SR7"/>
  <c r="SQ7"/>
  <c r="SP7"/>
  <c r="SZ6"/>
  <c r="SY6"/>
  <c r="SX6"/>
  <c r="SW6"/>
  <c r="SS6"/>
  <c r="SR6"/>
  <c r="SQ6"/>
  <c r="SP6"/>
  <c r="SZ5"/>
  <c r="SY5"/>
  <c r="SX5"/>
  <c r="SW5"/>
  <c r="SR5"/>
  <c r="SQ5"/>
  <c r="SP5"/>
  <c r="SG6"/>
  <c r="SH6"/>
  <c r="SI6"/>
  <c r="SG7"/>
  <c r="SH7"/>
  <c r="SI7"/>
  <c r="SG8"/>
  <c r="SH8"/>
  <c r="SI8"/>
  <c r="SG9"/>
  <c r="SH9"/>
  <c r="SI9"/>
  <c r="SG10"/>
  <c r="SH10"/>
  <c r="SI10"/>
  <c r="SG11"/>
  <c r="SH11"/>
  <c r="SI11"/>
  <c r="SG12"/>
  <c r="SH12"/>
  <c r="SI12"/>
  <c r="SG13"/>
  <c r="SH13"/>
  <c r="SI13"/>
  <c r="SG14"/>
  <c r="SH14"/>
  <c r="SI14"/>
  <c r="SG15"/>
  <c r="SH15"/>
  <c r="SI15"/>
  <c r="SG16"/>
  <c r="SH16"/>
  <c r="SI16"/>
  <c r="SG17"/>
  <c r="SH17"/>
  <c r="SI17"/>
  <c r="SG18"/>
  <c r="SH18"/>
  <c r="SI18"/>
  <c r="SG19"/>
  <c r="SH19"/>
  <c r="SI19"/>
  <c r="SG20"/>
  <c r="SH20"/>
  <c r="SI20"/>
  <c r="SG21"/>
  <c r="SH21"/>
  <c r="SI21"/>
  <c r="SG22"/>
  <c r="SH22"/>
  <c r="SI22"/>
  <c r="SG23"/>
  <c r="SH23"/>
  <c r="SI23"/>
  <c r="SG24"/>
  <c r="SH24"/>
  <c r="SI24"/>
  <c r="SG25"/>
  <c r="SH25"/>
  <c r="SI25"/>
  <c r="SG26"/>
  <c r="SH26"/>
  <c r="SI26"/>
  <c r="SG27"/>
  <c r="SH27"/>
  <c r="SI27"/>
  <c r="SG28"/>
  <c r="SH28"/>
  <c r="SI28"/>
  <c r="SG29"/>
  <c r="SH29"/>
  <c r="SI29"/>
  <c r="SG30"/>
  <c r="SH30"/>
  <c r="SI30"/>
  <c r="SG31"/>
  <c r="SH31"/>
  <c r="SI31"/>
  <c r="SG32"/>
  <c r="SH32"/>
  <c r="SI32"/>
  <c r="SG33"/>
  <c r="SH33"/>
  <c r="SI33"/>
  <c r="SG34"/>
  <c r="SH34"/>
  <c r="SI34"/>
  <c r="SG35"/>
  <c r="SH35"/>
  <c r="SI35"/>
  <c r="SG36"/>
  <c r="SH36"/>
  <c r="SI36"/>
  <c r="SG37"/>
  <c r="SH37"/>
  <c r="SI37"/>
  <c r="SG38"/>
  <c r="SH38"/>
  <c r="SI38"/>
  <c r="SG39"/>
  <c r="SH39"/>
  <c r="SI39"/>
  <c r="SG40"/>
  <c r="SH40"/>
  <c r="SI40"/>
  <c r="SG41"/>
  <c r="SH41"/>
  <c r="SI41"/>
  <c r="SG42"/>
  <c r="SH42"/>
  <c r="SI42"/>
  <c r="SG43"/>
  <c r="SH43"/>
  <c r="SI43"/>
  <c r="SG44"/>
  <c r="SH44"/>
  <c r="SI44"/>
  <c r="SG45"/>
  <c r="SH45"/>
  <c r="SI45"/>
  <c r="SG46"/>
  <c r="SH46"/>
  <c r="SI46"/>
  <c r="SG47"/>
  <c r="SH47"/>
  <c r="SI47"/>
  <c r="SG48"/>
  <c r="SH48"/>
  <c r="SI48"/>
  <c r="SG49"/>
  <c r="SH49"/>
  <c r="SI49"/>
  <c r="SG50"/>
  <c r="SH50"/>
  <c r="SI50"/>
  <c r="SG51"/>
  <c r="SH51"/>
  <c r="SI51"/>
  <c r="SG52"/>
  <c r="SH52"/>
  <c r="SI52"/>
  <c r="SG53"/>
  <c r="SH53"/>
  <c r="SI53"/>
  <c r="SG54"/>
  <c r="SH54"/>
  <c r="SI54"/>
  <c r="SG55"/>
  <c r="SH55"/>
  <c r="SI55"/>
  <c r="SG56"/>
  <c r="SH56"/>
  <c r="SI56"/>
  <c r="SG57"/>
  <c r="SH57"/>
  <c r="SI57"/>
  <c r="SG58"/>
  <c r="SH58"/>
  <c r="SI58"/>
  <c r="SG59"/>
  <c r="SH59"/>
  <c r="SI59"/>
  <c r="SG60"/>
  <c r="SH60"/>
  <c r="SI60"/>
  <c r="SG61"/>
  <c r="SH61"/>
  <c r="SI61"/>
  <c r="SG62"/>
  <c r="SH62"/>
  <c r="SI62"/>
  <c r="SG63"/>
  <c r="SH63"/>
  <c r="SI63"/>
  <c r="SG64"/>
  <c r="SH64"/>
  <c r="SI64"/>
  <c r="SG65"/>
  <c r="SH65"/>
  <c r="SI65"/>
  <c r="SG66"/>
  <c r="SH66"/>
  <c r="SI66"/>
  <c r="SG67"/>
  <c r="SH67"/>
  <c r="SI67"/>
  <c r="SG68"/>
  <c r="SH68"/>
  <c r="SI68"/>
  <c r="SG69"/>
  <c r="SH69"/>
  <c r="SI69"/>
  <c r="SG70"/>
  <c r="SH70"/>
  <c r="SI70"/>
  <c r="SG71"/>
  <c r="SH71"/>
  <c r="SI71"/>
  <c r="SG72"/>
  <c r="SH72"/>
  <c r="SI72"/>
  <c r="SG73"/>
  <c r="SH73"/>
  <c r="SI73"/>
  <c r="SG74"/>
  <c r="SH74"/>
  <c r="SI74"/>
  <c r="SG75"/>
  <c r="SH75"/>
  <c r="SI75"/>
  <c r="SG76"/>
  <c r="SH76"/>
  <c r="SI76"/>
  <c r="SG77"/>
  <c r="SH77"/>
  <c r="SI77"/>
  <c r="SG78"/>
  <c r="SH78"/>
  <c r="SI78"/>
  <c r="SG79"/>
  <c r="SH79"/>
  <c r="SI79"/>
  <c r="SG80"/>
  <c r="SH80"/>
  <c r="SI80"/>
  <c r="SG81"/>
  <c r="SH81"/>
  <c r="SI81"/>
  <c r="SG82"/>
  <c r="SH82"/>
  <c r="SI82"/>
  <c r="SI5"/>
  <c r="SG5"/>
  <c r="SH5"/>
  <c r="SF5"/>
  <c r="SM82"/>
  <c r="SL82"/>
  <c r="SK82"/>
  <c r="SJ82"/>
  <c r="SF82"/>
  <c r="SE82"/>
  <c r="SD82"/>
  <c r="SC82"/>
  <c r="SM81"/>
  <c r="SL81"/>
  <c r="SK81"/>
  <c r="SJ81"/>
  <c r="SF81"/>
  <c r="SE81"/>
  <c r="SD81"/>
  <c r="SC81"/>
  <c r="SM80"/>
  <c r="SL80"/>
  <c r="SK80"/>
  <c r="SJ80"/>
  <c r="SF80"/>
  <c r="SE80"/>
  <c r="SD80"/>
  <c r="SC80"/>
  <c r="SM79"/>
  <c r="SL79"/>
  <c r="SK79"/>
  <c r="SJ79"/>
  <c r="SF79"/>
  <c r="SE79"/>
  <c r="SD79"/>
  <c r="SC79"/>
  <c r="SM78"/>
  <c r="SL78"/>
  <c r="SK78"/>
  <c r="SJ78"/>
  <c r="SF78"/>
  <c r="SE78"/>
  <c r="SD78"/>
  <c r="SC78"/>
  <c r="SM77"/>
  <c r="SL77"/>
  <c r="SK77"/>
  <c r="SJ77"/>
  <c r="SF77"/>
  <c r="SE77"/>
  <c r="SD77"/>
  <c r="SC77"/>
  <c r="SM76"/>
  <c r="SL76"/>
  <c r="SK76"/>
  <c r="SJ76"/>
  <c r="SF76"/>
  <c r="SE76"/>
  <c r="SD76"/>
  <c r="SC76"/>
  <c r="SM75"/>
  <c r="SL75"/>
  <c r="SK75"/>
  <c r="SJ75"/>
  <c r="SF75"/>
  <c r="SE75"/>
  <c r="SD75"/>
  <c r="SC75"/>
  <c r="SM74"/>
  <c r="SL74"/>
  <c r="SK74"/>
  <c r="SJ74"/>
  <c r="SF74"/>
  <c r="SE74"/>
  <c r="SD74"/>
  <c r="SC74"/>
  <c r="SM73"/>
  <c r="SL73"/>
  <c r="SK73"/>
  <c r="SJ73"/>
  <c r="SF73"/>
  <c r="SE73"/>
  <c r="SD73"/>
  <c r="SC73"/>
  <c r="SM72"/>
  <c r="SL72"/>
  <c r="SK72"/>
  <c r="SJ72"/>
  <c r="SF72"/>
  <c r="SE72"/>
  <c r="SD72"/>
  <c r="SC72"/>
  <c r="SM71"/>
  <c r="SL71"/>
  <c r="SK71"/>
  <c r="SJ71"/>
  <c r="SF71"/>
  <c r="SE71"/>
  <c r="SD71"/>
  <c r="SC71"/>
  <c r="SM70"/>
  <c r="SL70"/>
  <c r="SK70"/>
  <c r="SJ70"/>
  <c r="SF70"/>
  <c r="SE70"/>
  <c r="SD70"/>
  <c r="SC70"/>
  <c r="SM69"/>
  <c r="SL69"/>
  <c r="SK69"/>
  <c r="SJ69"/>
  <c r="SF69"/>
  <c r="SE69"/>
  <c r="SD69"/>
  <c r="SC69"/>
  <c r="SM68"/>
  <c r="SL68"/>
  <c r="SK68"/>
  <c r="SJ68"/>
  <c r="SF68"/>
  <c r="SE68"/>
  <c r="SD68"/>
  <c r="SC68"/>
  <c r="SM67"/>
  <c r="SL67"/>
  <c r="SK67"/>
  <c r="SJ67"/>
  <c r="SF67"/>
  <c r="SE67"/>
  <c r="SD67"/>
  <c r="SC67"/>
  <c r="SM66"/>
  <c r="SL66"/>
  <c r="SK66"/>
  <c r="SJ66"/>
  <c r="SF66"/>
  <c r="SE66"/>
  <c r="SD66"/>
  <c r="SC66"/>
  <c r="SM65"/>
  <c r="SL65"/>
  <c r="SK65"/>
  <c r="SJ65"/>
  <c r="SF65"/>
  <c r="SE65"/>
  <c r="SD65"/>
  <c r="SC65"/>
  <c r="SM64"/>
  <c r="SL64"/>
  <c r="SK64"/>
  <c r="SJ64"/>
  <c r="SF64"/>
  <c r="SE64"/>
  <c r="SD64"/>
  <c r="SC64"/>
  <c r="SM63"/>
  <c r="SL63"/>
  <c r="SK63"/>
  <c r="SJ63"/>
  <c r="SF63"/>
  <c r="SE63"/>
  <c r="SD63"/>
  <c r="SC63"/>
  <c r="SM62"/>
  <c r="SL62"/>
  <c r="SK62"/>
  <c r="SJ62"/>
  <c r="SF62"/>
  <c r="SE62"/>
  <c r="SD62"/>
  <c r="SC62"/>
  <c r="SM61"/>
  <c r="SL61"/>
  <c r="SK61"/>
  <c r="SJ61"/>
  <c r="SF61"/>
  <c r="SE61"/>
  <c r="SD61"/>
  <c r="SC61"/>
  <c r="SM60"/>
  <c r="SL60"/>
  <c r="SK60"/>
  <c r="SJ60"/>
  <c r="SF60"/>
  <c r="SE60"/>
  <c r="SD60"/>
  <c r="SC60"/>
  <c r="SM59"/>
  <c r="SL59"/>
  <c r="SK59"/>
  <c r="SJ59"/>
  <c r="SF59"/>
  <c r="SE59"/>
  <c r="SD59"/>
  <c r="SC59"/>
  <c r="SM58"/>
  <c r="SL58"/>
  <c r="SK58"/>
  <c r="SJ58"/>
  <c r="SF58"/>
  <c r="SE58"/>
  <c r="SD58"/>
  <c r="SC58"/>
  <c r="SM57"/>
  <c r="SL57"/>
  <c r="SK57"/>
  <c r="SJ57"/>
  <c r="SF57"/>
  <c r="SE57"/>
  <c r="SD57"/>
  <c r="SC57"/>
  <c r="SM56"/>
  <c r="SL56"/>
  <c r="SK56"/>
  <c r="SJ56"/>
  <c r="SF56"/>
  <c r="SE56"/>
  <c r="SD56"/>
  <c r="SC56"/>
  <c r="SM55"/>
  <c r="SL55"/>
  <c r="SK55"/>
  <c r="SJ55"/>
  <c r="SF55"/>
  <c r="SE55"/>
  <c r="SD55"/>
  <c r="SC55"/>
  <c r="SM54"/>
  <c r="SL54"/>
  <c r="SK54"/>
  <c r="SJ54"/>
  <c r="SF54"/>
  <c r="SE54"/>
  <c r="SD54"/>
  <c r="SC54"/>
  <c r="SM53"/>
  <c r="SL53"/>
  <c r="SK53"/>
  <c r="SJ53"/>
  <c r="SF53"/>
  <c r="SE53"/>
  <c r="SD53"/>
  <c r="SC53"/>
  <c r="SM52"/>
  <c r="SL52"/>
  <c r="SK52"/>
  <c r="SJ52"/>
  <c r="SF52"/>
  <c r="SE52"/>
  <c r="SD52"/>
  <c r="SC52"/>
  <c r="SM51"/>
  <c r="SL51"/>
  <c r="SK51"/>
  <c r="SJ51"/>
  <c r="SF51"/>
  <c r="SE51"/>
  <c r="SD51"/>
  <c r="SC51"/>
  <c r="SM50"/>
  <c r="SL50"/>
  <c r="SK50"/>
  <c r="SJ50"/>
  <c r="SF50"/>
  <c r="SE50"/>
  <c r="SD50"/>
  <c r="SC50"/>
  <c r="SM49"/>
  <c r="SL49"/>
  <c r="SK49"/>
  <c r="SJ49"/>
  <c r="SF49"/>
  <c r="SE49"/>
  <c r="SD49"/>
  <c r="SC49"/>
  <c r="SM48"/>
  <c r="SL48"/>
  <c r="SK48"/>
  <c r="SJ48"/>
  <c r="SF48"/>
  <c r="SE48"/>
  <c r="SD48"/>
  <c r="SC48"/>
  <c r="SM47"/>
  <c r="SL47"/>
  <c r="SK47"/>
  <c r="SJ47"/>
  <c r="SF47"/>
  <c r="SE47"/>
  <c r="SD47"/>
  <c r="SC47"/>
  <c r="SM46"/>
  <c r="SL46"/>
  <c r="SK46"/>
  <c r="SJ46"/>
  <c r="SF46"/>
  <c r="SE46"/>
  <c r="SD46"/>
  <c r="SC46"/>
  <c r="SM45"/>
  <c r="SL45"/>
  <c r="SK45"/>
  <c r="SJ45"/>
  <c r="SF45"/>
  <c r="SE45"/>
  <c r="SD45"/>
  <c r="SC45"/>
  <c r="SM44"/>
  <c r="SL44"/>
  <c r="SK44"/>
  <c r="SJ44"/>
  <c r="SF44"/>
  <c r="SE44"/>
  <c r="SD44"/>
  <c r="SC44"/>
  <c r="SM43"/>
  <c r="SL43"/>
  <c r="SK43"/>
  <c r="SJ43"/>
  <c r="SF43"/>
  <c r="SE43"/>
  <c r="SD43"/>
  <c r="SC43"/>
  <c r="SM42"/>
  <c r="SL42"/>
  <c r="SK42"/>
  <c r="SJ42"/>
  <c r="SF42"/>
  <c r="SE42"/>
  <c r="SD42"/>
  <c r="SC42"/>
  <c r="SM41"/>
  <c r="SL41"/>
  <c r="SK41"/>
  <c r="SJ41"/>
  <c r="SF41"/>
  <c r="SE41"/>
  <c r="SD41"/>
  <c r="SC41"/>
  <c r="SM40"/>
  <c r="SL40"/>
  <c r="SK40"/>
  <c r="SJ40"/>
  <c r="SF40"/>
  <c r="SE40"/>
  <c r="SD40"/>
  <c r="SC40"/>
  <c r="SM39"/>
  <c r="SL39"/>
  <c r="SK39"/>
  <c r="SJ39"/>
  <c r="SF39"/>
  <c r="SE39"/>
  <c r="SD39"/>
  <c r="SC39"/>
  <c r="SM38"/>
  <c r="SL38"/>
  <c r="SK38"/>
  <c r="SJ38"/>
  <c r="SF38"/>
  <c r="SE38"/>
  <c r="SD38"/>
  <c r="SC38"/>
  <c r="SM37"/>
  <c r="SL37"/>
  <c r="SK37"/>
  <c r="SJ37"/>
  <c r="SF37"/>
  <c r="SE37"/>
  <c r="SD37"/>
  <c r="SC37"/>
  <c r="SM36"/>
  <c r="SL36"/>
  <c r="SK36"/>
  <c r="SJ36"/>
  <c r="SF36"/>
  <c r="SE36"/>
  <c r="SD36"/>
  <c r="SC36"/>
  <c r="SM35"/>
  <c r="SL35"/>
  <c r="SK35"/>
  <c r="SJ35"/>
  <c r="SF35"/>
  <c r="SE35"/>
  <c r="SD35"/>
  <c r="SC35"/>
  <c r="SM34"/>
  <c r="SL34"/>
  <c r="SK34"/>
  <c r="SJ34"/>
  <c r="SF34"/>
  <c r="SE34"/>
  <c r="SD34"/>
  <c r="SC34"/>
  <c r="SM33"/>
  <c r="SL33"/>
  <c r="SK33"/>
  <c r="SJ33"/>
  <c r="SF33"/>
  <c r="SE33"/>
  <c r="SD33"/>
  <c r="SC33"/>
  <c r="SM32"/>
  <c r="SL32"/>
  <c r="SK32"/>
  <c r="SJ32"/>
  <c r="SF32"/>
  <c r="SE32"/>
  <c r="SD32"/>
  <c r="SC32"/>
  <c r="SM31"/>
  <c r="SL31"/>
  <c r="SK31"/>
  <c r="SJ31"/>
  <c r="SF31"/>
  <c r="SE31"/>
  <c r="SD31"/>
  <c r="SC31"/>
  <c r="SM30"/>
  <c r="SL30"/>
  <c r="SK30"/>
  <c r="SJ30"/>
  <c r="SF30"/>
  <c r="SE30"/>
  <c r="SD30"/>
  <c r="SC30"/>
  <c r="SM29"/>
  <c r="SL29"/>
  <c r="SK29"/>
  <c r="SJ29"/>
  <c r="SF29"/>
  <c r="SE29"/>
  <c r="SD29"/>
  <c r="SC29"/>
  <c r="SM28"/>
  <c r="SL28"/>
  <c r="SK28"/>
  <c r="SJ28"/>
  <c r="SF28"/>
  <c r="SE28"/>
  <c r="SD28"/>
  <c r="SC28"/>
  <c r="SM27"/>
  <c r="SL27"/>
  <c r="SK27"/>
  <c r="SJ27"/>
  <c r="SF27"/>
  <c r="SE27"/>
  <c r="SD27"/>
  <c r="SC27"/>
  <c r="SM26"/>
  <c r="SL26"/>
  <c r="SK26"/>
  <c r="SJ26"/>
  <c r="SF26"/>
  <c r="SE26"/>
  <c r="SD26"/>
  <c r="SC26"/>
  <c r="SM25"/>
  <c r="SL25"/>
  <c r="SK25"/>
  <c r="SJ25"/>
  <c r="SF25"/>
  <c r="SE25"/>
  <c r="SD25"/>
  <c r="SC25"/>
  <c r="SM24"/>
  <c r="SL24"/>
  <c r="SK24"/>
  <c r="SJ24"/>
  <c r="SF24"/>
  <c r="SE24"/>
  <c r="SD24"/>
  <c r="SC24"/>
  <c r="SM23"/>
  <c r="SL23"/>
  <c r="SK23"/>
  <c r="SJ23"/>
  <c r="SF23"/>
  <c r="SE23"/>
  <c r="SD23"/>
  <c r="SC23"/>
  <c r="SM22"/>
  <c r="SL22"/>
  <c r="SK22"/>
  <c r="SJ22"/>
  <c r="SF22"/>
  <c r="SE22"/>
  <c r="SD22"/>
  <c r="SC22"/>
  <c r="SM21"/>
  <c r="SL21"/>
  <c r="SK21"/>
  <c r="SJ21"/>
  <c r="SF21"/>
  <c r="SE21"/>
  <c r="SD21"/>
  <c r="SC21"/>
  <c r="SM20"/>
  <c r="SL20"/>
  <c r="SK20"/>
  <c r="SJ20"/>
  <c r="SF20"/>
  <c r="SE20"/>
  <c r="SD20"/>
  <c r="SC20"/>
  <c r="SM19"/>
  <c r="SL19"/>
  <c r="SK19"/>
  <c r="SJ19"/>
  <c r="SF19"/>
  <c r="SE19"/>
  <c r="SD19"/>
  <c r="SC19"/>
  <c r="SM18"/>
  <c r="SL18"/>
  <c r="SK18"/>
  <c r="SJ18"/>
  <c r="SF18"/>
  <c r="SE18"/>
  <c r="SD18"/>
  <c r="SC18"/>
  <c r="SM17"/>
  <c r="SL17"/>
  <c r="SK17"/>
  <c r="SJ17"/>
  <c r="SF17"/>
  <c r="SE17"/>
  <c r="SD17"/>
  <c r="SC17"/>
  <c r="SM16"/>
  <c r="SL16"/>
  <c r="SK16"/>
  <c r="SJ16"/>
  <c r="SF16"/>
  <c r="SE16"/>
  <c r="SD16"/>
  <c r="SC16"/>
  <c r="SM15"/>
  <c r="SL15"/>
  <c r="SK15"/>
  <c r="SJ15"/>
  <c r="SF15"/>
  <c r="SE15"/>
  <c r="SD15"/>
  <c r="SC15"/>
  <c r="SM14"/>
  <c r="SL14"/>
  <c r="SK14"/>
  <c r="SJ14"/>
  <c r="SF14"/>
  <c r="SE14"/>
  <c r="SD14"/>
  <c r="SC14"/>
  <c r="SM13"/>
  <c r="SL13"/>
  <c r="SK13"/>
  <c r="SJ13"/>
  <c r="SF13"/>
  <c r="SE13"/>
  <c r="SD13"/>
  <c r="SC13"/>
  <c r="SM12"/>
  <c r="SL12"/>
  <c r="SK12"/>
  <c r="SJ12"/>
  <c r="SF12"/>
  <c r="SE12"/>
  <c r="SD12"/>
  <c r="SC12"/>
  <c r="SM11"/>
  <c r="SL11"/>
  <c r="SK11"/>
  <c r="SJ11"/>
  <c r="SF11"/>
  <c r="SE11"/>
  <c r="SD11"/>
  <c r="SC11"/>
  <c r="SM10"/>
  <c r="SL10"/>
  <c r="SK10"/>
  <c r="SJ10"/>
  <c r="SF10"/>
  <c r="SE10"/>
  <c r="SD10"/>
  <c r="SC10"/>
  <c r="SM9"/>
  <c r="SL9"/>
  <c r="SK9"/>
  <c r="SJ9"/>
  <c r="SF9"/>
  <c r="SE9"/>
  <c r="SD9"/>
  <c r="SC9"/>
  <c r="SM8"/>
  <c r="SL8"/>
  <c r="SK8"/>
  <c r="SJ8"/>
  <c r="SF8"/>
  <c r="SE8"/>
  <c r="SD8"/>
  <c r="SC8"/>
  <c r="SM7"/>
  <c r="SL7"/>
  <c r="SK7"/>
  <c r="SJ7"/>
  <c r="SF7"/>
  <c r="SE7"/>
  <c r="SD7"/>
  <c r="SC7"/>
  <c r="SM6"/>
  <c r="SL6"/>
  <c r="SK6"/>
  <c r="SJ6"/>
  <c r="SF6"/>
  <c r="SE6"/>
  <c r="SD6"/>
  <c r="SC6"/>
  <c r="SM5"/>
  <c r="SL5"/>
  <c r="SK5"/>
  <c r="SJ5"/>
  <c r="SE5"/>
  <c r="SD5"/>
  <c r="SC5"/>
  <c r="RT6"/>
  <c r="RU6"/>
  <c r="RV6"/>
  <c r="RT7"/>
  <c r="RU7"/>
  <c r="RV7"/>
  <c r="RT8"/>
  <c r="RU8"/>
  <c r="RV8"/>
  <c r="RT9"/>
  <c r="RU9"/>
  <c r="RV9"/>
  <c r="RT10"/>
  <c r="RU10"/>
  <c r="RV10"/>
  <c r="RT11"/>
  <c r="RU11"/>
  <c r="RV11"/>
  <c r="RT12"/>
  <c r="RU12"/>
  <c r="RV12"/>
  <c r="RT13"/>
  <c r="RU13"/>
  <c r="RV13"/>
  <c r="RT14"/>
  <c r="RU14"/>
  <c r="RV14"/>
  <c r="RT15"/>
  <c r="RU15"/>
  <c r="RV15"/>
  <c r="RT16"/>
  <c r="RU16"/>
  <c r="RV16"/>
  <c r="RT17"/>
  <c r="RU17"/>
  <c r="RV17"/>
  <c r="RT18"/>
  <c r="RU18"/>
  <c r="RV18"/>
  <c r="RT19"/>
  <c r="RU19"/>
  <c r="RV19"/>
  <c r="RT20"/>
  <c r="RU20"/>
  <c r="RV20"/>
  <c r="RT21"/>
  <c r="RU21"/>
  <c r="RV21"/>
  <c r="RT22"/>
  <c r="RU22"/>
  <c r="RV22"/>
  <c r="RT23"/>
  <c r="RU23"/>
  <c r="RV23"/>
  <c r="RT24"/>
  <c r="RU24"/>
  <c r="RV24"/>
  <c r="RT25"/>
  <c r="RU25"/>
  <c r="RV25"/>
  <c r="RT26"/>
  <c r="RU26"/>
  <c r="RV26"/>
  <c r="RT27"/>
  <c r="RU27"/>
  <c r="RV27"/>
  <c r="RT28"/>
  <c r="RU28"/>
  <c r="RV28"/>
  <c r="RT29"/>
  <c r="RU29"/>
  <c r="RV29"/>
  <c r="RT30"/>
  <c r="RU30"/>
  <c r="RV30"/>
  <c r="RT31"/>
  <c r="RU31"/>
  <c r="RV31"/>
  <c r="RT32"/>
  <c r="RU32"/>
  <c r="RV32"/>
  <c r="RT33"/>
  <c r="RU33"/>
  <c r="RV33"/>
  <c r="RT34"/>
  <c r="RU34"/>
  <c r="RV34"/>
  <c r="RT35"/>
  <c r="RU35"/>
  <c r="RV35"/>
  <c r="RT36"/>
  <c r="RU36"/>
  <c r="RV36"/>
  <c r="RT37"/>
  <c r="RU37"/>
  <c r="RV37"/>
  <c r="RT38"/>
  <c r="RU38"/>
  <c r="RV38"/>
  <c r="RT39"/>
  <c r="RU39"/>
  <c r="RV39"/>
  <c r="RT40"/>
  <c r="RU40"/>
  <c r="RV40"/>
  <c r="RT41"/>
  <c r="RU41"/>
  <c r="RV41"/>
  <c r="RT42"/>
  <c r="RU42"/>
  <c r="RV42"/>
  <c r="RT43"/>
  <c r="RU43"/>
  <c r="RV43"/>
  <c r="RT44"/>
  <c r="RU44"/>
  <c r="RV44"/>
  <c r="RT45"/>
  <c r="RU45"/>
  <c r="RV45"/>
  <c r="RT46"/>
  <c r="RU46"/>
  <c r="RV46"/>
  <c r="RT47"/>
  <c r="RU47"/>
  <c r="RV47"/>
  <c r="RT48"/>
  <c r="RU48"/>
  <c r="RV48"/>
  <c r="RT49"/>
  <c r="RU49"/>
  <c r="RV49"/>
  <c r="RT50"/>
  <c r="RU50"/>
  <c r="RV50"/>
  <c r="RT51"/>
  <c r="RU51"/>
  <c r="RV51"/>
  <c r="RT52"/>
  <c r="RU52"/>
  <c r="RV52"/>
  <c r="RT53"/>
  <c r="RU53"/>
  <c r="RV53"/>
  <c r="RT54"/>
  <c r="RU54"/>
  <c r="RV54"/>
  <c r="RT55"/>
  <c r="RU55"/>
  <c r="RV55"/>
  <c r="RT56"/>
  <c r="RU56"/>
  <c r="RV56"/>
  <c r="RT57"/>
  <c r="RU57"/>
  <c r="RV57"/>
  <c r="RT58"/>
  <c r="RU58"/>
  <c r="RV58"/>
  <c r="RT59"/>
  <c r="RU59"/>
  <c r="RV59"/>
  <c r="RT60"/>
  <c r="RU60"/>
  <c r="RV60"/>
  <c r="RT61"/>
  <c r="RU61"/>
  <c r="RV61"/>
  <c r="RT62"/>
  <c r="RU62"/>
  <c r="RV62"/>
  <c r="RT63"/>
  <c r="RU63"/>
  <c r="RV63"/>
  <c r="RT64"/>
  <c r="RU64"/>
  <c r="RV64"/>
  <c r="RT65"/>
  <c r="RU65"/>
  <c r="RV65"/>
  <c r="RT66"/>
  <c r="RU66"/>
  <c r="RV66"/>
  <c r="RT67"/>
  <c r="RU67"/>
  <c r="RV67"/>
  <c r="RT68"/>
  <c r="RU68"/>
  <c r="RV68"/>
  <c r="RT69"/>
  <c r="RU69"/>
  <c r="RV69"/>
  <c r="RT70"/>
  <c r="RU70"/>
  <c r="RV70"/>
  <c r="RT71"/>
  <c r="RU71"/>
  <c r="RV71"/>
  <c r="RT72"/>
  <c r="RU72"/>
  <c r="RV72"/>
  <c r="RT73"/>
  <c r="RU73"/>
  <c r="RV73"/>
  <c r="RT74"/>
  <c r="RU74"/>
  <c r="RV74"/>
  <c r="RT75"/>
  <c r="RU75"/>
  <c r="RV75"/>
  <c r="RT76"/>
  <c r="RU76"/>
  <c r="RV76"/>
  <c r="RT77"/>
  <c r="RU77"/>
  <c r="RV77"/>
  <c r="RT78"/>
  <c r="RU78"/>
  <c r="RV78"/>
  <c r="RT79"/>
  <c r="RU79"/>
  <c r="RV79"/>
  <c r="RT80"/>
  <c r="RU80"/>
  <c r="RV80"/>
  <c r="RT81"/>
  <c r="RU81"/>
  <c r="RV81"/>
  <c r="RT82"/>
  <c r="RU82"/>
  <c r="RV82"/>
  <c r="RT83"/>
  <c r="RU83"/>
  <c r="RV83"/>
  <c r="RT84"/>
  <c r="RU84"/>
  <c r="RV84"/>
  <c r="RT85"/>
  <c r="RU85"/>
  <c r="RV85"/>
  <c r="RT86"/>
  <c r="RU86"/>
  <c r="RV86"/>
  <c r="RV5"/>
  <c r="RT5"/>
  <c r="RU5"/>
  <c r="RS5"/>
  <c r="RZ86"/>
  <c r="RY86"/>
  <c r="RX86"/>
  <c r="RW86"/>
  <c r="RS86"/>
  <c r="RR86"/>
  <c r="RQ86"/>
  <c r="RP86"/>
  <c r="RZ85"/>
  <c r="RY85"/>
  <c r="RX85"/>
  <c r="RW85"/>
  <c r="RS85"/>
  <c r="RR85"/>
  <c r="RQ85"/>
  <c r="RP85"/>
  <c r="RZ84"/>
  <c r="RY84"/>
  <c r="RX84"/>
  <c r="RW84"/>
  <c r="RS84"/>
  <c r="RR84"/>
  <c r="RQ84"/>
  <c r="RP84"/>
  <c r="RZ83"/>
  <c r="RY83"/>
  <c r="RX83"/>
  <c r="RW83"/>
  <c r="RS83"/>
  <c r="RR83"/>
  <c r="RQ83"/>
  <c r="RP83"/>
  <c r="RZ82"/>
  <c r="RY82"/>
  <c r="RX82"/>
  <c r="RW82"/>
  <c r="RS82"/>
  <c r="RR82"/>
  <c r="RQ82"/>
  <c r="RP82"/>
  <c r="RZ81"/>
  <c r="RY81"/>
  <c r="RX81"/>
  <c r="RW81"/>
  <c r="RS81"/>
  <c r="RR81"/>
  <c r="RQ81"/>
  <c r="RP81"/>
  <c r="RZ80"/>
  <c r="RY80"/>
  <c r="RX80"/>
  <c r="RW80"/>
  <c r="RS80"/>
  <c r="RR80"/>
  <c r="RQ80"/>
  <c r="RP80"/>
  <c r="RZ79"/>
  <c r="RY79"/>
  <c r="RX79"/>
  <c r="RW79"/>
  <c r="RS79"/>
  <c r="RR79"/>
  <c r="RQ79"/>
  <c r="RP79"/>
  <c r="RZ78"/>
  <c r="RY78"/>
  <c r="RX78"/>
  <c r="RW78"/>
  <c r="RS78"/>
  <c r="RR78"/>
  <c r="RQ78"/>
  <c r="RP78"/>
  <c r="RZ77"/>
  <c r="RY77"/>
  <c r="RX77"/>
  <c r="RW77"/>
  <c r="RS77"/>
  <c r="RR77"/>
  <c r="RQ77"/>
  <c r="RP77"/>
  <c r="RZ76"/>
  <c r="RY76"/>
  <c r="RX76"/>
  <c r="RW76"/>
  <c r="RS76"/>
  <c r="RR76"/>
  <c r="RQ76"/>
  <c r="RP76"/>
  <c r="RZ75"/>
  <c r="RY75"/>
  <c r="RX75"/>
  <c r="RW75"/>
  <c r="RS75"/>
  <c r="RR75"/>
  <c r="RQ75"/>
  <c r="RP75"/>
  <c r="RZ74"/>
  <c r="RY74"/>
  <c r="RX74"/>
  <c r="RW74"/>
  <c r="RS74"/>
  <c r="RR74"/>
  <c r="RQ74"/>
  <c r="RP74"/>
  <c r="RZ73"/>
  <c r="RY73"/>
  <c r="RX73"/>
  <c r="RW73"/>
  <c r="RS73"/>
  <c r="RR73"/>
  <c r="RQ73"/>
  <c r="RP73"/>
  <c r="RZ72"/>
  <c r="RY72"/>
  <c r="RX72"/>
  <c r="RW72"/>
  <c r="RS72"/>
  <c r="RR72"/>
  <c r="RQ72"/>
  <c r="RP72"/>
  <c r="RZ71"/>
  <c r="RY71"/>
  <c r="RX71"/>
  <c r="RW71"/>
  <c r="RS71"/>
  <c r="RR71"/>
  <c r="RQ71"/>
  <c r="RP71"/>
  <c r="RZ70"/>
  <c r="RY70"/>
  <c r="RX70"/>
  <c r="RW70"/>
  <c r="RS70"/>
  <c r="RR70"/>
  <c r="RQ70"/>
  <c r="RP70"/>
  <c r="RZ69"/>
  <c r="RY69"/>
  <c r="RX69"/>
  <c r="RW69"/>
  <c r="RS69"/>
  <c r="RR69"/>
  <c r="RQ69"/>
  <c r="RP69"/>
  <c r="RZ68"/>
  <c r="RY68"/>
  <c r="RX68"/>
  <c r="RW68"/>
  <c r="RS68"/>
  <c r="RR68"/>
  <c r="RQ68"/>
  <c r="RP68"/>
  <c r="RZ67"/>
  <c r="RY67"/>
  <c r="RX67"/>
  <c r="RW67"/>
  <c r="RS67"/>
  <c r="RR67"/>
  <c r="RQ67"/>
  <c r="RP67"/>
  <c r="RZ66"/>
  <c r="RY66"/>
  <c r="RX66"/>
  <c r="RW66"/>
  <c r="RS66"/>
  <c r="RR66"/>
  <c r="RQ66"/>
  <c r="RP66"/>
  <c r="RZ65"/>
  <c r="RY65"/>
  <c r="RX65"/>
  <c r="RW65"/>
  <c r="RS65"/>
  <c r="RR65"/>
  <c r="RQ65"/>
  <c r="RP65"/>
  <c r="RZ64"/>
  <c r="RY64"/>
  <c r="RX64"/>
  <c r="RW64"/>
  <c r="RS64"/>
  <c r="RR64"/>
  <c r="RQ64"/>
  <c r="RP64"/>
  <c r="RZ63"/>
  <c r="RY63"/>
  <c r="RX63"/>
  <c r="RW63"/>
  <c r="RS63"/>
  <c r="RR63"/>
  <c r="RQ63"/>
  <c r="RP63"/>
  <c r="RZ62"/>
  <c r="RY62"/>
  <c r="RX62"/>
  <c r="RW62"/>
  <c r="RS62"/>
  <c r="RR62"/>
  <c r="RQ62"/>
  <c r="RP62"/>
  <c r="RZ61"/>
  <c r="RY61"/>
  <c r="RX61"/>
  <c r="RW61"/>
  <c r="RS61"/>
  <c r="RR61"/>
  <c r="RQ61"/>
  <c r="RP61"/>
  <c r="RZ60"/>
  <c r="RY60"/>
  <c r="RX60"/>
  <c r="RW60"/>
  <c r="RS60"/>
  <c r="RR60"/>
  <c r="RQ60"/>
  <c r="RP60"/>
  <c r="RZ59"/>
  <c r="RY59"/>
  <c r="RX59"/>
  <c r="RW59"/>
  <c r="RS59"/>
  <c r="RR59"/>
  <c r="RQ59"/>
  <c r="RP59"/>
  <c r="RZ58"/>
  <c r="RY58"/>
  <c r="RX58"/>
  <c r="RW58"/>
  <c r="RS58"/>
  <c r="RR58"/>
  <c r="RQ58"/>
  <c r="RP58"/>
  <c r="RZ57"/>
  <c r="RY57"/>
  <c r="RX57"/>
  <c r="RW57"/>
  <c r="RS57"/>
  <c r="RR57"/>
  <c r="RQ57"/>
  <c r="RP57"/>
  <c r="RZ56"/>
  <c r="RY56"/>
  <c r="RX56"/>
  <c r="RW56"/>
  <c r="RS56"/>
  <c r="RR56"/>
  <c r="RQ56"/>
  <c r="RP56"/>
  <c r="RZ55"/>
  <c r="RY55"/>
  <c r="RX55"/>
  <c r="RW55"/>
  <c r="RS55"/>
  <c r="RR55"/>
  <c r="RQ55"/>
  <c r="RP55"/>
  <c r="RZ54"/>
  <c r="RY54"/>
  <c r="RX54"/>
  <c r="RW54"/>
  <c r="RS54"/>
  <c r="RR54"/>
  <c r="RQ54"/>
  <c r="RP54"/>
  <c r="RZ53"/>
  <c r="RY53"/>
  <c r="RX53"/>
  <c r="RW53"/>
  <c r="RS53"/>
  <c r="RR53"/>
  <c r="RQ53"/>
  <c r="RP53"/>
  <c r="RZ52"/>
  <c r="RY52"/>
  <c r="RX52"/>
  <c r="RW52"/>
  <c r="RS52"/>
  <c r="RR52"/>
  <c r="RQ52"/>
  <c r="RP52"/>
  <c r="RZ51"/>
  <c r="RY51"/>
  <c r="RX51"/>
  <c r="RW51"/>
  <c r="RS51"/>
  <c r="RR51"/>
  <c r="RQ51"/>
  <c r="RP51"/>
  <c r="RZ50"/>
  <c r="RY50"/>
  <c r="RX50"/>
  <c r="RW50"/>
  <c r="RS50"/>
  <c r="RR50"/>
  <c r="RQ50"/>
  <c r="RP50"/>
  <c r="RZ49"/>
  <c r="RY49"/>
  <c r="RX49"/>
  <c r="RW49"/>
  <c r="RS49"/>
  <c r="RR49"/>
  <c r="RQ49"/>
  <c r="RP49"/>
  <c r="RZ48"/>
  <c r="RY48"/>
  <c r="RX48"/>
  <c r="RW48"/>
  <c r="RS48"/>
  <c r="RR48"/>
  <c r="RQ48"/>
  <c r="RP48"/>
  <c r="RZ47"/>
  <c r="RY47"/>
  <c r="RX47"/>
  <c r="RW47"/>
  <c r="RS47"/>
  <c r="RR47"/>
  <c r="RQ47"/>
  <c r="RP47"/>
  <c r="RZ46"/>
  <c r="RY46"/>
  <c r="RX46"/>
  <c r="RW46"/>
  <c r="RS46"/>
  <c r="RR46"/>
  <c r="RQ46"/>
  <c r="RP46"/>
  <c r="RZ45"/>
  <c r="RY45"/>
  <c r="RX45"/>
  <c r="RW45"/>
  <c r="RS45"/>
  <c r="RR45"/>
  <c r="RQ45"/>
  <c r="RP45"/>
  <c r="RZ44"/>
  <c r="RY44"/>
  <c r="RX44"/>
  <c r="RW44"/>
  <c r="RS44"/>
  <c r="RR44"/>
  <c r="RQ44"/>
  <c r="RP44"/>
  <c r="RZ43"/>
  <c r="RY43"/>
  <c r="RX43"/>
  <c r="RW43"/>
  <c r="RS43"/>
  <c r="RR43"/>
  <c r="RQ43"/>
  <c r="RP43"/>
  <c r="RZ42"/>
  <c r="RY42"/>
  <c r="RX42"/>
  <c r="RW42"/>
  <c r="RS42"/>
  <c r="RR42"/>
  <c r="RQ42"/>
  <c r="RP42"/>
  <c r="RZ41"/>
  <c r="RY41"/>
  <c r="RX41"/>
  <c r="RW41"/>
  <c r="RS41"/>
  <c r="RR41"/>
  <c r="RQ41"/>
  <c r="RP41"/>
  <c r="RZ40"/>
  <c r="RY40"/>
  <c r="RX40"/>
  <c r="RW40"/>
  <c r="RS40"/>
  <c r="RR40"/>
  <c r="RQ40"/>
  <c r="RP40"/>
  <c r="RZ39"/>
  <c r="RY39"/>
  <c r="RX39"/>
  <c r="RW39"/>
  <c r="RS39"/>
  <c r="RR39"/>
  <c r="RQ39"/>
  <c r="RP39"/>
  <c r="RZ38"/>
  <c r="RY38"/>
  <c r="RX38"/>
  <c r="RW38"/>
  <c r="RS38"/>
  <c r="RR38"/>
  <c r="RQ38"/>
  <c r="RP38"/>
  <c r="RZ37"/>
  <c r="RY37"/>
  <c r="RX37"/>
  <c r="RW37"/>
  <c r="RS37"/>
  <c r="RR37"/>
  <c r="RQ37"/>
  <c r="RP37"/>
  <c r="RZ36"/>
  <c r="RY36"/>
  <c r="RX36"/>
  <c r="RW36"/>
  <c r="RS36"/>
  <c r="RR36"/>
  <c r="RQ36"/>
  <c r="RP36"/>
  <c r="RZ35"/>
  <c r="RY35"/>
  <c r="RX35"/>
  <c r="RW35"/>
  <c r="RS35"/>
  <c r="RR35"/>
  <c r="RQ35"/>
  <c r="RP35"/>
  <c r="RZ34"/>
  <c r="RY34"/>
  <c r="RX34"/>
  <c r="RW34"/>
  <c r="RS34"/>
  <c r="RR34"/>
  <c r="RQ34"/>
  <c r="RP34"/>
  <c r="RZ33"/>
  <c r="RY33"/>
  <c r="RX33"/>
  <c r="RW33"/>
  <c r="RS33"/>
  <c r="RR33"/>
  <c r="RQ33"/>
  <c r="RP33"/>
  <c r="RZ32"/>
  <c r="RY32"/>
  <c r="RX32"/>
  <c r="RW32"/>
  <c r="RS32"/>
  <c r="RR32"/>
  <c r="RQ32"/>
  <c r="RP32"/>
  <c r="RZ31"/>
  <c r="RY31"/>
  <c r="RX31"/>
  <c r="RW31"/>
  <c r="RS31"/>
  <c r="RR31"/>
  <c r="RQ31"/>
  <c r="RP31"/>
  <c r="RZ30"/>
  <c r="RY30"/>
  <c r="RX30"/>
  <c r="RW30"/>
  <c r="RS30"/>
  <c r="RR30"/>
  <c r="RQ30"/>
  <c r="RP30"/>
  <c r="RZ29"/>
  <c r="RY29"/>
  <c r="RX29"/>
  <c r="RW29"/>
  <c r="RS29"/>
  <c r="RR29"/>
  <c r="RQ29"/>
  <c r="RP29"/>
  <c r="RZ28"/>
  <c r="RY28"/>
  <c r="RX28"/>
  <c r="RW28"/>
  <c r="RS28"/>
  <c r="RR28"/>
  <c r="RQ28"/>
  <c r="RP28"/>
  <c r="RZ27"/>
  <c r="RY27"/>
  <c r="RX27"/>
  <c r="RW27"/>
  <c r="RS27"/>
  <c r="RR27"/>
  <c r="RQ27"/>
  <c r="RP27"/>
  <c r="RZ26"/>
  <c r="RY26"/>
  <c r="RX26"/>
  <c r="RW26"/>
  <c r="RS26"/>
  <c r="RR26"/>
  <c r="RQ26"/>
  <c r="RP26"/>
  <c r="RZ25"/>
  <c r="RY25"/>
  <c r="RX25"/>
  <c r="RW25"/>
  <c r="RS25"/>
  <c r="RR25"/>
  <c r="RQ25"/>
  <c r="RP25"/>
  <c r="RZ24"/>
  <c r="RY24"/>
  <c r="RX24"/>
  <c r="RW24"/>
  <c r="RS24"/>
  <c r="RR24"/>
  <c r="RQ24"/>
  <c r="RP24"/>
  <c r="RZ23"/>
  <c r="RY23"/>
  <c r="RX23"/>
  <c r="RW23"/>
  <c r="RS23"/>
  <c r="RR23"/>
  <c r="RQ23"/>
  <c r="RP23"/>
  <c r="RZ22"/>
  <c r="RY22"/>
  <c r="RX22"/>
  <c r="RW22"/>
  <c r="RS22"/>
  <c r="RR22"/>
  <c r="RQ22"/>
  <c r="RP22"/>
  <c r="RZ21"/>
  <c r="RY21"/>
  <c r="RX21"/>
  <c r="RW21"/>
  <c r="RS21"/>
  <c r="RR21"/>
  <c r="RQ21"/>
  <c r="RP21"/>
  <c r="RZ20"/>
  <c r="RY20"/>
  <c r="RX20"/>
  <c r="RW20"/>
  <c r="RS20"/>
  <c r="RR20"/>
  <c r="RQ20"/>
  <c r="RP20"/>
  <c r="RZ19"/>
  <c r="RY19"/>
  <c r="RX19"/>
  <c r="RW19"/>
  <c r="RS19"/>
  <c r="RR19"/>
  <c r="RQ19"/>
  <c r="RP19"/>
  <c r="RZ18"/>
  <c r="RY18"/>
  <c r="RX18"/>
  <c r="RW18"/>
  <c r="RS18"/>
  <c r="RR18"/>
  <c r="RQ18"/>
  <c r="RP18"/>
  <c r="RZ17"/>
  <c r="RY17"/>
  <c r="RX17"/>
  <c r="RW17"/>
  <c r="RS17"/>
  <c r="RR17"/>
  <c r="RQ17"/>
  <c r="RP17"/>
  <c r="RZ16"/>
  <c r="RY16"/>
  <c r="RX16"/>
  <c r="RW16"/>
  <c r="RS16"/>
  <c r="RR16"/>
  <c r="RQ16"/>
  <c r="RP16"/>
  <c r="RZ15"/>
  <c r="RY15"/>
  <c r="RX15"/>
  <c r="RW15"/>
  <c r="RS15"/>
  <c r="RR15"/>
  <c r="RQ15"/>
  <c r="RP15"/>
  <c r="RZ14"/>
  <c r="RY14"/>
  <c r="RX14"/>
  <c r="RW14"/>
  <c r="RS14"/>
  <c r="RR14"/>
  <c r="RQ14"/>
  <c r="RP14"/>
  <c r="RZ13"/>
  <c r="RY13"/>
  <c r="RX13"/>
  <c r="RW13"/>
  <c r="RS13"/>
  <c r="RR13"/>
  <c r="RQ13"/>
  <c r="RP13"/>
  <c r="RZ12"/>
  <c r="RY12"/>
  <c r="RX12"/>
  <c r="RW12"/>
  <c r="RS12"/>
  <c r="RR12"/>
  <c r="RQ12"/>
  <c r="RP12"/>
  <c r="RZ11"/>
  <c r="RY11"/>
  <c r="RX11"/>
  <c r="RW11"/>
  <c r="RS11"/>
  <c r="RR11"/>
  <c r="RQ11"/>
  <c r="RP11"/>
  <c r="RZ10"/>
  <c r="RY10"/>
  <c r="RX10"/>
  <c r="RW10"/>
  <c r="RS10"/>
  <c r="RR10"/>
  <c r="RQ10"/>
  <c r="RP10"/>
  <c r="RZ9"/>
  <c r="RY9"/>
  <c r="RX9"/>
  <c r="RW9"/>
  <c r="RS9"/>
  <c r="RR9"/>
  <c r="RQ9"/>
  <c r="RP9"/>
  <c r="RZ8"/>
  <c r="RY8"/>
  <c r="RX8"/>
  <c r="RW8"/>
  <c r="RS8"/>
  <c r="RR8"/>
  <c r="RQ8"/>
  <c r="RP8"/>
  <c r="RZ7"/>
  <c r="RY7"/>
  <c r="RX7"/>
  <c r="RW7"/>
  <c r="RS7"/>
  <c r="RR7"/>
  <c r="RQ7"/>
  <c r="RP7"/>
  <c r="RZ6"/>
  <c r="RY6"/>
  <c r="RX6"/>
  <c r="RW6"/>
  <c r="RS6"/>
  <c r="RR6"/>
  <c r="RQ6"/>
  <c r="RP6"/>
  <c r="RZ5"/>
  <c r="RY5"/>
  <c r="RX5"/>
  <c r="RW5"/>
  <c r="RR5"/>
  <c r="RQ5"/>
  <c r="RP5"/>
  <c r="RG6"/>
  <c r="RH6"/>
  <c r="RI6"/>
  <c r="RG7"/>
  <c r="RH7"/>
  <c r="RI7"/>
  <c r="RG8"/>
  <c r="RH8"/>
  <c r="RI8"/>
  <c r="RG9"/>
  <c r="RH9"/>
  <c r="RI9"/>
  <c r="RG10"/>
  <c r="RH10"/>
  <c r="RI10"/>
  <c r="RG11"/>
  <c r="RH11"/>
  <c r="RI11"/>
  <c r="RG12"/>
  <c r="RH12"/>
  <c r="RI12"/>
  <c r="RG13"/>
  <c r="RH13"/>
  <c r="RI13"/>
  <c r="RG14"/>
  <c r="RH14"/>
  <c r="RI14"/>
  <c r="RG15"/>
  <c r="RH15"/>
  <c r="RI15"/>
  <c r="RG16"/>
  <c r="RH16"/>
  <c r="RI16"/>
  <c r="RG17"/>
  <c r="RH17"/>
  <c r="RI17"/>
  <c r="RG18"/>
  <c r="RH18"/>
  <c r="RI18"/>
  <c r="RG19"/>
  <c r="RH19"/>
  <c r="RI19"/>
  <c r="RG20"/>
  <c r="RH20"/>
  <c r="RI20"/>
  <c r="RG21"/>
  <c r="RH21"/>
  <c r="RI21"/>
  <c r="RG22"/>
  <c r="RH22"/>
  <c r="RI22"/>
  <c r="RG23"/>
  <c r="RH23"/>
  <c r="RI23"/>
  <c r="RG24"/>
  <c r="RH24"/>
  <c r="RI24"/>
  <c r="RG25"/>
  <c r="RH25"/>
  <c r="RI25"/>
  <c r="RG26"/>
  <c r="RH26"/>
  <c r="RI26"/>
  <c r="RG27"/>
  <c r="RH27"/>
  <c r="RI27"/>
  <c r="RG28"/>
  <c r="RH28"/>
  <c r="RI28"/>
  <c r="RG29"/>
  <c r="RH29"/>
  <c r="RI29"/>
  <c r="RG30"/>
  <c r="RH30"/>
  <c r="RI30"/>
  <c r="RG31"/>
  <c r="RH31"/>
  <c r="RI31"/>
  <c r="RG32"/>
  <c r="RH32"/>
  <c r="RI32"/>
  <c r="RG33"/>
  <c r="RH33"/>
  <c r="RI33"/>
  <c r="RG34"/>
  <c r="RH34"/>
  <c r="RI34"/>
  <c r="RG35"/>
  <c r="RH35"/>
  <c r="RI35"/>
  <c r="RG36"/>
  <c r="RH36"/>
  <c r="RI36"/>
  <c r="RG37"/>
  <c r="RH37"/>
  <c r="RI37"/>
  <c r="RG38"/>
  <c r="RH38"/>
  <c r="RI38"/>
  <c r="RG39"/>
  <c r="RH39"/>
  <c r="RI39"/>
  <c r="RG40"/>
  <c r="RH40"/>
  <c r="RI40"/>
  <c r="RG41"/>
  <c r="RH41"/>
  <c r="RI41"/>
  <c r="RG42"/>
  <c r="RH42"/>
  <c r="RI42"/>
  <c r="RG43"/>
  <c r="RH43"/>
  <c r="RI43"/>
  <c r="RG44"/>
  <c r="RH44"/>
  <c r="RI44"/>
  <c r="RG45"/>
  <c r="RH45"/>
  <c r="RI45"/>
  <c r="RG46"/>
  <c r="RH46"/>
  <c r="RI46"/>
  <c r="RG47"/>
  <c r="RH47"/>
  <c r="RI47"/>
  <c r="RG48"/>
  <c r="RH48"/>
  <c r="RI48"/>
  <c r="RG49"/>
  <c r="RH49"/>
  <c r="RI49"/>
  <c r="RG50"/>
  <c r="RH50"/>
  <c r="RI50"/>
  <c r="RG51"/>
  <c r="RH51"/>
  <c r="RI51"/>
  <c r="RG52"/>
  <c r="RH52"/>
  <c r="RI52"/>
  <c r="RG53"/>
  <c r="RH53"/>
  <c r="RI53"/>
  <c r="RG54"/>
  <c r="RH54"/>
  <c r="RI54"/>
  <c r="RG55"/>
  <c r="RH55"/>
  <c r="RI55"/>
  <c r="RG56"/>
  <c r="RH56"/>
  <c r="RI56"/>
  <c r="RG57"/>
  <c r="RH57"/>
  <c r="RI57"/>
  <c r="RG58"/>
  <c r="RH58"/>
  <c r="RI58"/>
  <c r="RG59"/>
  <c r="RH59"/>
  <c r="RI59"/>
  <c r="RG60"/>
  <c r="RH60"/>
  <c r="RI60"/>
  <c r="RG61"/>
  <c r="RH61"/>
  <c r="RI61"/>
  <c r="RG62"/>
  <c r="RH62"/>
  <c r="RI62"/>
  <c r="RG63"/>
  <c r="RH63"/>
  <c r="RI63"/>
  <c r="RG64"/>
  <c r="RH64"/>
  <c r="RI64"/>
  <c r="RG65"/>
  <c r="RH65"/>
  <c r="RI65"/>
  <c r="RG66"/>
  <c r="RH66"/>
  <c r="RI66"/>
  <c r="RG67"/>
  <c r="RH67"/>
  <c r="RI67"/>
  <c r="RG68"/>
  <c r="RH68"/>
  <c r="RI68"/>
  <c r="RG69"/>
  <c r="RH69"/>
  <c r="RI69"/>
  <c r="RG70"/>
  <c r="RH70"/>
  <c r="RI70"/>
  <c r="RG71"/>
  <c r="RH71"/>
  <c r="RI71"/>
  <c r="RG72"/>
  <c r="RH72"/>
  <c r="RI72"/>
  <c r="RG73"/>
  <c r="RH73"/>
  <c r="RI73"/>
  <c r="RG74"/>
  <c r="RH74"/>
  <c r="RI74"/>
  <c r="RG75"/>
  <c r="RH75"/>
  <c r="RI75"/>
  <c r="RG76"/>
  <c r="RH76"/>
  <c r="RI76"/>
  <c r="RG77"/>
  <c r="RH77"/>
  <c r="RI77"/>
  <c r="RG78"/>
  <c r="RH78"/>
  <c r="RI78"/>
  <c r="RG79"/>
  <c r="RH79"/>
  <c r="RI79"/>
  <c r="RG80"/>
  <c r="RH80"/>
  <c r="RI80"/>
  <c r="RG81"/>
  <c r="RH81"/>
  <c r="RI81"/>
  <c r="RG82"/>
  <c r="RH82"/>
  <c r="RI82"/>
  <c r="RG83"/>
  <c r="RH83"/>
  <c r="RI83"/>
  <c r="RG84"/>
  <c r="RH84"/>
  <c r="RI84"/>
  <c r="RG85"/>
  <c r="RH85"/>
  <c r="RI85"/>
  <c r="RG86"/>
  <c r="RH86"/>
  <c r="RI86"/>
  <c r="RI5"/>
  <c r="RG5"/>
  <c r="RH5"/>
  <c r="RF5"/>
  <c r="RM86"/>
  <c r="RL86"/>
  <c r="RK86"/>
  <c r="RJ86"/>
  <c r="RF86"/>
  <c r="RE86"/>
  <c r="RD86"/>
  <c r="RC86"/>
  <c r="RM85"/>
  <c r="RL85"/>
  <c r="RK85"/>
  <c r="RJ85"/>
  <c r="RF85"/>
  <c r="RE85"/>
  <c r="RD85"/>
  <c r="RC85"/>
  <c r="RM84"/>
  <c r="RL84"/>
  <c r="RK84"/>
  <c r="RJ84"/>
  <c r="RF84"/>
  <c r="RE84"/>
  <c r="RD84"/>
  <c r="RC84"/>
  <c r="RM83"/>
  <c r="RL83"/>
  <c r="RK83"/>
  <c r="RJ83"/>
  <c r="RF83"/>
  <c r="RE83"/>
  <c r="RD83"/>
  <c r="RC83"/>
  <c r="RM82"/>
  <c r="RL82"/>
  <c r="RK82"/>
  <c r="RJ82"/>
  <c r="RF82"/>
  <c r="RE82"/>
  <c r="RD82"/>
  <c r="RC82"/>
  <c r="RM81"/>
  <c r="RL81"/>
  <c r="RK81"/>
  <c r="RJ81"/>
  <c r="RF81"/>
  <c r="RE81"/>
  <c r="RD81"/>
  <c r="RC81"/>
  <c r="RM80"/>
  <c r="RL80"/>
  <c r="RK80"/>
  <c r="RJ80"/>
  <c r="RF80"/>
  <c r="RE80"/>
  <c r="RD80"/>
  <c r="RC80"/>
  <c r="RM79"/>
  <c r="RL79"/>
  <c r="RK79"/>
  <c r="RJ79"/>
  <c r="RF79"/>
  <c r="RE79"/>
  <c r="RD79"/>
  <c r="RC79"/>
  <c r="RM78"/>
  <c r="RL78"/>
  <c r="RK78"/>
  <c r="RJ78"/>
  <c r="RF78"/>
  <c r="RE78"/>
  <c r="RD78"/>
  <c r="RC78"/>
  <c r="RM77"/>
  <c r="RL77"/>
  <c r="RK77"/>
  <c r="RJ77"/>
  <c r="RF77"/>
  <c r="RE77"/>
  <c r="RD77"/>
  <c r="RC77"/>
  <c r="RM76"/>
  <c r="RL76"/>
  <c r="RK76"/>
  <c r="RJ76"/>
  <c r="RF76"/>
  <c r="RE76"/>
  <c r="RD76"/>
  <c r="RC76"/>
  <c r="RM75"/>
  <c r="RL75"/>
  <c r="RK75"/>
  <c r="RJ75"/>
  <c r="RF75"/>
  <c r="RE75"/>
  <c r="RD75"/>
  <c r="RC75"/>
  <c r="RM74"/>
  <c r="RL74"/>
  <c r="RK74"/>
  <c r="RJ74"/>
  <c r="RF74"/>
  <c r="RE74"/>
  <c r="RD74"/>
  <c r="RC74"/>
  <c r="RM73"/>
  <c r="RL73"/>
  <c r="RK73"/>
  <c r="RJ73"/>
  <c r="RF73"/>
  <c r="RE73"/>
  <c r="RD73"/>
  <c r="RC73"/>
  <c r="RM72"/>
  <c r="RL72"/>
  <c r="RK72"/>
  <c r="RJ72"/>
  <c r="RF72"/>
  <c r="RE72"/>
  <c r="RD72"/>
  <c r="RC72"/>
  <c r="RM71"/>
  <c r="RL71"/>
  <c r="RK71"/>
  <c r="RJ71"/>
  <c r="RF71"/>
  <c r="RE71"/>
  <c r="RD71"/>
  <c r="RC71"/>
  <c r="RM70"/>
  <c r="RL70"/>
  <c r="RK70"/>
  <c r="RJ70"/>
  <c r="RF70"/>
  <c r="RE70"/>
  <c r="RD70"/>
  <c r="RC70"/>
  <c r="RM69"/>
  <c r="RL69"/>
  <c r="RK69"/>
  <c r="RJ69"/>
  <c r="RF69"/>
  <c r="RE69"/>
  <c r="RD69"/>
  <c r="RC69"/>
  <c r="RM68"/>
  <c r="RL68"/>
  <c r="RK68"/>
  <c r="RJ68"/>
  <c r="RF68"/>
  <c r="RE68"/>
  <c r="RD68"/>
  <c r="RC68"/>
  <c r="RM67"/>
  <c r="RL67"/>
  <c r="RK67"/>
  <c r="RJ67"/>
  <c r="RF67"/>
  <c r="RE67"/>
  <c r="RD67"/>
  <c r="RC67"/>
  <c r="RM66"/>
  <c r="RL66"/>
  <c r="RK66"/>
  <c r="RJ66"/>
  <c r="RF66"/>
  <c r="RE66"/>
  <c r="RD66"/>
  <c r="RC66"/>
  <c r="RM65"/>
  <c r="RL65"/>
  <c r="RK65"/>
  <c r="RJ65"/>
  <c r="RF65"/>
  <c r="RE65"/>
  <c r="RD65"/>
  <c r="RC65"/>
  <c r="RM64"/>
  <c r="RL64"/>
  <c r="RK64"/>
  <c r="RJ64"/>
  <c r="RF64"/>
  <c r="RE64"/>
  <c r="RD64"/>
  <c r="RC64"/>
  <c r="RM63"/>
  <c r="RL63"/>
  <c r="RK63"/>
  <c r="RJ63"/>
  <c r="RF63"/>
  <c r="RE63"/>
  <c r="RD63"/>
  <c r="RC63"/>
  <c r="RM62"/>
  <c r="RL62"/>
  <c r="RK62"/>
  <c r="RJ62"/>
  <c r="RF62"/>
  <c r="RE62"/>
  <c r="RD62"/>
  <c r="RC62"/>
  <c r="RM61"/>
  <c r="RL61"/>
  <c r="RK61"/>
  <c r="RJ61"/>
  <c r="RF61"/>
  <c r="RE61"/>
  <c r="RD61"/>
  <c r="RC61"/>
  <c r="RM60"/>
  <c r="RL60"/>
  <c r="RK60"/>
  <c r="RJ60"/>
  <c r="RF60"/>
  <c r="RE60"/>
  <c r="RD60"/>
  <c r="RC60"/>
  <c r="RM59"/>
  <c r="RL59"/>
  <c r="RK59"/>
  <c r="RJ59"/>
  <c r="RF59"/>
  <c r="RE59"/>
  <c r="RD59"/>
  <c r="RC59"/>
  <c r="RM58"/>
  <c r="RL58"/>
  <c r="RK58"/>
  <c r="RJ58"/>
  <c r="RF58"/>
  <c r="RE58"/>
  <c r="RD58"/>
  <c r="RC58"/>
  <c r="RM57"/>
  <c r="RL57"/>
  <c r="RK57"/>
  <c r="RJ57"/>
  <c r="RF57"/>
  <c r="RE57"/>
  <c r="RD57"/>
  <c r="RC57"/>
  <c r="RM56"/>
  <c r="RL56"/>
  <c r="RK56"/>
  <c r="RJ56"/>
  <c r="RF56"/>
  <c r="RE56"/>
  <c r="RD56"/>
  <c r="RC56"/>
  <c r="RM55"/>
  <c r="RL55"/>
  <c r="RK55"/>
  <c r="RJ55"/>
  <c r="RF55"/>
  <c r="RE55"/>
  <c r="RD55"/>
  <c r="RC55"/>
  <c r="RM54"/>
  <c r="RL54"/>
  <c r="RK54"/>
  <c r="RJ54"/>
  <c r="RF54"/>
  <c r="RE54"/>
  <c r="RD54"/>
  <c r="RC54"/>
  <c r="RM53"/>
  <c r="RL53"/>
  <c r="RK53"/>
  <c r="RJ53"/>
  <c r="RF53"/>
  <c r="RE53"/>
  <c r="RD53"/>
  <c r="RC53"/>
  <c r="RM52"/>
  <c r="RL52"/>
  <c r="RK52"/>
  <c r="RJ52"/>
  <c r="RF52"/>
  <c r="RE52"/>
  <c r="RD52"/>
  <c r="RC52"/>
  <c r="RM51"/>
  <c r="RL51"/>
  <c r="RK51"/>
  <c r="RJ51"/>
  <c r="RF51"/>
  <c r="RE51"/>
  <c r="RD51"/>
  <c r="RC51"/>
  <c r="RM50"/>
  <c r="RL50"/>
  <c r="RK50"/>
  <c r="RJ50"/>
  <c r="RF50"/>
  <c r="RE50"/>
  <c r="RD50"/>
  <c r="RC50"/>
  <c r="RM49"/>
  <c r="RL49"/>
  <c r="RK49"/>
  <c r="RJ49"/>
  <c r="RF49"/>
  <c r="RE49"/>
  <c r="RD49"/>
  <c r="RC49"/>
  <c r="RM48"/>
  <c r="RL48"/>
  <c r="RK48"/>
  <c r="RJ48"/>
  <c r="RF48"/>
  <c r="RE48"/>
  <c r="RD48"/>
  <c r="RC48"/>
  <c r="RM47"/>
  <c r="RL47"/>
  <c r="RK47"/>
  <c r="RJ47"/>
  <c r="RF47"/>
  <c r="RE47"/>
  <c r="RD47"/>
  <c r="RC47"/>
  <c r="RM46"/>
  <c r="RL46"/>
  <c r="RK46"/>
  <c r="RJ46"/>
  <c r="RF46"/>
  <c r="RE46"/>
  <c r="RD46"/>
  <c r="RC46"/>
  <c r="RM45"/>
  <c r="RL45"/>
  <c r="RK45"/>
  <c r="RJ45"/>
  <c r="RF45"/>
  <c r="RE45"/>
  <c r="RD45"/>
  <c r="RC45"/>
  <c r="RM44"/>
  <c r="RL44"/>
  <c r="RK44"/>
  <c r="RJ44"/>
  <c r="RF44"/>
  <c r="RE44"/>
  <c r="RD44"/>
  <c r="RC44"/>
  <c r="RM43"/>
  <c r="RL43"/>
  <c r="RK43"/>
  <c r="RJ43"/>
  <c r="RF43"/>
  <c r="RE43"/>
  <c r="RD43"/>
  <c r="RC43"/>
  <c r="RM42"/>
  <c r="RL42"/>
  <c r="RK42"/>
  <c r="RJ42"/>
  <c r="RF42"/>
  <c r="RE42"/>
  <c r="RD42"/>
  <c r="RC42"/>
  <c r="RM41"/>
  <c r="RL41"/>
  <c r="RK41"/>
  <c r="RJ41"/>
  <c r="RF41"/>
  <c r="RE41"/>
  <c r="RD41"/>
  <c r="RC41"/>
  <c r="RM40"/>
  <c r="RL40"/>
  <c r="RK40"/>
  <c r="RJ40"/>
  <c r="RF40"/>
  <c r="RE40"/>
  <c r="RD40"/>
  <c r="RC40"/>
  <c r="RM39"/>
  <c r="RL39"/>
  <c r="RK39"/>
  <c r="RJ39"/>
  <c r="RF39"/>
  <c r="RE39"/>
  <c r="RD39"/>
  <c r="RC39"/>
  <c r="RM38"/>
  <c r="RL38"/>
  <c r="RK38"/>
  <c r="RJ38"/>
  <c r="RF38"/>
  <c r="RE38"/>
  <c r="RD38"/>
  <c r="RC38"/>
  <c r="RM37"/>
  <c r="RL37"/>
  <c r="RK37"/>
  <c r="RJ37"/>
  <c r="RF37"/>
  <c r="RE37"/>
  <c r="RD37"/>
  <c r="RC37"/>
  <c r="RM36"/>
  <c r="RL36"/>
  <c r="RK36"/>
  <c r="RJ36"/>
  <c r="RF36"/>
  <c r="RE36"/>
  <c r="RD36"/>
  <c r="RC36"/>
  <c r="RM35"/>
  <c r="RL35"/>
  <c r="RK35"/>
  <c r="RJ35"/>
  <c r="RF35"/>
  <c r="RE35"/>
  <c r="RD35"/>
  <c r="RC35"/>
  <c r="RM34"/>
  <c r="RL34"/>
  <c r="RK34"/>
  <c r="RJ34"/>
  <c r="RF34"/>
  <c r="RE34"/>
  <c r="RD34"/>
  <c r="RC34"/>
  <c r="RM33"/>
  <c r="RL33"/>
  <c r="RK33"/>
  <c r="RJ33"/>
  <c r="RF33"/>
  <c r="RE33"/>
  <c r="RD33"/>
  <c r="RC33"/>
  <c r="RM32"/>
  <c r="RL32"/>
  <c r="RK32"/>
  <c r="RJ32"/>
  <c r="RF32"/>
  <c r="RE32"/>
  <c r="RD32"/>
  <c r="RC32"/>
  <c r="RM31"/>
  <c r="RL31"/>
  <c r="RK31"/>
  <c r="RJ31"/>
  <c r="RF31"/>
  <c r="RE31"/>
  <c r="RD31"/>
  <c r="RC31"/>
  <c r="RM30"/>
  <c r="RL30"/>
  <c r="RK30"/>
  <c r="RJ30"/>
  <c r="RF30"/>
  <c r="RE30"/>
  <c r="RD30"/>
  <c r="RC30"/>
  <c r="RM29"/>
  <c r="RL29"/>
  <c r="RK29"/>
  <c r="RJ29"/>
  <c r="RF29"/>
  <c r="RE29"/>
  <c r="RD29"/>
  <c r="RC29"/>
  <c r="RM28"/>
  <c r="RL28"/>
  <c r="RK28"/>
  <c r="RJ28"/>
  <c r="RF28"/>
  <c r="RE28"/>
  <c r="RD28"/>
  <c r="RC28"/>
  <c r="RM27"/>
  <c r="RL27"/>
  <c r="RK27"/>
  <c r="RJ27"/>
  <c r="RF27"/>
  <c r="RE27"/>
  <c r="RD27"/>
  <c r="RC27"/>
  <c r="RM26"/>
  <c r="RL26"/>
  <c r="RK26"/>
  <c r="RJ26"/>
  <c r="RF26"/>
  <c r="RE26"/>
  <c r="RD26"/>
  <c r="RC26"/>
  <c r="RM25"/>
  <c r="RL25"/>
  <c r="RK25"/>
  <c r="RJ25"/>
  <c r="RF25"/>
  <c r="RE25"/>
  <c r="RD25"/>
  <c r="RC25"/>
  <c r="RM24"/>
  <c r="RL24"/>
  <c r="RK24"/>
  <c r="RJ24"/>
  <c r="RF24"/>
  <c r="RE24"/>
  <c r="RD24"/>
  <c r="RC24"/>
  <c r="RM23"/>
  <c r="RL23"/>
  <c r="RK23"/>
  <c r="RJ23"/>
  <c r="RF23"/>
  <c r="RE23"/>
  <c r="RD23"/>
  <c r="RC23"/>
  <c r="RM22"/>
  <c r="RL22"/>
  <c r="RK22"/>
  <c r="RJ22"/>
  <c r="RF22"/>
  <c r="RE22"/>
  <c r="RD22"/>
  <c r="RC22"/>
  <c r="RM21"/>
  <c r="RL21"/>
  <c r="RK21"/>
  <c r="RJ21"/>
  <c r="RF21"/>
  <c r="RE21"/>
  <c r="RD21"/>
  <c r="RC21"/>
  <c r="RM20"/>
  <c r="RL20"/>
  <c r="RK20"/>
  <c r="RJ20"/>
  <c r="RF20"/>
  <c r="RE20"/>
  <c r="RD20"/>
  <c r="RC20"/>
  <c r="RM19"/>
  <c r="RL19"/>
  <c r="RK19"/>
  <c r="RJ19"/>
  <c r="RF19"/>
  <c r="RE19"/>
  <c r="RD19"/>
  <c r="RC19"/>
  <c r="RM18"/>
  <c r="RL18"/>
  <c r="RK18"/>
  <c r="RJ18"/>
  <c r="RF18"/>
  <c r="RE18"/>
  <c r="RD18"/>
  <c r="RC18"/>
  <c r="RM17"/>
  <c r="RL17"/>
  <c r="RK17"/>
  <c r="RJ17"/>
  <c r="RF17"/>
  <c r="RE17"/>
  <c r="RD17"/>
  <c r="RC17"/>
  <c r="RM16"/>
  <c r="RL16"/>
  <c r="RK16"/>
  <c r="RJ16"/>
  <c r="RF16"/>
  <c r="RE16"/>
  <c r="RD16"/>
  <c r="RC16"/>
  <c r="RM15"/>
  <c r="RL15"/>
  <c r="RK15"/>
  <c r="RJ15"/>
  <c r="RF15"/>
  <c r="RE15"/>
  <c r="RD15"/>
  <c r="RC15"/>
  <c r="RM14"/>
  <c r="RL14"/>
  <c r="RK14"/>
  <c r="RJ14"/>
  <c r="RF14"/>
  <c r="RE14"/>
  <c r="RD14"/>
  <c r="RC14"/>
  <c r="RM13"/>
  <c r="RL13"/>
  <c r="RK13"/>
  <c r="RJ13"/>
  <c r="RF13"/>
  <c r="RE13"/>
  <c r="RD13"/>
  <c r="RC13"/>
  <c r="RM12"/>
  <c r="RL12"/>
  <c r="RK12"/>
  <c r="RJ12"/>
  <c r="RF12"/>
  <c r="RE12"/>
  <c r="RD12"/>
  <c r="RC12"/>
  <c r="RM11"/>
  <c r="RL11"/>
  <c r="RK11"/>
  <c r="RJ11"/>
  <c r="RF11"/>
  <c r="RE11"/>
  <c r="RD11"/>
  <c r="RC11"/>
  <c r="RM10"/>
  <c r="RL10"/>
  <c r="RK10"/>
  <c r="RJ10"/>
  <c r="RF10"/>
  <c r="RE10"/>
  <c r="RD10"/>
  <c r="RC10"/>
  <c r="RM9"/>
  <c r="RL9"/>
  <c r="RK9"/>
  <c r="RJ9"/>
  <c r="RF9"/>
  <c r="RE9"/>
  <c r="RD9"/>
  <c r="RC9"/>
  <c r="RM8"/>
  <c r="RL8"/>
  <c r="RK8"/>
  <c r="RJ8"/>
  <c r="RF8"/>
  <c r="RE8"/>
  <c r="RD8"/>
  <c r="RC8"/>
  <c r="RM7"/>
  <c r="RL7"/>
  <c r="RK7"/>
  <c r="RJ7"/>
  <c r="RF7"/>
  <c r="RE7"/>
  <c r="RD7"/>
  <c r="RC7"/>
  <c r="RM6"/>
  <c r="RL6"/>
  <c r="RK6"/>
  <c r="RJ6"/>
  <c r="RF6"/>
  <c r="RE6"/>
  <c r="RD6"/>
  <c r="RC6"/>
  <c r="RM5"/>
  <c r="RL5"/>
  <c r="RK5"/>
  <c r="RJ5"/>
  <c r="RE5"/>
  <c r="RD5"/>
  <c r="RC5"/>
  <c r="NT6"/>
  <c r="NU6"/>
  <c r="NV6"/>
  <c r="NT7"/>
  <c r="NU7"/>
  <c r="NV7"/>
  <c r="NT8"/>
  <c r="NU8"/>
  <c r="NV8"/>
  <c r="NT9"/>
  <c r="NU9"/>
  <c r="NV9"/>
  <c r="NT10"/>
  <c r="NU10"/>
  <c r="NV10"/>
  <c r="NT11"/>
  <c r="NU11"/>
  <c r="NV11"/>
  <c r="NT12"/>
  <c r="NU12"/>
  <c r="NV12"/>
  <c r="NT13"/>
  <c r="NU13"/>
  <c r="NV13"/>
  <c r="NT14"/>
  <c r="NU14"/>
  <c r="NV14"/>
  <c r="NT15"/>
  <c r="NU15"/>
  <c r="NV15"/>
  <c r="NT16"/>
  <c r="NU16"/>
  <c r="NV16"/>
  <c r="NT17"/>
  <c r="NU17"/>
  <c r="NV17"/>
  <c r="NT18"/>
  <c r="NU18"/>
  <c r="NV18"/>
  <c r="NT19"/>
  <c r="NU19"/>
  <c r="NV19"/>
  <c r="NT20"/>
  <c r="NU20"/>
  <c r="NV20"/>
  <c r="NT21"/>
  <c r="NU21"/>
  <c r="NV21"/>
  <c r="NT22"/>
  <c r="NU22"/>
  <c r="NV22"/>
  <c r="NT23"/>
  <c r="NU23"/>
  <c r="NV23"/>
  <c r="NT24"/>
  <c r="NU24"/>
  <c r="NV24"/>
  <c r="NT25"/>
  <c r="NU25"/>
  <c r="NV25"/>
  <c r="NT26"/>
  <c r="NU26"/>
  <c r="NV26"/>
  <c r="NT27"/>
  <c r="NU27"/>
  <c r="NV27"/>
  <c r="NT28"/>
  <c r="NU28"/>
  <c r="NV28"/>
  <c r="NT29"/>
  <c r="NU29"/>
  <c r="NV29"/>
  <c r="NT30"/>
  <c r="NU30"/>
  <c r="NV30"/>
  <c r="NT31"/>
  <c r="NU31"/>
  <c r="NV31"/>
  <c r="NT32"/>
  <c r="NU32"/>
  <c r="NV32"/>
  <c r="NT33"/>
  <c r="NU33"/>
  <c r="NV33"/>
  <c r="NT34"/>
  <c r="NU34"/>
  <c r="NV34"/>
  <c r="NT35"/>
  <c r="NU35"/>
  <c r="NV35"/>
  <c r="NT36"/>
  <c r="NU36"/>
  <c r="NV36"/>
  <c r="NT37"/>
  <c r="NU37"/>
  <c r="NV37"/>
  <c r="NT38"/>
  <c r="NU38"/>
  <c r="NV38"/>
  <c r="NT39"/>
  <c r="NU39"/>
  <c r="NV39"/>
  <c r="NT40"/>
  <c r="NU40"/>
  <c r="NV40"/>
  <c r="NT41"/>
  <c r="NU41"/>
  <c r="NV41"/>
  <c r="NT42"/>
  <c r="NU42"/>
  <c r="NV42"/>
  <c r="NT43"/>
  <c r="NU43"/>
  <c r="NV43"/>
  <c r="NT44"/>
  <c r="NU44"/>
  <c r="NV44"/>
  <c r="NT45"/>
  <c r="NU45"/>
  <c r="NV45"/>
  <c r="NT46"/>
  <c r="NU46"/>
  <c r="NV46"/>
  <c r="NT47"/>
  <c r="NU47"/>
  <c r="NV47"/>
  <c r="NT48"/>
  <c r="NU48"/>
  <c r="NV48"/>
  <c r="NT49"/>
  <c r="NU49"/>
  <c r="NV49"/>
  <c r="NT50"/>
  <c r="NU50"/>
  <c r="NV50"/>
  <c r="NT51"/>
  <c r="NU51"/>
  <c r="NV51"/>
  <c r="NT52"/>
  <c r="NU52"/>
  <c r="NV52"/>
  <c r="NT53"/>
  <c r="NU53"/>
  <c r="NV53"/>
  <c r="NT54"/>
  <c r="NU54"/>
  <c r="NV54"/>
  <c r="NT55"/>
  <c r="NU55"/>
  <c r="NV55"/>
  <c r="NT56"/>
  <c r="NU56"/>
  <c r="NV56"/>
  <c r="NT57"/>
  <c r="NU57"/>
  <c r="NV57"/>
  <c r="NT58"/>
  <c r="NU58"/>
  <c r="NV58"/>
  <c r="NT59"/>
  <c r="NU59"/>
  <c r="NV59"/>
  <c r="NT60"/>
  <c r="NU60"/>
  <c r="NV60"/>
  <c r="NT61"/>
  <c r="NU61"/>
  <c r="NV61"/>
  <c r="NT62"/>
  <c r="NU62"/>
  <c r="NV62"/>
  <c r="NT63"/>
  <c r="NU63"/>
  <c r="NV63"/>
  <c r="NT64"/>
  <c r="NU64"/>
  <c r="NV64"/>
  <c r="NT65"/>
  <c r="NU65"/>
  <c r="NV65"/>
  <c r="NT66"/>
  <c r="NU66"/>
  <c r="NV66"/>
  <c r="NT67"/>
  <c r="NU67"/>
  <c r="NV67"/>
  <c r="NT68"/>
  <c r="NU68"/>
  <c r="NV68"/>
  <c r="NT69"/>
  <c r="NU69"/>
  <c r="NV69"/>
  <c r="NT70"/>
  <c r="NU70"/>
  <c r="NV70"/>
  <c r="NT71"/>
  <c r="NU71"/>
  <c r="NV71"/>
  <c r="NT72"/>
  <c r="NU72"/>
  <c r="NV72"/>
  <c r="NT73"/>
  <c r="NU73"/>
  <c r="NV73"/>
  <c r="NT74"/>
  <c r="NU74"/>
  <c r="NV74"/>
  <c r="NT75"/>
  <c r="NU75"/>
  <c r="NV75"/>
  <c r="NT76"/>
  <c r="NU76"/>
  <c r="NV76"/>
  <c r="NT77"/>
  <c r="NU77"/>
  <c r="NV77"/>
  <c r="NT78"/>
  <c r="NU78"/>
  <c r="NV78"/>
  <c r="NT79"/>
  <c r="NU79"/>
  <c r="NV79"/>
  <c r="NT80"/>
  <c r="NU80"/>
  <c r="NV80"/>
  <c r="NT81"/>
  <c r="NU81"/>
  <c r="NV81"/>
  <c r="NT82"/>
  <c r="NU82"/>
  <c r="NV82"/>
  <c r="NV5"/>
  <c r="NT5"/>
  <c r="NU5"/>
  <c r="NS5"/>
  <c r="NZ82"/>
  <c r="NY82"/>
  <c r="NX82"/>
  <c r="NW82"/>
  <c r="NS82"/>
  <c r="NR82"/>
  <c r="NQ82"/>
  <c r="NP82"/>
  <c r="NZ81"/>
  <c r="NY81"/>
  <c r="NX81"/>
  <c r="NW81"/>
  <c r="NS81"/>
  <c r="NR81"/>
  <c r="NQ81"/>
  <c r="NP81"/>
  <c r="NZ80"/>
  <c r="NY80"/>
  <c r="NX80"/>
  <c r="NW80"/>
  <c r="NS80"/>
  <c r="NR80"/>
  <c r="NQ80"/>
  <c r="NP80"/>
  <c r="NZ79"/>
  <c r="NY79"/>
  <c r="NX79"/>
  <c r="NW79"/>
  <c r="NS79"/>
  <c r="NR79"/>
  <c r="NQ79"/>
  <c r="NP79"/>
  <c r="NZ78"/>
  <c r="NY78"/>
  <c r="NX78"/>
  <c r="NW78"/>
  <c r="NS78"/>
  <c r="NR78"/>
  <c r="NQ78"/>
  <c r="NP78"/>
  <c r="NZ77"/>
  <c r="NY77"/>
  <c r="NX77"/>
  <c r="NW77"/>
  <c r="NS77"/>
  <c r="NR77"/>
  <c r="NQ77"/>
  <c r="NP77"/>
  <c r="NZ76"/>
  <c r="NY76"/>
  <c r="NX76"/>
  <c r="NW76"/>
  <c r="NS76"/>
  <c r="NR76"/>
  <c r="NQ76"/>
  <c r="NP76"/>
  <c r="NZ75"/>
  <c r="NY75"/>
  <c r="NX75"/>
  <c r="NW75"/>
  <c r="NS75"/>
  <c r="NR75"/>
  <c r="NQ75"/>
  <c r="NP75"/>
  <c r="NZ74"/>
  <c r="NY74"/>
  <c r="NX74"/>
  <c r="NW74"/>
  <c r="NS74"/>
  <c r="NR74"/>
  <c r="NQ74"/>
  <c r="NP74"/>
  <c r="NZ73"/>
  <c r="NY73"/>
  <c r="NX73"/>
  <c r="NW73"/>
  <c r="NS73"/>
  <c r="NR73"/>
  <c r="NQ73"/>
  <c r="NP73"/>
  <c r="NZ72"/>
  <c r="NY72"/>
  <c r="NX72"/>
  <c r="NW72"/>
  <c r="NS72"/>
  <c r="NR72"/>
  <c r="NQ72"/>
  <c r="NP72"/>
  <c r="NZ71"/>
  <c r="NY71"/>
  <c r="NX71"/>
  <c r="NW71"/>
  <c r="NS71"/>
  <c r="NR71"/>
  <c r="NQ71"/>
  <c r="NP71"/>
  <c r="NZ70"/>
  <c r="NY70"/>
  <c r="NX70"/>
  <c r="NW70"/>
  <c r="NS70"/>
  <c r="NR70"/>
  <c r="NQ70"/>
  <c r="NP70"/>
  <c r="NZ69"/>
  <c r="NY69"/>
  <c r="NX69"/>
  <c r="NW69"/>
  <c r="NS69"/>
  <c r="NR69"/>
  <c r="NQ69"/>
  <c r="NP69"/>
  <c r="NZ68"/>
  <c r="NY68"/>
  <c r="NX68"/>
  <c r="NW68"/>
  <c r="NS68"/>
  <c r="NR68"/>
  <c r="NQ68"/>
  <c r="NP68"/>
  <c r="NZ67"/>
  <c r="NY67"/>
  <c r="NX67"/>
  <c r="NW67"/>
  <c r="NS67"/>
  <c r="NR67"/>
  <c r="NQ67"/>
  <c r="NP67"/>
  <c r="NZ66"/>
  <c r="NY66"/>
  <c r="NX66"/>
  <c r="NW66"/>
  <c r="NS66"/>
  <c r="NR66"/>
  <c r="NQ66"/>
  <c r="NP66"/>
  <c r="NZ65"/>
  <c r="NY65"/>
  <c r="NX65"/>
  <c r="NW65"/>
  <c r="NS65"/>
  <c r="NR65"/>
  <c r="NQ65"/>
  <c r="NP65"/>
  <c r="NZ64"/>
  <c r="NY64"/>
  <c r="NX64"/>
  <c r="NW64"/>
  <c r="NS64"/>
  <c r="NR64"/>
  <c r="NQ64"/>
  <c r="NP64"/>
  <c r="NZ63"/>
  <c r="NY63"/>
  <c r="NX63"/>
  <c r="NW63"/>
  <c r="NS63"/>
  <c r="NR63"/>
  <c r="NQ63"/>
  <c r="NP63"/>
  <c r="NZ62"/>
  <c r="NY62"/>
  <c r="NX62"/>
  <c r="NW62"/>
  <c r="NS62"/>
  <c r="NR62"/>
  <c r="NQ62"/>
  <c r="NP62"/>
  <c r="NZ61"/>
  <c r="NY61"/>
  <c r="NX61"/>
  <c r="NW61"/>
  <c r="NS61"/>
  <c r="NR61"/>
  <c r="NQ61"/>
  <c r="NP61"/>
  <c r="NZ60"/>
  <c r="NY60"/>
  <c r="NX60"/>
  <c r="NW60"/>
  <c r="NS60"/>
  <c r="NR60"/>
  <c r="NQ60"/>
  <c r="NP60"/>
  <c r="NZ59"/>
  <c r="NY59"/>
  <c r="NX59"/>
  <c r="NW59"/>
  <c r="NS59"/>
  <c r="NR59"/>
  <c r="NQ59"/>
  <c r="NP59"/>
  <c r="NZ58"/>
  <c r="NY58"/>
  <c r="NX58"/>
  <c r="NW58"/>
  <c r="NS58"/>
  <c r="NR58"/>
  <c r="NQ58"/>
  <c r="NP58"/>
  <c r="NZ57"/>
  <c r="NY57"/>
  <c r="NX57"/>
  <c r="NW57"/>
  <c r="NS57"/>
  <c r="NR57"/>
  <c r="NQ57"/>
  <c r="NP57"/>
  <c r="NZ56"/>
  <c r="NY56"/>
  <c r="NX56"/>
  <c r="NW56"/>
  <c r="NS56"/>
  <c r="NR56"/>
  <c r="NQ56"/>
  <c r="NP56"/>
  <c r="NZ55"/>
  <c r="NY55"/>
  <c r="NX55"/>
  <c r="NW55"/>
  <c r="NS55"/>
  <c r="NR55"/>
  <c r="NQ55"/>
  <c r="NP55"/>
  <c r="NZ54"/>
  <c r="NY54"/>
  <c r="NX54"/>
  <c r="NW54"/>
  <c r="NS54"/>
  <c r="NR54"/>
  <c r="NQ54"/>
  <c r="NP54"/>
  <c r="NZ53"/>
  <c r="NY53"/>
  <c r="NX53"/>
  <c r="NW53"/>
  <c r="NS53"/>
  <c r="NR53"/>
  <c r="NQ53"/>
  <c r="NP53"/>
  <c r="NZ52"/>
  <c r="NY52"/>
  <c r="NX52"/>
  <c r="NW52"/>
  <c r="NS52"/>
  <c r="NR52"/>
  <c r="NQ52"/>
  <c r="NP52"/>
  <c r="NZ51"/>
  <c r="NY51"/>
  <c r="NX51"/>
  <c r="NW51"/>
  <c r="NS51"/>
  <c r="NR51"/>
  <c r="NQ51"/>
  <c r="NP51"/>
  <c r="NZ50"/>
  <c r="NY50"/>
  <c r="NX50"/>
  <c r="NW50"/>
  <c r="NS50"/>
  <c r="NR50"/>
  <c r="NQ50"/>
  <c r="NP50"/>
  <c r="NZ49"/>
  <c r="NY49"/>
  <c r="NX49"/>
  <c r="NW49"/>
  <c r="NS49"/>
  <c r="NR49"/>
  <c r="NQ49"/>
  <c r="NP49"/>
  <c r="NZ48"/>
  <c r="NY48"/>
  <c r="NX48"/>
  <c r="NW48"/>
  <c r="NS48"/>
  <c r="NR48"/>
  <c r="NQ48"/>
  <c r="NP48"/>
  <c r="NZ47"/>
  <c r="NY47"/>
  <c r="NX47"/>
  <c r="NW47"/>
  <c r="NS47"/>
  <c r="NR47"/>
  <c r="NQ47"/>
  <c r="NP47"/>
  <c r="NZ46"/>
  <c r="NY46"/>
  <c r="NX46"/>
  <c r="NW46"/>
  <c r="NS46"/>
  <c r="NR46"/>
  <c r="NQ46"/>
  <c r="NP46"/>
  <c r="NZ45"/>
  <c r="NY45"/>
  <c r="NX45"/>
  <c r="NW45"/>
  <c r="NS45"/>
  <c r="NR45"/>
  <c r="NQ45"/>
  <c r="NP45"/>
  <c r="NZ44"/>
  <c r="NY44"/>
  <c r="NX44"/>
  <c r="NW44"/>
  <c r="NS44"/>
  <c r="NR44"/>
  <c r="NQ44"/>
  <c r="NP44"/>
  <c r="NZ43"/>
  <c r="NY43"/>
  <c r="NX43"/>
  <c r="NW43"/>
  <c r="NS43"/>
  <c r="NR43"/>
  <c r="NQ43"/>
  <c r="NP43"/>
  <c r="NZ42"/>
  <c r="NY42"/>
  <c r="NX42"/>
  <c r="NW42"/>
  <c r="NS42"/>
  <c r="NR42"/>
  <c r="NQ42"/>
  <c r="NP42"/>
  <c r="NZ41"/>
  <c r="NY41"/>
  <c r="NX41"/>
  <c r="NW41"/>
  <c r="NS41"/>
  <c r="NR41"/>
  <c r="NQ41"/>
  <c r="NP41"/>
  <c r="NZ40"/>
  <c r="NY40"/>
  <c r="NX40"/>
  <c r="NW40"/>
  <c r="NS40"/>
  <c r="NR40"/>
  <c r="NQ40"/>
  <c r="NP40"/>
  <c r="NZ39"/>
  <c r="NY39"/>
  <c r="NX39"/>
  <c r="NW39"/>
  <c r="NS39"/>
  <c r="NR39"/>
  <c r="NQ39"/>
  <c r="NP39"/>
  <c r="NZ38"/>
  <c r="NY38"/>
  <c r="NX38"/>
  <c r="NW38"/>
  <c r="NS38"/>
  <c r="NR38"/>
  <c r="NQ38"/>
  <c r="NP38"/>
  <c r="NZ37"/>
  <c r="NY37"/>
  <c r="NX37"/>
  <c r="NW37"/>
  <c r="NS37"/>
  <c r="NR37"/>
  <c r="NQ37"/>
  <c r="NP37"/>
  <c r="NZ36"/>
  <c r="NY36"/>
  <c r="NX36"/>
  <c r="NW36"/>
  <c r="NS36"/>
  <c r="NR36"/>
  <c r="NQ36"/>
  <c r="NP36"/>
  <c r="NZ35"/>
  <c r="NY35"/>
  <c r="NX35"/>
  <c r="NW35"/>
  <c r="NS35"/>
  <c r="NR35"/>
  <c r="NQ35"/>
  <c r="NP35"/>
  <c r="NZ34"/>
  <c r="NY34"/>
  <c r="NX34"/>
  <c r="NW34"/>
  <c r="NS34"/>
  <c r="NR34"/>
  <c r="NQ34"/>
  <c r="NP34"/>
  <c r="NZ33"/>
  <c r="NY33"/>
  <c r="NX33"/>
  <c r="NW33"/>
  <c r="NS33"/>
  <c r="NR33"/>
  <c r="NQ33"/>
  <c r="NP33"/>
  <c r="NZ32"/>
  <c r="NY32"/>
  <c r="NX32"/>
  <c r="NW32"/>
  <c r="NS32"/>
  <c r="NR32"/>
  <c r="NQ32"/>
  <c r="NP32"/>
  <c r="NZ31"/>
  <c r="NY31"/>
  <c r="NX31"/>
  <c r="NW31"/>
  <c r="NS31"/>
  <c r="NR31"/>
  <c r="NQ31"/>
  <c r="NP31"/>
  <c r="NZ30"/>
  <c r="NY30"/>
  <c r="NX30"/>
  <c r="NW30"/>
  <c r="NS30"/>
  <c r="NR30"/>
  <c r="NQ30"/>
  <c r="NP30"/>
  <c r="NZ29"/>
  <c r="NY29"/>
  <c r="NX29"/>
  <c r="NW29"/>
  <c r="NS29"/>
  <c r="NR29"/>
  <c r="NQ29"/>
  <c r="NP29"/>
  <c r="NZ28"/>
  <c r="NY28"/>
  <c r="NX28"/>
  <c r="NW28"/>
  <c r="NS28"/>
  <c r="NR28"/>
  <c r="NQ28"/>
  <c r="NP28"/>
  <c r="NZ27"/>
  <c r="NY27"/>
  <c r="NX27"/>
  <c r="NW27"/>
  <c r="NS27"/>
  <c r="NR27"/>
  <c r="NQ27"/>
  <c r="NP27"/>
  <c r="NZ26"/>
  <c r="NY26"/>
  <c r="NX26"/>
  <c r="NW26"/>
  <c r="NS26"/>
  <c r="NR26"/>
  <c r="NQ26"/>
  <c r="NP26"/>
  <c r="NZ25"/>
  <c r="NY25"/>
  <c r="NX25"/>
  <c r="NW25"/>
  <c r="NS25"/>
  <c r="NR25"/>
  <c r="NQ25"/>
  <c r="NP25"/>
  <c r="NZ24"/>
  <c r="NY24"/>
  <c r="NX24"/>
  <c r="NW24"/>
  <c r="NS24"/>
  <c r="NR24"/>
  <c r="NQ24"/>
  <c r="NP24"/>
  <c r="NZ23"/>
  <c r="NY23"/>
  <c r="NX23"/>
  <c r="NW23"/>
  <c r="NS23"/>
  <c r="NR23"/>
  <c r="NQ23"/>
  <c r="NP23"/>
  <c r="NZ22"/>
  <c r="NY22"/>
  <c r="NX22"/>
  <c r="NW22"/>
  <c r="NS22"/>
  <c r="NR22"/>
  <c r="NQ22"/>
  <c r="NP22"/>
  <c r="NZ21"/>
  <c r="NY21"/>
  <c r="NX21"/>
  <c r="NW21"/>
  <c r="NS21"/>
  <c r="NR21"/>
  <c r="NQ21"/>
  <c r="NP21"/>
  <c r="NZ20"/>
  <c r="NY20"/>
  <c r="NX20"/>
  <c r="NW20"/>
  <c r="NS20"/>
  <c r="NR20"/>
  <c r="NQ20"/>
  <c r="NP20"/>
  <c r="NZ19"/>
  <c r="NY19"/>
  <c r="NX19"/>
  <c r="NW19"/>
  <c r="NS19"/>
  <c r="NR19"/>
  <c r="NQ19"/>
  <c r="NP19"/>
  <c r="NZ18"/>
  <c r="NY18"/>
  <c r="NX18"/>
  <c r="NW18"/>
  <c r="NS18"/>
  <c r="NR18"/>
  <c r="NQ18"/>
  <c r="NP18"/>
  <c r="NZ17"/>
  <c r="NY17"/>
  <c r="NX17"/>
  <c r="NW17"/>
  <c r="NS17"/>
  <c r="NR17"/>
  <c r="NQ17"/>
  <c r="NP17"/>
  <c r="NZ16"/>
  <c r="NY16"/>
  <c r="NX16"/>
  <c r="NW16"/>
  <c r="NS16"/>
  <c r="NR16"/>
  <c r="NQ16"/>
  <c r="NP16"/>
  <c r="NZ15"/>
  <c r="NY15"/>
  <c r="NX15"/>
  <c r="NW15"/>
  <c r="NS15"/>
  <c r="NR15"/>
  <c r="NQ15"/>
  <c r="NP15"/>
  <c r="NZ14"/>
  <c r="NY14"/>
  <c r="NX14"/>
  <c r="NW14"/>
  <c r="NS14"/>
  <c r="NR14"/>
  <c r="NQ14"/>
  <c r="NP14"/>
  <c r="NZ13"/>
  <c r="NY13"/>
  <c r="NX13"/>
  <c r="NW13"/>
  <c r="NS13"/>
  <c r="NR13"/>
  <c r="NQ13"/>
  <c r="NP13"/>
  <c r="NZ12"/>
  <c r="NY12"/>
  <c r="NX12"/>
  <c r="NW12"/>
  <c r="NS12"/>
  <c r="NR12"/>
  <c r="NQ12"/>
  <c r="NP12"/>
  <c r="NZ11"/>
  <c r="NY11"/>
  <c r="NX11"/>
  <c r="NW11"/>
  <c r="NS11"/>
  <c r="NR11"/>
  <c r="NQ11"/>
  <c r="NP11"/>
  <c r="NZ10"/>
  <c r="NY10"/>
  <c r="NX10"/>
  <c r="NW10"/>
  <c r="NS10"/>
  <c r="NR10"/>
  <c r="NQ10"/>
  <c r="NP10"/>
  <c r="NZ9"/>
  <c r="NY9"/>
  <c r="NX9"/>
  <c r="NW9"/>
  <c r="NS9"/>
  <c r="NR9"/>
  <c r="NQ9"/>
  <c r="NP9"/>
  <c r="NZ8"/>
  <c r="NY8"/>
  <c r="NX8"/>
  <c r="NW8"/>
  <c r="NS8"/>
  <c r="NR8"/>
  <c r="NQ8"/>
  <c r="NP8"/>
  <c r="NZ7"/>
  <c r="NY7"/>
  <c r="NX7"/>
  <c r="NW7"/>
  <c r="NS7"/>
  <c r="NR7"/>
  <c r="NQ7"/>
  <c r="NP7"/>
  <c r="NZ6"/>
  <c r="NY6"/>
  <c r="NX6"/>
  <c r="NW6"/>
  <c r="NS6"/>
  <c r="NR6"/>
  <c r="NQ6"/>
  <c r="NP6"/>
  <c r="NZ5"/>
  <c r="NY5"/>
  <c r="NX5"/>
  <c r="NW5"/>
  <c r="NR5"/>
  <c r="NQ5"/>
  <c r="NP5"/>
  <c r="NG6"/>
  <c r="NH6"/>
  <c r="NI6"/>
  <c r="NG7"/>
  <c r="NH7"/>
  <c r="NI7"/>
  <c r="NG8"/>
  <c r="NH8"/>
  <c r="NI8"/>
  <c r="NG9"/>
  <c r="NH9"/>
  <c r="NI9"/>
  <c r="NG10"/>
  <c r="NH10"/>
  <c r="NI10"/>
  <c r="NG11"/>
  <c r="NH11"/>
  <c r="NI11"/>
  <c r="NG12"/>
  <c r="NH12"/>
  <c r="NI12"/>
  <c r="NG13"/>
  <c r="NH13"/>
  <c r="NI13"/>
  <c r="NG14"/>
  <c r="NH14"/>
  <c r="NI14"/>
  <c r="NG15"/>
  <c r="NH15"/>
  <c r="NI15"/>
  <c r="NG16"/>
  <c r="NH16"/>
  <c r="NI16"/>
  <c r="NG17"/>
  <c r="NH17"/>
  <c r="NI17"/>
  <c r="NG18"/>
  <c r="NH18"/>
  <c r="NI18"/>
  <c r="NG19"/>
  <c r="NH19"/>
  <c r="NI19"/>
  <c r="NG20"/>
  <c r="NH20"/>
  <c r="NI20"/>
  <c r="NG21"/>
  <c r="NH21"/>
  <c r="NI21"/>
  <c r="NG22"/>
  <c r="NH22"/>
  <c r="NI22"/>
  <c r="NG23"/>
  <c r="NH23"/>
  <c r="NI23"/>
  <c r="NG24"/>
  <c r="NH24"/>
  <c r="NI24"/>
  <c r="NG25"/>
  <c r="NH25"/>
  <c r="NI25"/>
  <c r="NG26"/>
  <c r="NH26"/>
  <c r="NI26"/>
  <c r="NG27"/>
  <c r="NH27"/>
  <c r="NI27"/>
  <c r="NG28"/>
  <c r="NH28"/>
  <c r="NI28"/>
  <c r="NG29"/>
  <c r="NH29"/>
  <c r="NI29"/>
  <c r="NG30"/>
  <c r="NH30"/>
  <c r="NI30"/>
  <c r="NG31"/>
  <c r="NH31"/>
  <c r="NI31"/>
  <c r="NG32"/>
  <c r="NH32"/>
  <c r="NI32"/>
  <c r="NG33"/>
  <c r="NH33"/>
  <c r="NI33"/>
  <c r="NG34"/>
  <c r="NH34"/>
  <c r="NI34"/>
  <c r="NG35"/>
  <c r="NH35"/>
  <c r="NI35"/>
  <c r="NG36"/>
  <c r="NH36"/>
  <c r="NI36"/>
  <c r="NG37"/>
  <c r="NH37"/>
  <c r="NI37"/>
  <c r="NG38"/>
  <c r="NH38"/>
  <c r="NI38"/>
  <c r="NG39"/>
  <c r="NH39"/>
  <c r="NI39"/>
  <c r="NG40"/>
  <c r="NH40"/>
  <c r="NI40"/>
  <c r="NG41"/>
  <c r="NH41"/>
  <c r="NI41"/>
  <c r="NG42"/>
  <c r="NH42"/>
  <c r="NI42"/>
  <c r="NG43"/>
  <c r="NH43"/>
  <c r="NI43"/>
  <c r="NG44"/>
  <c r="NH44"/>
  <c r="NI44"/>
  <c r="NG45"/>
  <c r="NH45"/>
  <c r="NI45"/>
  <c r="NG46"/>
  <c r="NH46"/>
  <c r="NI46"/>
  <c r="NG47"/>
  <c r="NH47"/>
  <c r="NI47"/>
  <c r="NG48"/>
  <c r="NH48"/>
  <c r="NI48"/>
  <c r="NG49"/>
  <c r="NH49"/>
  <c r="NI49"/>
  <c r="NG50"/>
  <c r="NH50"/>
  <c r="NI50"/>
  <c r="NG51"/>
  <c r="NH51"/>
  <c r="NI51"/>
  <c r="NG52"/>
  <c r="NH52"/>
  <c r="NI52"/>
  <c r="NG53"/>
  <c r="NH53"/>
  <c r="NI53"/>
  <c r="NG54"/>
  <c r="NH54"/>
  <c r="NI54"/>
  <c r="NG55"/>
  <c r="NH55"/>
  <c r="NI55"/>
  <c r="NG56"/>
  <c r="NH56"/>
  <c r="NI56"/>
  <c r="NG57"/>
  <c r="NH57"/>
  <c r="NI57"/>
  <c r="NG58"/>
  <c r="NH58"/>
  <c r="NI58"/>
  <c r="NG59"/>
  <c r="NH59"/>
  <c r="NI59"/>
  <c r="NG60"/>
  <c r="NH60"/>
  <c r="NI60"/>
  <c r="NG61"/>
  <c r="NH61"/>
  <c r="NI61"/>
  <c r="NG62"/>
  <c r="NH62"/>
  <c r="NI62"/>
  <c r="NG63"/>
  <c r="NH63"/>
  <c r="NI63"/>
  <c r="NG64"/>
  <c r="NH64"/>
  <c r="NI64"/>
  <c r="NG65"/>
  <c r="NH65"/>
  <c r="NI65"/>
  <c r="NG66"/>
  <c r="NH66"/>
  <c r="NI66"/>
  <c r="NG67"/>
  <c r="NH67"/>
  <c r="NI67"/>
  <c r="NG68"/>
  <c r="NH68"/>
  <c r="NI68"/>
  <c r="NG69"/>
  <c r="NH69"/>
  <c r="NI69"/>
  <c r="NG70"/>
  <c r="NH70"/>
  <c r="NI70"/>
  <c r="NG71"/>
  <c r="NH71"/>
  <c r="NI71"/>
  <c r="NG72"/>
  <c r="NH72"/>
  <c r="NI72"/>
  <c r="NG73"/>
  <c r="NH73"/>
  <c r="NI73"/>
  <c r="NG74"/>
  <c r="NH74"/>
  <c r="NI74"/>
  <c r="NG75"/>
  <c r="NH75"/>
  <c r="NI75"/>
  <c r="NG76"/>
  <c r="NH76"/>
  <c r="NI76"/>
  <c r="NG77"/>
  <c r="NH77"/>
  <c r="NI77"/>
  <c r="NG78"/>
  <c r="NH78"/>
  <c r="NI78"/>
  <c r="NG79"/>
  <c r="NH79"/>
  <c r="NI79"/>
  <c r="NG80"/>
  <c r="NH80"/>
  <c r="NI80"/>
  <c r="NG81"/>
  <c r="NH81"/>
  <c r="NI81"/>
  <c r="NG82"/>
  <c r="NH82"/>
  <c r="NI82"/>
  <c r="NG83"/>
  <c r="NH83"/>
  <c r="NI83"/>
  <c r="NG84"/>
  <c r="NH84"/>
  <c r="NI84"/>
  <c r="NG85"/>
  <c r="NH85"/>
  <c r="NI85"/>
  <c r="NG86"/>
  <c r="NH86"/>
  <c r="NI86"/>
  <c r="NI5"/>
  <c r="NG5"/>
  <c r="NH5"/>
  <c r="NF5"/>
  <c r="NM86"/>
  <c r="NL86"/>
  <c r="NK86"/>
  <c r="NJ86"/>
  <c r="NF86"/>
  <c r="NE86"/>
  <c r="ND86"/>
  <c r="NC86"/>
  <c r="NM85"/>
  <c r="NL85"/>
  <c r="NK85"/>
  <c r="NJ85"/>
  <c r="NF85"/>
  <c r="NE85"/>
  <c r="ND85"/>
  <c r="NC85"/>
  <c r="NM84"/>
  <c r="NL84"/>
  <c r="NK84"/>
  <c r="NJ84"/>
  <c r="NF84"/>
  <c r="NE84"/>
  <c r="ND84"/>
  <c r="NC84"/>
  <c r="NM83"/>
  <c r="NL83"/>
  <c r="NK83"/>
  <c r="NJ83"/>
  <c r="NF83"/>
  <c r="NE83"/>
  <c r="ND83"/>
  <c r="NC83"/>
  <c r="NM82"/>
  <c r="NL82"/>
  <c r="NK82"/>
  <c r="NJ82"/>
  <c r="NF82"/>
  <c r="NE82"/>
  <c r="ND82"/>
  <c r="NC82"/>
  <c r="NM81"/>
  <c r="NL81"/>
  <c r="NK81"/>
  <c r="NJ81"/>
  <c r="NF81"/>
  <c r="NE81"/>
  <c r="ND81"/>
  <c r="NC81"/>
  <c r="NM80"/>
  <c r="NL80"/>
  <c r="NK80"/>
  <c r="NJ80"/>
  <c r="NF80"/>
  <c r="NE80"/>
  <c r="ND80"/>
  <c r="NC80"/>
  <c r="NM79"/>
  <c r="NL79"/>
  <c r="NK79"/>
  <c r="NJ79"/>
  <c r="NF79"/>
  <c r="NE79"/>
  <c r="ND79"/>
  <c r="NC79"/>
  <c r="NM78"/>
  <c r="NL78"/>
  <c r="NK78"/>
  <c r="NJ78"/>
  <c r="NF78"/>
  <c r="NE78"/>
  <c r="ND78"/>
  <c r="NC78"/>
  <c r="NM77"/>
  <c r="NL77"/>
  <c r="NK77"/>
  <c r="NJ77"/>
  <c r="NF77"/>
  <c r="NE77"/>
  <c r="ND77"/>
  <c r="NC77"/>
  <c r="NM76"/>
  <c r="NL76"/>
  <c r="NK76"/>
  <c r="NJ76"/>
  <c r="NF76"/>
  <c r="NE76"/>
  <c r="ND76"/>
  <c r="NC76"/>
  <c r="NM75"/>
  <c r="NL75"/>
  <c r="NK75"/>
  <c r="NJ75"/>
  <c r="NF75"/>
  <c r="NE75"/>
  <c r="ND75"/>
  <c r="NC75"/>
  <c r="NM74"/>
  <c r="NL74"/>
  <c r="NK74"/>
  <c r="NJ74"/>
  <c r="NF74"/>
  <c r="NE74"/>
  <c r="ND74"/>
  <c r="NC74"/>
  <c r="NM73"/>
  <c r="NL73"/>
  <c r="NK73"/>
  <c r="NJ73"/>
  <c r="NF73"/>
  <c r="NE73"/>
  <c r="ND73"/>
  <c r="NC73"/>
  <c r="NM72"/>
  <c r="NL72"/>
  <c r="NK72"/>
  <c r="NJ72"/>
  <c r="NF72"/>
  <c r="NE72"/>
  <c r="ND72"/>
  <c r="NC72"/>
  <c r="NM71"/>
  <c r="NL71"/>
  <c r="NK71"/>
  <c r="NJ71"/>
  <c r="NF71"/>
  <c r="NE71"/>
  <c r="ND71"/>
  <c r="NC71"/>
  <c r="NM70"/>
  <c r="NL70"/>
  <c r="NK70"/>
  <c r="NJ70"/>
  <c r="NF70"/>
  <c r="NE70"/>
  <c r="ND70"/>
  <c r="NC70"/>
  <c r="NM69"/>
  <c r="NL69"/>
  <c r="NK69"/>
  <c r="NJ69"/>
  <c r="NF69"/>
  <c r="NE69"/>
  <c r="ND69"/>
  <c r="NC69"/>
  <c r="NM68"/>
  <c r="NL68"/>
  <c r="NK68"/>
  <c r="NJ68"/>
  <c r="NF68"/>
  <c r="NE68"/>
  <c r="ND68"/>
  <c r="NC68"/>
  <c r="NM67"/>
  <c r="NL67"/>
  <c r="NK67"/>
  <c r="NJ67"/>
  <c r="NF67"/>
  <c r="NE67"/>
  <c r="ND67"/>
  <c r="NC67"/>
  <c r="NM66"/>
  <c r="NL66"/>
  <c r="NK66"/>
  <c r="NJ66"/>
  <c r="NF66"/>
  <c r="NE66"/>
  <c r="ND66"/>
  <c r="NC66"/>
  <c r="NM65"/>
  <c r="NL65"/>
  <c r="NK65"/>
  <c r="NJ65"/>
  <c r="NF65"/>
  <c r="NE65"/>
  <c r="ND65"/>
  <c r="NC65"/>
  <c r="NM64"/>
  <c r="NL64"/>
  <c r="NK64"/>
  <c r="NJ64"/>
  <c r="NF64"/>
  <c r="NE64"/>
  <c r="ND64"/>
  <c r="NC64"/>
  <c r="NM63"/>
  <c r="NL63"/>
  <c r="NK63"/>
  <c r="NJ63"/>
  <c r="NF63"/>
  <c r="NE63"/>
  <c r="ND63"/>
  <c r="NC63"/>
  <c r="NM62"/>
  <c r="NL62"/>
  <c r="NK62"/>
  <c r="NJ62"/>
  <c r="NF62"/>
  <c r="NE62"/>
  <c r="ND62"/>
  <c r="NC62"/>
  <c r="NM61"/>
  <c r="NL61"/>
  <c r="NK61"/>
  <c r="NJ61"/>
  <c r="NF61"/>
  <c r="NE61"/>
  <c r="ND61"/>
  <c r="NC61"/>
  <c r="NM60"/>
  <c r="NL60"/>
  <c r="NK60"/>
  <c r="NJ60"/>
  <c r="NF60"/>
  <c r="NE60"/>
  <c r="ND60"/>
  <c r="NC60"/>
  <c r="NM59"/>
  <c r="NL59"/>
  <c r="NK59"/>
  <c r="NJ59"/>
  <c r="NF59"/>
  <c r="NE59"/>
  <c r="ND59"/>
  <c r="NC59"/>
  <c r="NM58"/>
  <c r="NL58"/>
  <c r="NK58"/>
  <c r="NJ58"/>
  <c r="NF58"/>
  <c r="NE58"/>
  <c r="ND58"/>
  <c r="NC58"/>
  <c r="NM57"/>
  <c r="NL57"/>
  <c r="NK57"/>
  <c r="NJ57"/>
  <c r="NF57"/>
  <c r="NE57"/>
  <c r="ND57"/>
  <c r="NC57"/>
  <c r="NM56"/>
  <c r="NL56"/>
  <c r="NK56"/>
  <c r="NJ56"/>
  <c r="NF56"/>
  <c r="NE56"/>
  <c r="ND56"/>
  <c r="NC56"/>
  <c r="NM55"/>
  <c r="NL55"/>
  <c r="NK55"/>
  <c r="NJ55"/>
  <c r="NF55"/>
  <c r="NE55"/>
  <c r="ND55"/>
  <c r="NC55"/>
  <c r="NM54"/>
  <c r="NL54"/>
  <c r="NK54"/>
  <c r="NJ54"/>
  <c r="NF54"/>
  <c r="NE54"/>
  <c r="ND54"/>
  <c r="NC54"/>
  <c r="NM53"/>
  <c r="NL53"/>
  <c r="NK53"/>
  <c r="NJ53"/>
  <c r="NF53"/>
  <c r="NE53"/>
  <c r="ND53"/>
  <c r="NC53"/>
  <c r="NM52"/>
  <c r="NL52"/>
  <c r="NK52"/>
  <c r="NJ52"/>
  <c r="NF52"/>
  <c r="NE52"/>
  <c r="ND52"/>
  <c r="NC52"/>
  <c r="NM51"/>
  <c r="NL51"/>
  <c r="NK51"/>
  <c r="NJ51"/>
  <c r="NF51"/>
  <c r="NE51"/>
  <c r="ND51"/>
  <c r="NC51"/>
  <c r="NM50"/>
  <c r="NL50"/>
  <c r="NK50"/>
  <c r="NJ50"/>
  <c r="NF50"/>
  <c r="NE50"/>
  <c r="ND50"/>
  <c r="NC50"/>
  <c r="NM49"/>
  <c r="NL49"/>
  <c r="NK49"/>
  <c r="NJ49"/>
  <c r="NF49"/>
  <c r="NE49"/>
  <c r="ND49"/>
  <c r="NC49"/>
  <c r="NM48"/>
  <c r="NL48"/>
  <c r="NK48"/>
  <c r="NJ48"/>
  <c r="NF48"/>
  <c r="NE48"/>
  <c r="ND48"/>
  <c r="NC48"/>
  <c r="NM47"/>
  <c r="NL47"/>
  <c r="NK47"/>
  <c r="NJ47"/>
  <c r="NF47"/>
  <c r="NE47"/>
  <c r="ND47"/>
  <c r="NC47"/>
  <c r="NM46"/>
  <c r="NL46"/>
  <c r="NK46"/>
  <c r="NJ46"/>
  <c r="NF46"/>
  <c r="NE46"/>
  <c r="ND46"/>
  <c r="NC46"/>
  <c r="NM45"/>
  <c r="NL45"/>
  <c r="NK45"/>
  <c r="NJ45"/>
  <c r="NF45"/>
  <c r="NE45"/>
  <c r="ND45"/>
  <c r="NC45"/>
  <c r="NM44"/>
  <c r="NL44"/>
  <c r="NK44"/>
  <c r="NJ44"/>
  <c r="NF44"/>
  <c r="NE44"/>
  <c r="ND44"/>
  <c r="NC44"/>
  <c r="NM43"/>
  <c r="NL43"/>
  <c r="NK43"/>
  <c r="NJ43"/>
  <c r="NF43"/>
  <c r="NE43"/>
  <c r="ND43"/>
  <c r="NC43"/>
  <c r="NM42"/>
  <c r="NL42"/>
  <c r="NK42"/>
  <c r="NJ42"/>
  <c r="NF42"/>
  <c r="NE42"/>
  <c r="ND42"/>
  <c r="NC42"/>
  <c r="NM41"/>
  <c r="NL41"/>
  <c r="NK41"/>
  <c r="NJ41"/>
  <c r="NF41"/>
  <c r="NE41"/>
  <c r="ND41"/>
  <c r="NC41"/>
  <c r="NM40"/>
  <c r="NL40"/>
  <c r="NK40"/>
  <c r="NJ40"/>
  <c r="NF40"/>
  <c r="NE40"/>
  <c r="ND40"/>
  <c r="NC40"/>
  <c r="NM39"/>
  <c r="NL39"/>
  <c r="NK39"/>
  <c r="NJ39"/>
  <c r="NF39"/>
  <c r="NE39"/>
  <c r="ND39"/>
  <c r="NC39"/>
  <c r="NM38"/>
  <c r="NL38"/>
  <c r="NK38"/>
  <c r="NJ38"/>
  <c r="NF38"/>
  <c r="NE38"/>
  <c r="ND38"/>
  <c r="NC38"/>
  <c r="NM37"/>
  <c r="NL37"/>
  <c r="NK37"/>
  <c r="NJ37"/>
  <c r="NF37"/>
  <c r="NE37"/>
  <c r="ND37"/>
  <c r="NC37"/>
  <c r="NM36"/>
  <c r="NL36"/>
  <c r="NK36"/>
  <c r="NJ36"/>
  <c r="NF36"/>
  <c r="NE36"/>
  <c r="ND36"/>
  <c r="NC36"/>
  <c r="NM35"/>
  <c r="NL35"/>
  <c r="NK35"/>
  <c r="NJ35"/>
  <c r="NF35"/>
  <c r="NE35"/>
  <c r="ND35"/>
  <c r="NC35"/>
  <c r="NM34"/>
  <c r="NL34"/>
  <c r="NK34"/>
  <c r="NJ34"/>
  <c r="NF34"/>
  <c r="NE34"/>
  <c r="ND34"/>
  <c r="NC34"/>
  <c r="NM33"/>
  <c r="NL33"/>
  <c r="NK33"/>
  <c r="NJ33"/>
  <c r="NF33"/>
  <c r="NE33"/>
  <c r="ND33"/>
  <c r="NC33"/>
  <c r="NM32"/>
  <c r="NL32"/>
  <c r="NK32"/>
  <c r="NJ32"/>
  <c r="NF32"/>
  <c r="NE32"/>
  <c r="ND32"/>
  <c r="NC32"/>
  <c r="NM31"/>
  <c r="NL31"/>
  <c r="NK31"/>
  <c r="NJ31"/>
  <c r="NF31"/>
  <c r="NE31"/>
  <c r="ND31"/>
  <c r="NC31"/>
  <c r="NM30"/>
  <c r="NL30"/>
  <c r="NK30"/>
  <c r="NJ30"/>
  <c r="NF30"/>
  <c r="NE30"/>
  <c r="ND30"/>
  <c r="NC30"/>
  <c r="NM29"/>
  <c r="NL29"/>
  <c r="NK29"/>
  <c r="NJ29"/>
  <c r="NF29"/>
  <c r="NE29"/>
  <c r="ND29"/>
  <c r="NC29"/>
  <c r="NM28"/>
  <c r="NL28"/>
  <c r="NK28"/>
  <c r="NJ28"/>
  <c r="NF28"/>
  <c r="NE28"/>
  <c r="ND28"/>
  <c r="NC28"/>
  <c r="NM27"/>
  <c r="NL27"/>
  <c r="NK27"/>
  <c r="NJ27"/>
  <c r="NF27"/>
  <c r="NE27"/>
  <c r="ND27"/>
  <c r="NC27"/>
  <c r="NM26"/>
  <c r="NL26"/>
  <c r="NK26"/>
  <c r="NJ26"/>
  <c r="NF26"/>
  <c r="NE26"/>
  <c r="ND26"/>
  <c r="NC26"/>
  <c r="NM25"/>
  <c r="NL25"/>
  <c r="NK25"/>
  <c r="NJ25"/>
  <c r="NF25"/>
  <c r="NE25"/>
  <c r="ND25"/>
  <c r="NC25"/>
  <c r="NM24"/>
  <c r="NL24"/>
  <c r="NK24"/>
  <c r="NJ24"/>
  <c r="NF24"/>
  <c r="NE24"/>
  <c r="ND24"/>
  <c r="NC24"/>
  <c r="NM23"/>
  <c r="NL23"/>
  <c r="NK23"/>
  <c r="NJ23"/>
  <c r="NF23"/>
  <c r="NE23"/>
  <c r="ND23"/>
  <c r="NC23"/>
  <c r="NM22"/>
  <c r="NL22"/>
  <c r="NK22"/>
  <c r="NJ22"/>
  <c r="NF22"/>
  <c r="NE22"/>
  <c r="ND22"/>
  <c r="NC22"/>
  <c r="NM21"/>
  <c r="NL21"/>
  <c r="NK21"/>
  <c r="NJ21"/>
  <c r="NF21"/>
  <c r="NE21"/>
  <c r="ND21"/>
  <c r="NC21"/>
  <c r="NM20"/>
  <c r="NL20"/>
  <c r="NK20"/>
  <c r="NJ20"/>
  <c r="NF20"/>
  <c r="NE20"/>
  <c r="ND20"/>
  <c r="NC20"/>
  <c r="NM19"/>
  <c r="NL19"/>
  <c r="NK19"/>
  <c r="NJ19"/>
  <c r="NF19"/>
  <c r="NE19"/>
  <c r="ND19"/>
  <c r="NC19"/>
  <c r="NM18"/>
  <c r="NL18"/>
  <c r="NK18"/>
  <c r="NJ18"/>
  <c r="NF18"/>
  <c r="NE18"/>
  <c r="ND18"/>
  <c r="NC18"/>
  <c r="NM17"/>
  <c r="NL17"/>
  <c r="NK17"/>
  <c r="NJ17"/>
  <c r="NF17"/>
  <c r="NE17"/>
  <c r="ND17"/>
  <c r="NC17"/>
  <c r="NM16"/>
  <c r="NL16"/>
  <c r="NK16"/>
  <c r="NJ16"/>
  <c r="NF16"/>
  <c r="NE16"/>
  <c r="ND16"/>
  <c r="NC16"/>
  <c r="NM15"/>
  <c r="NL15"/>
  <c r="NK15"/>
  <c r="NJ15"/>
  <c r="NF15"/>
  <c r="NE15"/>
  <c r="ND15"/>
  <c r="NC15"/>
  <c r="NM14"/>
  <c r="NL14"/>
  <c r="NK14"/>
  <c r="NJ14"/>
  <c r="NF14"/>
  <c r="NE14"/>
  <c r="ND14"/>
  <c r="NC14"/>
  <c r="NM13"/>
  <c r="NL13"/>
  <c r="NK13"/>
  <c r="NJ13"/>
  <c r="NF13"/>
  <c r="NE13"/>
  <c r="ND13"/>
  <c r="NC13"/>
  <c r="NM12"/>
  <c r="NL12"/>
  <c r="NK12"/>
  <c r="NJ12"/>
  <c r="NF12"/>
  <c r="NE12"/>
  <c r="ND12"/>
  <c r="NC12"/>
  <c r="NM11"/>
  <c r="NL11"/>
  <c r="NK11"/>
  <c r="NJ11"/>
  <c r="NF11"/>
  <c r="NE11"/>
  <c r="ND11"/>
  <c r="NC11"/>
  <c r="NM10"/>
  <c r="NL10"/>
  <c r="NK10"/>
  <c r="NJ10"/>
  <c r="NF10"/>
  <c r="NE10"/>
  <c r="ND10"/>
  <c r="NC10"/>
  <c r="NM9"/>
  <c r="NL9"/>
  <c r="NK9"/>
  <c r="NJ9"/>
  <c r="NF9"/>
  <c r="NE9"/>
  <c r="ND9"/>
  <c r="NC9"/>
  <c r="NM8"/>
  <c r="NL8"/>
  <c r="NK8"/>
  <c r="NJ8"/>
  <c r="NF8"/>
  <c r="NE8"/>
  <c r="ND8"/>
  <c r="NC8"/>
  <c r="NM7"/>
  <c r="NL7"/>
  <c r="NK7"/>
  <c r="NJ7"/>
  <c r="NF7"/>
  <c r="NE7"/>
  <c r="ND7"/>
  <c r="NC7"/>
  <c r="NM6"/>
  <c r="NL6"/>
  <c r="NK6"/>
  <c r="NJ6"/>
  <c r="NF6"/>
  <c r="NE6"/>
  <c r="ND6"/>
  <c r="NC6"/>
  <c r="NM5"/>
  <c r="NL5"/>
  <c r="NK5"/>
  <c r="NJ5"/>
  <c r="NE5"/>
  <c r="ND5"/>
  <c r="NC5"/>
  <c r="MT6"/>
  <c r="MU6"/>
  <c r="MV6"/>
  <c r="MT7"/>
  <c r="MU7"/>
  <c r="MV7"/>
  <c r="MT8"/>
  <c r="MU8"/>
  <c r="MV8"/>
  <c r="MT9"/>
  <c r="MU9"/>
  <c r="MV9"/>
  <c r="MT10"/>
  <c r="MU10"/>
  <c r="MV10"/>
  <c r="MT11"/>
  <c r="MU11"/>
  <c r="MV11"/>
  <c r="MT12"/>
  <c r="MU12"/>
  <c r="MV12"/>
  <c r="MT13"/>
  <c r="MU13"/>
  <c r="MV13"/>
  <c r="MT14"/>
  <c r="MU14"/>
  <c r="MV14"/>
  <c r="MT15"/>
  <c r="MU15"/>
  <c r="MV15"/>
  <c r="MT16"/>
  <c r="MU16"/>
  <c r="MV16"/>
  <c r="MT17"/>
  <c r="MU17"/>
  <c r="MV17"/>
  <c r="MT18"/>
  <c r="MU18"/>
  <c r="MV18"/>
  <c r="MT19"/>
  <c r="MU19"/>
  <c r="MV19"/>
  <c r="MT20"/>
  <c r="MU20"/>
  <c r="MV20"/>
  <c r="MT21"/>
  <c r="MU21"/>
  <c r="MV21"/>
  <c r="MT22"/>
  <c r="MU22"/>
  <c r="MV22"/>
  <c r="MT23"/>
  <c r="MU23"/>
  <c r="MV23"/>
  <c r="MT24"/>
  <c r="MU24"/>
  <c r="MV24"/>
  <c r="MT25"/>
  <c r="MU25"/>
  <c r="MV25"/>
  <c r="MT26"/>
  <c r="MU26"/>
  <c r="MV26"/>
  <c r="MT27"/>
  <c r="MU27"/>
  <c r="MV27"/>
  <c r="MT28"/>
  <c r="MU28"/>
  <c r="MV28"/>
  <c r="MT29"/>
  <c r="MU29"/>
  <c r="MV29"/>
  <c r="MT30"/>
  <c r="MU30"/>
  <c r="MV30"/>
  <c r="MT31"/>
  <c r="MU31"/>
  <c r="MV31"/>
  <c r="MT32"/>
  <c r="MU32"/>
  <c r="MV32"/>
  <c r="MT33"/>
  <c r="MU33"/>
  <c r="MV33"/>
  <c r="MT34"/>
  <c r="MU34"/>
  <c r="MV34"/>
  <c r="MT35"/>
  <c r="MU35"/>
  <c r="MV35"/>
  <c r="MT36"/>
  <c r="MU36"/>
  <c r="MV36"/>
  <c r="MT37"/>
  <c r="MU37"/>
  <c r="MV37"/>
  <c r="MT38"/>
  <c r="MU38"/>
  <c r="MV38"/>
  <c r="MT39"/>
  <c r="MU39"/>
  <c r="MV39"/>
  <c r="MT40"/>
  <c r="MU40"/>
  <c r="MV40"/>
  <c r="MT41"/>
  <c r="MU41"/>
  <c r="MV41"/>
  <c r="MT42"/>
  <c r="MU42"/>
  <c r="MV42"/>
  <c r="MT43"/>
  <c r="MU43"/>
  <c r="MV43"/>
  <c r="MT44"/>
  <c r="MU44"/>
  <c r="MV44"/>
  <c r="MT45"/>
  <c r="MU45"/>
  <c r="MV45"/>
  <c r="MT46"/>
  <c r="MU46"/>
  <c r="MV46"/>
  <c r="MT47"/>
  <c r="MU47"/>
  <c r="MV47"/>
  <c r="MT48"/>
  <c r="MU48"/>
  <c r="MV48"/>
  <c r="MT49"/>
  <c r="MU49"/>
  <c r="MV49"/>
  <c r="MT50"/>
  <c r="MU50"/>
  <c r="MV50"/>
  <c r="MT51"/>
  <c r="MU51"/>
  <c r="MV51"/>
  <c r="MT52"/>
  <c r="MU52"/>
  <c r="MV52"/>
  <c r="MT53"/>
  <c r="MU53"/>
  <c r="MV53"/>
  <c r="MT54"/>
  <c r="MU54"/>
  <c r="MV54"/>
  <c r="MT55"/>
  <c r="MU55"/>
  <c r="MV55"/>
  <c r="MT56"/>
  <c r="MU56"/>
  <c r="MV56"/>
  <c r="MT57"/>
  <c r="MU57"/>
  <c r="MV57"/>
  <c r="MT58"/>
  <c r="MU58"/>
  <c r="MV58"/>
  <c r="MT59"/>
  <c r="MU59"/>
  <c r="MV59"/>
  <c r="MT60"/>
  <c r="MU60"/>
  <c r="MV60"/>
  <c r="MT61"/>
  <c r="MU61"/>
  <c r="MV61"/>
  <c r="MT62"/>
  <c r="MU62"/>
  <c r="MV62"/>
  <c r="MT63"/>
  <c r="MU63"/>
  <c r="MV63"/>
  <c r="MT64"/>
  <c r="MU64"/>
  <c r="MV64"/>
  <c r="MT65"/>
  <c r="MU65"/>
  <c r="MV65"/>
  <c r="MT66"/>
  <c r="MU66"/>
  <c r="MV66"/>
  <c r="MT67"/>
  <c r="MU67"/>
  <c r="MV67"/>
  <c r="MT68"/>
  <c r="MU68"/>
  <c r="MV68"/>
  <c r="MT69"/>
  <c r="MU69"/>
  <c r="MV69"/>
  <c r="MT70"/>
  <c r="MU70"/>
  <c r="MV70"/>
  <c r="MT71"/>
  <c r="MU71"/>
  <c r="MV71"/>
  <c r="MT72"/>
  <c r="MU72"/>
  <c r="MV72"/>
  <c r="MT73"/>
  <c r="MU73"/>
  <c r="MV73"/>
  <c r="MT74"/>
  <c r="MU74"/>
  <c r="MV74"/>
  <c r="MT75"/>
  <c r="MU75"/>
  <c r="MV75"/>
  <c r="MT76"/>
  <c r="MU76"/>
  <c r="MV76"/>
  <c r="MT77"/>
  <c r="MU77"/>
  <c r="MV77"/>
  <c r="MT78"/>
  <c r="MU78"/>
  <c r="MV78"/>
  <c r="MT79"/>
  <c r="MU79"/>
  <c r="MV79"/>
  <c r="MT80"/>
  <c r="MU80"/>
  <c r="MV80"/>
  <c r="MT81"/>
  <c r="MU81"/>
  <c r="MV81"/>
  <c r="MT82"/>
  <c r="MU82"/>
  <c r="MV82"/>
  <c r="MT83"/>
  <c r="MU83"/>
  <c r="MV83"/>
  <c r="MT84"/>
  <c r="MU84"/>
  <c r="MV84"/>
  <c r="MT85"/>
  <c r="MU85"/>
  <c r="MV85"/>
  <c r="MT86"/>
  <c r="MU86"/>
  <c r="MV86"/>
  <c r="MV5"/>
  <c r="MT5"/>
  <c r="MU5"/>
  <c r="MS5"/>
  <c r="MZ86"/>
  <c r="MY86"/>
  <c r="MX86"/>
  <c r="MW86"/>
  <c r="MS86"/>
  <c r="MR86"/>
  <c r="MQ86"/>
  <c r="MP86"/>
  <c r="MZ85"/>
  <c r="MY85"/>
  <c r="MX85"/>
  <c r="MW85"/>
  <c r="MS85"/>
  <c r="MR85"/>
  <c r="MQ85"/>
  <c r="MP85"/>
  <c r="MZ84"/>
  <c r="MY84"/>
  <c r="MX84"/>
  <c r="MW84"/>
  <c r="MS84"/>
  <c r="MR84"/>
  <c r="MQ84"/>
  <c r="MP84"/>
  <c r="MZ83"/>
  <c r="MY83"/>
  <c r="MX83"/>
  <c r="MW83"/>
  <c r="MS83"/>
  <c r="MR83"/>
  <c r="MQ83"/>
  <c r="MP83"/>
  <c r="MZ82"/>
  <c r="MY82"/>
  <c r="MX82"/>
  <c r="MW82"/>
  <c r="MS82"/>
  <c r="MR82"/>
  <c r="MQ82"/>
  <c r="MP82"/>
  <c r="MZ81"/>
  <c r="MY81"/>
  <c r="MX81"/>
  <c r="MW81"/>
  <c r="MS81"/>
  <c r="MR81"/>
  <c r="MQ81"/>
  <c r="MP81"/>
  <c r="MZ80"/>
  <c r="MY80"/>
  <c r="MX80"/>
  <c r="MW80"/>
  <c r="MS80"/>
  <c r="MR80"/>
  <c r="MQ80"/>
  <c r="MP80"/>
  <c r="MZ79"/>
  <c r="MY79"/>
  <c r="MX79"/>
  <c r="MW79"/>
  <c r="MS79"/>
  <c r="MR79"/>
  <c r="MQ79"/>
  <c r="MP79"/>
  <c r="MZ78"/>
  <c r="MY78"/>
  <c r="MX78"/>
  <c r="MW78"/>
  <c r="MS78"/>
  <c r="MR78"/>
  <c r="MQ78"/>
  <c r="MP78"/>
  <c r="MZ77"/>
  <c r="MY77"/>
  <c r="MX77"/>
  <c r="MW77"/>
  <c r="MS77"/>
  <c r="MR77"/>
  <c r="MQ77"/>
  <c r="MP77"/>
  <c r="MZ76"/>
  <c r="MY76"/>
  <c r="MX76"/>
  <c r="MW76"/>
  <c r="MS76"/>
  <c r="MR76"/>
  <c r="MQ76"/>
  <c r="MP76"/>
  <c r="MZ75"/>
  <c r="MY75"/>
  <c r="MX75"/>
  <c r="MW75"/>
  <c r="MS75"/>
  <c r="MR75"/>
  <c r="MQ75"/>
  <c r="MP75"/>
  <c r="MZ74"/>
  <c r="MY74"/>
  <c r="MX74"/>
  <c r="MW74"/>
  <c r="MS74"/>
  <c r="MR74"/>
  <c r="MQ74"/>
  <c r="MP74"/>
  <c r="MZ73"/>
  <c r="MY73"/>
  <c r="MX73"/>
  <c r="MW73"/>
  <c r="MS73"/>
  <c r="MR73"/>
  <c r="MQ73"/>
  <c r="MP73"/>
  <c r="MZ72"/>
  <c r="MY72"/>
  <c r="MX72"/>
  <c r="MW72"/>
  <c r="MS72"/>
  <c r="MR72"/>
  <c r="MQ72"/>
  <c r="MP72"/>
  <c r="MZ71"/>
  <c r="MY71"/>
  <c r="MX71"/>
  <c r="MW71"/>
  <c r="MS71"/>
  <c r="MR71"/>
  <c r="MQ71"/>
  <c r="MP71"/>
  <c r="MZ70"/>
  <c r="MY70"/>
  <c r="MX70"/>
  <c r="MW70"/>
  <c r="MS70"/>
  <c r="MR70"/>
  <c r="MQ70"/>
  <c r="MP70"/>
  <c r="MZ69"/>
  <c r="MY69"/>
  <c r="MX69"/>
  <c r="MW69"/>
  <c r="MS69"/>
  <c r="MR69"/>
  <c r="MQ69"/>
  <c r="MP69"/>
  <c r="MZ68"/>
  <c r="MY68"/>
  <c r="MX68"/>
  <c r="MW68"/>
  <c r="MS68"/>
  <c r="MR68"/>
  <c r="MQ68"/>
  <c r="MP68"/>
  <c r="MZ67"/>
  <c r="MY67"/>
  <c r="MX67"/>
  <c r="MW67"/>
  <c r="MS67"/>
  <c r="MR67"/>
  <c r="MQ67"/>
  <c r="MP67"/>
  <c r="MZ66"/>
  <c r="MY66"/>
  <c r="MX66"/>
  <c r="MW66"/>
  <c r="MS66"/>
  <c r="MR66"/>
  <c r="MQ66"/>
  <c r="MP66"/>
  <c r="MZ65"/>
  <c r="MY65"/>
  <c r="MX65"/>
  <c r="MW65"/>
  <c r="MS65"/>
  <c r="MR65"/>
  <c r="MQ65"/>
  <c r="MP65"/>
  <c r="MZ64"/>
  <c r="MY64"/>
  <c r="MX64"/>
  <c r="MW64"/>
  <c r="MS64"/>
  <c r="MR64"/>
  <c r="MQ64"/>
  <c r="MP64"/>
  <c r="MZ63"/>
  <c r="MY63"/>
  <c r="MX63"/>
  <c r="MW63"/>
  <c r="MS63"/>
  <c r="MR63"/>
  <c r="MQ63"/>
  <c r="MP63"/>
  <c r="MZ62"/>
  <c r="MY62"/>
  <c r="MX62"/>
  <c r="MW62"/>
  <c r="MS62"/>
  <c r="MR62"/>
  <c r="MQ62"/>
  <c r="MP62"/>
  <c r="MZ61"/>
  <c r="MY61"/>
  <c r="MX61"/>
  <c r="MW61"/>
  <c r="MS61"/>
  <c r="MR61"/>
  <c r="MQ61"/>
  <c r="MP61"/>
  <c r="MZ60"/>
  <c r="MY60"/>
  <c r="MX60"/>
  <c r="MW60"/>
  <c r="MS60"/>
  <c r="MR60"/>
  <c r="MQ60"/>
  <c r="MP60"/>
  <c r="MZ59"/>
  <c r="MY59"/>
  <c r="MX59"/>
  <c r="MW59"/>
  <c r="MS59"/>
  <c r="MR59"/>
  <c r="MQ59"/>
  <c r="MP59"/>
  <c r="MZ58"/>
  <c r="MY58"/>
  <c r="MX58"/>
  <c r="MW58"/>
  <c r="MS58"/>
  <c r="MR58"/>
  <c r="MQ58"/>
  <c r="MP58"/>
  <c r="MZ57"/>
  <c r="MY57"/>
  <c r="MX57"/>
  <c r="MW57"/>
  <c r="MS57"/>
  <c r="MR57"/>
  <c r="MQ57"/>
  <c r="MP57"/>
  <c r="MZ56"/>
  <c r="MY56"/>
  <c r="MX56"/>
  <c r="MW56"/>
  <c r="MS56"/>
  <c r="MR56"/>
  <c r="MQ56"/>
  <c r="MP56"/>
  <c r="MZ55"/>
  <c r="MY55"/>
  <c r="MX55"/>
  <c r="MW55"/>
  <c r="MS55"/>
  <c r="MR55"/>
  <c r="MQ55"/>
  <c r="MP55"/>
  <c r="MZ54"/>
  <c r="MY54"/>
  <c r="MX54"/>
  <c r="MW54"/>
  <c r="MS54"/>
  <c r="MR54"/>
  <c r="MQ54"/>
  <c r="MP54"/>
  <c r="MZ53"/>
  <c r="MY53"/>
  <c r="MX53"/>
  <c r="MW53"/>
  <c r="MS53"/>
  <c r="MR53"/>
  <c r="MQ53"/>
  <c r="MP53"/>
  <c r="MZ52"/>
  <c r="MY52"/>
  <c r="MX52"/>
  <c r="MW52"/>
  <c r="MS52"/>
  <c r="MR52"/>
  <c r="MQ52"/>
  <c r="MP52"/>
  <c r="MZ51"/>
  <c r="MY51"/>
  <c r="MX51"/>
  <c r="MW51"/>
  <c r="MS51"/>
  <c r="MR51"/>
  <c r="MQ51"/>
  <c r="MP51"/>
  <c r="MZ50"/>
  <c r="MY50"/>
  <c r="MX50"/>
  <c r="MW50"/>
  <c r="MS50"/>
  <c r="MR50"/>
  <c r="MQ50"/>
  <c r="MP50"/>
  <c r="MZ49"/>
  <c r="MY49"/>
  <c r="MX49"/>
  <c r="MW49"/>
  <c r="MS49"/>
  <c r="MR49"/>
  <c r="MQ49"/>
  <c r="MP49"/>
  <c r="MZ48"/>
  <c r="MY48"/>
  <c r="MX48"/>
  <c r="MW48"/>
  <c r="MS48"/>
  <c r="MR48"/>
  <c r="MQ48"/>
  <c r="MP48"/>
  <c r="MZ47"/>
  <c r="MY47"/>
  <c r="MX47"/>
  <c r="MW47"/>
  <c r="MS47"/>
  <c r="MR47"/>
  <c r="MQ47"/>
  <c r="MP47"/>
  <c r="MZ46"/>
  <c r="MY46"/>
  <c r="MX46"/>
  <c r="MW46"/>
  <c r="MS46"/>
  <c r="MR46"/>
  <c r="MQ46"/>
  <c r="MP46"/>
  <c r="MZ45"/>
  <c r="MY45"/>
  <c r="MX45"/>
  <c r="MW45"/>
  <c r="MS45"/>
  <c r="MR45"/>
  <c r="MQ45"/>
  <c r="MP45"/>
  <c r="MZ44"/>
  <c r="MY44"/>
  <c r="MX44"/>
  <c r="MW44"/>
  <c r="MS44"/>
  <c r="MR44"/>
  <c r="MQ44"/>
  <c r="MP44"/>
  <c r="MZ43"/>
  <c r="MY43"/>
  <c r="MX43"/>
  <c r="MW43"/>
  <c r="MS43"/>
  <c r="MR43"/>
  <c r="MQ43"/>
  <c r="MP43"/>
  <c r="MZ42"/>
  <c r="MY42"/>
  <c r="MX42"/>
  <c r="MW42"/>
  <c r="MS42"/>
  <c r="MR42"/>
  <c r="MQ42"/>
  <c r="MP42"/>
  <c r="MZ41"/>
  <c r="MY41"/>
  <c r="MX41"/>
  <c r="MW41"/>
  <c r="MS41"/>
  <c r="MR41"/>
  <c r="MQ41"/>
  <c r="MP41"/>
  <c r="MZ40"/>
  <c r="MY40"/>
  <c r="MX40"/>
  <c r="MW40"/>
  <c r="MS40"/>
  <c r="MR40"/>
  <c r="MQ40"/>
  <c r="MP40"/>
  <c r="MZ39"/>
  <c r="MY39"/>
  <c r="MX39"/>
  <c r="MW39"/>
  <c r="MS39"/>
  <c r="MR39"/>
  <c r="MQ39"/>
  <c r="MP39"/>
  <c r="MZ38"/>
  <c r="MY38"/>
  <c r="MX38"/>
  <c r="MW38"/>
  <c r="MS38"/>
  <c r="MR38"/>
  <c r="MQ38"/>
  <c r="MP38"/>
  <c r="MZ37"/>
  <c r="MY37"/>
  <c r="MX37"/>
  <c r="MW37"/>
  <c r="MS37"/>
  <c r="MR37"/>
  <c r="MQ37"/>
  <c r="MP37"/>
  <c r="MZ36"/>
  <c r="MY36"/>
  <c r="MX36"/>
  <c r="MW36"/>
  <c r="MS36"/>
  <c r="MR36"/>
  <c r="MQ36"/>
  <c r="MP36"/>
  <c r="MZ35"/>
  <c r="MY35"/>
  <c r="MX35"/>
  <c r="MW35"/>
  <c r="MS35"/>
  <c r="MR35"/>
  <c r="MQ35"/>
  <c r="MP35"/>
  <c r="MZ34"/>
  <c r="MY34"/>
  <c r="MX34"/>
  <c r="MW34"/>
  <c r="MS34"/>
  <c r="MR34"/>
  <c r="MQ34"/>
  <c r="MP34"/>
  <c r="MZ33"/>
  <c r="MY33"/>
  <c r="MX33"/>
  <c r="MW33"/>
  <c r="MS33"/>
  <c r="MR33"/>
  <c r="MQ33"/>
  <c r="MP33"/>
  <c r="MZ32"/>
  <c r="MY32"/>
  <c r="MX32"/>
  <c r="MW32"/>
  <c r="MS32"/>
  <c r="MR32"/>
  <c r="MQ32"/>
  <c r="MP32"/>
  <c r="MZ31"/>
  <c r="MY31"/>
  <c r="MX31"/>
  <c r="MW31"/>
  <c r="MS31"/>
  <c r="MR31"/>
  <c r="MQ31"/>
  <c r="MP31"/>
  <c r="MZ30"/>
  <c r="MY30"/>
  <c r="MX30"/>
  <c r="MW30"/>
  <c r="MS30"/>
  <c r="MR30"/>
  <c r="MQ30"/>
  <c r="MP30"/>
  <c r="MZ29"/>
  <c r="MY29"/>
  <c r="MX29"/>
  <c r="MW29"/>
  <c r="MS29"/>
  <c r="MR29"/>
  <c r="MQ29"/>
  <c r="MP29"/>
  <c r="MZ28"/>
  <c r="MY28"/>
  <c r="MX28"/>
  <c r="MW28"/>
  <c r="MS28"/>
  <c r="MR28"/>
  <c r="MQ28"/>
  <c r="MP28"/>
  <c r="MZ27"/>
  <c r="MY27"/>
  <c r="MX27"/>
  <c r="MW27"/>
  <c r="MS27"/>
  <c r="MR27"/>
  <c r="MQ27"/>
  <c r="MP27"/>
  <c r="MZ26"/>
  <c r="MY26"/>
  <c r="MX26"/>
  <c r="MW26"/>
  <c r="MS26"/>
  <c r="MR26"/>
  <c r="MQ26"/>
  <c r="MP26"/>
  <c r="MZ25"/>
  <c r="MY25"/>
  <c r="MX25"/>
  <c r="MW25"/>
  <c r="MS25"/>
  <c r="MR25"/>
  <c r="MQ25"/>
  <c r="MP25"/>
  <c r="MZ24"/>
  <c r="MY24"/>
  <c r="MX24"/>
  <c r="MW24"/>
  <c r="MS24"/>
  <c r="MR24"/>
  <c r="MQ24"/>
  <c r="MP24"/>
  <c r="MZ23"/>
  <c r="MY23"/>
  <c r="MX23"/>
  <c r="MW23"/>
  <c r="MS23"/>
  <c r="MR23"/>
  <c r="MQ23"/>
  <c r="MP23"/>
  <c r="MZ22"/>
  <c r="MY22"/>
  <c r="MX22"/>
  <c r="MW22"/>
  <c r="MS22"/>
  <c r="MR22"/>
  <c r="MQ22"/>
  <c r="MP22"/>
  <c r="MZ21"/>
  <c r="MY21"/>
  <c r="MX21"/>
  <c r="MW21"/>
  <c r="MS21"/>
  <c r="MR21"/>
  <c r="MQ21"/>
  <c r="MP21"/>
  <c r="MZ20"/>
  <c r="MY20"/>
  <c r="MX20"/>
  <c r="MW20"/>
  <c r="MS20"/>
  <c r="MR20"/>
  <c r="MQ20"/>
  <c r="MP20"/>
  <c r="MZ19"/>
  <c r="MY19"/>
  <c r="MX19"/>
  <c r="MW19"/>
  <c r="MS19"/>
  <c r="MR19"/>
  <c r="MQ19"/>
  <c r="MP19"/>
  <c r="MZ18"/>
  <c r="MY18"/>
  <c r="MX18"/>
  <c r="MW18"/>
  <c r="MS18"/>
  <c r="MR18"/>
  <c r="MQ18"/>
  <c r="MP18"/>
  <c r="MZ17"/>
  <c r="MY17"/>
  <c r="MX17"/>
  <c r="MW17"/>
  <c r="MS17"/>
  <c r="MR17"/>
  <c r="MQ17"/>
  <c r="MP17"/>
  <c r="MZ16"/>
  <c r="MY16"/>
  <c r="MX16"/>
  <c r="MW16"/>
  <c r="MS16"/>
  <c r="MR16"/>
  <c r="MQ16"/>
  <c r="MP16"/>
  <c r="MZ15"/>
  <c r="MY15"/>
  <c r="MX15"/>
  <c r="MW15"/>
  <c r="MS15"/>
  <c r="MR15"/>
  <c r="MQ15"/>
  <c r="MP15"/>
  <c r="MZ14"/>
  <c r="MY14"/>
  <c r="MX14"/>
  <c r="MW14"/>
  <c r="MS14"/>
  <c r="MR14"/>
  <c r="MQ14"/>
  <c r="MP14"/>
  <c r="MZ13"/>
  <c r="MY13"/>
  <c r="MX13"/>
  <c r="MW13"/>
  <c r="MS13"/>
  <c r="MR13"/>
  <c r="MQ13"/>
  <c r="MP13"/>
  <c r="MZ12"/>
  <c r="MY12"/>
  <c r="MX12"/>
  <c r="MW12"/>
  <c r="MS12"/>
  <c r="MR12"/>
  <c r="MQ12"/>
  <c r="MP12"/>
  <c r="MZ11"/>
  <c r="MY11"/>
  <c r="MX11"/>
  <c r="MW11"/>
  <c r="MS11"/>
  <c r="MR11"/>
  <c r="MQ11"/>
  <c r="MP11"/>
  <c r="MZ10"/>
  <c r="MY10"/>
  <c r="MX10"/>
  <c r="MW10"/>
  <c r="MS10"/>
  <c r="MR10"/>
  <c r="MQ10"/>
  <c r="MP10"/>
  <c r="MZ9"/>
  <c r="MY9"/>
  <c r="MX9"/>
  <c r="MW9"/>
  <c r="MS9"/>
  <c r="MR9"/>
  <c r="MQ9"/>
  <c r="MP9"/>
  <c r="MZ8"/>
  <c r="MY8"/>
  <c r="MX8"/>
  <c r="MW8"/>
  <c r="MS8"/>
  <c r="MR8"/>
  <c r="MQ8"/>
  <c r="MP8"/>
  <c r="MZ7"/>
  <c r="MY7"/>
  <c r="MX7"/>
  <c r="MW7"/>
  <c r="MS7"/>
  <c r="MR7"/>
  <c r="MQ7"/>
  <c r="MP7"/>
  <c r="MZ6"/>
  <c r="MY6"/>
  <c r="MX6"/>
  <c r="MW6"/>
  <c r="MS6"/>
  <c r="MR6"/>
  <c r="MQ6"/>
  <c r="MP6"/>
  <c r="MZ5"/>
  <c r="MY5"/>
  <c r="MX5"/>
  <c r="MW5"/>
  <c r="MR5"/>
  <c r="MQ5"/>
  <c r="MP5"/>
  <c r="MG6"/>
  <c r="MH6"/>
  <c r="MI6"/>
  <c r="MG7"/>
  <c r="MH7"/>
  <c r="MI7"/>
  <c r="MG8"/>
  <c r="MH8"/>
  <c r="MI8"/>
  <c r="MG9"/>
  <c r="MH9"/>
  <c r="MI9"/>
  <c r="MG10"/>
  <c r="MH10"/>
  <c r="MI10"/>
  <c r="MG11"/>
  <c r="MH11"/>
  <c r="MI11"/>
  <c r="MG12"/>
  <c r="MH12"/>
  <c r="MI12"/>
  <c r="MG13"/>
  <c r="MH13"/>
  <c r="MI13"/>
  <c r="MG14"/>
  <c r="MH14"/>
  <c r="MI14"/>
  <c r="MG15"/>
  <c r="MH15"/>
  <c r="MI15"/>
  <c r="MG16"/>
  <c r="MH16"/>
  <c r="MI16"/>
  <c r="MG17"/>
  <c r="MH17"/>
  <c r="MI17"/>
  <c r="MG18"/>
  <c r="MH18"/>
  <c r="MI18"/>
  <c r="MG19"/>
  <c r="MH19"/>
  <c r="MI19"/>
  <c r="MG20"/>
  <c r="MH20"/>
  <c r="MI20"/>
  <c r="MG21"/>
  <c r="MH21"/>
  <c r="MI21"/>
  <c r="MG22"/>
  <c r="MH22"/>
  <c r="MI22"/>
  <c r="MG23"/>
  <c r="MH23"/>
  <c r="MI23"/>
  <c r="MG24"/>
  <c r="MH24"/>
  <c r="MI24"/>
  <c r="MG25"/>
  <c r="MH25"/>
  <c r="MI25"/>
  <c r="MG26"/>
  <c r="MH26"/>
  <c r="MI26"/>
  <c r="MG27"/>
  <c r="MH27"/>
  <c r="MI27"/>
  <c r="MG28"/>
  <c r="MH28"/>
  <c r="MI28"/>
  <c r="MG29"/>
  <c r="MH29"/>
  <c r="MI29"/>
  <c r="MG30"/>
  <c r="MH30"/>
  <c r="MI30"/>
  <c r="MG31"/>
  <c r="MH31"/>
  <c r="MI31"/>
  <c r="MG32"/>
  <c r="MH32"/>
  <c r="MI32"/>
  <c r="MG33"/>
  <c r="MH33"/>
  <c r="MI33"/>
  <c r="MG34"/>
  <c r="MH34"/>
  <c r="MI34"/>
  <c r="MG35"/>
  <c r="MH35"/>
  <c r="MI35"/>
  <c r="MG36"/>
  <c r="MH36"/>
  <c r="MI36"/>
  <c r="MG37"/>
  <c r="MH37"/>
  <c r="MI37"/>
  <c r="MG38"/>
  <c r="MH38"/>
  <c r="MI38"/>
  <c r="MG39"/>
  <c r="MH39"/>
  <c r="MI39"/>
  <c r="MG40"/>
  <c r="MH40"/>
  <c r="MI40"/>
  <c r="MG41"/>
  <c r="MH41"/>
  <c r="MI41"/>
  <c r="MG42"/>
  <c r="MH42"/>
  <c r="MI42"/>
  <c r="MG43"/>
  <c r="MH43"/>
  <c r="MI43"/>
  <c r="MG44"/>
  <c r="MH44"/>
  <c r="MI44"/>
  <c r="MG45"/>
  <c r="MH45"/>
  <c r="MI45"/>
  <c r="MG46"/>
  <c r="MH46"/>
  <c r="MI46"/>
  <c r="MG47"/>
  <c r="MH47"/>
  <c r="MI47"/>
  <c r="MG48"/>
  <c r="MH48"/>
  <c r="MI48"/>
  <c r="MG49"/>
  <c r="MH49"/>
  <c r="MI49"/>
  <c r="MG50"/>
  <c r="MH50"/>
  <c r="MI50"/>
  <c r="MG51"/>
  <c r="MH51"/>
  <c r="MI51"/>
  <c r="MG52"/>
  <c r="MH52"/>
  <c r="MI52"/>
  <c r="MG53"/>
  <c r="MH53"/>
  <c r="MI53"/>
  <c r="MG54"/>
  <c r="MH54"/>
  <c r="MI54"/>
  <c r="MG55"/>
  <c r="MH55"/>
  <c r="MI55"/>
  <c r="MG56"/>
  <c r="MH56"/>
  <c r="MI56"/>
  <c r="MG57"/>
  <c r="MH57"/>
  <c r="MI57"/>
  <c r="MG58"/>
  <c r="MH58"/>
  <c r="MI58"/>
  <c r="MG59"/>
  <c r="MH59"/>
  <c r="MI59"/>
  <c r="MG60"/>
  <c r="MH60"/>
  <c r="MI60"/>
  <c r="MG61"/>
  <c r="MH61"/>
  <c r="MI61"/>
  <c r="MG62"/>
  <c r="MH62"/>
  <c r="MI62"/>
  <c r="MG63"/>
  <c r="MH63"/>
  <c r="MI63"/>
  <c r="MG64"/>
  <c r="MH64"/>
  <c r="MI64"/>
  <c r="MG65"/>
  <c r="MH65"/>
  <c r="MI65"/>
  <c r="MG66"/>
  <c r="MH66"/>
  <c r="MI66"/>
  <c r="MG67"/>
  <c r="MH67"/>
  <c r="MI67"/>
  <c r="MG68"/>
  <c r="MH68"/>
  <c r="MI68"/>
  <c r="MG69"/>
  <c r="MH69"/>
  <c r="MI69"/>
  <c r="MG70"/>
  <c r="MH70"/>
  <c r="MI70"/>
  <c r="MG71"/>
  <c r="MH71"/>
  <c r="MI71"/>
  <c r="MG72"/>
  <c r="MH72"/>
  <c r="MI72"/>
  <c r="MG73"/>
  <c r="MH73"/>
  <c r="MI73"/>
  <c r="MG74"/>
  <c r="MH74"/>
  <c r="MI74"/>
  <c r="MG75"/>
  <c r="MH75"/>
  <c r="MI75"/>
  <c r="MG76"/>
  <c r="MH76"/>
  <c r="MI76"/>
  <c r="MG77"/>
  <c r="MH77"/>
  <c r="MI77"/>
  <c r="MG78"/>
  <c r="MH78"/>
  <c r="MI78"/>
  <c r="MG79"/>
  <c r="MH79"/>
  <c r="MI79"/>
  <c r="MG80"/>
  <c r="MH80"/>
  <c r="MI80"/>
  <c r="MG81"/>
  <c r="MH81"/>
  <c r="MI81"/>
  <c r="MG82"/>
  <c r="MH82"/>
  <c r="MI82"/>
  <c r="MI5"/>
  <c r="MG5"/>
  <c r="MH5"/>
  <c r="MF5"/>
  <c r="MM82"/>
  <c r="ML82"/>
  <c r="MK82"/>
  <c r="MJ82"/>
  <c r="MF82"/>
  <c r="ME82"/>
  <c r="MD82"/>
  <c r="MC82"/>
  <c r="MM81"/>
  <c r="ML81"/>
  <c r="MK81"/>
  <c r="MJ81"/>
  <c r="MF81"/>
  <c r="ME81"/>
  <c r="MD81"/>
  <c r="MC81"/>
  <c r="MM80"/>
  <c r="ML80"/>
  <c r="MK80"/>
  <c r="MJ80"/>
  <c r="MF80"/>
  <c r="ME80"/>
  <c r="MD80"/>
  <c r="MC80"/>
  <c r="MM79"/>
  <c r="ML79"/>
  <c r="MK79"/>
  <c r="MJ79"/>
  <c r="MF79"/>
  <c r="ME79"/>
  <c r="MD79"/>
  <c r="MC79"/>
  <c r="MM78"/>
  <c r="ML78"/>
  <c r="MK78"/>
  <c r="MJ78"/>
  <c r="MF78"/>
  <c r="ME78"/>
  <c r="MD78"/>
  <c r="MC78"/>
  <c r="MM77"/>
  <c r="ML77"/>
  <c r="MK77"/>
  <c r="MJ77"/>
  <c r="MF77"/>
  <c r="ME77"/>
  <c r="MD77"/>
  <c r="MC77"/>
  <c r="MM76"/>
  <c r="ML76"/>
  <c r="MK76"/>
  <c r="MJ76"/>
  <c r="MF76"/>
  <c r="ME76"/>
  <c r="MD76"/>
  <c r="MC76"/>
  <c r="MM75"/>
  <c r="ML75"/>
  <c r="MK75"/>
  <c r="MJ75"/>
  <c r="MF75"/>
  <c r="ME75"/>
  <c r="MD75"/>
  <c r="MC75"/>
  <c r="MM74"/>
  <c r="ML74"/>
  <c r="MK74"/>
  <c r="MJ74"/>
  <c r="MF74"/>
  <c r="ME74"/>
  <c r="MD74"/>
  <c r="MC74"/>
  <c r="MM73"/>
  <c r="ML73"/>
  <c r="MK73"/>
  <c r="MJ73"/>
  <c r="MF73"/>
  <c r="ME73"/>
  <c r="MD73"/>
  <c r="MC73"/>
  <c r="MM72"/>
  <c r="ML72"/>
  <c r="MK72"/>
  <c r="MJ72"/>
  <c r="MF72"/>
  <c r="ME72"/>
  <c r="MD72"/>
  <c r="MC72"/>
  <c r="MM71"/>
  <c r="ML71"/>
  <c r="MK71"/>
  <c r="MJ71"/>
  <c r="MF71"/>
  <c r="ME71"/>
  <c r="MD71"/>
  <c r="MC71"/>
  <c r="MM70"/>
  <c r="ML70"/>
  <c r="MK70"/>
  <c r="MJ70"/>
  <c r="MF70"/>
  <c r="ME70"/>
  <c r="MD70"/>
  <c r="MC70"/>
  <c r="MM69"/>
  <c r="ML69"/>
  <c r="MK69"/>
  <c r="MJ69"/>
  <c r="MF69"/>
  <c r="ME69"/>
  <c r="MD69"/>
  <c r="MC69"/>
  <c r="MM68"/>
  <c r="ML68"/>
  <c r="MK68"/>
  <c r="MJ68"/>
  <c r="MF68"/>
  <c r="ME68"/>
  <c r="MD68"/>
  <c r="MC68"/>
  <c r="MM67"/>
  <c r="ML67"/>
  <c r="MK67"/>
  <c r="MJ67"/>
  <c r="MF67"/>
  <c r="ME67"/>
  <c r="MD67"/>
  <c r="MC67"/>
  <c r="MM66"/>
  <c r="ML66"/>
  <c r="MK66"/>
  <c r="MJ66"/>
  <c r="MF66"/>
  <c r="ME66"/>
  <c r="MD66"/>
  <c r="MC66"/>
  <c r="MM65"/>
  <c r="ML65"/>
  <c r="MK65"/>
  <c r="MJ65"/>
  <c r="MF65"/>
  <c r="ME65"/>
  <c r="MD65"/>
  <c r="MC65"/>
  <c r="MM64"/>
  <c r="ML64"/>
  <c r="MK64"/>
  <c r="MJ64"/>
  <c r="MF64"/>
  <c r="ME64"/>
  <c r="MD64"/>
  <c r="MC64"/>
  <c r="MM63"/>
  <c r="ML63"/>
  <c r="MK63"/>
  <c r="MJ63"/>
  <c r="MF63"/>
  <c r="ME63"/>
  <c r="MD63"/>
  <c r="MC63"/>
  <c r="MM62"/>
  <c r="ML62"/>
  <c r="MK62"/>
  <c r="MJ62"/>
  <c r="MF62"/>
  <c r="ME62"/>
  <c r="MD62"/>
  <c r="MC62"/>
  <c r="MM61"/>
  <c r="ML61"/>
  <c r="MK61"/>
  <c r="MJ61"/>
  <c r="MF61"/>
  <c r="ME61"/>
  <c r="MD61"/>
  <c r="MC61"/>
  <c r="MM60"/>
  <c r="ML60"/>
  <c r="MK60"/>
  <c r="MJ60"/>
  <c r="MF60"/>
  <c r="ME60"/>
  <c r="MD60"/>
  <c r="MC60"/>
  <c r="MM59"/>
  <c r="ML59"/>
  <c r="MK59"/>
  <c r="MJ59"/>
  <c r="MF59"/>
  <c r="ME59"/>
  <c r="MD59"/>
  <c r="MC59"/>
  <c r="MM58"/>
  <c r="ML58"/>
  <c r="MK58"/>
  <c r="MJ58"/>
  <c r="MF58"/>
  <c r="ME58"/>
  <c r="MD58"/>
  <c r="MC58"/>
  <c r="MM57"/>
  <c r="ML57"/>
  <c r="MK57"/>
  <c r="MJ57"/>
  <c r="MF57"/>
  <c r="ME57"/>
  <c r="MD57"/>
  <c r="MC57"/>
  <c r="MM56"/>
  <c r="ML56"/>
  <c r="MK56"/>
  <c r="MJ56"/>
  <c r="MF56"/>
  <c r="ME56"/>
  <c r="MD56"/>
  <c r="MC56"/>
  <c r="MM55"/>
  <c r="ML55"/>
  <c r="MK55"/>
  <c r="MJ55"/>
  <c r="MF55"/>
  <c r="ME55"/>
  <c r="MD55"/>
  <c r="MC55"/>
  <c r="MM54"/>
  <c r="ML54"/>
  <c r="MK54"/>
  <c r="MJ54"/>
  <c r="MF54"/>
  <c r="ME54"/>
  <c r="MD54"/>
  <c r="MC54"/>
  <c r="MM53"/>
  <c r="ML53"/>
  <c r="MK53"/>
  <c r="MJ53"/>
  <c r="MF53"/>
  <c r="ME53"/>
  <c r="MD53"/>
  <c r="MC53"/>
  <c r="MM52"/>
  <c r="ML52"/>
  <c r="MK52"/>
  <c r="MJ52"/>
  <c r="MF52"/>
  <c r="ME52"/>
  <c r="MD52"/>
  <c r="MC52"/>
  <c r="MM51"/>
  <c r="ML51"/>
  <c r="MK51"/>
  <c r="MJ51"/>
  <c r="MF51"/>
  <c r="ME51"/>
  <c r="MD51"/>
  <c r="MC51"/>
  <c r="MM50"/>
  <c r="ML50"/>
  <c r="MK50"/>
  <c r="MJ50"/>
  <c r="MF50"/>
  <c r="ME50"/>
  <c r="MD50"/>
  <c r="MC50"/>
  <c r="MM49"/>
  <c r="ML49"/>
  <c r="MK49"/>
  <c r="MJ49"/>
  <c r="MF49"/>
  <c r="ME49"/>
  <c r="MD49"/>
  <c r="MC49"/>
  <c r="MM48"/>
  <c r="ML48"/>
  <c r="MK48"/>
  <c r="MJ48"/>
  <c r="MF48"/>
  <c r="ME48"/>
  <c r="MD48"/>
  <c r="MC48"/>
  <c r="MM47"/>
  <c r="ML47"/>
  <c r="MK47"/>
  <c r="MJ47"/>
  <c r="MF47"/>
  <c r="ME47"/>
  <c r="MD47"/>
  <c r="MC47"/>
  <c r="MM46"/>
  <c r="ML46"/>
  <c r="MK46"/>
  <c r="MJ46"/>
  <c r="MF46"/>
  <c r="ME46"/>
  <c r="MD46"/>
  <c r="MC46"/>
  <c r="MM45"/>
  <c r="ML45"/>
  <c r="MK45"/>
  <c r="MJ45"/>
  <c r="MF45"/>
  <c r="ME45"/>
  <c r="MD45"/>
  <c r="MC45"/>
  <c r="MM44"/>
  <c r="ML44"/>
  <c r="MK44"/>
  <c r="MJ44"/>
  <c r="MF44"/>
  <c r="ME44"/>
  <c r="MD44"/>
  <c r="MC44"/>
  <c r="MM43"/>
  <c r="ML43"/>
  <c r="MK43"/>
  <c r="MJ43"/>
  <c r="MF43"/>
  <c r="ME43"/>
  <c r="MD43"/>
  <c r="MC43"/>
  <c r="MM42"/>
  <c r="ML42"/>
  <c r="MK42"/>
  <c r="MJ42"/>
  <c r="MF42"/>
  <c r="ME42"/>
  <c r="MD42"/>
  <c r="MC42"/>
  <c r="MM41"/>
  <c r="ML41"/>
  <c r="MK41"/>
  <c r="MJ41"/>
  <c r="MF41"/>
  <c r="ME41"/>
  <c r="MD41"/>
  <c r="MC41"/>
  <c r="MM40"/>
  <c r="ML40"/>
  <c r="MK40"/>
  <c r="MJ40"/>
  <c r="MF40"/>
  <c r="ME40"/>
  <c r="MD40"/>
  <c r="MC40"/>
  <c r="MM39"/>
  <c r="ML39"/>
  <c r="MK39"/>
  <c r="MJ39"/>
  <c r="MF39"/>
  <c r="ME39"/>
  <c r="MD39"/>
  <c r="MC39"/>
  <c r="MM38"/>
  <c r="ML38"/>
  <c r="MK38"/>
  <c r="MJ38"/>
  <c r="MF38"/>
  <c r="ME38"/>
  <c r="MD38"/>
  <c r="MC38"/>
  <c r="MM37"/>
  <c r="ML37"/>
  <c r="MK37"/>
  <c r="MJ37"/>
  <c r="MF37"/>
  <c r="ME37"/>
  <c r="MD37"/>
  <c r="MC37"/>
  <c r="MM36"/>
  <c r="ML36"/>
  <c r="MK36"/>
  <c r="MJ36"/>
  <c r="MF36"/>
  <c r="ME36"/>
  <c r="MD36"/>
  <c r="MC36"/>
  <c r="MM35"/>
  <c r="ML35"/>
  <c r="MK35"/>
  <c r="MJ35"/>
  <c r="MF35"/>
  <c r="ME35"/>
  <c r="MD35"/>
  <c r="MC35"/>
  <c r="MM34"/>
  <c r="ML34"/>
  <c r="MK34"/>
  <c r="MJ34"/>
  <c r="MF34"/>
  <c r="ME34"/>
  <c r="MD34"/>
  <c r="MC34"/>
  <c r="MM33"/>
  <c r="ML33"/>
  <c r="MK33"/>
  <c r="MJ33"/>
  <c r="MF33"/>
  <c r="ME33"/>
  <c r="MD33"/>
  <c r="MC33"/>
  <c r="MM32"/>
  <c r="ML32"/>
  <c r="MK32"/>
  <c r="MJ32"/>
  <c r="MF32"/>
  <c r="ME32"/>
  <c r="MD32"/>
  <c r="MC32"/>
  <c r="MM31"/>
  <c r="ML31"/>
  <c r="MK31"/>
  <c r="MJ31"/>
  <c r="MF31"/>
  <c r="ME31"/>
  <c r="MD31"/>
  <c r="MC31"/>
  <c r="MM30"/>
  <c r="ML30"/>
  <c r="MK30"/>
  <c r="MJ30"/>
  <c r="MF30"/>
  <c r="ME30"/>
  <c r="MD30"/>
  <c r="MC30"/>
  <c r="MM29"/>
  <c r="ML29"/>
  <c r="MK29"/>
  <c r="MJ29"/>
  <c r="MF29"/>
  <c r="ME29"/>
  <c r="MD29"/>
  <c r="MC29"/>
  <c r="MM28"/>
  <c r="ML28"/>
  <c r="MK28"/>
  <c r="MJ28"/>
  <c r="MF28"/>
  <c r="ME28"/>
  <c r="MD28"/>
  <c r="MC28"/>
  <c r="MM27"/>
  <c r="ML27"/>
  <c r="MK27"/>
  <c r="MJ27"/>
  <c r="MF27"/>
  <c r="ME27"/>
  <c r="MD27"/>
  <c r="MC27"/>
  <c r="MM26"/>
  <c r="ML26"/>
  <c r="MK26"/>
  <c r="MJ26"/>
  <c r="MF26"/>
  <c r="ME26"/>
  <c r="MD26"/>
  <c r="MC26"/>
  <c r="MM25"/>
  <c r="ML25"/>
  <c r="MK25"/>
  <c r="MJ25"/>
  <c r="MF25"/>
  <c r="ME25"/>
  <c r="MD25"/>
  <c r="MC25"/>
  <c r="MM24"/>
  <c r="ML24"/>
  <c r="MK24"/>
  <c r="MJ24"/>
  <c r="MF24"/>
  <c r="ME24"/>
  <c r="MD24"/>
  <c r="MC24"/>
  <c r="MM23"/>
  <c r="ML23"/>
  <c r="MK23"/>
  <c r="MJ23"/>
  <c r="MF23"/>
  <c r="ME23"/>
  <c r="MD23"/>
  <c r="MC23"/>
  <c r="MM22"/>
  <c r="ML22"/>
  <c r="MK22"/>
  <c r="MJ22"/>
  <c r="MF22"/>
  <c r="ME22"/>
  <c r="MD22"/>
  <c r="MC22"/>
  <c r="MM21"/>
  <c r="ML21"/>
  <c r="MK21"/>
  <c r="MJ21"/>
  <c r="MF21"/>
  <c r="ME21"/>
  <c r="MD21"/>
  <c r="MC21"/>
  <c r="MM20"/>
  <c r="ML20"/>
  <c r="MK20"/>
  <c r="MJ20"/>
  <c r="MF20"/>
  <c r="ME20"/>
  <c r="MD20"/>
  <c r="MC20"/>
  <c r="MM19"/>
  <c r="ML19"/>
  <c r="MK19"/>
  <c r="MJ19"/>
  <c r="MF19"/>
  <c r="ME19"/>
  <c r="MD19"/>
  <c r="MC19"/>
  <c r="MM18"/>
  <c r="ML18"/>
  <c r="MK18"/>
  <c r="MJ18"/>
  <c r="MF18"/>
  <c r="ME18"/>
  <c r="MD18"/>
  <c r="MC18"/>
  <c r="MM17"/>
  <c r="ML17"/>
  <c r="MK17"/>
  <c r="MJ17"/>
  <c r="MF17"/>
  <c r="ME17"/>
  <c r="MD17"/>
  <c r="MC17"/>
  <c r="MM16"/>
  <c r="ML16"/>
  <c r="MK16"/>
  <c r="MJ16"/>
  <c r="MF16"/>
  <c r="ME16"/>
  <c r="MD16"/>
  <c r="MC16"/>
  <c r="MM15"/>
  <c r="ML15"/>
  <c r="MK15"/>
  <c r="MJ15"/>
  <c r="MF15"/>
  <c r="ME15"/>
  <c r="MD15"/>
  <c r="MC15"/>
  <c r="MM14"/>
  <c r="ML14"/>
  <c r="MK14"/>
  <c r="MJ14"/>
  <c r="MF14"/>
  <c r="ME14"/>
  <c r="MD14"/>
  <c r="MC14"/>
  <c r="MM13"/>
  <c r="ML13"/>
  <c r="MK13"/>
  <c r="MJ13"/>
  <c r="MF13"/>
  <c r="ME13"/>
  <c r="MD13"/>
  <c r="MC13"/>
  <c r="MM12"/>
  <c r="ML12"/>
  <c r="MK12"/>
  <c r="MJ12"/>
  <c r="MF12"/>
  <c r="ME12"/>
  <c r="MD12"/>
  <c r="MC12"/>
  <c r="MM11"/>
  <c r="ML11"/>
  <c r="MK11"/>
  <c r="MJ11"/>
  <c r="MF11"/>
  <c r="ME11"/>
  <c r="MD11"/>
  <c r="MC11"/>
  <c r="MM10"/>
  <c r="ML10"/>
  <c r="MK10"/>
  <c r="MJ10"/>
  <c r="MF10"/>
  <c r="ME10"/>
  <c r="MD10"/>
  <c r="MC10"/>
  <c r="MM9"/>
  <c r="ML9"/>
  <c r="MK9"/>
  <c r="MJ9"/>
  <c r="MF9"/>
  <c r="ME9"/>
  <c r="MD9"/>
  <c r="MC9"/>
  <c r="MM8"/>
  <c r="ML8"/>
  <c r="MK8"/>
  <c r="MJ8"/>
  <c r="MF8"/>
  <c r="ME8"/>
  <c r="MD8"/>
  <c r="MC8"/>
  <c r="MM7"/>
  <c r="ML7"/>
  <c r="MK7"/>
  <c r="MJ7"/>
  <c r="MF7"/>
  <c r="ME7"/>
  <c r="MD7"/>
  <c r="MC7"/>
  <c r="MM6"/>
  <c r="ML6"/>
  <c r="MK6"/>
  <c r="MJ6"/>
  <c r="MF6"/>
  <c r="ME6"/>
  <c r="MD6"/>
  <c r="MC6"/>
  <c r="MM5"/>
  <c r="ML5"/>
  <c r="MK5"/>
  <c r="MJ5"/>
  <c r="ME5"/>
  <c r="MD5"/>
  <c r="MC5"/>
  <c r="LT6"/>
  <c r="LU6"/>
  <c r="LV6"/>
  <c r="LT7"/>
  <c r="LU7"/>
  <c r="LV7"/>
  <c r="LT8"/>
  <c r="LU8"/>
  <c r="LV8"/>
  <c r="LT9"/>
  <c r="LU9"/>
  <c r="LV9"/>
  <c r="LT10"/>
  <c r="LU10"/>
  <c r="LV10"/>
  <c r="LT11"/>
  <c r="LU11"/>
  <c r="LV11"/>
  <c r="LT12"/>
  <c r="LU12"/>
  <c r="LV12"/>
  <c r="LT13"/>
  <c r="LU13"/>
  <c r="LV13"/>
  <c r="LT14"/>
  <c r="LU14"/>
  <c r="LV14"/>
  <c r="LT15"/>
  <c r="LU15"/>
  <c r="LV15"/>
  <c r="LT16"/>
  <c r="LU16"/>
  <c r="LV16"/>
  <c r="LT17"/>
  <c r="LU17"/>
  <c r="LV17"/>
  <c r="LT18"/>
  <c r="LU18"/>
  <c r="LV18"/>
  <c r="LT19"/>
  <c r="LU19"/>
  <c r="LV19"/>
  <c r="LT20"/>
  <c r="LU20"/>
  <c r="LV20"/>
  <c r="LT21"/>
  <c r="LU21"/>
  <c r="LV21"/>
  <c r="LT22"/>
  <c r="LU22"/>
  <c r="LV22"/>
  <c r="LT23"/>
  <c r="LU23"/>
  <c r="LV23"/>
  <c r="LT24"/>
  <c r="LU24"/>
  <c r="LV24"/>
  <c r="LT25"/>
  <c r="LU25"/>
  <c r="LV25"/>
  <c r="LT26"/>
  <c r="LU26"/>
  <c r="LV26"/>
  <c r="LT27"/>
  <c r="LU27"/>
  <c r="LV27"/>
  <c r="LT28"/>
  <c r="LU28"/>
  <c r="LV28"/>
  <c r="LT29"/>
  <c r="LU29"/>
  <c r="LV29"/>
  <c r="LT30"/>
  <c r="LU30"/>
  <c r="LV30"/>
  <c r="LT31"/>
  <c r="LU31"/>
  <c r="LV31"/>
  <c r="LT32"/>
  <c r="LU32"/>
  <c r="LV32"/>
  <c r="LT33"/>
  <c r="LU33"/>
  <c r="LV33"/>
  <c r="LT34"/>
  <c r="LU34"/>
  <c r="LV34"/>
  <c r="LT35"/>
  <c r="LU35"/>
  <c r="LV35"/>
  <c r="LT36"/>
  <c r="LU36"/>
  <c r="LV36"/>
  <c r="LT37"/>
  <c r="LU37"/>
  <c r="LV37"/>
  <c r="LT38"/>
  <c r="LU38"/>
  <c r="LV38"/>
  <c r="LT39"/>
  <c r="LU39"/>
  <c r="LV39"/>
  <c r="LT40"/>
  <c r="LU40"/>
  <c r="LV40"/>
  <c r="LT41"/>
  <c r="LU41"/>
  <c r="LV41"/>
  <c r="LT42"/>
  <c r="LU42"/>
  <c r="LV42"/>
  <c r="LT43"/>
  <c r="LU43"/>
  <c r="LV43"/>
  <c r="LT44"/>
  <c r="LU44"/>
  <c r="LV44"/>
  <c r="LT45"/>
  <c r="LU45"/>
  <c r="LV45"/>
  <c r="LT46"/>
  <c r="LU46"/>
  <c r="LV46"/>
  <c r="LT47"/>
  <c r="LU47"/>
  <c r="LV47"/>
  <c r="LT48"/>
  <c r="LU48"/>
  <c r="LV48"/>
  <c r="LT49"/>
  <c r="LU49"/>
  <c r="LV49"/>
  <c r="LT50"/>
  <c r="LU50"/>
  <c r="LV50"/>
  <c r="LT51"/>
  <c r="LU51"/>
  <c r="LV51"/>
  <c r="LT52"/>
  <c r="LU52"/>
  <c r="LV52"/>
  <c r="LT53"/>
  <c r="LU53"/>
  <c r="LV53"/>
  <c r="LT54"/>
  <c r="LU54"/>
  <c r="LV54"/>
  <c r="LT55"/>
  <c r="LU55"/>
  <c r="LV55"/>
  <c r="LT56"/>
  <c r="LU56"/>
  <c r="LV56"/>
  <c r="LT57"/>
  <c r="LU57"/>
  <c r="LV57"/>
  <c r="LT58"/>
  <c r="LU58"/>
  <c r="LV58"/>
  <c r="LT59"/>
  <c r="LU59"/>
  <c r="LV59"/>
  <c r="LT60"/>
  <c r="LU60"/>
  <c r="LV60"/>
  <c r="LT61"/>
  <c r="LU61"/>
  <c r="LV61"/>
  <c r="LT62"/>
  <c r="LU62"/>
  <c r="LV62"/>
  <c r="LT63"/>
  <c r="LU63"/>
  <c r="LV63"/>
  <c r="LT64"/>
  <c r="LU64"/>
  <c r="LV64"/>
  <c r="LT65"/>
  <c r="LU65"/>
  <c r="LV65"/>
  <c r="LT66"/>
  <c r="LU66"/>
  <c r="LV66"/>
  <c r="LT67"/>
  <c r="LU67"/>
  <c r="LV67"/>
  <c r="LT68"/>
  <c r="LU68"/>
  <c r="LV68"/>
  <c r="LT69"/>
  <c r="LU69"/>
  <c r="LV69"/>
  <c r="LT70"/>
  <c r="LU70"/>
  <c r="LV70"/>
  <c r="LT71"/>
  <c r="LU71"/>
  <c r="LV71"/>
  <c r="LT72"/>
  <c r="LU72"/>
  <c r="LV72"/>
  <c r="LT73"/>
  <c r="LU73"/>
  <c r="LV73"/>
  <c r="LT74"/>
  <c r="LU74"/>
  <c r="LV74"/>
  <c r="LT75"/>
  <c r="LU75"/>
  <c r="LV75"/>
  <c r="LT76"/>
  <c r="LU76"/>
  <c r="LV76"/>
  <c r="LT77"/>
  <c r="LU77"/>
  <c r="LV77"/>
  <c r="LT78"/>
  <c r="LU78"/>
  <c r="LV78"/>
  <c r="LT79"/>
  <c r="LU79"/>
  <c r="LV79"/>
  <c r="LT80"/>
  <c r="LU80"/>
  <c r="LV80"/>
  <c r="LT81"/>
  <c r="LU81"/>
  <c r="LV81"/>
  <c r="LT82"/>
  <c r="LU82"/>
  <c r="LV82"/>
  <c r="LT83"/>
  <c r="LU83"/>
  <c r="LV83"/>
  <c r="LT84"/>
  <c r="LU84"/>
  <c r="LV84"/>
  <c r="LT85"/>
  <c r="LU85"/>
  <c r="LV85"/>
  <c r="LT86"/>
  <c r="LU86"/>
  <c r="LV86"/>
  <c r="LV5"/>
  <c r="LT5"/>
  <c r="LU5"/>
  <c r="LS5"/>
  <c r="LZ86"/>
  <c r="LY86"/>
  <c r="LX86"/>
  <c r="LW86"/>
  <c r="LS86"/>
  <c r="LR86"/>
  <c r="LQ86"/>
  <c r="LP86"/>
  <c r="LZ85"/>
  <c r="LY85"/>
  <c r="LX85"/>
  <c r="LW85"/>
  <c r="LS85"/>
  <c r="LR85"/>
  <c r="LQ85"/>
  <c r="LP85"/>
  <c r="LZ84"/>
  <c r="LY84"/>
  <c r="LX84"/>
  <c r="LW84"/>
  <c r="LS84"/>
  <c r="LR84"/>
  <c r="LQ84"/>
  <c r="LP84"/>
  <c r="LZ83"/>
  <c r="LY83"/>
  <c r="LX83"/>
  <c r="LW83"/>
  <c r="LS83"/>
  <c r="LR83"/>
  <c r="LQ83"/>
  <c r="LP83"/>
  <c r="LZ82"/>
  <c r="LY82"/>
  <c r="LX82"/>
  <c r="LW82"/>
  <c r="LS82"/>
  <c r="LR82"/>
  <c r="LQ82"/>
  <c r="LP82"/>
  <c r="LZ81"/>
  <c r="LY81"/>
  <c r="LX81"/>
  <c r="LW81"/>
  <c r="LS81"/>
  <c r="LR81"/>
  <c r="LQ81"/>
  <c r="LP81"/>
  <c r="LZ80"/>
  <c r="LY80"/>
  <c r="LX80"/>
  <c r="LW80"/>
  <c r="LS80"/>
  <c r="LR80"/>
  <c r="LQ80"/>
  <c r="LP80"/>
  <c r="LZ79"/>
  <c r="LY79"/>
  <c r="LX79"/>
  <c r="LW79"/>
  <c r="LS79"/>
  <c r="LR79"/>
  <c r="LQ79"/>
  <c r="LP79"/>
  <c r="LZ78"/>
  <c r="LY78"/>
  <c r="LX78"/>
  <c r="LW78"/>
  <c r="LS78"/>
  <c r="LR78"/>
  <c r="LQ78"/>
  <c r="LP78"/>
  <c r="LZ77"/>
  <c r="LY77"/>
  <c r="LX77"/>
  <c r="LW77"/>
  <c r="LS77"/>
  <c r="LR77"/>
  <c r="LQ77"/>
  <c r="LP77"/>
  <c r="LZ76"/>
  <c r="LY76"/>
  <c r="LX76"/>
  <c r="LW76"/>
  <c r="LS76"/>
  <c r="LR76"/>
  <c r="LQ76"/>
  <c r="LP76"/>
  <c r="LZ75"/>
  <c r="LY75"/>
  <c r="LX75"/>
  <c r="LW75"/>
  <c r="LS75"/>
  <c r="LR75"/>
  <c r="LQ75"/>
  <c r="LP75"/>
  <c r="LZ74"/>
  <c r="LY74"/>
  <c r="LX74"/>
  <c r="LW74"/>
  <c r="LS74"/>
  <c r="LR74"/>
  <c r="LQ74"/>
  <c r="LP74"/>
  <c r="LZ73"/>
  <c r="LY73"/>
  <c r="LX73"/>
  <c r="LW73"/>
  <c r="LS73"/>
  <c r="LR73"/>
  <c r="LQ73"/>
  <c r="LP73"/>
  <c r="LZ72"/>
  <c r="LY72"/>
  <c r="LX72"/>
  <c r="LW72"/>
  <c r="LS72"/>
  <c r="LR72"/>
  <c r="LQ72"/>
  <c r="LP72"/>
  <c r="LZ71"/>
  <c r="LY71"/>
  <c r="LX71"/>
  <c r="LW71"/>
  <c r="LS71"/>
  <c r="LR71"/>
  <c r="LQ71"/>
  <c r="LP71"/>
  <c r="LZ70"/>
  <c r="LY70"/>
  <c r="LX70"/>
  <c r="LW70"/>
  <c r="LS70"/>
  <c r="LR70"/>
  <c r="LQ70"/>
  <c r="LP70"/>
  <c r="LZ69"/>
  <c r="LY69"/>
  <c r="LX69"/>
  <c r="LW69"/>
  <c r="LS69"/>
  <c r="LR69"/>
  <c r="LQ69"/>
  <c r="LP69"/>
  <c r="LZ68"/>
  <c r="LY68"/>
  <c r="LX68"/>
  <c r="LW68"/>
  <c r="LS68"/>
  <c r="LR68"/>
  <c r="LQ68"/>
  <c r="LP68"/>
  <c r="LZ67"/>
  <c r="LY67"/>
  <c r="LX67"/>
  <c r="LW67"/>
  <c r="LS67"/>
  <c r="LR67"/>
  <c r="LQ67"/>
  <c r="LP67"/>
  <c r="LZ66"/>
  <c r="LY66"/>
  <c r="LX66"/>
  <c r="LW66"/>
  <c r="LS66"/>
  <c r="LR66"/>
  <c r="LQ66"/>
  <c r="LP66"/>
  <c r="LZ65"/>
  <c r="LY65"/>
  <c r="LX65"/>
  <c r="LW65"/>
  <c r="LS65"/>
  <c r="LR65"/>
  <c r="LQ65"/>
  <c r="LP65"/>
  <c r="LZ64"/>
  <c r="LY64"/>
  <c r="LX64"/>
  <c r="LW64"/>
  <c r="LS64"/>
  <c r="LR64"/>
  <c r="LQ64"/>
  <c r="LP64"/>
  <c r="LZ63"/>
  <c r="LY63"/>
  <c r="LX63"/>
  <c r="LW63"/>
  <c r="LS63"/>
  <c r="LR63"/>
  <c r="LQ63"/>
  <c r="LP63"/>
  <c r="LZ62"/>
  <c r="LY62"/>
  <c r="LX62"/>
  <c r="LW62"/>
  <c r="LS62"/>
  <c r="LR62"/>
  <c r="LQ62"/>
  <c r="LP62"/>
  <c r="LZ61"/>
  <c r="LY61"/>
  <c r="LX61"/>
  <c r="LW61"/>
  <c r="LS61"/>
  <c r="LR61"/>
  <c r="LQ61"/>
  <c r="LP61"/>
  <c r="LZ60"/>
  <c r="LY60"/>
  <c r="LX60"/>
  <c r="LW60"/>
  <c r="LS60"/>
  <c r="LR60"/>
  <c r="LQ60"/>
  <c r="LP60"/>
  <c r="LZ59"/>
  <c r="LY59"/>
  <c r="LX59"/>
  <c r="LW59"/>
  <c r="LS59"/>
  <c r="LR59"/>
  <c r="LQ59"/>
  <c r="LP59"/>
  <c r="LZ58"/>
  <c r="LY58"/>
  <c r="LX58"/>
  <c r="LW58"/>
  <c r="LS58"/>
  <c r="LR58"/>
  <c r="LQ58"/>
  <c r="LP58"/>
  <c r="LZ57"/>
  <c r="LY57"/>
  <c r="LX57"/>
  <c r="LW57"/>
  <c r="LS57"/>
  <c r="LR57"/>
  <c r="LQ57"/>
  <c r="LP57"/>
  <c r="LZ56"/>
  <c r="LY56"/>
  <c r="LX56"/>
  <c r="LW56"/>
  <c r="LS56"/>
  <c r="LR56"/>
  <c r="LQ56"/>
  <c r="LP56"/>
  <c r="LZ55"/>
  <c r="LY55"/>
  <c r="LX55"/>
  <c r="LW55"/>
  <c r="LS55"/>
  <c r="LR55"/>
  <c r="LQ55"/>
  <c r="LP55"/>
  <c r="LZ54"/>
  <c r="LY54"/>
  <c r="LX54"/>
  <c r="LW54"/>
  <c r="LS54"/>
  <c r="LR54"/>
  <c r="LQ54"/>
  <c r="LP54"/>
  <c r="LZ53"/>
  <c r="LY53"/>
  <c r="LX53"/>
  <c r="LW53"/>
  <c r="LS53"/>
  <c r="LR53"/>
  <c r="LQ53"/>
  <c r="LP53"/>
  <c r="LZ52"/>
  <c r="LY52"/>
  <c r="LX52"/>
  <c r="LW52"/>
  <c r="LS52"/>
  <c r="LR52"/>
  <c r="LQ52"/>
  <c r="LP52"/>
  <c r="LZ51"/>
  <c r="LY51"/>
  <c r="LX51"/>
  <c r="LW51"/>
  <c r="LS51"/>
  <c r="LR51"/>
  <c r="LQ51"/>
  <c r="LP51"/>
  <c r="LZ50"/>
  <c r="LY50"/>
  <c r="LX50"/>
  <c r="LW50"/>
  <c r="LS50"/>
  <c r="LR50"/>
  <c r="LQ50"/>
  <c r="LP50"/>
  <c r="LZ49"/>
  <c r="LY49"/>
  <c r="LX49"/>
  <c r="LW49"/>
  <c r="LS49"/>
  <c r="LR49"/>
  <c r="LQ49"/>
  <c r="LP49"/>
  <c r="LZ48"/>
  <c r="LY48"/>
  <c r="LX48"/>
  <c r="LW48"/>
  <c r="LS48"/>
  <c r="LR48"/>
  <c r="LQ48"/>
  <c r="LP48"/>
  <c r="LZ47"/>
  <c r="LY47"/>
  <c r="LX47"/>
  <c r="LW47"/>
  <c r="LS47"/>
  <c r="LR47"/>
  <c r="LQ47"/>
  <c r="LP47"/>
  <c r="LZ46"/>
  <c r="LY46"/>
  <c r="LX46"/>
  <c r="LW46"/>
  <c r="LS46"/>
  <c r="LR46"/>
  <c r="LQ46"/>
  <c r="LP46"/>
  <c r="LZ45"/>
  <c r="LY45"/>
  <c r="LX45"/>
  <c r="LW45"/>
  <c r="LS45"/>
  <c r="LR45"/>
  <c r="LQ45"/>
  <c r="LP45"/>
  <c r="LZ44"/>
  <c r="LY44"/>
  <c r="LX44"/>
  <c r="LW44"/>
  <c r="LS44"/>
  <c r="LR44"/>
  <c r="LQ44"/>
  <c r="LP44"/>
  <c r="LZ43"/>
  <c r="LY43"/>
  <c r="LX43"/>
  <c r="LW43"/>
  <c r="LS43"/>
  <c r="LR43"/>
  <c r="LQ43"/>
  <c r="LP43"/>
  <c r="LZ42"/>
  <c r="LY42"/>
  <c r="LX42"/>
  <c r="LW42"/>
  <c r="LS42"/>
  <c r="LR42"/>
  <c r="LQ42"/>
  <c r="LP42"/>
  <c r="LZ41"/>
  <c r="LY41"/>
  <c r="LX41"/>
  <c r="LW41"/>
  <c r="LS41"/>
  <c r="LR41"/>
  <c r="LQ41"/>
  <c r="LP41"/>
  <c r="LZ40"/>
  <c r="LY40"/>
  <c r="LX40"/>
  <c r="LW40"/>
  <c r="LS40"/>
  <c r="LR40"/>
  <c r="LQ40"/>
  <c r="LP40"/>
  <c r="LZ39"/>
  <c r="LY39"/>
  <c r="LX39"/>
  <c r="LW39"/>
  <c r="LS39"/>
  <c r="LR39"/>
  <c r="LQ39"/>
  <c r="LP39"/>
  <c r="LZ38"/>
  <c r="LY38"/>
  <c r="LX38"/>
  <c r="LW38"/>
  <c r="LS38"/>
  <c r="LR38"/>
  <c r="LQ38"/>
  <c r="LP38"/>
  <c r="LZ37"/>
  <c r="LY37"/>
  <c r="LX37"/>
  <c r="LW37"/>
  <c r="LS37"/>
  <c r="LR37"/>
  <c r="LQ37"/>
  <c r="LP37"/>
  <c r="LZ36"/>
  <c r="LY36"/>
  <c r="LX36"/>
  <c r="LW36"/>
  <c r="LS36"/>
  <c r="LR36"/>
  <c r="LQ36"/>
  <c r="LP36"/>
  <c r="LZ35"/>
  <c r="LY35"/>
  <c r="LX35"/>
  <c r="LW35"/>
  <c r="LS35"/>
  <c r="LR35"/>
  <c r="LQ35"/>
  <c r="LP35"/>
  <c r="LZ34"/>
  <c r="LY34"/>
  <c r="LX34"/>
  <c r="LW34"/>
  <c r="LS34"/>
  <c r="LR34"/>
  <c r="LQ34"/>
  <c r="LP34"/>
  <c r="LZ33"/>
  <c r="LY33"/>
  <c r="LX33"/>
  <c r="LW33"/>
  <c r="LS33"/>
  <c r="LR33"/>
  <c r="LQ33"/>
  <c r="LP33"/>
  <c r="LZ32"/>
  <c r="LY32"/>
  <c r="LX32"/>
  <c r="LW32"/>
  <c r="LS32"/>
  <c r="LR32"/>
  <c r="LQ32"/>
  <c r="LP32"/>
  <c r="LZ31"/>
  <c r="LY31"/>
  <c r="LX31"/>
  <c r="LW31"/>
  <c r="LS31"/>
  <c r="LR31"/>
  <c r="LQ31"/>
  <c r="LP31"/>
  <c r="LZ30"/>
  <c r="LY30"/>
  <c r="LX30"/>
  <c r="LW30"/>
  <c r="LS30"/>
  <c r="LR30"/>
  <c r="LQ30"/>
  <c r="LP30"/>
  <c r="LZ29"/>
  <c r="LY29"/>
  <c r="LX29"/>
  <c r="LW29"/>
  <c r="LS29"/>
  <c r="LR29"/>
  <c r="LQ29"/>
  <c r="LP29"/>
  <c r="LZ28"/>
  <c r="LY28"/>
  <c r="LX28"/>
  <c r="LW28"/>
  <c r="LS28"/>
  <c r="LR28"/>
  <c r="LQ28"/>
  <c r="LP28"/>
  <c r="LZ27"/>
  <c r="LY27"/>
  <c r="LX27"/>
  <c r="LW27"/>
  <c r="LS27"/>
  <c r="LR27"/>
  <c r="LQ27"/>
  <c r="LP27"/>
  <c r="LZ26"/>
  <c r="LY26"/>
  <c r="LX26"/>
  <c r="LW26"/>
  <c r="LS26"/>
  <c r="LR26"/>
  <c r="LQ26"/>
  <c r="LP26"/>
  <c r="LZ25"/>
  <c r="LY25"/>
  <c r="LX25"/>
  <c r="LW25"/>
  <c r="LS25"/>
  <c r="LR25"/>
  <c r="LQ25"/>
  <c r="LP25"/>
  <c r="LZ24"/>
  <c r="LY24"/>
  <c r="LX24"/>
  <c r="LW24"/>
  <c r="LS24"/>
  <c r="LR24"/>
  <c r="LQ24"/>
  <c r="LP24"/>
  <c r="LZ23"/>
  <c r="LY23"/>
  <c r="LX23"/>
  <c r="LW23"/>
  <c r="LS23"/>
  <c r="LR23"/>
  <c r="LQ23"/>
  <c r="LP23"/>
  <c r="LZ22"/>
  <c r="LY22"/>
  <c r="LX22"/>
  <c r="LW22"/>
  <c r="LS22"/>
  <c r="LR22"/>
  <c r="LQ22"/>
  <c r="LP22"/>
  <c r="LZ21"/>
  <c r="LY21"/>
  <c r="LX21"/>
  <c r="LW21"/>
  <c r="LS21"/>
  <c r="LR21"/>
  <c r="LQ21"/>
  <c r="LP21"/>
  <c r="LZ20"/>
  <c r="LY20"/>
  <c r="LX20"/>
  <c r="LW20"/>
  <c r="LS20"/>
  <c r="LR20"/>
  <c r="LQ20"/>
  <c r="LP20"/>
  <c r="LZ19"/>
  <c r="LY19"/>
  <c r="LX19"/>
  <c r="LW19"/>
  <c r="LS19"/>
  <c r="LR19"/>
  <c r="LQ19"/>
  <c r="LP19"/>
  <c r="LZ18"/>
  <c r="LY18"/>
  <c r="LX18"/>
  <c r="LW18"/>
  <c r="LS18"/>
  <c r="LR18"/>
  <c r="LQ18"/>
  <c r="LP18"/>
  <c r="LZ17"/>
  <c r="LY17"/>
  <c r="LX17"/>
  <c r="LW17"/>
  <c r="LS17"/>
  <c r="LR17"/>
  <c r="LQ17"/>
  <c r="LP17"/>
  <c r="LZ16"/>
  <c r="LY16"/>
  <c r="LX16"/>
  <c r="LW16"/>
  <c r="LS16"/>
  <c r="LR16"/>
  <c r="LQ16"/>
  <c r="LP16"/>
  <c r="LZ15"/>
  <c r="LY15"/>
  <c r="LX15"/>
  <c r="LW15"/>
  <c r="LS15"/>
  <c r="LR15"/>
  <c r="LQ15"/>
  <c r="LP15"/>
  <c r="LZ14"/>
  <c r="LY14"/>
  <c r="LX14"/>
  <c r="LW14"/>
  <c r="LS14"/>
  <c r="LR14"/>
  <c r="LQ14"/>
  <c r="LP14"/>
  <c r="LZ13"/>
  <c r="LY13"/>
  <c r="LX13"/>
  <c r="LW13"/>
  <c r="LS13"/>
  <c r="LR13"/>
  <c r="LQ13"/>
  <c r="LP13"/>
  <c r="LZ12"/>
  <c r="LY12"/>
  <c r="LX12"/>
  <c r="LW12"/>
  <c r="LS12"/>
  <c r="LR12"/>
  <c r="LQ12"/>
  <c r="LP12"/>
  <c r="LZ11"/>
  <c r="LY11"/>
  <c r="LX11"/>
  <c r="LW11"/>
  <c r="LS11"/>
  <c r="LR11"/>
  <c r="LQ11"/>
  <c r="LP11"/>
  <c r="LZ10"/>
  <c r="LY10"/>
  <c r="LX10"/>
  <c r="LW10"/>
  <c r="LS10"/>
  <c r="LR10"/>
  <c r="LQ10"/>
  <c r="LP10"/>
  <c r="LZ9"/>
  <c r="LY9"/>
  <c r="LX9"/>
  <c r="LW9"/>
  <c r="LS9"/>
  <c r="LR9"/>
  <c r="LQ9"/>
  <c r="LP9"/>
  <c r="LZ8"/>
  <c r="LY8"/>
  <c r="LX8"/>
  <c r="LW8"/>
  <c r="LS8"/>
  <c r="LR8"/>
  <c r="LQ8"/>
  <c r="LP8"/>
  <c r="LZ7"/>
  <c r="LY7"/>
  <c r="LX7"/>
  <c r="LW7"/>
  <c r="LS7"/>
  <c r="LR7"/>
  <c r="LQ7"/>
  <c r="LP7"/>
  <c r="LZ6"/>
  <c r="LY6"/>
  <c r="LX6"/>
  <c r="LW6"/>
  <c r="LS6"/>
  <c r="LR6"/>
  <c r="LQ6"/>
  <c r="LP6"/>
  <c r="LZ5"/>
  <c r="LY5"/>
  <c r="LX5"/>
  <c r="LW5"/>
  <c r="LR5"/>
  <c r="LQ5"/>
  <c r="LP5"/>
  <c r="LG6"/>
  <c r="LH6"/>
  <c r="LI6"/>
  <c r="LG7"/>
  <c r="LH7"/>
  <c r="LI7"/>
  <c r="LG8"/>
  <c r="LH8"/>
  <c r="LI8"/>
  <c r="LG9"/>
  <c r="LH9"/>
  <c r="LI9"/>
  <c r="LG10"/>
  <c r="LH10"/>
  <c r="LI10"/>
  <c r="LG11"/>
  <c r="LH11"/>
  <c r="LI11"/>
  <c r="LG12"/>
  <c r="LH12"/>
  <c r="LI12"/>
  <c r="LG13"/>
  <c r="LH13"/>
  <c r="LI13"/>
  <c r="LG14"/>
  <c r="LH14"/>
  <c r="LI14"/>
  <c r="LG15"/>
  <c r="LH15"/>
  <c r="LI15"/>
  <c r="LG16"/>
  <c r="LH16"/>
  <c r="LI16"/>
  <c r="LG17"/>
  <c r="LH17"/>
  <c r="LI17"/>
  <c r="LG18"/>
  <c r="LH18"/>
  <c r="LI18"/>
  <c r="LG19"/>
  <c r="LH19"/>
  <c r="LI19"/>
  <c r="LG20"/>
  <c r="LH20"/>
  <c r="LI20"/>
  <c r="LG21"/>
  <c r="LH21"/>
  <c r="LI21"/>
  <c r="LG22"/>
  <c r="LH22"/>
  <c r="LI22"/>
  <c r="LG23"/>
  <c r="LH23"/>
  <c r="LI23"/>
  <c r="LG24"/>
  <c r="LH24"/>
  <c r="LI24"/>
  <c r="LG25"/>
  <c r="LH25"/>
  <c r="LI25"/>
  <c r="LG26"/>
  <c r="LH26"/>
  <c r="LI26"/>
  <c r="LG27"/>
  <c r="LH27"/>
  <c r="LI27"/>
  <c r="LG28"/>
  <c r="LH28"/>
  <c r="LI28"/>
  <c r="LG29"/>
  <c r="LH29"/>
  <c r="LI29"/>
  <c r="LG30"/>
  <c r="LH30"/>
  <c r="LI30"/>
  <c r="LG31"/>
  <c r="LH31"/>
  <c r="LI31"/>
  <c r="LG32"/>
  <c r="LH32"/>
  <c r="LI32"/>
  <c r="LG33"/>
  <c r="LH33"/>
  <c r="LI33"/>
  <c r="LG34"/>
  <c r="LH34"/>
  <c r="LI34"/>
  <c r="LG35"/>
  <c r="LH35"/>
  <c r="LI35"/>
  <c r="LG36"/>
  <c r="LH36"/>
  <c r="LI36"/>
  <c r="LG37"/>
  <c r="LH37"/>
  <c r="LI37"/>
  <c r="LG38"/>
  <c r="LH38"/>
  <c r="LI38"/>
  <c r="LG39"/>
  <c r="LH39"/>
  <c r="LI39"/>
  <c r="LG40"/>
  <c r="LH40"/>
  <c r="LI40"/>
  <c r="LG41"/>
  <c r="LH41"/>
  <c r="LI41"/>
  <c r="LG42"/>
  <c r="LH42"/>
  <c r="LI42"/>
  <c r="LG43"/>
  <c r="LH43"/>
  <c r="LI43"/>
  <c r="LG44"/>
  <c r="LH44"/>
  <c r="LI44"/>
  <c r="LG45"/>
  <c r="LH45"/>
  <c r="LI45"/>
  <c r="LG46"/>
  <c r="LH46"/>
  <c r="LI46"/>
  <c r="LG47"/>
  <c r="LH47"/>
  <c r="LI47"/>
  <c r="LG48"/>
  <c r="LH48"/>
  <c r="LI48"/>
  <c r="LG49"/>
  <c r="LH49"/>
  <c r="LI49"/>
  <c r="LG50"/>
  <c r="LH50"/>
  <c r="LI50"/>
  <c r="LG51"/>
  <c r="LH51"/>
  <c r="LI51"/>
  <c r="LG52"/>
  <c r="LH52"/>
  <c r="LI52"/>
  <c r="LG53"/>
  <c r="LH53"/>
  <c r="LI53"/>
  <c r="LG54"/>
  <c r="LH54"/>
  <c r="LI54"/>
  <c r="LG55"/>
  <c r="LH55"/>
  <c r="LI55"/>
  <c r="LG56"/>
  <c r="LH56"/>
  <c r="LI56"/>
  <c r="LG57"/>
  <c r="LH57"/>
  <c r="LI57"/>
  <c r="LG58"/>
  <c r="LH58"/>
  <c r="LI58"/>
  <c r="LG59"/>
  <c r="LH59"/>
  <c r="LI59"/>
  <c r="LG60"/>
  <c r="LH60"/>
  <c r="LI60"/>
  <c r="LG61"/>
  <c r="LH61"/>
  <c r="LI61"/>
  <c r="LG62"/>
  <c r="LH62"/>
  <c r="LI62"/>
  <c r="LG63"/>
  <c r="LH63"/>
  <c r="LI63"/>
  <c r="LG64"/>
  <c r="LH64"/>
  <c r="LI64"/>
  <c r="LG65"/>
  <c r="LH65"/>
  <c r="LI65"/>
  <c r="LG66"/>
  <c r="LH66"/>
  <c r="LI66"/>
  <c r="LG67"/>
  <c r="LH67"/>
  <c r="LI67"/>
  <c r="LG68"/>
  <c r="LH68"/>
  <c r="LI68"/>
  <c r="LG69"/>
  <c r="LH69"/>
  <c r="LI69"/>
  <c r="LG70"/>
  <c r="LH70"/>
  <c r="LI70"/>
  <c r="LG71"/>
  <c r="LH71"/>
  <c r="LI71"/>
  <c r="LG72"/>
  <c r="LH72"/>
  <c r="LI72"/>
  <c r="LG73"/>
  <c r="LH73"/>
  <c r="LI73"/>
  <c r="LG74"/>
  <c r="LH74"/>
  <c r="LI74"/>
  <c r="LG75"/>
  <c r="LH75"/>
  <c r="LI75"/>
  <c r="LG76"/>
  <c r="LH76"/>
  <c r="LI76"/>
  <c r="LG77"/>
  <c r="LH77"/>
  <c r="LI77"/>
  <c r="LG78"/>
  <c r="LH78"/>
  <c r="LI78"/>
  <c r="LG79"/>
  <c r="LH79"/>
  <c r="LI79"/>
  <c r="LG80"/>
  <c r="LH80"/>
  <c r="LI80"/>
  <c r="LG81"/>
  <c r="LH81"/>
  <c r="LI81"/>
  <c r="LG82"/>
  <c r="LH82"/>
  <c r="LI82"/>
  <c r="LG83"/>
  <c r="LH83"/>
  <c r="LI83"/>
  <c r="LG84"/>
  <c r="LH84"/>
  <c r="LI84"/>
  <c r="LG85"/>
  <c r="LH85"/>
  <c r="LI85"/>
  <c r="LG86"/>
  <c r="LH86"/>
  <c r="LI86"/>
  <c r="LI5"/>
  <c r="LG5"/>
  <c r="LH5"/>
  <c r="LF5"/>
  <c r="LM86"/>
  <c r="LL86"/>
  <c r="LK86"/>
  <c r="LJ86"/>
  <c r="LF86"/>
  <c r="LE86"/>
  <c r="LD86"/>
  <c r="LC86"/>
  <c r="LM85"/>
  <c r="LL85"/>
  <c r="LK85"/>
  <c r="LJ85"/>
  <c r="LF85"/>
  <c r="LE85"/>
  <c r="LD85"/>
  <c r="LC85"/>
  <c r="LM84"/>
  <c r="LL84"/>
  <c r="LK84"/>
  <c r="LJ84"/>
  <c r="LF84"/>
  <c r="LE84"/>
  <c r="LD84"/>
  <c r="LC84"/>
  <c r="LM83"/>
  <c r="LL83"/>
  <c r="LK83"/>
  <c r="LJ83"/>
  <c r="LF83"/>
  <c r="LE83"/>
  <c r="LD83"/>
  <c r="LC83"/>
  <c r="LM82"/>
  <c r="LL82"/>
  <c r="LK82"/>
  <c r="LJ82"/>
  <c r="LF82"/>
  <c r="LE82"/>
  <c r="LD82"/>
  <c r="LC82"/>
  <c r="LM81"/>
  <c r="LL81"/>
  <c r="LK81"/>
  <c r="LJ81"/>
  <c r="LF81"/>
  <c r="LE81"/>
  <c r="LD81"/>
  <c r="LC81"/>
  <c r="LM80"/>
  <c r="LL80"/>
  <c r="LK80"/>
  <c r="LJ80"/>
  <c r="LF80"/>
  <c r="LE80"/>
  <c r="LD80"/>
  <c r="LC80"/>
  <c r="LM79"/>
  <c r="LL79"/>
  <c r="LK79"/>
  <c r="LJ79"/>
  <c r="LF79"/>
  <c r="LE79"/>
  <c r="LD79"/>
  <c r="LC79"/>
  <c r="LM78"/>
  <c r="LL78"/>
  <c r="LK78"/>
  <c r="LJ78"/>
  <c r="LF78"/>
  <c r="LE78"/>
  <c r="LD78"/>
  <c r="LC78"/>
  <c r="LM77"/>
  <c r="LL77"/>
  <c r="LK77"/>
  <c r="LJ77"/>
  <c r="LF77"/>
  <c r="LE77"/>
  <c r="LD77"/>
  <c r="LC77"/>
  <c r="LM76"/>
  <c r="LL76"/>
  <c r="LK76"/>
  <c r="LJ76"/>
  <c r="LF76"/>
  <c r="LE76"/>
  <c r="LD76"/>
  <c r="LC76"/>
  <c r="LM75"/>
  <c r="LL75"/>
  <c r="LK75"/>
  <c r="LJ75"/>
  <c r="LF75"/>
  <c r="LE75"/>
  <c r="LD75"/>
  <c r="LC75"/>
  <c r="LM74"/>
  <c r="LL74"/>
  <c r="LK74"/>
  <c r="LJ74"/>
  <c r="LF74"/>
  <c r="LE74"/>
  <c r="LD74"/>
  <c r="LC74"/>
  <c r="LM73"/>
  <c r="LL73"/>
  <c r="LK73"/>
  <c r="LJ73"/>
  <c r="LF73"/>
  <c r="LE73"/>
  <c r="LD73"/>
  <c r="LC73"/>
  <c r="LM72"/>
  <c r="LL72"/>
  <c r="LK72"/>
  <c r="LJ72"/>
  <c r="LF72"/>
  <c r="LE72"/>
  <c r="LD72"/>
  <c r="LC72"/>
  <c r="LM71"/>
  <c r="LL71"/>
  <c r="LK71"/>
  <c r="LJ71"/>
  <c r="LF71"/>
  <c r="LE71"/>
  <c r="LD71"/>
  <c r="LC71"/>
  <c r="LM70"/>
  <c r="LL70"/>
  <c r="LK70"/>
  <c r="LJ70"/>
  <c r="LF70"/>
  <c r="LE70"/>
  <c r="LD70"/>
  <c r="LC70"/>
  <c r="LM69"/>
  <c r="LL69"/>
  <c r="LK69"/>
  <c r="LJ69"/>
  <c r="LF69"/>
  <c r="LE69"/>
  <c r="LD69"/>
  <c r="LC69"/>
  <c r="LM68"/>
  <c r="LL68"/>
  <c r="LK68"/>
  <c r="LJ68"/>
  <c r="LF68"/>
  <c r="LE68"/>
  <c r="LD68"/>
  <c r="LC68"/>
  <c r="LM67"/>
  <c r="LL67"/>
  <c r="LK67"/>
  <c r="LJ67"/>
  <c r="LF67"/>
  <c r="LE67"/>
  <c r="LD67"/>
  <c r="LC67"/>
  <c r="LM66"/>
  <c r="LL66"/>
  <c r="LK66"/>
  <c r="LJ66"/>
  <c r="LF66"/>
  <c r="LE66"/>
  <c r="LD66"/>
  <c r="LC66"/>
  <c r="LM65"/>
  <c r="LL65"/>
  <c r="LK65"/>
  <c r="LJ65"/>
  <c r="LF65"/>
  <c r="LE65"/>
  <c r="LD65"/>
  <c r="LC65"/>
  <c r="LM64"/>
  <c r="LL64"/>
  <c r="LK64"/>
  <c r="LJ64"/>
  <c r="LF64"/>
  <c r="LE64"/>
  <c r="LD64"/>
  <c r="LC64"/>
  <c r="LM63"/>
  <c r="LL63"/>
  <c r="LK63"/>
  <c r="LJ63"/>
  <c r="LF63"/>
  <c r="LE63"/>
  <c r="LD63"/>
  <c r="LC63"/>
  <c r="LM62"/>
  <c r="LL62"/>
  <c r="LK62"/>
  <c r="LJ62"/>
  <c r="LF62"/>
  <c r="LE62"/>
  <c r="LD62"/>
  <c r="LC62"/>
  <c r="LM61"/>
  <c r="LL61"/>
  <c r="LK61"/>
  <c r="LJ61"/>
  <c r="LF61"/>
  <c r="LE61"/>
  <c r="LD61"/>
  <c r="LC61"/>
  <c r="LM60"/>
  <c r="LL60"/>
  <c r="LK60"/>
  <c r="LJ60"/>
  <c r="LF60"/>
  <c r="LE60"/>
  <c r="LD60"/>
  <c r="LC60"/>
  <c r="LM59"/>
  <c r="LL59"/>
  <c r="LK59"/>
  <c r="LJ59"/>
  <c r="LF59"/>
  <c r="LE59"/>
  <c r="LD59"/>
  <c r="LC59"/>
  <c r="LM58"/>
  <c r="LL58"/>
  <c r="LK58"/>
  <c r="LJ58"/>
  <c r="LF58"/>
  <c r="LE58"/>
  <c r="LD58"/>
  <c r="LC58"/>
  <c r="LM57"/>
  <c r="LL57"/>
  <c r="LK57"/>
  <c r="LJ57"/>
  <c r="LF57"/>
  <c r="LE57"/>
  <c r="LD57"/>
  <c r="LC57"/>
  <c r="LM56"/>
  <c r="LL56"/>
  <c r="LK56"/>
  <c r="LJ56"/>
  <c r="LF56"/>
  <c r="LE56"/>
  <c r="LD56"/>
  <c r="LC56"/>
  <c r="LM55"/>
  <c r="LL55"/>
  <c r="LK55"/>
  <c r="LJ55"/>
  <c r="LF55"/>
  <c r="LE55"/>
  <c r="LD55"/>
  <c r="LC55"/>
  <c r="LM54"/>
  <c r="LL54"/>
  <c r="LK54"/>
  <c r="LJ54"/>
  <c r="LF54"/>
  <c r="LE54"/>
  <c r="LD54"/>
  <c r="LC54"/>
  <c r="LM53"/>
  <c r="LL53"/>
  <c r="LK53"/>
  <c r="LJ53"/>
  <c r="LF53"/>
  <c r="LE53"/>
  <c r="LD53"/>
  <c r="LC53"/>
  <c r="LM52"/>
  <c r="LL52"/>
  <c r="LK52"/>
  <c r="LJ52"/>
  <c r="LF52"/>
  <c r="LE52"/>
  <c r="LD52"/>
  <c r="LC52"/>
  <c r="LM51"/>
  <c r="LL51"/>
  <c r="LK51"/>
  <c r="LJ51"/>
  <c r="LF51"/>
  <c r="LE51"/>
  <c r="LD51"/>
  <c r="LC51"/>
  <c r="LM50"/>
  <c r="LL50"/>
  <c r="LK50"/>
  <c r="LJ50"/>
  <c r="LF50"/>
  <c r="LE50"/>
  <c r="LD50"/>
  <c r="LC50"/>
  <c r="LM49"/>
  <c r="LL49"/>
  <c r="LK49"/>
  <c r="LJ49"/>
  <c r="LF49"/>
  <c r="LE49"/>
  <c r="LD49"/>
  <c r="LC49"/>
  <c r="LM48"/>
  <c r="LL48"/>
  <c r="LK48"/>
  <c r="LJ48"/>
  <c r="LF48"/>
  <c r="LE48"/>
  <c r="LD48"/>
  <c r="LC48"/>
  <c r="LM47"/>
  <c r="LL47"/>
  <c r="LK47"/>
  <c r="LJ47"/>
  <c r="LF47"/>
  <c r="LE47"/>
  <c r="LD47"/>
  <c r="LC47"/>
  <c r="LM46"/>
  <c r="LL46"/>
  <c r="LK46"/>
  <c r="LJ46"/>
  <c r="LF46"/>
  <c r="LE46"/>
  <c r="LD46"/>
  <c r="LC46"/>
  <c r="LM45"/>
  <c r="LL45"/>
  <c r="LK45"/>
  <c r="LJ45"/>
  <c r="LF45"/>
  <c r="LE45"/>
  <c r="LD45"/>
  <c r="LC45"/>
  <c r="LM44"/>
  <c r="LL44"/>
  <c r="LK44"/>
  <c r="LJ44"/>
  <c r="LF44"/>
  <c r="LE44"/>
  <c r="LD44"/>
  <c r="LC44"/>
  <c r="LM43"/>
  <c r="LL43"/>
  <c r="LK43"/>
  <c r="LJ43"/>
  <c r="LF43"/>
  <c r="LE43"/>
  <c r="LD43"/>
  <c r="LC43"/>
  <c r="LM42"/>
  <c r="LL42"/>
  <c r="LK42"/>
  <c r="LJ42"/>
  <c r="LF42"/>
  <c r="LE42"/>
  <c r="LD42"/>
  <c r="LC42"/>
  <c r="LM41"/>
  <c r="LL41"/>
  <c r="LK41"/>
  <c r="LJ41"/>
  <c r="LF41"/>
  <c r="LE41"/>
  <c r="LD41"/>
  <c r="LC41"/>
  <c r="LM40"/>
  <c r="LL40"/>
  <c r="LK40"/>
  <c r="LJ40"/>
  <c r="LF40"/>
  <c r="LE40"/>
  <c r="LD40"/>
  <c r="LC40"/>
  <c r="LM39"/>
  <c r="LL39"/>
  <c r="LK39"/>
  <c r="LJ39"/>
  <c r="LF39"/>
  <c r="LE39"/>
  <c r="LD39"/>
  <c r="LC39"/>
  <c r="LM38"/>
  <c r="LL38"/>
  <c r="LK38"/>
  <c r="LJ38"/>
  <c r="LF38"/>
  <c r="LE38"/>
  <c r="LD38"/>
  <c r="LC38"/>
  <c r="LM37"/>
  <c r="LL37"/>
  <c r="LK37"/>
  <c r="LJ37"/>
  <c r="LF37"/>
  <c r="LE37"/>
  <c r="LD37"/>
  <c r="LC37"/>
  <c r="LM36"/>
  <c r="LL36"/>
  <c r="LK36"/>
  <c r="LJ36"/>
  <c r="LF36"/>
  <c r="LE36"/>
  <c r="LD36"/>
  <c r="LC36"/>
  <c r="LM35"/>
  <c r="LL35"/>
  <c r="LK35"/>
  <c r="LJ35"/>
  <c r="LF35"/>
  <c r="LE35"/>
  <c r="LD35"/>
  <c r="LC35"/>
  <c r="LM34"/>
  <c r="LL34"/>
  <c r="LK34"/>
  <c r="LJ34"/>
  <c r="LF34"/>
  <c r="LE34"/>
  <c r="LD34"/>
  <c r="LC34"/>
  <c r="LM33"/>
  <c r="LL33"/>
  <c r="LK33"/>
  <c r="LJ33"/>
  <c r="LF33"/>
  <c r="LE33"/>
  <c r="LD33"/>
  <c r="LC33"/>
  <c r="LM32"/>
  <c r="LL32"/>
  <c r="LK32"/>
  <c r="LJ32"/>
  <c r="LF32"/>
  <c r="LE32"/>
  <c r="LD32"/>
  <c r="LC32"/>
  <c r="LM31"/>
  <c r="LL31"/>
  <c r="LK31"/>
  <c r="LJ31"/>
  <c r="LF31"/>
  <c r="LE31"/>
  <c r="LD31"/>
  <c r="LC31"/>
  <c r="LM30"/>
  <c r="LL30"/>
  <c r="LK30"/>
  <c r="LJ30"/>
  <c r="LF30"/>
  <c r="LE30"/>
  <c r="LD30"/>
  <c r="LC30"/>
  <c r="LM29"/>
  <c r="LL29"/>
  <c r="LK29"/>
  <c r="LJ29"/>
  <c r="LF29"/>
  <c r="LE29"/>
  <c r="LD29"/>
  <c r="LC29"/>
  <c r="LM28"/>
  <c r="LL28"/>
  <c r="LK28"/>
  <c r="LJ28"/>
  <c r="LF28"/>
  <c r="LE28"/>
  <c r="LD28"/>
  <c r="LC28"/>
  <c r="LM27"/>
  <c r="LL27"/>
  <c r="LK27"/>
  <c r="LJ27"/>
  <c r="LF27"/>
  <c r="LE27"/>
  <c r="LD27"/>
  <c r="LC27"/>
  <c r="LM26"/>
  <c r="LL26"/>
  <c r="LK26"/>
  <c r="LJ26"/>
  <c r="LF26"/>
  <c r="LE26"/>
  <c r="LD26"/>
  <c r="LC26"/>
  <c r="LM25"/>
  <c r="LL25"/>
  <c r="LK25"/>
  <c r="LJ25"/>
  <c r="LF25"/>
  <c r="LE25"/>
  <c r="LD25"/>
  <c r="LC25"/>
  <c r="LM24"/>
  <c r="LL24"/>
  <c r="LK24"/>
  <c r="LJ24"/>
  <c r="LF24"/>
  <c r="LE24"/>
  <c r="LD24"/>
  <c r="LC24"/>
  <c r="LM23"/>
  <c r="LL23"/>
  <c r="LK23"/>
  <c r="LJ23"/>
  <c r="LF23"/>
  <c r="LE23"/>
  <c r="LD23"/>
  <c r="LC23"/>
  <c r="LM22"/>
  <c r="LL22"/>
  <c r="LK22"/>
  <c r="LJ22"/>
  <c r="LF22"/>
  <c r="LE22"/>
  <c r="LD22"/>
  <c r="LC22"/>
  <c r="LM21"/>
  <c r="LL21"/>
  <c r="LK21"/>
  <c r="LJ21"/>
  <c r="LF21"/>
  <c r="LE21"/>
  <c r="LD21"/>
  <c r="LC21"/>
  <c r="LM20"/>
  <c r="LL20"/>
  <c r="LK20"/>
  <c r="LJ20"/>
  <c r="LF20"/>
  <c r="LE20"/>
  <c r="LD20"/>
  <c r="LC20"/>
  <c r="LM19"/>
  <c r="LL19"/>
  <c r="LK19"/>
  <c r="LJ19"/>
  <c r="LF19"/>
  <c r="LE19"/>
  <c r="LD19"/>
  <c r="LC19"/>
  <c r="LM18"/>
  <c r="LL18"/>
  <c r="LK18"/>
  <c r="LJ18"/>
  <c r="LF18"/>
  <c r="LE18"/>
  <c r="LD18"/>
  <c r="LC18"/>
  <c r="LM17"/>
  <c r="LL17"/>
  <c r="LK17"/>
  <c r="LJ17"/>
  <c r="LF17"/>
  <c r="LE17"/>
  <c r="LD17"/>
  <c r="LC17"/>
  <c r="LM16"/>
  <c r="LL16"/>
  <c r="LK16"/>
  <c r="LJ16"/>
  <c r="LF16"/>
  <c r="LE16"/>
  <c r="LD16"/>
  <c r="LC16"/>
  <c r="LM15"/>
  <c r="LL15"/>
  <c r="LK15"/>
  <c r="LJ15"/>
  <c r="LF15"/>
  <c r="LE15"/>
  <c r="LD15"/>
  <c r="LC15"/>
  <c r="LM14"/>
  <c r="LL14"/>
  <c r="LK14"/>
  <c r="LJ14"/>
  <c r="LF14"/>
  <c r="LE14"/>
  <c r="LD14"/>
  <c r="LC14"/>
  <c r="LM13"/>
  <c r="LL13"/>
  <c r="LK13"/>
  <c r="LJ13"/>
  <c r="LF13"/>
  <c r="LE13"/>
  <c r="LD13"/>
  <c r="LC13"/>
  <c r="LM12"/>
  <c r="LL12"/>
  <c r="LK12"/>
  <c r="LJ12"/>
  <c r="LF12"/>
  <c r="LE12"/>
  <c r="LD12"/>
  <c r="LC12"/>
  <c r="LM11"/>
  <c r="LL11"/>
  <c r="LK11"/>
  <c r="LJ11"/>
  <c r="LF11"/>
  <c r="LE11"/>
  <c r="LD11"/>
  <c r="LC11"/>
  <c r="LM10"/>
  <c r="LL10"/>
  <c r="LK10"/>
  <c r="LJ10"/>
  <c r="LF10"/>
  <c r="LE10"/>
  <c r="LD10"/>
  <c r="LC10"/>
  <c r="LM9"/>
  <c r="LL9"/>
  <c r="LK9"/>
  <c r="LJ9"/>
  <c r="LF9"/>
  <c r="LE9"/>
  <c r="LD9"/>
  <c r="LC9"/>
  <c r="LM8"/>
  <c r="LL8"/>
  <c r="LK8"/>
  <c r="LJ8"/>
  <c r="LF8"/>
  <c r="LE8"/>
  <c r="LD8"/>
  <c r="LC8"/>
  <c r="LM7"/>
  <c r="LL7"/>
  <c r="LK7"/>
  <c r="LJ7"/>
  <c r="LF7"/>
  <c r="LE7"/>
  <c r="LD7"/>
  <c r="LC7"/>
  <c r="LM6"/>
  <c r="LL6"/>
  <c r="LK6"/>
  <c r="LJ6"/>
  <c r="LF6"/>
  <c r="LE6"/>
  <c r="LD6"/>
  <c r="LC6"/>
  <c r="LM5"/>
  <c r="LL5"/>
  <c r="LK5"/>
  <c r="LJ5"/>
  <c r="LE5"/>
  <c r="LD5"/>
  <c r="LC5"/>
  <c r="KT6"/>
  <c r="KU6"/>
  <c r="KV6"/>
  <c r="KT7"/>
  <c r="KU7"/>
  <c r="KV7"/>
  <c r="KT8"/>
  <c r="KU8"/>
  <c r="KV8"/>
  <c r="KT9"/>
  <c r="KU9"/>
  <c r="KV9"/>
  <c r="KT10"/>
  <c r="KU10"/>
  <c r="KV10"/>
  <c r="KT11"/>
  <c r="KU11"/>
  <c r="KV11"/>
  <c r="KT12"/>
  <c r="KU12"/>
  <c r="KV12"/>
  <c r="KT13"/>
  <c r="KU13"/>
  <c r="KV13"/>
  <c r="KT14"/>
  <c r="KU14"/>
  <c r="KV14"/>
  <c r="KT15"/>
  <c r="KU15"/>
  <c r="KV15"/>
  <c r="KT16"/>
  <c r="KU16"/>
  <c r="KV16"/>
  <c r="KT17"/>
  <c r="KU17"/>
  <c r="KV17"/>
  <c r="KT18"/>
  <c r="KU18"/>
  <c r="KV18"/>
  <c r="KT19"/>
  <c r="KU19"/>
  <c r="KV19"/>
  <c r="KT20"/>
  <c r="KU20"/>
  <c r="KV20"/>
  <c r="KT21"/>
  <c r="KU21"/>
  <c r="KV21"/>
  <c r="KT22"/>
  <c r="KU22"/>
  <c r="KV22"/>
  <c r="KT23"/>
  <c r="KU23"/>
  <c r="KV23"/>
  <c r="KT24"/>
  <c r="KU24"/>
  <c r="KV24"/>
  <c r="KT25"/>
  <c r="KU25"/>
  <c r="KV25"/>
  <c r="KT26"/>
  <c r="KU26"/>
  <c r="KV26"/>
  <c r="KT27"/>
  <c r="KU27"/>
  <c r="KV27"/>
  <c r="KT28"/>
  <c r="KU28"/>
  <c r="KV28"/>
  <c r="KT29"/>
  <c r="KU29"/>
  <c r="KV29"/>
  <c r="KT30"/>
  <c r="KU30"/>
  <c r="KV30"/>
  <c r="KT31"/>
  <c r="KU31"/>
  <c r="KV31"/>
  <c r="KT32"/>
  <c r="KU32"/>
  <c r="KV32"/>
  <c r="KT33"/>
  <c r="KU33"/>
  <c r="KV33"/>
  <c r="KT34"/>
  <c r="KU34"/>
  <c r="KV34"/>
  <c r="KT35"/>
  <c r="KU35"/>
  <c r="KV35"/>
  <c r="KT36"/>
  <c r="KU36"/>
  <c r="KV36"/>
  <c r="KT37"/>
  <c r="KU37"/>
  <c r="KV37"/>
  <c r="KT38"/>
  <c r="KU38"/>
  <c r="KV38"/>
  <c r="KT39"/>
  <c r="KU39"/>
  <c r="KV39"/>
  <c r="KT40"/>
  <c r="KU40"/>
  <c r="KV40"/>
  <c r="KT41"/>
  <c r="KU41"/>
  <c r="KV41"/>
  <c r="KT42"/>
  <c r="KU42"/>
  <c r="KV42"/>
  <c r="KT43"/>
  <c r="KU43"/>
  <c r="KV43"/>
  <c r="KT44"/>
  <c r="KU44"/>
  <c r="KV44"/>
  <c r="KT45"/>
  <c r="KU45"/>
  <c r="KV45"/>
  <c r="KT46"/>
  <c r="KU46"/>
  <c r="KV46"/>
  <c r="KT47"/>
  <c r="KU47"/>
  <c r="KV47"/>
  <c r="KT48"/>
  <c r="KU48"/>
  <c r="KV48"/>
  <c r="KT49"/>
  <c r="KU49"/>
  <c r="KV49"/>
  <c r="KT50"/>
  <c r="KU50"/>
  <c r="KV50"/>
  <c r="KT51"/>
  <c r="KU51"/>
  <c r="KV51"/>
  <c r="KT52"/>
  <c r="KU52"/>
  <c r="KV52"/>
  <c r="KT53"/>
  <c r="KU53"/>
  <c r="KV53"/>
  <c r="KT54"/>
  <c r="KU54"/>
  <c r="KV54"/>
  <c r="KT55"/>
  <c r="KU55"/>
  <c r="KV55"/>
  <c r="KT56"/>
  <c r="KU56"/>
  <c r="KV56"/>
  <c r="KT57"/>
  <c r="KU57"/>
  <c r="KV57"/>
  <c r="KT58"/>
  <c r="KU58"/>
  <c r="KV58"/>
  <c r="KT59"/>
  <c r="KU59"/>
  <c r="KV59"/>
  <c r="KT60"/>
  <c r="KU60"/>
  <c r="KV60"/>
  <c r="KT61"/>
  <c r="KU61"/>
  <c r="KV61"/>
  <c r="KT62"/>
  <c r="KU62"/>
  <c r="KV62"/>
  <c r="KT63"/>
  <c r="KU63"/>
  <c r="KV63"/>
  <c r="KT64"/>
  <c r="KU64"/>
  <c r="KV64"/>
  <c r="KT65"/>
  <c r="KU65"/>
  <c r="KV65"/>
  <c r="KT66"/>
  <c r="KU66"/>
  <c r="KV66"/>
  <c r="KT67"/>
  <c r="KU67"/>
  <c r="KV67"/>
  <c r="KT68"/>
  <c r="KU68"/>
  <c r="KV68"/>
  <c r="KT69"/>
  <c r="KU69"/>
  <c r="KV69"/>
  <c r="KT70"/>
  <c r="KU70"/>
  <c r="KV70"/>
  <c r="KT71"/>
  <c r="KU71"/>
  <c r="KV71"/>
  <c r="KT72"/>
  <c r="KU72"/>
  <c r="KV72"/>
  <c r="KT73"/>
  <c r="KU73"/>
  <c r="KV73"/>
  <c r="KT74"/>
  <c r="KU74"/>
  <c r="KV74"/>
  <c r="KT75"/>
  <c r="KU75"/>
  <c r="KV75"/>
  <c r="KT76"/>
  <c r="KU76"/>
  <c r="KV76"/>
  <c r="KT77"/>
  <c r="KU77"/>
  <c r="KV77"/>
  <c r="KT78"/>
  <c r="KU78"/>
  <c r="KV78"/>
  <c r="KT79"/>
  <c r="KU79"/>
  <c r="KV79"/>
  <c r="KT80"/>
  <c r="KU80"/>
  <c r="KV80"/>
  <c r="KT81"/>
  <c r="KU81"/>
  <c r="KV81"/>
  <c r="KT82"/>
  <c r="KU82"/>
  <c r="KV82"/>
  <c r="KV5"/>
  <c r="KT5"/>
  <c r="KU5"/>
  <c r="KS5"/>
  <c r="KZ82"/>
  <c r="KY82"/>
  <c r="KX82"/>
  <c r="KW82"/>
  <c r="KS82"/>
  <c r="KR82"/>
  <c r="KQ82"/>
  <c r="KP82"/>
  <c r="KZ81"/>
  <c r="KY81"/>
  <c r="KX81"/>
  <c r="KW81"/>
  <c r="KS81"/>
  <c r="KR81"/>
  <c r="KQ81"/>
  <c r="KP81"/>
  <c r="KZ80"/>
  <c r="KY80"/>
  <c r="KX80"/>
  <c r="KW80"/>
  <c r="KS80"/>
  <c r="KR80"/>
  <c r="KQ80"/>
  <c r="KP80"/>
  <c r="KZ79"/>
  <c r="KY79"/>
  <c r="KX79"/>
  <c r="KW79"/>
  <c r="KS79"/>
  <c r="KR79"/>
  <c r="KQ79"/>
  <c r="KP79"/>
  <c r="KZ78"/>
  <c r="KY78"/>
  <c r="KX78"/>
  <c r="KW78"/>
  <c r="KS78"/>
  <c r="KR78"/>
  <c r="KQ78"/>
  <c r="KP78"/>
  <c r="KZ77"/>
  <c r="KY77"/>
  <c r="KX77"/>
  <c r="KW77"/>
  <c r="KS77"/>
  <c r="KR77"/>
  <c r="KQ77"/>
  <c r="KP77"/>
  <c r="KZ76"/>
  <c r="KY76"/>
  <c r="KX76"/>
  <c r="KW76"/>
  <c r="KS76"/>
  <c r="KR76"/>
  <c r="KQ76"/>
  <c r="KP76"/>
  <c r="KZ75"/>
  <c r="KY75"/>
  <c r="KX75"/>
  <c r="KW75"/>
  <c r="KS75"/>
  <c r="KR75"/>
  <c r="KQ75"/>
  <c r="KP75"/>
  <c r="KZ74"/>
  <c r="KY74"/>
  <c r="KX74"/>
  <c r="KW74"/>
  <c r="KS74"/>
  <c r="KR74"/>
  <c r="KQ74"/>
  <c r="KP74"/>
  <c r="KZ73"/>
  <c r="KY73"/>
  <c r="KX73"/>
  <c r="KW73"/>
  <c r="KS73"/>
  <c r="KR73"/>
  <c r="KQ73"/>
  <c r="KP73"/>
  <c r="KZ72"/>
  <c r="KY72"/>
  <c r="KX72"/>
  <c r="KW72"/>
  <c r="KS72"/>
  <c r="KR72"/>
  <c r="KQ72"/>
  <c r="KP72"/>
  <c r="KZ71"/>
  <c r="KY71"/>
  <c r="KX71"/>
  <c r="KW71"/>
  <c r="KS71"/>
  <c r="KR71"/>
  <c r="KQ71"/>
  <c r="KP71"/>
  <c r="KZ70"/>
  <c r="KY70"/>
  <c r="KX70"/>
  <c r="KW70"/>
  <c r="KS70"/>
  <c r="KR70"/>
  <c r="KQ70"/>
  <c r="KP70"/>
  <c r="KZ69"/>
  <c r="KY69"/>
  <c r="KX69"/>
  <c r="KW69"/>
  <c r="KS69"/>
  <c r="KR69"/>
  <c r="KQ69"/>
  <c r="KP69"/>
  <c r="KZ68"/>
  <c r="KY68"/>
  <c r="KX68"/>
  <c r="KW68"/>
  <c r="KS68"/>
  <c r="KR68"/>
  <c r="KQ68"/>
  <c r="KP68"/>
  <c r="KZ67"/>
  <c r="KY67"/>
  <c r="KX67"/>
  <c r="KW67"/>
  <c r="KS67"/>
  <c r="KR67"/>
  <c r="KQ67"/>
  <c r="KP67"/>
  <c r="KZ66"/>
  <c r="KY66"/>
  <c r="KX66"/>
  <c r="KW66"/>
  <c r="KS66"/>
  <c r="KR66"/>
  <c r="KQ66"/>
  <c r="KP66"/>
  <c r="KZ65"/>
  <c r="KY65"/>
  <c r="KX65"/>
  <c r="KW65"/>
  <c r="KS65"/>
  <c r="KR65"/>
  <c r="KQ65"/>
  <c r="KP65"/>
  <c r="KZ64"/>
  <c r="KY64"/>
  <c r="KX64"/>
  <c r="KW64"/>
  <c r="KS64"/>
  <c r="KR64"/>
  <c r="KQ64"/>
  <c r="KP64"/>
  <c r="KZ63"/>
  <c r="KY63"/>
  <c r="KX63"/>
  <c r="KW63"/>
  <c r="KS63"/>
  <c r="KR63"/>
  <c r="KQ63"/>
  <c r="KP63"/>
  <c r="KZ62"/>
  <c r="KY62"/>
  <c r="KX62"/>
  <c r="KW62"/>
  <c r="KS62"/>
  <c r="KR62"/>
  <c r="KQ62"/>
  <c r="KP62"/>
  <c r="KZ61"/>
  <c r="KY61"/>
  <c r="KX61"/>
  <c r="KW61"/>
  <c r="KS61"/>
  <c r="KR61"/>
  <c r="KQ61"/>
  <c r="KP61"/>
  <c r="KZ60"/>
  <c r="KY60"/>
  <c r="KX60"/>
  <c r="KW60"/>
  <c r="KS60"/>
  <c r="KR60"/>
  <c r="KQ60"/>
  <c r="KP60"/>
  <c r="KZ59"/>
  <c r="KY59"/>
  <c r="KX59"/>
  <c r="KW59"/>
  <c r="KS59"/>
  <c r="KR59"/>
  <c r="KQ59"/>
  <c r="KP59"/>
  <c r="KZ58"/>
  <c r="KY58"/>
  <c r="KX58"/>
  <c r="KW58"/>
  <c r="KS58"/>
  <c r="KR58"/>
  <c r="KQ58"/>
  <c r="KP58"/>
  <c r="KZ57"/>
  <c r="KY57"/>
  <c r="KX57"/>
  <c r="KW57"/>
  <c r="KS57"/>
  <c r="KR57"/>
  <c r="KQ57"/>
  <c r="KP57"/>
  <c r="KZ56"/>
  <c r="KY56"/>
  <c r="KX56"/>
  <c r="KW56"/>
  <c r="KS56"/>
  <c r="KR56"/>
  <c r="KQ56"/>
  <c r="KP56"/>
  <c r="KZ55"/>
  <c r="KY55"/>
  <c r="KX55"/>
  <c r="KW55"/>
  <c r="KS55"/>
  <c r="KR55"/>
  <c r="KQ55"/>
  <c r="KP55"/>
  <c r="KZ54"/>
  <c r="KY54"/>
  <c r="KX54"/>
  <c r="KW54"/>
  <c r="KS54"/>
  <c r="KR54"/>
  <c r="KQ54"/>
  <c r="KP54"/>
  <c r="KZ53"/>
  <c r="KY53"/>
  <c r="KX53"/>
  <c r="KW53"/>
  <c r="KS53"/>
  <c r="KR53"/>
  <c r="KQ53"/>
  <c r="KP53"/>
  <c r="KZ52"/>
  <c r="KY52"/>
  <c r="KX52"/>
  <c r="KW52"/>
  <c r="KS52"/>
  <c r="KR52"/>
  <c r="KQ52"/>
  <c r="KP52"/>
  <c r="KZ51"/>
  <c r="KY51"/>
  <c r="KX51"/>
  <c r="KW51"/>
  <c r="KS51"/>
  <c r="KR51"/>
  <c r="KQ51"/>
  <c r="KP51"/>
  <c r="KZ50"/>
  <c r="KY50"/>
  <c r="KX50"/>
  <c r="KW50"/>
  <c r="KS50"/>
  <c r="KR50"/>
  <c r="KQ50"/>
  <c r="KP50"/>
  <c r="KZ49"/>
  <c r="KY49"/>
  <c r="KX49"/>
  <c r="KW49"/>
  <c r="KS49"/>
  <c r="KR49"/>
  <c r="KQ49"/>
  <c r="KP49"/>
  <c r="KZ48"/>
  <c r="KY48"/>
  <c r="KX48"/>
  <c r="KW48"/>
  <c r="KS48"/>
  <c r="KR48"/>
  <c r="KQ48"/>
  <c r="KP48"/>
  <c r="KZ47"/>
  <c r="KY47"/>
  <c r="KX47"/>
  <c r="KW47"/>
  <c r="KS47"/>
  <c r="KR47"/>
  <c r="KQ47"/>
  <c r="KP47"/>
  <c r="KZ46"/>
  <c r="KY46"/>
  <c r="KX46"/>
  <c r="KW46"/>
  <c r="KS46"/>
  <c r="KR46"/>
  <c r="KQ46"/>
  <c r="KP46"/>
  <c r="KZ45"/>
  <c r="KY45"/>
  <c r="KX45"/>
  <c r="KW45"/>
  <c r="KS45"/>
  <c r="KR45"/>
  <c r="KQ45"/>
  <c r="KP45"/>
  <c r="KZ44"/>
  <c r="KY44"/>
  <c r="KX44"/>
  <c r="KW44"/>
  <c r="KS44"/>
  <c r="KR44"/>
  <c r="KQ44"/>
  <c r="KP44"/>
  <c r="KZ43"/>
  <c r="KY43"/>
  <c r="KX43"/>
  <c r="KW43"/>
  <c r="KS43"/>
  <c r="KR43"/>
  <c r="KQ43"/>
  <c r="KP43"/>
  <c r="KZ42"/>
  <c r="KY42"/>
  <c r="KX42"/>
  <c r="KW42"/>
  <c r="KS42"/>
  <c r="KR42"/>
  <c r="KQ42"/>
  <c r="KP42"/>
  <c r="KZ41"/>
  <c r="KY41"/>
  <c r="KX41"/>
  <c r="KW41"/>
  <c r="KS41"/>
  <c r="KR41"/>
  <c r="KQ41"/>
  <c r="KP41"/>
  <c r="KZ40"/>
  <c r="KY40"/>
  <c r="KX40"/>
  <c r="KW40"/>
  <c r="KS40"/>
  <c r="KR40"/>
  <c r="KQ40"/>
  <c r="KP40"/>
  <c r="KZ39"/>
  <c r="KY39"/>
  <c r="KX39"/>
  <c r="KW39"/>
  <c r="KS39"/>
  <c r="KR39"/>
  <c r="KQ39"/>
  <c r="KP39"/>
  <c r="KZ38"/>
  <c r="KY38"/>
  <c r="KX38"/>
  <c r="KW38"/>
  <c r="KS38"/>
  <c r="KR38"/>
  <c r="KQ38"/>
  <c r="KP38"/>
  <c r="KZ37"/>
  <c r="KY37"/>
  <c r="KX37"/>
  <c r="KW37"/>
  <c r="KS37"/>
  <c r="KR37"/>
  <c r="KQ37"/>
  <c r="KP37"/>
  <c r="KZ36"/>
  <c r="KY36"/>
  <c r="KX36"/>
  <c r="KW36"/>
  <c r="KS36"/>
  <c r="KR36"/>
  <c r="KQ36"/>
  <c r="KP36"/>
  <c r="KZ35"/>
  <c r="KY35"/>
  <c r="KX35"/>
  <c r="KW35"/>
  <c r="KS35"/>
  <c r="KR35"/>
  <c r="KQ35"/>
  <c r="KP35"/>
  <c r="KZ34"/>
  <c r="KY34"/>
  <c r="KX34"/>
  <c r="KW34"/>
  <c r="KS34"/>
  <c r="KR34"/>
  <c r="KQ34"/>
  <c r="KP34"/>
  <c r="KZ33"/>
  <c r="KY33"/>
  <c r="KX33"/>
  <c r="KW33"/>
  <c r="KS33"/>
  <c r="KR33"/>
  <c r="KQ33"/>
  <c r="KP33"/>
  <c r="KZ32"/>
  <c r="KY32"/>
  <c r="KX32"/>
  <c r="KW32"/>
  <c r="KS32"/>
  <c r="KR32"/>
  <c r="KQ32"/>
  <c r="KP32"/>
  <c r="KZ31"/>
  <c r="KY31"/>
  <c r="KX31"/>
  <c r="KW31"/>
  <c r="KS31"/>
  <c r="KR31"/>
  <c r="KQ31"/>
  <c r="KP31"/>
  <c r="KZ30"/>
  <c r="KY30"/>
  <c r="KX30"/>
  <c r="KW30"/>
  <c r="KS30"/>
  <c r="KR30"/>
  <c r="KQ30"/>
  <c r="KP30"/>
  <c r="KZ29"/>
  <c r="KY29"/>
  <c r="KX29"/>
  <c r="KW29"/>
  <c r="KS29"/>
  <c r="KR29"/>
  <c r="KQ29"/>
  <c r="KP29"/>
  <c r="KZ28"/>
  <c r="KY28"/>
  <c r="KX28"/>
  <c r="KW28"/>
  <c r="KS28"/>
  <c r="KR28"/>
  <c r="KQ28"/>
  <c r="KP28"/>
  <c r="KZ27"/>
  <c r="KY27"/>
  <c r="KX27"/>
  <c r="KW27"/>
  <c r="KS27"/>
  <c r="KR27"/>
  <c r="KQ27"/>
  <c r="KP27"/>
  <c r="KZ26"/>
  <c r="KY26"/>
  <c r="KX26"/>
  <c r="KW26"/>
  <c r="KS26"/>
  <c r="KR26"/>
  <c r="KQ26"/>
  <c r="KP26"/>
  <c r="KZ25"/>
  <c r="KY25"/>
  <c r="KX25"/>
  <c r="KW25"/>
  <c r="KS25"/>
  <c r="KR25"/>
  <c r="KQ25"/>
  <c r="KP25"/>
  <c r="KZ24"/>
  <c r="KY24"/>
  <c r="KX24"/>
  <c r="KW24"/>
  <c r="KS24"/>
  <c r="KR24"/>
  <c r="KQ24"/>
  <c r="KP24"/>
  <c r="KZ23"/>
  <c r="KY23"/>
  <c r="KX23"/>
  <c r="KW23"/>
  <c r="KS23"/>
  <c r="KR23"/>
  <c r="KQ23"/>
  <c r="KP23"/>
  <c r="KZ22"/>
  <c r="KY22"/>
  <c r="KX22"/>
  <c r="KW22"/>
  <c r="KS22"/>
  <c r="KR22"/>
  <c r="KQ22"/>
  <c r="KP22"/>
  <c r="KZ21"/>
  <c r="KY21"/>
  <c r="KX21"/>
  <c r="KW21"/>
  <c r="KS21"/>
  <c r="KR21"/>
  <c r="KQ21"/>
  <c r="KP21"/>
  <c r="KZ20"/>
  <c r="KY20"/>
  <c r="KX20"/>
  <c r="KW20"/>
  <c r="KS20"/>
  <c r="KR20"/>
  <c r="KQ20"/>
  <c r="KP20"/>
  <c r="KZ19"/>
  <c r="KY19"/>
  <c r="KX19"/>
  <c r="KW19"/>
  <c r="KS19"/>
  <c r="KR19"/>
  <c r="KQ19"/>
  <c r="KP19"/>
  <c r="KZ18"/>
  <c r="KY18"/>
  <c r="KX18"/>
  <c r="KW18"/>
  <c r="KS18"/>
  <c r="KR18"/>
  <c r="KQ18"/>
  <c r="KP18"/>
  <c r="KZ17"/>
  <c r="KY17"/>
  <c r="KX17"/>
  <c r="KW17"/>
  <c r="KS17"/>
  <c r="KR17"/>
  <c r="KQ17"/>
  <c r="KP17"/>
  <c r="KZ16"/>
  <c r="KY16"/>
  <c r="KX16"/>
  <c r="KW16"/>
  <c r="KS16"/>
  <c r="KR16"/>
  <c r="KQ16"/>
  <c r="KP16"/>
  <c r="KZ15"/>
  <c r="KY15"/>
  <c r="KX15"/>
  <c r="KW15"/>
  <c r="KS15"/>
  <c r="KR15"/>
  <c r="KQ15"/>
  <c r="KP15"/>
  <c r="KZ14"/>
  <c r="KY14"/>
  <c r="KX14"/>
  <c r="KW14"/>
  <c r="KS14"/>
  <c r="KR14"/>
  <c r="KQ14"/>
  <c r="KP14"/>
  <c r="KZ13"/>
  <c r="KY13"/>
  <c r="KX13"/>
  <c r="KW13"/>
  <c r="KS13"/>
  <c r="KR13"/>
  <c r="KQ13"/>
  <c r="KP13"/>
  <c r="KZ12"/>
  <c r="KY12"/>
  <c r="KX12"/>
  <c r="KW12"/>
  <c r="KS12"/>
  <c r="KR12"/>
  <c r="KQ12"/>
  <c r="KP12"/>
  <c r="KZ11"/>
  <c r="KY11"/>
  <c r="KX11"/>
  <c r="KW11"/>
  <c r="KS11"/>
  <c r="KR11"/>
  <c r="KQ11"/>
  <c r="KP11"/>
  <c r="KZ10"/>
  <c r="KY10"/>
  <c r="KX10"/>
  <c r="KW10"/>
  <c r="KS10"/>
  <c r="KR10"/>
  <c r="KQ10"/>
  <c r="KP10"/>
  <c r="KZ9"/>
  <c r="KY9"/>
  <c r="KX9"/>
  <c r="KW9"/>
  <c r="KS9"/>
  <c r="KR9"/>
  <c r="KQ9"/>
  <c r="KP9"/>
  <c r="KZ8"/>
  <c r="KY8"/>
  <c r="KX8"/>
  <c r="KW8"/>
  <c r="KS8"/>
  <c r="KR8"/>
  <c r="KQ8"/>
  <c r="KP8"/>
  <c r="KZ7"/>
  <c r="KY7"/>
  <c r="KX7"/>
  <c r="KW7"/>
  <c r="KS7"/>
  <c r="KR7"/>
  <c r="KQ7"/>
  <c r="KP7"/>
  <c r="KZ6"/>
  <c r="KY6"/>
  <c r="KX6"/>
  <c r="KW6"/>
  <c r="KS6"/>
  <c r="KR6"/>
  <c r="KQ6"/>
  <c r="KP6"/>
  <c r="KZ5"/>
  <c r="KY5"/>
  <c r="KX5"/>
  <c r="KW5"/>
  <c r="KR5"/>
  <c r="KQ5"/>
  <c r="KP5"/>
  <c r="KG6"/>
  <c r="KH6"/>
  <c r="KI6"/>
  <c r="KG7"/>
  <c r="KH7"/>
  <c r="KI7"/>
  <c r="KG8"/>
  <c r="KH8"/>
  <c r="KI8"/>
  <c r="KG9"/>
  <c r="KH9"/>
  <c r="KI9"/>
  <c r="KG10"/>
  <c r="KH10"/>
  <c r="KI10"/>
  <c r="KG11"/>
  <c r="KH11"/>
  <c r="KI11"/>
  <c r="KG12"/>
  <c r="KH12"/>
  <c r="KI12"/>
  <c r="KG13"/>
  <c r="KH13"/>
  <c r="KI13"/>
  <c r="KG14"/>
  <c r="KH14"/>
  <c r="KI14"/>
  <c r="KG15"/>
  <c r="KH15"/>
  <c r="KI15"/>
  <c r="KG16"/>
  <c r="KH16"/>
  <c r="KI16"/>
  <c r="KG17"/>
  <c r="KH17"/>
  <c r="KI17"/>
  <c r="KG18"/>
  <c r="KH18"/>
  <c r="KI18"/>
  <c r="KG19"/>
  <c r="KH19"/>
  <c r="KI19"/>
  <c r="KG20"/>
  <c r="KH20"/>
  <c r="KI20"/>
  <c r="KG21"/>
  <c r="KH21"/>
  <c r="KI21"/>
  <c r="KG22"/>
  <c r="KH22"/>
  <c r="KI22"/>
  <c r="KG23"/>
  <c r="KH23"/>
  <c r="KI23"/>
  <c r="KG24"/>
  <c r="KH24"/>
  <c r="KI24"/>
  <c r="KG25"/>
  <c r="KH25"/>
  <c r="KI25"/>
  <c r="KG26"/>
  <c r="KH26"/>
  <c r="KI26"/>
  <c r="KG27"/>
  <c r="KH27"/>
  <c r="KI27"/>
  <c r="KG28"/>
  <c r="KH28"/>
  <c r="KI28"/>
  <c r="KG29"/>
  <c r="KH29"/>
  <c r="KI29"/>
  <c r="KG30"/>
  <c r="KH30"/>
  <c r="KI30"/>
  <c r="KG31"/>
  <c r="KH31"/>
  <c r="KI31"/>
  <c r="KG32"/>
  <c r="KH32"/>
  <c r="KI32"/>
  <c r="KG33"/>
  <c r="KH33"/>
  <c r="KI33"/>
  <c r="KG34"/>
  <c r="KH34"/>
  <c r="KI34"/>
  <c r="KG35"/>
  <c r="KH35"/>
  <c r="KI35"/>
  <c r="KG36"/>
  <c r="KH36"/>
  <c r="KI36"/>
  <c r="KG37"/>
  <c r="KH37"/>
  <c r="KI37"/>
  <c r="KG38"/>
  <c r="KH38"/>
  <c r="KI38"/>
  <c r="KG39"/>
  <c r="KH39"/>
  <c r="KI39"/>
  <c r="KG40"/>
  <c r="KH40"/>
  <c r="KI40"/>
  <c r="KG41"/>
  <c r="KH41"/>
  <c r="KI41"/>
  <c r="KG42"/>
  <c r="KH42"/>
  <c r="KI42"/>
  <c r="KG43"/>
  <c r="KH43"/>
  <c r="KI43"/>
  <c r="KG44"/>
  <c r="KH44"/>
  <c r="KI44"/>
  <c r="KG45"/>
  <c r="KH45"/>
  <c r="KI45"/>
  <c r="KG46"/>
  <c r="KH46"/>
  <c r="KI46"/>
  <c r="KG47"/>
  <c r="KH47"/>
  <c r="KI47"/>
  <c r="KG48"/>
  <c r="KH48"/>
  <c r="KI48"/>
  <c r="KG49"/>
  <c r="KH49"/>
  <c r="KI49"/>
  <c r="KG50"/>
  <c r="KH50"/>
  <c r="KI50"/>
  <c r="KG51"/>
  <c r="KH51"/>
  <c r="KI51"/>
  <c r="KG52"/>
  <c r="KH52"/>
  <c r="KI52"/>
  <c r="KG53"/>
  <c r="KH53"/>
  <c r="KI53"/>
  <c r="KG54"/>
  <c r="KH54"/>
  <c r="KI54"/>
  <c r="KG55"/>
  <c r="KH55"/>
  <c r="KI55"/>
  <c r="KG56"/>
  <c r="KH56"/>
  <c r="KI56"/>
  <c r="KG57"/>
  <c r="KH57"/>
  <c r="KI57"/>
  <c r="KG58"/>
  <c r="KH58"/>
  <c r="KI58"/>
  <c r="KG59"/>
  <c r="KH59"/>
  <c r="KI59"/>
  <c r="KG60"/>
  <c r="KH60"/>
  <c r="KI60"/>
  <c r="KG61"/>
  <c r="KH61"/>
  <c r="KI61"/>
  <c r="KG62"/>
  <c r="KH62"/>
  <c r="KI62"/>
  <c r="KG63"/>
  <c r="KH63"/>
  <c r="KI63"/>
  <c r="KG64"/>
  <c r="KH64"/>
  <c r="KI64"/>
  <c r="KG65"/>
  <c r="KH65"/>
  <c r="KI65"/>
  <c r="KG66"/>
  <c r="KH66"/>
  <c r="KI66"/>
  <c r="KG67"/>
  <c r="KH67"/>
  <c r="KI67"/>
  <c r="KG68"/>
  <c r="KH68"/>
  <c r="KI68"/>
  <c r="KG69"/>
  <c r="KH69"/>
  <c r="KI69"/>
  <c r="KG70"/>
  <c r="KH70"/>
  <c r="KI70"/>
  <c r="KG71"/>
  <c r="KH71"/>
  <c r="KI71"/>
  <c r="KG72"/>
  <c r="KH72"/>
  <c r="KI72"/>
  <c r="KG73"/>
  <c r="KH73"/>
  <c r="KI73"/>
  <c r="KG74"/>
  <c r="KH74"/>
  <c r="KI74"/>
  <c r="KG75"/>
  <c r="KH75"/>
  <c r="KI75"/>
  <c r="KG76"/>
  <c r="KH76"/>
  <c r="KI76"/>
  <c r="KG77"/>
  <c r="KH77"/>
  <c r="KI77"/>
  <c r="KG78"/>
  <c r="KH78"/>
  <c r="KI78"/>
  <c r="KG79"/>
  <c r="KH79"/>
  <c r="KI79"/>
  <c r="KG80"/>
  <c r="KH80"/>
  <c r="KI80"/>
  <c r="KG81"/>
  <c r="KH81"/>
  <c r="KI81"/>
  <c r="KG82"/>
  <c r="KH82"/>
  <c r="KI82"/>
  <c r="KG83"/>
  <c r="KH83"/>
  <c r="KI83"/>
  <c r="KG84"/>
  <c r="KH84"/>
  <c r="KI84"/>
  <c r="KG85"/>
  <c r="KH85"/>
  <c r="KI85"/>
  <c r="KG86"/>
  <c r="KH86"/>
  <c r="KI86"/>
  <c r="KI5"/>
  <c r="KG5"/>
  <c r="KH5"/>
  <c r="KF5"/>
  <c r="KM86"/>
  <c r="KL86"/>
  <c r="KK86"/>
  <c r="KJ86"/>
  <c r="KF86"/>
  <c r="KE86"/>
  <c r="KD86"/>
  <c r="KC86"/>
  <c r="KM85"/>
  <c r="KL85"/>
  <c r="KK85"/>
  <c r="KJ85"/>
  <c r="KF85"/>
  <c r="KE85"/>
  <c r="KD85"/>
  <c r="KC85"/>
  <c r="KM84"/>
  <c r="KL84"/>
  <c r="KK84"/>
  <c r="KJ84"/>
  <c r="KF84"/>
  <c r="KE84"/>
  <c r="KD84"/>
  <c r="KC84"/>
  <c r="KM83"/>
  <c r="KL83"/>
  <c r="KK83"/>
  <c r="KJ83"/>
  <c r="KF83"/>
  <c r="KE83"/>
  <c r="KD83"/>
  <c r="KC83"/>
  <c r="KM82"/>
  <c r="KL82"/>
  <c r="KK82"/>
  <c r="KJ82"/>
  <c r="KF82"/>
  <c r="KE82"/>
  <c r="KD82"/>
  <c r="KC82"/>
  <c r="KM81"/>
  <c r="KL81"/>
  <c r="KK81"/>
  <c r="KJ81"/>
  <c r="KF81"/>
  <c r="KE81"/>
  <c r="KD81"/>
  <c r="KC81"/>
  <c r="KM80"/>
  <c r="KL80"/>
  <c r="KK80"/>
  <c r="KJ80"/>
  <c r="KF80"/>
  <c r="KE80"/>
  <c r="KD80"/>
  <c r="KC80"/>
  <c r="KM79"/>
  <c r="KL79"/>
  <c r="KK79"/>
  <c r="KJ79"/>
  <c r="KF79"/>
  <c r="KE79"/>
  <c r="KD79"/>
  <c r="KC79"/>
  <c r="KM78"/>
  <c r="KL78"/>
  <c r="KK78"/>
  <c r="KJ78"/>
  <c r="KF78"/>
  <c r="KE78"/>
  <c r="KD78"/>
  <c r="KC78"/>
  <c r="KM77"/>
  <c r="KL77"/>
  <c r="KK77"/>
  <c r="KJ77"/>
  <c r="KF77"/>
  <c r="KE77"/>
  <c r="KD77"/>
  <c r="KC77"/>
  <c r="KM76"/>
  <c r="KL76"/>
  <c r="KK76"/>
  <c r="KJ76"/>
  <c r="KF76"/>
  <c r="KE76"/>
  <c r="KD76"/>
  <c r="KC76"/>
  <c r="KM75"/>
  <c r="KL75"/>
  <c r="KK75"/>
  <c r="KJ75"/>
  <c r="KF75"/>
  <c r="KE75"/>
  <c r="KD75"/>
  <c r="KC75"/>
  <c r="KM74"/>
  <c r="KL74"/>
  <c r="KK74"/>
  <c r="KJ74"/>
  <c r="KF74"/>
  <c r="KE74"/>
  <c r="KD74"/>
  <c r="KC74"/>
  <c r="KM73"/>
  <c r="KL73"/>
  <c r="KK73"/>
  <c r="KJ73"/>
  <c r="KF73"/>
  <c r="KE73"/>
  <c r="KD73"/>
  <c r="KC73"/>
  <c r="KM72"/>
  <c r="KL72"/>
  <c r="KK72"/>
  <c r="KJ72"/>
  <c r="KF72"/>
  <c r="KE72"/>
  <c r="KD72"/>
  <c r="KC72"/>
  <c r="KM71"/>
  <c r="KL71"/>
  <c r="KK71"/>
  <c r="KJ71"/>
  <c r="KF71"/>
  <c r="KE71"/>
  <c r="KD71"/>
  <c r="KC71"/>
  <c r="KM70"/>
  <c r="KL70"/>
  <c r="KK70"/>
  <c r="KJ70"/>
  <c r="KF70"/>
  <c r="KE70"/>
  <c r="KD70"/>
  <c r="KC70"/>
  <c r="KM69"/>
  <c r="KL69"/>
  <c r="KK69"/>
  <c r="KJ69"/>
  <c r="KF69"/>
  <c r="KE69"/>
  <c r="KD69"/>
  <c r="KC69"/>
  <c r="KM68"/>
  <c r="KL68"/>
  <c r="KK68"/>
  <c r="KJ68"/>
  <c r="KF68"/>
  <c r="KE68"/>
  <c r="KD68"/>
  <c r="KC68"/>
  <c r="KM67"/>
  <c r="KL67"/>
  <c r="KK67"/>
  <c r="KJ67"/>
  <c r="KF67"/>
  <c r="KE67"/>
  <c r="KD67"/>
  <c r="KC67"/>
  <c r="KM66"/>
  <c r="KL66"/>
  <c r="KK66"/>
  <c r="KJ66"/>
  <c r="KF66"/>
  <c r="KE66"/>
  <c r="KD66"/>
  <c r="KC66"/>
  <c r="KM65"/>
  <c r="KL65"/>
  <c r="KK65"/>
  <c r="KJ65"/>
  <c r="KF65"/>
  <c r="KE65"/>
  <c r="KD65"/>
  <c r="KC65"/>
  <c r="KM64"/>
  <c r="KL64"/>
  <c r="KK64"/>
  <c r="KJ64"/>
  <c r="KF64"/>
  <c r="KE64"/>
  <c r="KD64"/>
  <c r="KC64"/>
  <c r="KM63"/>
  <c r="KL63"/>
  <c r="KK63"/>
  <c r="KJ63"/>
  <c r="KF63"/>
  <c r="KE63"/>
  <c r="KD63"/>
  <c r="KC63"/>
  <c r="KM62"/>
  <c r="KL62"/>
  <c r="KK62"/>
  <c r="KJ62"/>
  <c r="KF62"/>
  <c r="KE62"/>
  <c r="KD62"/>
  <c r="KC62"/>
  <c r="KM61"/>
  <c r="KL61"/>
  <c r="KK61"/>
  <c r="KJ61"/>
  <c r="KF61"/>
  <c r="KE61"/>
  <c r="KD61"/>
  <c r="KC61"/>
  <c r="KM60"/>
  <c r="KL60"/>
  <c r="KK60"/>
  <c r="KJ60"/>
  <c r="KF60"/>
  <c r="KE60"/>
  <c r="KD60"/>
  <c r="KC60"/>
  <c r="KM59"/>
  <c r="KL59"/>
  <c r="KK59"/>
  <c r="KJ59"/>
  <c r="KF59"/>
  <c r="KE59"/>
  <c r="KD59"/>
  <c r="KC59"/>
  <c r="KM58"/>
  <c r="KL58"/>
  <c r="KK58"/>
  <c r="KJ58"/>
  <c r="KF58"/>
  <c r="KE58"/>
  <c r="KD58"/>
  <c r="KC58"/>
  <c r="KM57"/>
  <c r="KL57"/>
  <c r="KK57"/>
  <c r="KJ57"/>
  <c r="KF57"/>
  <c r="KE57"/>
  <c r="KD57"/>
  <c r="KC57"/>
  <c r="KM56"/>
  <c r="KL56"/>
  <c r="KK56"/>
  <c r="KJ56"/>
  <c r="KF56"/>
  <c r="KE56"/>
  <c r="KD56"/>
  <c r="KC56"/>
  <c r="KM55"/>
  <c r="KL55"/>
  <c r="KK55"/>
  <c r="KJ55"/>
  <c r="KF55"/>
  <c r="KE55"/>
  <c r="KD55"/>
  <c r="KC55"/>
  <c r="KM54"/>
  <c r="KL54"/>
  <c r="KK54"/>
  <c r="KJ54"/>
  <c r="KF54"/>
  <c r="KE54"/>
  <c r="KD54"/>
  <c r="KC54"/>
  <c r="KM53"/>
  <c r="KL53"/>
  <c r="KK53"/>
  <c r="KJ53"/>
  <c r="KF53"/>
  <c r="KE53"/>
  <c r="KD53"/>
  <c r="KC53"/>
  <c r="KM52"/>
  <c r="KL52"/>
  <c r="KK52"/>
  <c r="KJ52"/>
  <c r="KF52"/>
  <c r="KE52"/>
  <c r="KD52"/>
  <c r="KC52"/>
  <c r="KM51"/>
  <c r="KL51"/>
  <c r="KK51"/>
  <c r="KJ51"/>
  <c r="KF51"/>
  <c r="KE51"/>
  <c r="KD51"/>
  <c r="KC51"/>
  <c r="KM50"/>
  <c r="KL50"/>
  <c r="KK50"/>
  <c r="KJ50"/>
  <c r="KF50"/>
  <c r="KE50"/>
  <c r="KD50"/>
  <c r="KC50"/>
  <c r="KM49"/>
  <c r="KL49"/>
  <c r="KK49"/>
  <c r="KJ49"/>
  <c r="KF49"/>
  <c r="KE49"/>
  <c r="KD49"/>
  <c r="KC49"/>
  <c r="KM48"/>
  <c r="KL48"/>
  <c r="KK48"/>
  <c r="KJ48"/>
  <c r="KF48"/>
  <c r="KE48"/>
  <c r="KD48"/>
  <c r="KC48"/>
  <c r="KM47"/>
  <c r="KL47"/>
  <c r="KK47"/>
  <c r="KJ47"/>
  <c r="KF47"/>
  <c r="KE47"/>
  <c r="KD47"/>
  <c r="KC47"/>
  <c r="KM46"/>
  <c r="KL46"/>
  <c r="KK46"/>
  <c r="KJ46"/>
  <c r="KF46"/>
  <c r="KE46"/>
  <c r="KD46"/>
  <c r="KC46"/>
  <c r="KM45"/>
  <c r="KL45"/>
  <c r="KK45"/>
  <c r="KJ45"/>
  <c r="KF45"/>
  <c r="KE45"/>
  <c r="KD45"/>
  <c r="KC45"/>
  <c r="KM44"/>
  <c r="KL44"/>
  <c r="KK44"/>
  <c r="KJ44"/>
  <c r="KF44"/>
  <c r="KE44"/>
  <c r="KD44"/>
  <c r="KC44"/>
  <c r="KM43"/>
  <c r="KL43"/>
  <c r="KK43"/>
  <c r="KJ43"/>
  <c r="KF43"/>
  <c r="KE43"/>
  <c r="KD43"/>
  <c r="KC43"/>
  <c r="KM42"/>
  <c r="KL42"/>
  <c r="KK42"/>
  <c r="KJ42"/>
  <c r="KF42"/>
  <c r="KE42"/>
  <c r="KD42"/>
  <c r="KC42"/>
  <c r="KM41"/>
  <c r="KL41"/>
  <c r="KK41"/>
  <c r="KJ41"/>
  <c r="KF41"/>
  <c r="KE41"/>
  <c r="KD41"/>
  <c r="KC41"/>
  <c r="KM40"/>
  <c r="KL40"/>
  <c r="KK40"/>
  <c r="KJ40"/>
  <c r="KF40"/>
  <c r="KE40"/>
  <c r="KD40"/>
  <c r="KC40"/>
  <c r="KM39"/>
  <c r="KL39"/>
  <c r="KK39"/>
  <c r="KJ39"/>
  <c r="KF39"/>
  <c r="KE39"/>
  <c r="KD39"/>
  <c r="KC39"/>
  <c r="KM38"/>
  <c r="KL38"/>
  <c r="KK38"/>
  <c r="KJ38"/>
  <c r="KF38"/>
  <c r="KE38"/>
  <c r="KD38"/>
  <c r="KC38"/>
  <c r="KM37"/>
  <c r="KL37"/>
  <c r="KK37"/>
  <c r="KJ37"/>
  <c r="KF37"/>
  <c r="KE37"/>
  <c r="KD37"/>
  <c r="KC37"/>
  <c r="KM36"/>
  <c r="KL36"/>
  <c r="KK36"/>
  <c r="KJ36"/>
  <c r="KF36"/>
  <c r="KE36"/>
  <c r="KD36"/>
  <c r="KC36"/>
  <c r="KM35"/>
  <c r="KL35"/>
  <c r="KK35"/>
  <c r="KJ35"/>
  <c r="KF35"/>
  <c r="KE35"/>
  <c r="KD35"/>
  <c r="KC35"/>
  <c r="KM34"/>
  <c r="KL34"/>
  <c r="KK34"/>
  <c r="KJ34"/>
  <c r="KF34"/>
  <c r="KE34"/>
  <c r="KD34"/>
  <c r="KC34"/>
  <c r="KM33"/>
  <c r="KL33"/>
  <c r="KK33"/>
  <c r="KJ33"/>
  <c r="KF33"/>
  <c r="KE33"/>
  <c r="KD33"/>
  <c r="KC33"/>
  <c r="KM32"/>
  <c r="KL32"/>
  <c r="KK32"/>
  <c r="KJ32"/>
  <c r="KF32"/>
  <c r="KE32"/>
  <c r="KD32"/>
  <c r="KC32"/>
  <c r="KM31"/>
  <c r="KL31"/>
  <c r="KK31"/>
  <c r="KJ31"/>
  <c r="KF31"/>
  <c r="KE31"/>
  <c r="KD31"/>
  <c r="KC31"/>
  <c r="KM30"/>
  <c r="KL30"/>
  <c r="KK30"/>
  <c r="KJ30"/>
  <c r="KF30"/>
  <c r="KE30"/>
  <c r="KD30"/>
  <c r="KC30"/>
  <c r="KM29"/>
  <c r="KL29"/>
  <c r="KK29"/>
  <c r="KJ29"/>
  <c r="KF29"/>
  <c r="KE29"/>
  <c r="KD29"/>
  <c r="KC29"/>
  <c r="KM28"/>
  <c r="KL28"/>
  <c r="KK28"/>
  <c r="KJ28"/>
  <c r="KF28"/>
  <c r="KE28"/>
  <c r="KD28"/>
  <c r="KC28"/>
  <c r="KM27"/>
  <c r="KL27"/>
  <c r="KK27"/>
  <c r="KJ27"/>
  <c r="KF27"/>
  <c r="KE27"/>
  <c r="KD27"/>
  <c r="KC27"/>
  <c r="KM26"/>
  <c r="KL26"/>
  <c r="KK26"/>
  <c r="KJ26"/>
  <c r="KF26"/>
  <c r="KE26"/>
  <c r="KD26"/>
  <c r="KC26"/>
  <c r="KM25"/>
  <c r="KL25"/>
  <c r="KK25"/>
  <c r="KJ25"/>
  <c r="KF25"/>
  <c r="KE25"/>
  <c r="KD25"/>
  <c r="KC25"/>
  <c r="KM24"/>
  <c r="KL24"/>
  <c r="KK24"/>
  <c r="KJ24"/>
  <c r="KF24"/>
  <c r="KE24"/>
  <c r="KD24"/>
  <c r="KC24"/>
  <c r="KM23"/>
  <c r="KL23"/>
  <c r="KK23"/>
  <c r="KJ23"/>
  <c r="KF23"/>
  <c r="KE23"/>
  <c r="KD23"/>
  <c r="KC23"/>
  <c r="KM22"/>
  <c r="KL22"/>
  <c r="KK22"/>
  <c r="KJ22"/>
  <c r="KF22"/>
  <c r="KE22"/>
  <c r="KD22"/>
  <c r="KC22"/>
  <c r="KM21"/>
  <c r="KL21"/>
  <c r="KK21"/>
  <c r="KJ21"/>
  <c r="KF21"/>
  <c r="KE21"/>
  <c r="KD21"/>
  <c r="KC21"/>
  <c r="KM20"/>
  <c r="KL20"/>
  <c r="KK20"/>
  <c r="KJ20"/>
  <c r="KF20"/>
  <c r="KE20"/>
  <c r="KD20"/>
  <c r="KC20"/>
  <c r="KM19"/>
  <c r="KL19"/>
  <c r="KK19"/>
  <c r="KJ19"/>
  <c r="KF19"/>
  <c r="KE19"/>
  <c r="KD19"/>
  <c r="KC19"/>
  <c r="KM18"/>
  <c r="KL18"/>
  <c r="KK18"/>
  <c r="KJ18"/>
  <c r="KF18"/>
  <c r="KE18"/>
  <c r="KD18"/>
  <c r="KC18"/>
  <c r="KM17"/>
  <c r="KL17"/>
  <c r="KK17"/>
  <c r="KJ17"/>
  <c r="KF17"/>
  <c r="KE17"/>
  <c r="KD17"/>
  <c r="KC17"/>
  <c r="KM16"/>
  <c r="KL16"/>
  <c r="KK16"/>
  <c r="KJ16"/>
  <c r="KF16"/>
  <c r="KE16"/>
  <c r="KD16"/>
  <c r="KC16"/>
  <c r="KM15"/>
  <c r="KL15"/>
  <c r="KK15"/>
  <c r="KJ15"/>
  <c r="KF15"/>
  <c r="KE15"/>
  <c r="KD15"/>
  <c r="KC15"/>
  <c r="KM14"/>
  <c r="KL14"/>
  <c r="KK14"/>
  <c r="KJ14"/>
  <c r="KF14"/>
  <c r="KE14"/>
  <c r="KD14"/>
  <c r="KC14"/>
  <c r="KM13"/>
  <c r="KL13"/>
  <c r="KK13"/>
  <c r="KJ13"/>
  <c r="KF13"/>
  <c r="KE13"/>
  <c r="KD13"/>
  <c r="KC13"/>
  <c r="KM12"/>
  <c r="KL12"/>
  <c r="KK12"/>
  <c r="KJ12"/>
  <c r="KF12"/>
  <c r="KE12"/>
  <c r="KD12"/>
  <c r="KC12"/>
  <c r="KM11"/>
  <c r="KL11"/>
  <c r="KK11"/>
  <c r="KJ11"/>
  <c r="KF11"/>
  <c r="KE11"/>
  <c r="KD11"/>
  <c r="KC11"/>
  <c r="KM10"/>
  <c r="KL10"/>
  <c r="KK10"/>
  <c r="KJ10"/>
  <c r="KF10"/>
  <c r="KE10"/>
  <c r="KD10"/>
  <c r="KC10"/>
  <c r="KM9"/>
  <c r="KL9"/>
  <c r="KK9"/>
  <c r="KJ9"/>
  <c r="KF9"/>
  <c r="KE9"/>
  <c r="KD9"/>
  <c r="KC9"/>
  <c r="KM8"/>
  <c r="KL8"/>
  <c r="KK8"/>
  <c r="KJ8"/>
  <c r="KF8"/>
  <c r="KE8"/>
  <c r="KD8"/>
  <c r="KC8"/>
  <c r="KM7"/>
  <c r="KL7"/>
  <c r="KK7"/>
  <c r="KJ7"/>
  <c r="KF7"/>
  <c r="KE7"/>
  <c r="KD7"/>
  <c r="KC7"/>
  <c r="KM6"/>
  <c r="KL6"/>
  <c r="KK6"/>
  <c r="KJ6"/>
  <c r="KF6"/>
  <c r="KE6"/>
  <c r="KD6"/>
  <c r="KC6"/>
  <c r="KM5"/>
  <c r="KL5"/>
  <c r="KK5"/>
  <c r="KJ5"/>
  <c r="KE5"/>
  <c r="KD5"/>
  <c r="KC5"/>
  <c r="JT6"/>
  <c r="JU6"/>
  <c r="JV6"/>
  <c r="JT7"/>
  <c r="JU7"/>
  <c r="JV7"/>
  <c r="JT8"/>
  <c r="JU8"/>
  <c r="JV8"/>
  <c r="JT9"/>
  <c r="JU9"/>
  <c r="JV9"/>
  <c r="JT10"/>
  <c r="JU10"/>
  <c r="JV10"/>
  <c r="JT11"/>
  <c r="JU11"/>
  <c r="JV11"/>
  <c r="JT12"/>
  <c r="JU12"/>
  <c r="JV12"/>
  <c r="JT13"/>
  <c r="JU13"/>
  <c r="JV13"/>
  <c r="JT14"/>
  <c r="JU14"/>
  <c r="JV14"/>
  <c r="JT15"/>
  <c r="JU15"/>
  <c r="JV15"/>
  <c r="JT16"/>
  <c r="JU16"/>
  <c r="JV16"/>
  <c r="JT17"/>
  <c r="JU17"/>
  <c r="JV17"/>
  <c r="JT18"/>
  <c r="JU18"/>
  <c r="JV18"/>
  <c r="JT19"/>
  <c r="JU19"/>
  <c r="JV19"/>
  <c r="JT20"/>
  <c r="JU20"/>
  <c r="JV20"/>
  <c r="JT21"/>
  <c r="JU21"/>
  <c r="JV21"/>
  <c r="JT22"/>
  <c r="JU22"/>
  <c r="JV22"/>
  <c r="JT23"/>
  <c r="JU23"/>
  <c r="JV23"/>
  <c r="JT24"/>
  <c r="JU24"/>
  <c r="JV24"/>
  <c r="JT25"/>
  <c r="JU25"/>
  <c r="JV25"/>
  <c r="JT26"/>
  <c r="JU26"/>
  <c r="JV26"/>
  <c r="JT27"/>
  <c r="JU27"/>
  <c r="JV27"/>
  <c r="JT28"/>
  <c r="JU28"/>
  <c r="JV28"/>
  <c r="JT29"/>
  <c r="JU29"/>
  <c r="JV29"/>
  <c r="JT30"/>
  <c r="JU30"/>
  <c r="JV30"/>
  <c r="JT31"/>
  <c r="JU31"/>
  <c r="JV31"/>
  <c r="JT32"/>
  <c r="JU32"/>
  <c r="JV32"/>
  <c r="JT33"/>
  <c r="JU33"/>
  <c r="JV33"/>
  <c r="JT34"/>
  <c r="JU34"/>
  <c r="JV34"/>
  <c r="JT35"/>
  <c r="JU35"/>
  <c r="JV35"/>
  <c r="JT36"/>
  <c r="JU36"/>
  <c r="JV36"/>
  <c r="JT37"/>
  <c r="JU37"/>
  <c r="JV37"/>
  <c r="JT38"/>
  <c r="JU38"/>
  <c r="JV38"/>
  <c r="JT39"/>
  <c r="JU39"/>
  <c r="JV39"/>
  <c r="JT40"/>
  <c r="JU40"/>
  <c r="JV40"/>
  <c r="JT41"/>
  <c r="JU41"/>
  <c r="JV41"/>
  <c r="JT42"/>
  <c r="JU42"/>
  <c r="JV42"/>
  <c r="JT43"/>
  <c r="JU43"/>
  <c r="JV43"/>
  <c r="JT44"/>
  <c r="JU44"/>
  <c r="JV44"/>
  <c r="JT45"/>
  <c r="JU45"/>
  <c r="JV45"/>
  <c r="JT46"/>
  <c r="JU46"/>
  <c r="JV46"/>
  <c r="JT47"/>
  <c r="JU47"/>
  <c r="JV47"/>
  <c r="JT48"/>
  <c r="JU48"/>
  <c r="JV48"/>
  <c r="JT49"/>
  <c r="JU49"/>
  <c r="JV49"/>
  <c r="JT50"/>
  <c r="JU50"/>
  <c r="JV50"/>
  <c r="JT51"/>
  <c r="JU51"/>
  <c r="JV51"/>
  <c r="JT52"/>
  <c r="JU52"/>
  <c r="JV52"/>
  <c r="JT53"/>
  <c r="JU53"/>
  <c r="JV53"/>
  <c r="JT54"/>
  <c r="JU54"/>
  <c r="JV54"/>
  <c r="JT55"/>
  <c r="JU55"/>
  <c r="JV55"/>
  <c r="JT56"/>
  <c r="JU56"/>
  <c r="JV56"/>
  <c r="JT57"/>
  <c r="JU57"/>
  <c r="JV57"/>
  <c r="JT58"/>
  <c r="JU58"/>
  <c r="JV58"/>
  <c r="JT59"/>
  <c r="JU59"/>
  <c r="JV59"/>
  <c r="JT60"/>
  <c r="JU60"/>
  <c r="JV60"/>
  <c r="JT61"/>
  <c r="JU61"/>
  <c r="JV61"/>
  <c r="JT62"/>
  <c r="JU62"/>
  <c r="JV62"/>
  <c r="JT63"/>
  <c r="JU63"/>
  <c r="JV63"/>
  <c r="JT64"/>
  <c r="JU64"/>
  <c r="JV64"/>
  <c r="JT65"/>
  <c r="JU65"/>
  <c r="JV65"/>
  <c r="JT66"/>
  <c r="JU66"/>
  <c r="JV66"/>
  <c r="JT67"/>
  <c r="JU67"/>
  <c r="JV67"/>
  <c r="JT68"/>
  <c r="JU68"/>
  <c r="JV68"/>
  <c r="JT69"/>
  <c r="JU69"/>
  <c r="JV69"/>
  <c r="JT70"/>
  <c r="JU70"/>
  <c r="JV70"/>
  <c r="JT71"/>
  <c r="JU71"/>
  <c r="JV71"/>
  <c r="JT72"/>
  <c r="JU72"/>
  <c r="JV72"/>
  <c r="JT73"/>
  <c r="JU73"/>
  <c r="JV73"/>
  <c r="JT74"/>
  <c r="JU74"/>
  <c r="JV74"/>
  <c r="JT75"/>
  <c r="JU75"/>
  <c r="JV75"/>
  <c r="JT76"/>
  <c r="JU76"/>
  <c r="JV76"/>
  <c r="JT77"/>
  <c r="JU77"/>
  <c r="JV77"/>
  <c r="JT78"/>
  <c r="JU78"/>
  <c r="JV78"/>
  <c r="JT79"/>
  <c r="JU79"/>
  <c r="JV79"/>
  <c r="JT80"/>
  <c r="JU80"/>
  <c r="JV80"/>
  <c r="JT81"/>
  <c r="JU81"/>
  <c r="JV81"/>
  <c r="JT82"/>
  <c r="JU82"/>
  <c r="JV82"/>
  <c r="JT83"/>
  <c r="JU83"/>
  <c r="JV83"/>
  <c r="JT84"/>
  <c r="JU84"/>
  <c r="JV84"/>
  <c r="JT85"/>
  <c r="JU85"/>
  <c r="JV85"/>
  <c r="JT86"/>
  <c r="JU86"/>
  <c r="JV86"/>
  <c r="JV5"/>
  <c r="JT5"/>
  <c r="JU5"/>
  <c r="JS5"/>
  <c r="JZ86"/>
  <c r="JY86"/>
  <c r="JX86"/>
  <c r="JW86"/>
  <c r="JS86"/>
  <c r="JR86"/>
  <c r="JQ86"/>
  <c r="JP86"/>
  <c r="JZ85"/>
  <c r="JY85"/>
  <c r="JX85"/>
  <c r="JW85"/>
  <c r="JS85"/>
  <c r="JR85"/>
  <c r="JQ85"/>
  <c r="JP85"/>
  <c r="JZ84"/>
  <c r="JY84"/>
  <c r="JX84"/>
  <c r="JW84"/>
  <c r="JS84"/>
  <c r="JR84"/>
  <c r="JQ84"/>
  <c r="JP84"/>
  <c r="JZ83"/>
  <c r="JY83"/>
  <c r="JX83"/>
  <c r="JW83"/>
  <c r="JS83"/>
  <c r="JR83"/>
  <c r="JQ83"/>
  <c r="JP83"/>
  <c r="JZ82"/>
  <c r="JY82"/>
  <c r="JX82"/>
  <c r="JW82"/>
  <c r="JS82"/>
  <c r="JR82"/>
  <c r="JQ82"/>
  <c r="JP82"/>
  <c r="JZ81"/>
  <c r="JY81"/>
  <c r="JX81"/>
  <c r="JW81"/>
  <c r="JS81"/>
  <c r="JR81"/>
  <c r="JQ81"/>
  <c r="JP81"/>
  <c r="JZ80"/>
  <c r="JY80"/>
  <c r="JX80"/>
  <c r="JW80"/>
  <c r="JS80"/>
  <c r="JR80"/>
  <c r="JQ80"/>
  <c r="JP80"/>
  <c r="JZ79"/>
  <c r="JY79"/>
  <c r="JX79"/>
  <c r="JW79"/>
  <c r="JS79"/>
  <c r="JR79"/>
  <c r="JQ79"/>
  <c r="JP79"/>
  <c r="JZ78"/>
  <c r="JY78"/>
  <c r="JX78"/>
  <c r="JW78"/>
  <c r="JS78"/>
  <c r="JR78"/>
  <c r="JQ78"/>
  <c r="JP78"/>
  <c r="JZ77"/>
  <c r="JY77"/>
  <c r="JX77"/>
  <c r="JW77"/>
  <c r="JS77"/>
  <c r="JR77"/>
  <c r="JQ77"/>
  <c r="JP77"/>
  <c r="JZ76"/>
  <c r="JY76"/>
  <c r="JX76"/>
  <c r="JW76"/>
  <c r="JS76"/>
  <c r="JR76"/>
  <c r="JQ76"/>
  <c r="JP76"/>
  <c r="JZ75"/>
  <c r="JY75"/>
  <c r="JX75"/>
  <c r="JW75"/>
  <c r="JS75"/>
  <c r="JR75"/>
  <c r="JQ75"/>
  <c r="JP75"/>
  <c r="JZ74"/>
  <c r="JY74"/>
  <c r="JX74"/>
  <c r="JW74"/>
  <c r="JS74"/>
  <c r="JR74"/>
  <c r="JQ74"/>
  <c r="JP74"/>
  <c r="JZ73"/>
  <c r="JY73"/>
  <c r="JX73"/>
  <c r="JW73"/>
  <c r="JS73"/>
  <c r="JR73"/>
  <c r="JQ73"/>
  <c r="JP73"/>
  <c r="JZ72"/>
  <c r="JY72"/>
  <c r="JX72"/>
  <c r="JW72"/>
  <c r="JS72"/>
  <c r="JR72"/>
  <c r="JQ72"/>
  <c r="JP72"/>
  <c r="JZ71"/>
  <c r="JY71"/>
  <c r="JX71"/>
  <c r="JW71"/>
  <c r="JS71"/>
  <c r="JR71"/>
  <c r="JQ71"/>
  <c r="JP71"/>
  <c r="JZ70"/>
  <c r="JY70"/>
  <c r="JX70"/>
  <c r="JW70"/>
  <c r="JS70"/>
  <c r="JR70"/>
  <c r="JQ70"/>
  <c r="JP70"/>
  <c r="JZ69"/>
  <c r="JY69"/>
  <c r="JX69"/>
  <c r="JW69"/>
  <c r="JS69"/>
  <c r="JR69"/>
  <c r="JQ69"/>
  <c r="JP69"/>
  <c r="JZ68"/>
  <c r="JY68"/>
  <c r="JX68"/>
  <c r="JW68"/>
  <c r="JS68"/>
  <c r="JR68"/>
  <c r="JQ68"/>
  <c r="JP68"/>
  <c r="JZ67"/>
  <c r="JY67"/>
  <c r="JX67"/>
  <c r="JW67"/>
  <c r="JS67"/>
  <c r="JR67"/>
  <c r="JQ67"/>
  <c r="JP67"/>
  <c r="JZ66"/>
  <c r="JY66"/>
  <c r="JX66"/>
  <c r="JW66"/>
  <c r="JS66"/>
  <c r="JR66"/>
  <c r="JQ66"/>
  <c r="JP66"/>
  <c r="JZ65"/>
  <c r="JY65"/>
  <c r="JX65"/>
  <c r="JW65"/>
  <c r="JS65"/>
  <c r="JR65"/>
  <c r="JQ65"/>
  <c r="JP65"/>
  <c r="JZ64"/>
  <c r="JY64"/>
  <c r="JX64"/>
  <c r="JW64"/>
  <c r="JS64"/>
  <c r="JR64"/>
  <c r="JQ64"/>
  <c r="JP64"/>
  <c r="JZ63"/>
  <c r="JY63"/>
  <c r="JX63"/>
  <c r="JW63"/>
  <c r="JS63"/>
  <c r="JR63"/>
  <c r="JQ63"/>
  <c r="JP63"/>
  <c r="JZ62"/>
  <c r="JY62"/>
  <c r="JX62"/>
  <c r="JW62"/>
  <c r="JS62"/>
  <c r="JR62"/>
  <c r="JQ62"/>
  <c r="JP62"/>
  <c r="JZ61"/>
  <c r="JY61"/>
  <c r="JX61"/>
  <c r="JW61"/>
  <c r="JS61"/>
  <c r="JR61"/>
  <c r="JQ61"/>
  <c r="JP61"/>
  <c r="JZ60"/>
  <c r="JY60"/>
  <c r="JX60"/>
  <c r="JW60"/>
  <c r="JS60"/>
  <c r="JR60"/>
  <c r="JQ60"/>
  <c r="JP60"/>
  <c r="JZ59"/>
  <c r="JY59"/>
  <c r="JX59"/>
  <c r="JW59"/>
  <c r="JS59"/>
  <c r="JR59"/>
  <c r="JQ59"/>
  <c r="JP59"/>
  <c r="JZ58"/>
  <c r="JY58"/>
  <c r="JX58"/>
  <c r="JW58"/>
  <c r="JS58"/>
  <c r="JR58"/>
  <c r="JQ58"/>
  <c r="JP58"/>
  <c r="JZ57"/>
  <c r="JY57"/>
  <c r="JX57"/>
  <c r="JW57"/>
  <c r="JS57"/>
  <c r="JR57"/>
  <c r="JQ57"/>
  <c r="JP57"/>
  <c r="JZ56"/>
  <c r="JY56"/>
  <c r="JX56"/>
  <c r="JW56"/>
  <c r="JS56"/>
  <c r="JR56"/>
  <c r="JQ56"/>
  <c r="JP56"/>
  <c r="JZ55"/>
  <c r="JY55"/>
  <c r="JX55"/>
  <c r="JW55"/>
  <c r="JS55"/>
  <c r="JR55"/>
  <c r="JQ55"/>
  <c r="JP55"/>
  <c r="JZ54"/>
  <c r="JY54"/>
  <c r="JX54"/>
  <c r="JW54"/>
  <c r="JS54"/>
  <c r="JR54"/>
  <c r="JQ54"/>
  <c r="JP54"/>
  <c r="JZ53"/>
  <c r="JY53"/>
  <c r="JX53"/>
  <c r="JW53"/>
  <c r="JS53"/>
  <c r="JR53"/>
  <c r="JQ53"/>
  <c r="JP53"/>
  <c r="JZ52"/>
  <c r="JY52"/>
  <c r="JX52"/>
  <c r="JW52"/>
  <c r="JS52"/>
  <c r="JR52"/>
  <c r="JQ52"/>
  <c r="JP52"/>
  <c r="JZ51"/>
  <c r="JY51"/>
  <c r="JX51"/>
  <c r="JW51"/>
  <c r="JS51"/>
  <c r="JR51"/>
  <c r="JQ51"/>
  <c r="JP51"/>
  <c r="JZ50"/>
  <c r="JY50"/>
  <c r="JX50"/>
  <c r="JW50"/>
  <c r="JS50"/>
  <c r="JR50"/>
  <c r="JQ50"/>
  <c r="JP50"/>
  <c r="JZ49"/>
  <c r="JY49"/>
  <c r="JX49"/>
  <c r="JW49"/>
  <c r="JS49"/>
  <c r="JR49"/>
  <c r="JQ49"/>
  <c r="JP49"/>
  <c r="JZ48"/>
  <c r="JY48"/>
  <c r="JX48"/>
  <c r="JW48"/>
  <c r="JS48"/>
  <c r="JR48"/>
  <c r="JQ48"/>
  <c r="JP48"/>
  <c r="JZ47"/>
  <c r="JY47"/>
  <c r="JX47"/>
  <c r="JW47"/>
  <c r="JS47"/>
  <c r="JR47"/>
  <c r="JQ47"/>
  <c r="JP47"/>
  <c r="JZ46"/>
  <c r="JY46"/>
  <c r="JX46"/>
  <c r="JW46"/>
  <c r="JS46"/>
  <c r="JR46"/>
  <c r="JQ46"/>
  <c r="JP46"/>
  <c r="JZ45"/>
  <c r="JY45"/>
  <c r="JX45"/>
  <c r="JW45"/>
  <c r="JS45"/>
  <c r="JR45"/>
  <c r="JQ45"/>
  <c r="JP45"/>
  <c r="JZ44"/>
  <c r="JY44"/>
  <c r="JX44"/>
  <c r="JW44"/>
  <c r="JS44"/>
  <c r="JR44"/>
  <c r="JQ44"/>
  <c r="JP44"/>
  <c r="JZ43"/>
  <c r="JY43"/>
  <c r="JX43"/>
  <c r="JW43"/>
  <c r="JS43"/>
  <c r="JR43"/>
  <c r="JQ43"/>
  <c r="JP43"/>
  <c r="JZ42"/>
  <c r="JY42"/>
  <c r="JX42"/>
  <c r="JW42"/>
  <c r="JS42"/>
  <c r="JR42"/>
  <c r="JQ42"/>
  <c r="JP42"/>
  <c r="JZ41"/>
  <c r="JY41"/>
  <c r="JX41"/>
  <c r="JW41"/>
  <c r="JS41"/>
  <c r="JR41"/>
  <c r="JQ41"/>
  <c r="JP41"/>
  <c r="JZ40"/>
  <c r="JY40"/>
  <c r="JX40"/>
  <c r="JW40"/>
  <c r="JS40"/>
  <c r="JR40"/>
  <c r="JQ40"/>
  <c r="JP40"/>
  <c r="JZ39"/>
  <c r="JY39"/>
  <c r="JX39"/>
  <c r="JW39"/>
  <c r="JS39"/>
  <c r="JR39"/>
  <c r="JQ39"/>
  <c r="JP39"/>
  <c r="JZ38"/>
  <c r="JY38"/>
  <c r="JX38"/>
  <c r="JW38"/>
  <c r="JS38"/>
  <c r="JR38"/>
  <c r="JQ38"/>
  <c r="JP38"/>
  <c r="JZ37"/>
  <c r="JY37"/>
  <c r="JX37"/>
  <c r="JW37"/>
  <c r="JS37"/>
  <c r="JR37"/>
  <c r="JQ37"/>
  <c r="JP37"/>
  <c r="JZ36"/>
  <c r="JY36"/>
  <c r="JX36"/>
  <c r="JW36"/>
  <c r="JS36"/>
  <c r="JR36"/>
  <c r="JQ36"/>
  <c r="JP36"/>
  <c r="JZ35"/>
  <c r="JY35"/>
  <c r="JX35"/>
  <c r="JW35"/>
  <c r="JS35"/>
  <c r="JR35"/>
  <c r="JQ35"/>
  <c r="JP35"/>
  <c r="JZ34"/>
  <c r="JY34"/>
  <c r="JX34"/>
  <c r="JW34"/>
  <c r="JS34"/>
  <c r="JR34"/>
  <c r="JQ34"/>
  <c r="JP34"/>
  <c r="JZ33"/>
  <c r="JY33"/>
  <c r="JX33"/>
  <c r="JW33"/>
  <c r="JS33"/>
  <c r="JR33"/>
  <c r="JQ33"/>
  <c r="JP33"/>
  <c r="JZ32"/>
  <c r="JY32"/>
  <c r="JX32"/>
  <c r="JW32"/>
  <c r="JS32"/>
  <c r="JR32"/>
  <c r="JQ32"/>
  <c r="JP32"/>
  <c r="JZ31"/>
  <c r="JY31"/>
  <c r="JX31"/>
  <c r="JW31"/>
  <c r="JS31"/>
  <c r="JR31"/>
  <c r="JQ31"/>
  <c r="JP31"/>
  <c r="JZ30"/>
  <c r="JY30"/>
  <c r="JX30"/>
  <c r="JW30"/>
  <c r="JS30"/>
  <c r="JR30"/>
  <c r="JQ30"/>
  <c r="JP30"/>
  <c r="JZ29"/>
  <c r="JY29"/>
  <c r="JX29"/>
  <c r="JW29"/>
  <c r="JS29"/>
  <c r="JR29"/>
  <c r="JQ29"/>
  <c r="JP29"/>
  <c r="JZ28"/>
  <c r="JY28"/>
  <c r="JX28"/>
  <c r="JW28"/>
  <c r="JS28"/>
  <c r="JR28"/>
  <c r="JQ28"/>
  <c r="JP28"/>
  <c r="JZ27"/>
  <c r="JY27"/>
  <c r="JX27"/>
  <c r="JW27"/>
  <c r="JS27"/>
  <c r="JR27"/>
  <c r="JQ27"/>
  <c r="JP27"/>
  <c r="JZ26"/>
  <c r="JY26"/>
  <c r="JX26"/>
  <c r="JW26"/>
  <c r="JS26"/>
  <c r="JR26"/>
  <c r="JQ26"/>
  <c r="JP26"/>
  <c r="JZ25"/>
  <c r="JY25"/>
  <c r="JX25"/>
  <c r="JW25"/>
  <c r="JS25"/>
  <c r="JR25"/>
  <c r="JQ25"/>
  <c r="JP25"/>
  <c r="JZ24"/>
  <c r="JY24"/>
  <c r="JX24"/>
  <c r="JW24"/>
  <c r="JS24"/>
  <c r="JR24"/>
  <c r="JQ24"/>
  <c r="JP24"/>
  <c r="JZ23"/>
  <c r="JY23"/>
  <c r="JX23"/>
  <c r="JW23"/>
  <c r="JS23"/>
  <c r="JR23"/>
  <c r="JQ23"/>
  <c r="JP23"/>
  <c r="JZ22"/>
  <c r="JY22"/>
  <c r="JX22"/>
  <c r="JW22"/>
  <c r="JS22"/>
  <c r="JR22"/>
  <c r="JQ22"/>
  <c r="JP22"/>
  <c r="JZ21"/>
  <c r="JY21"/>
  <c r="JX21"/>
  <c r="JW21"/>
  <c r="JS21"/>
  <c r="JR21"/>
  <c r="JQ21"/>
  <c r="JP21"/>
  <c r="JZ20"/>
  <c r="JY20"/>
  <c r="JX20"/>
  <c r="JW20"/>
  <c r="JS20"/>
  <c r="JR20"/>
  <c r="JQ20"/>
  <c r="JP20"/>
  <c r="JZ19"/>
  <c r="JY19"/>
  <c r="JX19"/>
  <c r="JW19"/>
  <c r="JS19"/>
  <c r="JR19"/>
  <c r="JQ19"/>
  <c r="JP19"/>
  <c r="JZ18"/>
  <c r="JY18"/>
  <c r="JX18"/>
  <c r="JW18"/>
  <c r="JS18"/>
  <c r="JR18"/>
  <c r="JQ18"/>
  <c r="JP18"/>
  <c r="JZ17"/>
  <c r="JY17"/>
  <c r="JX17"/>
  <c r="JW17"/>
  <c r="JS17"/>
  <c r="JR17"/>
  <c r="JQ17"/>
  <c r="JP17"/>
  <c r="JZ16"/>
  <c r="JY16"/>
  <c r="JX16"/>
  <c r="JW16"/>
  <c r="JS16"/>
  <c r="JR16"/>
  <c r="JQ16"/>
  <c r="JP16"/>
  <c r="JZ15"/>
  <c r="JY15"/>
  <c r="JX15"/>
  <c r="JW15"/>
  <c r="JS15"/>
  <c r="JR15"/>
  <c r="JQ15"/>
  <c r="JP15"/>
  <c r="JZ14"/>
  <c r="JY14"/>
  <c r="JX14"/>
  <c r="JW14"/>
  <c r="JS14"/>
  <c r="JR14"/>
  <c r="JQ14"/>
  <c r="JP14"/>
  <c r="JZ13"/>
  <c r="JY13"/>
  <c r="JX13"/>
  <c r="JW13"/>
  <c r="JS13"/>
  <c r="JR13"/>
  <c r="JQ13"/>
  <c r="JP13"/>
  <c r="JZ12"/>
  <c r="JY12"/>
  <c r="JX12"/>
  <c r="JW12"/>
  <c r="JS12"/>
  <c r="JR12"/>
  <c r="JQ12"/>
  <c r="JP12"/>
  <c r="JZ11"/>
  <c r="JY11"/>
  <c r="JX11"/>
  <c r="JW11"/>
  <c r="JS11"/>
  <c r="JR11"/>
  <c r="JQ11"/>
  <c r="JP11"/>
  <c r="JZ10"/>
  <c r="JY10"/>
  <c r="JX10"/>
  <c r="JW10"/>
  <c r="JS10"/>
  <c r="JR10"/>
  <c r="JQ10"/>
  <c r="JP10"/>
  <c r="JZ9"/>
  <c r="JY9"/>
  <c r="JX9"/>
  <c r="JW9"/>
  <c r="JS9"/>
  <c r="JR9"/>
  <c r="JQ9"/>
  <c r="JP9"/>
  <c r="JZ8"/>
  <c r="JY8"/>
  <c r="JX8"/>
  <c r="JW8"/>
  <c r="JS8"/>
  <c r="JR8"/>
  <c r="JQ8"/>
  <c r="JP8"/>
  <c r="JZ7"/>
  <c r="JY7"/>
  <c r="JX7"/>
  <c r="JW7"/>
  <c r="JS7"/>
  <c r="JR7"/>
  <c r="JQ7"/>
  <c r="JP7"/>
  <c r="JZ6"/>
  <c r="JY6"/>
  <c r="JX6"/>
  <c r="JW6"/>
  <c r="JS6"/>
  <c r="JR6"/>
  <c r="JQ6"/>
  <c r="JP6"/>
  <c r="JZ5"/>
  <c r="JY5"/>
  <c r="JX5"/>
  <c r="JW5"/>
  <c r="JR5"/>
  <c r="JQ5"/>
  <c r="JP5"/>
  <c r="JG6"/>
  <c r="JH6"/>
  <c r="JI6"/>
  <c r="JG7"/>
  <c r="JH7"/>
  <c r="JI7"/>
  <c r="JG8"/>
  <c r="JH8"/>
  <c r="JI8"/>
  <c r="JG9"/>
  <c r="JH9"/>
  <c r="JI9"/>
  <c r="JG10"/>
  <c r="JH10"/>
  <c r="JI10"/>
  <c r="JG11"/>
  <c r="JH11"/>
  <c r="JI11"/>
  <c r="JG12"/>
  <c r="JH12"/>
  <c r="JI12"/>
  <c r="JG13"/>
  <c r="JH13"/>
  <c r="JI13"/>
  <c r="JG14"/>
  <c r="JH14"/>
  <c r="JI14"/>
  <c r="JG15"/>
  <c r="JH15"/>
  <c r="JI15"/>
  <c r="JG16"/>
  <c r="JH16"/>
  <c r="JI16"/>
  <c r="JG17"/>
  <c r="JH17"/>
  <c r="JI17"/>
  <c r="JG18"/>
  <c r="JH18"/>
  <c r="JI18"/>
  <c r="JG19"/>
  <c r="JH19"/>
  <c r="JI19"/>
  <c r="JG20"/>
  <c r="JH20"/>
  <c r="JI20"/>
  <c r="JG21"/>
  <c r="JH21"/>
  <c r="JI21"/>
  <c r="JG22"/>
  <c r="JH22"/>
  <c r="JI22"/>
  <c r="JG23"/>
  <c r="JH23"/>
  <c r="JI23"/>
  <c r="JG24"/>
  <c r="JH24"/>
  <c r="JI24"/>
  <c r="JG25"/>
  <c r="JH25"/>
  <c r="JI25"/>
  <c r="JG26"/>
  <c r="JH26"/>
  <c r="JI26"/>
  <c r="JG27"/>
  <c r="JH27"/>
  <c r="JI27"/>
  <c r="JG28"/>
  <c r="JH28"/>
  <c r="JI28"/>
  <c r="JG29"/>
  <c r="JH29"/>
  <c r="JI29"/>
  <c r="JG30"/>
  <c r="JH30"/>
  <c r="JI30"/>
  <c r="JG31"/>
  <c r="JH31"/>
  <c r="JI31"/>
  <c r="JG32"/>
  <c r="JH32"/>
  <c r="JI32"/>
  <c r="JG33"/>
  <c r="JH33"/>
  <c r="JI33"/>
  <c r="JG34"/>
  <c r="JH34"/>
  <c r="JI34"/>
  <c r="JG35"/>
  <c r="JH35"/>
  <c r="JI35"/>
  <c r="JG36"/>
  <c r="JH36"/>
  <c r="JI36"/>
  <c r="JG37"/>
  <c r="JH37"/>
  <c r="JI37"/>
  <c r="JG38"/>
  <c r="JH38"/>
  <c r="JI38"/>
  <c r="JG39"/>
  <c r="JH39"/>
  <c r="JI39"/>
  <c r="JG40"/>
  <c r="JH40"/>
  <c r="JI40"/>
  <c r="JG41"/>
  <c r="JH41"/>
  <c r="JI41"/>
  <c r="JG42"/>
  <c r="JH42"/>
  <c r="JI42"/>
  <c r="JG43"/>
  <c r="JH43"/>
  <c r="JI43"/>
  <c r="JG44"/>
  <c r="JH44"/>
  <c r="JI44"/>
  <c r="JG45"/>
  <c r="JH45"/>
  <c r="JI45"/>
  <c r="JG46"/>
  <c r="JH46"/>
  <c r="JI46"/>
  <c r="JG47"/>
  <c r="JH47"/>
  <c r="JI47"/>
  <c r="JG48"/>
  <c r="JH48"/>
  <c r="JI48"/>
  <c r="JG49"/>
  <c r="JH49"/>
  <c r="JI49"/>
  <c r="JG50"/>
  <c r="JH50"/>
  <c r="JI50"/>
  <c r="JG51"/>
  <c r="JH51"/>
  <c r="JI51"/>
  <c r="JG52"/>
  <c r="JH52"/>
  <c r="JI52"/>
  <c r="JG53"/>
  <c r="JH53"/>
  <c r="JI53"/>
  <c r="JG54"/>
  <c r="JH54"/>
  <c r="JI54"/>
  <c r="JG55"/>
  <c r="JH55"/>
  <c r="JI55"/>
  <c r="JG56"/>
  <c r="JH56"/>
  <c r="JI56"/>
  <c r="JG57"/>
  <c r="JH57"/>
  <c r="JI57"/>
  <c r="JG58"/>
  <c r="JH58"/>
  <c r="JI58"/>
  <c r="JG59"/>
  <c r="JH59"/>
  <c r="JI59"/>
  <c r="JG60"/>
  <c r="JH60"/>
  <c r="JI60"/>
  <c r="JG61"/>
  <c r="JH61"/>
  <c r="JI61"/>
  <c r="JG62"/>
  <c r="JH62"/>
  <c r="JI62"/>
  <c r="JG63"/>
  <c r="JH63"/>
  <c r="JI63"/>
  <c r="JG64"/>
  <c r="JH64"/>
  <c r="JI64"/>
  <c r="JG65"/>
  <c r="JH65"/>
  <c r="JI65"/>
  <c r="JG66"/>
  <c r="JH66"/>
  <c r="JI66"/>
  <c r="JG67"/>
  <c r="JH67"/>
  <c r="JI67"/>
  <c r="JG68"/>
  <c r="JH68"/>
  <c r="JI68"/>
  <c r="JG69"/>
  <c r="JH69"/>
  <c r="JI69"/>
  <c r="JG70"/>
  <c r="JH70"/>
  <c r="JI70"/>
  <c r="JI5"/>
  <c r="JG5"/>
  <c r="JH5"/>
  <c r="JF5"/>
  <c r="JM70"/>
  <c r="JL70"/>
  <c r="JK70"/>
  <c r="JJ70"/>
  <c r="JF70"/>
  <c r="JE70"/>
  <c r="JD70"/>
  <c r="JC70"/>
  <c r="JM69"/>
  <c r="JL69"/>
  <c r="JK69"/>
  <c r="JJ69"/>
  <c r="JF69"/>
  <c r="JE69"/>
  <c r="JD69"/>
  <c r="JC69"/>
  <c r="JM68"/>
  <c r="JL68"/>
  <c r="JK68"/>
  <c r="JJ68"/>
  <c r="JF68"/>
  <c r="JE68"/>
  <c r="JD68"/>
  <c r="JC68"/>
  <c r="JM67"/>
  <c r="JL67"/>
  <c r="JK67"/>
  <c r="JJ67"/>
  <c r="JF67"/>
  <c r="JE67"/>
  <c r="JD67"/>
  <c r="JC67"/>
  <c r="JM66"/>
  <c r="JL66"/>
  <c r="JK66"/>
  <c r="JJ66"/>
  <c r="JF66"/>
  <c r="JE66"/>
  <c r="JD66"/>
  <c r="JC66"/>
  <c r="JM65"/>
  <c r="JL65"/>
  <c r="JK65"/>
  <c r="JJ65"/>
  <c r="JF65"/>
  <c r="JE65"/>
  <c r="JD65"/>
  <c r="JC65"/>
  <c r="JM64"/>
  <c r="JL64"/>
  <c r="JK64"/>
  <c r="JJ64"/>
  <c r="JF64"/>
  <c r="JE64"/>
  <c r="JD64"/>
  <c r="JC64"/>
  <c r="JM63"/>
  <c r="JL63"/>
  <c r="JK63"/>
  <c r="JJ63"/>
  <c r="JF63"/>
  <c r="JE63"/>
  <c r="JD63"/>
  <c r="JC63"/>
  <c r="JM62"/>
  <c r="JL62"/>
  <c r="JK62"/>
  <c r="JJ62"/>
  <c r="JF62"/>
  <c r="JE62"/>
  <c r="JD62"/>
  <c r="JC62"/>
  <c r="JM61"/>
  <c r="JL61"/>
  <c r="JK61"/>
  <c r="JJ61"/>
  <c r="JF61"/>
  <c r="JE61"/>
  <c r="JD61"/>
  <c r="JC61"/>
  <c r="JM60"/>
  <c r="JL60"/>
  <c r="JK60"/>
  <c r="JJ60"/>
  <c r="JF60"/>
  <c r="JE60"/>
  <c r="JD60"/>
  <c r="JC60"/>
  <c r="JM59"/>
  <c r="JL59"/>
  <c r="JK59"/>
  <c r="JJ59"/>
  <c r="JF59"/>
  <c r="JE59"/>
  <c r="JD59"/>
  <c r="JC59"/>
  <c r="JM58"/>
  <c r="JL58"/>
  <c r="JK58"/>
  <c r="JJ58"/>
  <c r="JF58"/>
  <c r="JE58"/>
  <c r="JD58"/>
  <c r="JC58"/>
  <c r="JM57"/>
  <c r="JL57"/>
  <c r="JK57"/>
  <c r="JJ57"/>
  <c r="JF57"/>
  <c r="JE57"/>
  <c r="JD57"/>
  <c r="JC57"/>
  <c r="JM56"/>
  <c r="JL56"/>
  <c r="JK56"/>
  <c r="JJ56"/>
  <c r="JF56"/>
  <c r="JE56"/>
  <c r="JD56"/>
  <c r="JC56"/>
  <c r="JM55"/>
  <c r="JL55"/>
  <c r="JK55"/>
  <c r="JJ55"/>
  <c r="JF55"/>
  <c r="JE55"/>
  <c r="JD55"/>
  <c r="JC55"/>
  <c r="JM54"/>
  <c r="JL54"/>
  <c r="JK54"/>
  <c r="JJ54"/>
  <c r="JF54"/>
  <c r="JE54"/>
  <c r="JD54"/>
  <c r="JC54"/>
  <c r="JM53"/>
  <c r="JL53"/>
  <c r="JK53"/>
  <c r="JJ53"/>
  <c r="JF53"/>
  <c r="JE53"/>
  <c r="JD53"/>
  <c r="JC53"/>
  <c r="JM52"/>
  <c r="JL52"/>
  <c r="JK52"/>
  <c r="JJ52"/>
  <c r="JF52"/>
  <c r="JE52"/>
  <c r="JD52"/>
  <c r="JC52"/>
  <c r="JM51"/>
  <c r="JL51"/>
  <c r="JK51"/>
  <c r="JJ51"/>
  <c r="JF51"/>
  <c r="JE51"/>
  <c r="JD51"/>
  <c r="JC51"/>
  <c r="JM50"/>
  <c r="JL50"/>
  <c r="JK50"/>
  <c r="JJ50"/>
  <c r="JF50"/>
  <c r="JE50"/>
  <c r="JD50"/>
  <c r="JC50"/>
  <c r="JM49"/>
  <c r="JL49"/>
  <c r="JK49"/>
  <c r="JJ49"/>
  <c r="JF49"/>
  <c r="JE49"/>
  <c r="JD49"/>
  <c r="JC49"/>
  <c r="JM48"/>
  <c r="JL48"/>
  <c r="JK48"/>
  <c r="JJ48"/>
  <c r="JF48"/>
  <c r="JE48"/>
  <c r="JD48"/>
  <c r="JC48"/>
  <c r="JM47"/>
  <c r="JL47"/>
  <c r="JK47"/>
  <c r="JJ47"/>
  <c r="JF47"/>
  <c r="JE47"/>
  <c r="JD47"/>
  <c r="JC47"/>
  <c r="JM46"/>
  <c r="JL46"/>
  <c r="JK46"/>
  <c r="JJ46"/>
  <c r="JF46"/>
  <c r="JE46"/>
  <c r="JD46"/>
  <c r="JC46"/>
  <c r="JM45"/>
  <c r="JL45"/>
  <c r="JK45"/>
  <c r="JJ45"/>
  <c r="JF45"/>
  <c r="JE45"/>
  <c r="JD45"/>
  <c r="JC45"/>
  <c r="JM44"/>
  <c r="JL44"/>
  <c r="JK44"/>
  <c r="JJ44"/>
  <c r="JF44"/>
  <c r="JE44"/>
  <c r="JD44"/>
  <c r="JC44"/>
  <c r="JM43"/>
  <c r="JL43"/>
  <c r="JK43"/>
  <c r="JJ43"/>
  <c r="JF43"/>
  <c r="JE43"/>
  <c r="JD43"/>
  <c r="JC43"/>
  <c r="JM42"/>
  <c r="JL42"/>
  <c r="JK42"/>
  <c r="JJ42"/>
  <c r="JF42"/>
  <c r="JE42"/>
  <c r="JD42"/>
  <c r="JC42"/>
  <c r="JM41"/>
  <c r="JL41"/>
  <c r="JK41"/>
  <c r="JJ41"/>
  <c r="JF41"/>
  <c r="JE41"/>
  <c r="JD41"/>
  <c r="JC41"/>
  <c r="JM40"/>
  <c r="JL40"/>
  <c r="JK40"/>
  <c r="JJ40"/>
  <c r="JF40"/>
  <c r="JE40"/>
  <c r="JD40"/>
  <c r="JC40"/>
  <c r="JM39"/>
  <c r="JL39"/>
  <c r="JK39"/>
  <c r="JJ39"/>
  <c r="JF39"/>
  <c r="JE39"/>
  <c r="JD39"/>
  <c r="JC39"/>
  <c r="JM38"/>
  <c r="JL38"/>
  <c r="JK38"/>
  <c r="JJ38"/>
  <c r="JF38"/>
  <c r="JE38"/>
  <c r="JD38"/>
  <c r="JC38"/>
  <c r="JM37"/>
  <c r="JL37"/>
  <c r="JK37"/>
  <c r="JJ37"/>
  <c r="JF37"/>
  <c r="JE37"/>
  <c r="JD37"/>
  <c r="JC37"/>
  <c r="JM36"/>
  <c r="JL36"/>
  <c r="JK36"/>
  <c r="JJ36"/>
  <c r="JF36"/>
  <c r="JE36"/>
  <c r="JD36"/>
  <c r="JC36"/>
  <c r="JM35"/>
  <c r="JL35"/>
  <c r="JK35"/>
  <c r="JJ35"/>
  <c r="JF35"/>
  <c r="JE35"/>
  <c r="JD35"/>
  <c r="JC35"/>
  <c r="JM34"/>
  <c r="JL34"/>
  <c r="JK34"/>
  <c r="JJ34"/>
  <c r="JF34"/>
  <c r="JE34"/>
  <c r="JD34"/>
  <c r="JC34"/>
  <c r="JM33"/>
  <c r="JL33"/>
  <c r="JK33"/>
  <c r="JJ33"/>
  <c r="JF33"/>
  <c r="JE33"/>
  <c r="JD33"/>
  <c r="JC33"/>
  <c r="JM32"/>
  <c r="JL32"/>
  <c r="JK32"/>
  <c r="JJ32"/>
  <c r="JF32"/>
  <c r="JE32"/>
  <c r="JD32"/>
  <c r="JC32"/>
  <c r="JM31"/>
  <c r="JL31"/>
  <c r="JK31"/>
  <c r="JJ31"/>
  <c r="JF31"/>
  <c r="JE31"/>
  <c r="JD31"/>
  <c r="JC31"/>
  <c r="JM30"/>
  <c r="JL30"/>
  <c r="JK30"/>
  <c r="JJ30"/>
  <c r="JF30"/>
  <c r="JE30"/>
  <c r="JD30"/>
  <c r="JC30"/>
  <c r="JM29"/>
  <c r="JL29"/>
  <c r="JK29"/>
  <c r="JJ29"/>
  <c r="JF29"/>
  <c r="JE29"/>
  <c r="JD29"/>
  <c r="JC29"/>
  <c r="JM28"/>
  <c r="JL28"/>
  <c r="JK28"/>
  <c r="JJ28"/>
  <c r="JF28"/>
  <c r="JE28"/>
  <c r="JD28"/>
  <c r="JC28"/>
  <c r="JM27"/>
  <c r="JL27"/>
  <c r="JK27"/>
  <c r="JJ27"/>
  <c r="JF27"/>
  <c r="JE27"/>
  <c r="JD27"/>
  <c r="JC27"/>
  <c r="JM26"/>
  <c r="JL26"/>
  <c r="JK26"/>
  <c r="JJ26"/>
  <c r="JF26"/>
  <c r="JE26"/>
  <c r="JD26"/>
  <c r="JC26"/>
  <c r="JM25"/>
  <c r="JL25"/>
  <c r="JK25"/>
  <c r="JJ25"/>
  <c r="JF25"/>
  <c r="JE25"/>
  <c r="JD25"/>
  <c r="JC25"/>
  <c r="JM24"/>
  <c r="JL24"/>
  <c r="JK24"/>
  <c r="JJ24"/>
  <c r="JF24"/>
  <c r="JE24"/>
  <c r="JD24"/>
  <c r="JC24"/>
  <c r="JM23"/>
  <c r="JL23"/>
  <c r="JK23"/>
  <c r="JJ23"/>
  <c r="JF23"/>
  <c r="JE23"/>
  <c r="JD23"/>
  <c r="JC23"/>
  <c r="JM22"/>
  <c r="JL22"/>
  <c r="JK22"/>
  <c r="JJ22"/>
  <c r="JF22"/>
  <c r="JE22"/>
  <c r="JD22"/>
  <c r="JC22"/>
  <c r="JM21"/>
  <c r="JL21"/>
  <c r="JK21"/>
  <c r="JJ21"/>
  <c r="JF21"/>
  <c r="JE21"/>
  <c r="JD21"/>
  <c r="JC21"/>
  <c r="JM20"/>
  <c r="JL20"/>
  <c r="JK20"/>
  <c r="JJ20"/>
  <c r="JF20"/>
  <c r="JE20"/>
  <c r="JD20"/>
  <c r="JC20"/>
  <c r="JM19"/>
  <c r="JL19"/>
  <c r="JK19"/>
  <c r="JJ19"/>
  <c r="JF19"/>
  <c r="JE19"/>
  <c r="JD19"/>
  <c r="JC19"/>
  <c r="JM18"/>
  <c r="JL18"/>
  <c r="JK18"/>
  <c r="JJ18"/>
  <c r="JF18"/>
  <c r="JE18"/>
  <c r="JD18"/>
  <c r="JC18"/>
  <c r="JM17"/>
  <c r="JL17"/>
  <c r="JK17"/>
  <c r="JJ17"/>
  <c r="JF17"/>
  <c r="JE17"/>
  <c r="JD17"/>
  <c r="JC17"/>
  <c r="JM16"/>
  <c r="JL16"/>
  <c r="JK16"/>
  <c r="JJ16"/>
  <c r="JF16"/>
  <c r="JE16"/>
  <c r="JD16"/>
  <c r="JC16"/>
  <c r="JM15"/>
  <c r="JL15"/>
  <c r="JK15"/>
  <c r="JJ15"/>
  <c r="JF15"/>
  <c r="JE15"/>
  <c r="JD15"/>
  <c r="JC15"/>
  <c r="JM14"/>
  <c r="JL14"/>
  <c r="JK14"/>
  <c r="JJ14"/>
  <c r="JF14"/>
  <c r="JE14"/>
  <c r="JD14"/>
  <c r="JC14"/>
  <c r="JM13"/>
  <c r="JL13"/>
  <c r="JK13"/>
  <c r="JJ13"/>
  <c r="JF13"/>
  <c r="JE13"/>
  <c r="JD13"/>
  <c r="JC13"/>
  <c r="JM12"/>
  <c r="JL12"/>
  <c r="JK12"/>
  <c r="JJ12"/>
  <c r="JF12"/>
  <c r="JE12"/>
  <c r="JD12"/>
  <c r="JC12"/>
  <c r="JM11"/>
  <c r="JL11"/>
  <c r="JK11"/>
  <c r="JJ11"/>
  <c r="JF11"/>
  <c r="JE11"/>
  <c r="JD11"/>
  <c r="JC11"/>
  <c r="JM10"/>
  <c r="JL10"/>
  <c r="JK10"/>
  <c r="JJ10"/>
  <c r="JF10"/>
  <c r="JE10"/>
  <c r="JD10"/>
  <c r="JC10"/>
  <c r="JM9"/>
  <c r="JL9"/>
  <c r="JK9"/>
  <c r="JJ9"/>
  <c r="JF9"/>
  <c r="JE9"/>
  <c r="JD9"/>
  <c r="JC9"/>
  <c r="JM8"/>
  <c r="JL8"/>
  <c r="JK8"/>
  <c r="JJ8"/>
  <c r="JF8"/>
  <c r="JE8"/>
  <c r="JD8"/>
  <c r="JC8"/>
  <c r="JM7"/>
  <c r="JL7"/>
  <c r="JK7"/>
  <c r="JJ7"/>
  <c r="JF7"/>
  <c r="JE7"/>
  <c r="JD7"/>
  <c r="JC7"/>
  <c r="JM6"/>
  <c r="JL6"/>
  <c r="JK6"/>
  <c r="JJ6"/>
  <c r="JF6"/>
  <c r="JE6"/>
  <c r="JD6"/>
  <c r="JC6"/>
  <c r="JM5"/>
  <c r="JL5"/>
  <c r="JK5"/>
  <c r="JJ5"/>
  <c r="JE5"/>
  <c r="JD5"/>
  <c r="JC5"/>
  <c r="IT6"/>
  <c r="IU6"/>
  <c r="IV6"/>
  <c r="IT7"/>
  <c r="IU7"/>
  <c r="IV7"/>
  <c r="IT8"/>
  <c r="IU8"/>
  <c r="IV8"/>
  <c r="IT9"/>
  <c r="IU9"/>
  <c r="IV9"/>
  <c r="IT10"/>
  <c r="IU10"/>
  <c r="IV10"/>
  <c r="IT11"/>
  <c r="IU11"/>
  <c r="IV11"/>
  <c r="IT12"/>
  <c r="IU12"/>
  <c r="IV12"/>
  <c r="IT13"/>
  <c r="IU13"/>
  <c r="IV13"/>
  <c r="IT14"/>
  <c r="IU14"/>
  <c r="IV14"/>
  <c r="IT15"/>
  <c r="IU15"/>
  <c r="IV15"/>
  <c r="IT16"/>
  <c r="IU16"/>
  <c r="IV16"/>
  <c r="IT17"/>
  <c r="IU17"/>
  <c r="IV17"/>
  <c r="IT18"/>
  <c r="IU18"/>
  <c r="IV18"/>
  <c r="IT19"/>
  <c r="IU19"/>
  <c r="IV19"/>
  <c r="IT20"/>
  <c r="IU20"/>
  <c r="IV20"/>
  <c r="IT21"/>
  <c r="IU21"/>
  <c r="IV21"/>
  <c r="IT22"/>
  <c r="IU22"/>
  <c r="IV22"/>
  <c r="IT23"/>
  <c r="IU23"/>
  <c r="IV23"/>
  <c r="IT24"/>
  <c r="IU24"/>
  <c r="IV24"/>
  <c r="IT25"/>
  <c r="IU25"/>
  <c r="IV25"/>
  <c r="IT26"/>
  <c r="IU26"/>
  <c r="IV26"/>
  <c r="IT27"/>
  <c r="IU27"/>
  <c r="IV27"/>
  <c r="IT28"/>
  <c r="IU28"/>
  <c r="IV28"/>
  <c r="IT29"/>
  <c r="IU29"/>
  <c r="IV29"/>
  <c r="IT30"/>
  <c r="IU30"/>
  <c r="IV30"/>
  <c r="IT31"/>
  <c r="IU31"/>
  <c r="IV31"/>
  <c r="IT32"/>
  <c r="IU32"/>
  <c r="IV32"/>
  <c r="IT33"/>
  <c r="IU33"/>
  <c r="IV33"/>
  <c r="IT34"/>
  <c r="IU34"/>
  <c r="IV34"/>
  <c r="IT35"/>
  <c r="IU35"/>
  <c r="IV35"/>
  <c r="IT36"/>
  <c r="IU36"/>
  <c r="IV36"/>
  <c r="IT37"/>
  <c r="IU37"/>
  <c r="IV37"/>
  <c r="IT38"/>
  <c r="IU38"/>
  <c r="IV38"/>
  <c r="IT39"/>
  <c r="IU39"/>
  <c r="IV39"/>
  <c r="IT40"/>
  <c r="IU40"/>
  <c r="IV40"/>
  <c r="IT41"/>
  <c r="IU41"/>
  <c r="IV41"/>
  <c r="IT42"/>
  <c r="IU42"/>
  <c r="IV42"/>
  <c r="IT43"/>
  <c r="IU43"/>
  <c r="IV43"/>
  <c r="IT44"/>
  <c r="IU44"/>
  <c r="IV44"/>
  <c r="IT45"/>
  <c r="IU45"/>
  <c r="IV45"/>
  <c r="IT46"/>
  <c r="IU46"/>
  <c r="IV46"/>
  <c r="IT47"/>
  <c r="IU47"/>
  <c r="IV47"/>
  <c r="IT48"/>
  <c r="IU48"/>
  <c r="IV48"/>
  <c r="IT49"/>
  <c r="IU49"/>
  <c r="IV49"/>
  <c r="IT50"/>
  <c r="IU50"/>
  <c r="IV50"/>
  <c r="IT51"/>
  <c r="IU51"/>
  <c r="IV51"/>
  <c r="IT52"/>
  <c r="IU52"/>
  <c r="IV52"/>
  <c r="IT53"/>
  <c r="IU53"/>
  <c r="IV53"/>
  <c r="IT54"/>
  <c r="IU54"/>
  <c r="IV54"/>
  <c r="IT55"/>
  <c r="IU55"/>
  <c r="IV55"/>
  <c r="IT56"/>
  <c r="IU56"/>
  <c r="IV56"/>
  <c r="IT57"/>
  <c r="IU57"/>
  <c r="IV57"/>
  <c r="IT58"/>
  <c r="IU58"/>
  <c r="IV58"/>
  <c r="IT59"/>
  <c r="IU59"/>
  <c r="IV59"/>
  <c r="IT60"/>
  <c r="IU60"/>
  <c r="IV60"/>
  <c r="IT61"/>
  <c r="IU61"/>
  <c r="IV61"/>
  <c r="IT62"/>
  <c r="IU62"/>
  <c r="IV62"/>
  <c r="IT63"/>
  <c r="IU63"/>
  <c r="IV63"/>
  <c r="IT64"/>
  <c r="IU64"/>
  <c r="IV64"/>
  <c r="IT65"/>
  <c r="IU65"/>
  <c r="IV65"/>
  <c r="IT66"/>
  <c r="IU66"/>
  <c r="IV66"/>
  <c r="IT67"/>
  <c r="IU67"/>
  <c r="IV67"/>
  <c r="IT68"/>
  <c r="IU68"/>
  <c r="IV68"/>
  <c r="IT69"/>
  <c r="IU69"/>
  <c r="IV69"/>
  <c r="IT70"/>
  <c r="IU70"/>
  <c r="IV70"/>
  <c r="IT71"/>
  <c r="IU71"/>
  <c r="IV71"/>
  <c r="IT72"/>
  <c r="IU72"/>
  <c r="IV72"/>
  <c r="IT73"/>
  <c r="IU73"/>
  <c r="IV73"/>
  <c r="IT74"/>
  <c r="IU74"/>
  <c r="IV74"/>
  <c r="IT75"/>
  <c r="IU75"/>
  <c r="IV75"/>
  <c r="IT76"/>
  <c r="IU76"/>
  <c r="IV76"/>
  <c r="IT77"/>
  <c r="IU77"/>
  <c r="IV77"/>
  <c r="IT78"/>
  <c r="IU78"/>
  <c r="IV78"/>
  <c r="IT79"/>
  <c r="IU79"/>
  <c r="IV79"/>
  <c r="IT80"/>
  <c r="IU80"/>
  <c r="IV80"/>
  <c r="IT81"/>
  <c r="IU81"/>
  <c r="IV81"/>
  <c r="IT82"/>
  <c r="IU82"/>
  <c r="IV82"/>
  <c r="IT83"/>
  <c r="IU83"/>
  <c r="IV83"/>
  <c r="IT84"/>
  <c r="IU84"/>
  <c r="IV84"/>
  <c r="IT85"/>
  <c r="IU85"/>
  <c r="IV85"/>
  <c r="IV5"/>
  <c r="IT5"/>
  <c r="IU5"/>
  <c r="IS5"/>
  <c r="IZ85"/>
  <c r="IY85"/>
  <c r="IX85"/>
  <c r="IW85"/>
  <c r="IS85"/>
  <c r="IR85"/>
  <c r="IQ85"/>
  <c r="IP85"/>
  <c r="IZ84"/>
  <c r="IY84"/>
  <c r="IX84"/>
  <c r="IW84"/>
  <c r="IS84"/>
  <c r="IR84"/>
  <c r="IQ84"/>
  <c r="IP84"/>
  <c r="IZ83"/>
  <c r="IY83"/>
  <c r="IX83"/>
  <c r="IW83"/>
  <c r="IS83"/>
  <c r="IR83"/>
  <c r="IQ83"/>
  <c r="IP83"/>
  <c r="IZ82"/>
  <c r="IY82"/>
  <c r="IX82"/>
  <c r="IW82"/>
  <c r="IS82"/>
  <c r="IR82"/>
  <c r="IQ82"/>
  <c r="IP82"/>
  <c r="IZ81"/>
  <c r="IY81"/>
  <c r="IX81"/>
  <c r="IW81"/>
  <c r="IS81"/>
  <c r="IR81"/>
  <c r="IQ81"/>
  <c r="IP81"/>
  <c r="IZ80"/>
  <c r="IY80"/>
  <c r="IX80"/>
  <c r="IW80"/>
  <c r="IS80"/>
  <c r="IR80"/>
  <c r="IQ80"/>
  <c r="IP80"/>
  <c r="IZ79"/>
  <c r="IY79"/>
  <c r="IX79"/>
  <c r="IW79"/>
  <c r="IS79"/>
  <c r="IR79"/>
  <c r="IQ79"/>
  <c r="IP79"/>
  <c r="IZ78"/>
  <c r="IY78"/>
  <c r="IX78"/>
  <c r="IW78"/>
  <c r="IS78"/>
  <c r="IR78"/>
  <c r="IQ78"/>
  <c r="IP78"/>
  <c r="IZ77"/>
  <c r="IY77"/>
  <c r="IX77"/>
  <c r="IW77"/>
  <c r="IS77"/>
  <c r="IR77"/>
  <c r="IQ77"/>
  <c r="IP77"/>
  <c r="IZ76"/>
  <c r="IY76"/>
  <c r="IX76"/>
  <c r="IW76"/>
  <c r="IS76"/>
  <c r="IR76"/>
  <c r="IQ76"/>
  <c r="IP76"/>
  <c r="IZ75"/>
  <c r="IY75"/>
  <c r="IX75"/>
  <c r="IW75"/>
  <c r="IS75"/>
  <c r="IR75"/>
  <c r="IQ75"/>
  <c r="IP75"/>
  <c r="IZ74"/>
  <c r="IY74"/>
  <c r="IX74"/>
  <c r="IW74"/>
  <c r="IS74"/>
  <c r="IR74"/>
  <c r="IQ74"/>
  <c r="IP74"/>
  <c r="IZ73"/>
  <c r="IY73"/>
  <c r="IX73"/>
  <c r="IW73"/>
  <c r="IS73"/>
  <c r="IR73"/>
  <c r="IQ73"/>
  <c r="IP73"/>
  <c r="IZ72"/>
  <c r="IY72"/>
  <c r="IX72"/>
  <c r="IW72"/>
  <c r="IS72"/>
  <c r="IR72"/>
  <c r="IQ72"/>
  <c r="IP72"/>
  <c r="IZ71"/>
  <c r="IY71"/>
  <c r="IX71"/>
  <c r="IW71"/>
  <c r="IS71"/>
  <c r="IR71"/>
  <c r="IQ71"/>
  <c r="IP71"/>
  <c r="IZ70"/>
  <c r="IY70"/>
  <c r="IX70"/>
  <c r="IW70"/>
  <c r="IS70"/>
  <c r="IR70"/>
  <c r="IQ70"/>
  <c r="IP70"/>
  <c r="IZ69"/>
  <c r="IY69"/>
  <c r="IX69"/>
  <c r="IW69"/>
  <c r="IS69"/>
  <c r="IR69"/>
  <c r="IQ69"/>
  <c r="IP69"/>
  <c r="IZ68"/>
  <c r="IY68"/>
  <c r="IX68"/>
  <c r="IW68"/>
  <c r="IS68"/>
  <c r="IR68"/>
  <c r="IQ68"/>
  <c r="IP68"/>
  <c r="IZ67"/>
  <c r="IY67"/>
  <c r="IX67"/>
  <c r="IW67"/>
  <c r="IS67"/>
  <c r="IR67"/>
  <c r="IQ67"/>
  <c r="IP67"/>
  <c r="IZ66"/>
  <c r="IY66"/>
  <c r="IX66"/>
  <c r="IW66"/>
  <c r="IS66"/>
  <c r="IR66"/>
  <c r="IQ66"/>
  <c r="IP66"/>
  <c r="IZ65"/>
  <c r="IY65"/>
  <c r="IX65"/>
  <c r="IW65"/>
  <c r="IS65"/>
  <c r="IR65"/>
  <c r="IQ65"/>
  <c r="IP65"/>
  <c r="IZ64"/>
  <c r="IY64"/>
  <c r="IX64"/>
  <c r="IW64"/>
  <c r="IS64"/>
  <c r="IR64"/>
  <c r="IQ64"/>
  <c r="IP64"/>
  <c r="IZ63"/>
  <c r="IY63"/>
  <c r="IX63"/>
  <c r="IW63"/>
  <c r="IS63"/>
  <c r="IR63"/>
  <c r="IQ63"/>
  <c r="IP63"/>
  <c r="IZ62"/>
  <c r="IY62"/>
  <c r="IX62"/>
  <c r="IW62"/>
  <c r="IS62"/>
  <c r="IR62"/>
  <c r="IQ62"/>
  <c r="IP62"/>
  <c r="IZ61"/>
  <c r="IY61"/>
  <c r="IX61"/>
  <c r="IW61"/>
  <c r="IS61"/>
  <c r="IR61"/>
  <c r="IQ61"/>
  <c r="IP61"/>
  <c r="IZ60"/>
  <c r="IY60"/>
  <c r="IX60"/>
  <c r="IW60"/>
  <c r="IS60"/>
  <c r="IR60"/>
  <c r="IQ60"/>
  <c r="IP60"/>
  <c r="IZ59"/>
  <c r="IY59"/>
  <c r="IX59"/>
  <c r="IW59"/>
  <c r="IS59"/>
  <c r="IR59"/>
  <c r="IQ59"/>
  <c r="IP59"/>
  <c r="IZ58"/>
  <c r="IY58"/>
  <c r="IX58"/>
  <c r="IW58"/>
  <c r="IS58"/>
  <c r="IR58"/>
  <c r="IQ58"/>
  <c r="IP58"/>
  <c r="IZ57"/>
  <c r="IY57"/>
  <c r="IX57"/>
  <c r="IW57"/>
  <c r="IS57"/>
  <c r="IR57"/>
  <c r="IQ57"/>
  <c r="IP57"/>
  <c r="IZ56"/>
  <c r="IY56"/>
  <c r="IX56"/>
  <c r="IW56"/>
  <c r="IS56"/>
  <c r="IR56"/>
  <c r="IQ56"/>
  <c r="IP56"/>
  <c r="IZ55"/>
  <c r="IY55"/>
  <c r="IX55"/>
  <c r="IW55"/>
  <c r="IS55"/>
  <c r="IR55"/>
  <c r="IQ55"/>
  <c r="IP55"/>
  <c r="IZ54"/>
  <c r="IY54"/>
  <c r="IX54"/>
  <c r="IW54"/>
  <c r="IS54"/>
  <c r="IR54"/>
  <c r="IQ54"/>
  <c r="IP54"/>
  <c r="IZ53"/>
  <c r="IY53"/>
  <c r="IX53"/>
  <c r="IW53"/>
  <c r="IS53"/>
  <c r="IR53"/>
  <c r="IQ53"/>
  <c r="IP53"/>
  <c r="IZ52"/>
  <c r="IY52"/>
  <c r="IX52"/>
  <c r="IW52"/>
  <c r="IS52"/>
  <c r="IR52"/>
  <c r="IQ52"/>
  <c r="IP52"/>
  <c r="IZ51"/>
  <c r="IY51"/>
  <c r="IX51"/>
  <c r="IW51"/>
  <c r="IS51"/>
  <c r="IR51"/>
  <c r="IQ51"/>
  <c r="IP51"/>
  <c r="IZ50"/>
  <c r="IY50"/>
  <c r="IX50"/>
  <c r="IW50"/>
  <c r="IS50"/>
  <c r="IR50"/>
  <c r="IQ50"/>
  <c r="IP50"/>
  <c r="IZ49"/>
  <c r="IY49"/>
  <c r="IX49"/>
  <c r="IW49"/>
  <c r="IS49"/>
  <c r="IR49"/>
  <c r="IQ49"/>
  <c r="IP49"/>
  <c r="IZ48"/>
  <c r="IY48"/>
  <c r="IX48"/>
  <c r="IW48"/>
  <c r="IS48"/>
  <c r="IR48"/>
  <c r="IQ48"/>
  <c r="IP48"/>
  <c r="IZ47"/>
  <c r="IY47"/>
  <c r="IX47"/>
  <c r="IW47"/>
  <c r="IS47"/>
  <c r="IR47"/>
  <c r="IQ47"/>
  <c r="IP47"/>
  <c r="IZ46"/>
  <c r="IY46"/>
  <c r="IX46"/>
  <c r="IW46"/>
  <c r="IS46"/>
  <c r="IR46"/>
  <c r="IQ46"/>
  <c r="IP46"/>
  <c r="IZ45"/>
  <c r="IY45"/>
  <c r="IX45"/>
  <c r="IW45"/>
  <c r="IS45"/>
  <c r="IR45"/>
  <c r="IQ45"/>
  <c r="IP45"/>
  <c r="IZ44"/>
  <c r="IY44"/>
  <c r="IX44"/>
  <c r="IW44"/>
  <c r="IS44"/>
  <c r="IR44"/>
  <c r="IQ44"/>
  <c r="IP44"/>
  <c r="IZ43"/>
  <c r="IY43"/>
  <c r="IX43"/>
  <c r="IW43"/>
  <c r="IS43"/>
  <c r="IR43"/>
  <c r="IQ43"/>
  <c r="IP43"/>
  <c r="IZ42"/>
  <c r="IY42"/>
  <c r="IX42"/>
  <c r="IW42"/>
  <c r="IS42"/>
  <c r="IR42"/>
  <c r="IQ42"/>
  <c r="IP42"/>
  <c r="IZ41"/>
  <c r="IY41"/>
  <c r="IX41"/>
  <c r="IW41"/>
  <c r="IS41"/>
  <c r="IR41"/>
  <c r="IQ41"/>
  <c r="IP41"/>
  <c r="IZ40"/>
  <c r="IY40"/>
  <c r="IX40"/>
  <c r="IW40"/>
  <c r="IS40"/>
  <c r="IR40"/>
  <c r="IQ40"/>
  <c r="IP40"/>
  <c r="IZ39"/>
  <c r="IY39"/>
  <c r="IX39"/>
  <c r="IW39"/>
  <c r="IS39"/>
  <c r="IR39"/>
  <c r="IQ39"/>
  <c r="IP39"/>
  <c r="IZ38"/>
  <c r="IY38"/>
  <c r="IX38"/>
  <c r="IW38"/>
  <c r="IS38"/>
  <c r="IR38"/>
  <c r="IQ38"/>
  <c r="IP38"/>
  <c r="IZ37"/>
  <c r="IY37"/>
  <c r="IX37"/>
  <c r="IW37"/>
  <c r="IS37"/>
  <c r="IR37"/>
  <c r="IQ37"/>
  <c r="IP37"/>
  <c r="IZ36"/>
  <c r="IY36"/>
  <c r="IX36"/>
  <c r="IW36"/>
  <c r="IS36"/>
  <c r="IR36"/>
  <c r="IQ36"/>
  <c r="IP36"/>
  <c r="IZ35"/>
  <c r="IY35"/>
  <c r="IX35"/>
  <c r="IW35"/>
  <c r="IS35"/>
  <c r="IR35"/>
  <c r="IQ35"/>
  <c r="IP35"/>
  <c r="IZ34"/>
  <c r="IY34"/>
  <c r="IX34"/>
  <c r="IW34"/>
  <c r="IS34"/>
  <c r="IR34"/>
  <c r="IQ34"/>
  <c r="IP34"/>
  <c r="IZ33"/>
  <c r="IY33"/>
  <c r="IX33"/>
  <c r="IW33"/>
  <c r="IS33"/>
  <c r="IR33"/>
  <c r="IQ33"/>
  <c r="IP33"/>
  <c r="IZ32"/>
  <c r="IY32"/>
  <c r="IX32"/>
  <c r="IW32"/>
  <c r="IS32"/>
  <c r="IR32"/>
  <c r="IQ32"/>
  <c r="IP32"/>
  <c r="IZ31"/>
  <c r="IY31"/>
  <c r="IX31"/>
  <c r="IW31"/>
  <c r="IS31"/>
  <c r="IR31"/>
  <c r="IQ31"/>
  <c r="IP31"/>
  <c r="IZ30"/>
  <c r="IY30"/>
  <c r="IX30"/>
  <c r="IW30"/>
  <c r="IS30"/>
  <c r="IR30"/>
  <c r="IQ30"/>
  <c r="IP30"/>
  <c r="IZ29"/>
  <c r="IY29"/>
  <c r="IX29"/>
  <c r="IW29"/>
  <c r="IS29"/>
  <c r="IR29"/>
  <c r="IQ29"/>
  <c r="IP29"/>
  <c r="IZ28"/>
  <c r="IY28"/>
  <c r="IX28"/>
  <c r="IW28"/>
  <c r="IS28"/>
  <c r="IR28"/>
  <c r="IQ28"/>
  <c r="IP28"/>
  <c r="IZ27"/>
  <c r="IY27"/>
  <c r="IX27"/>
  <c r="IW27"/>
  <c r="IS27"/>
  <c r="IR27"/>
  <c r="IQ27"/>
  <c r="IP27"/>
  <c r="IZ26"/>
  <c r="IY26"/>
  <c r="IX26"/>
  <c r="IW26"/>
  <c r="IS26"/>
  <c r="IR26"/>
  <c r="IQ26"/>
  <c r="IP26"/>
  <c r="IZ25"/>
  <c r="IY25"/>
  <c r="IX25"/>
  <c r="IW25"/>
  <c r="IS25"/>
  <c r="IR25"/>
  <c r="IQ25"/>
  <c r="IP25"/>
  <c r="IZ24"/>
  <c r="IY24"/>
  <c r="IX24"/>
  <c r="IW24"/>
  <c r="IS24"/>
  <c r="IR24"/>
  <c r="IQ24"/>
  <c r="IP24"/>
  <c r="IZ23"/>
  <c r="IY23"/>
  <c r="IX23"/>
  <c r="IW23"/>
  <c r="IS23"/>
  <c r="IR23"/>
  <c r="IQ23"/>
  <c r="IP23"/>
  <c r="IZ22"/>
  <c r="IY22"/>
  <c r="IX22"/>
  <c r="IW22"/>
  <c r="IS22"/>
  <c r="IR22"/>
  <c r="IQ22"/>
  <c r="IP22"/>
  <c r="IZ21"/>
  <c r="IY21"/>
  <c r="IX21"/>
  <c r="IW21"/>
  <c r="IS21"/>
  <c r="IR21"/>
  <c r="IQ21"/>
  <c r="IP21"/>
  <c r="IZ20"/>
  <c r="IY20"/>
  <c r="IX20"/>
  <c r="IW20"/>
  <c r="IS20"/>
  <c r="IR20"/>
  <c r="IQ20"/>
  <c r="IP20"/>
  <c r="IZ19"/>
  <c r="IY19"/>
  <c r="IX19"/>
  <c r="IW19"/>
  <c r="IS19"/>
  <c r="IR19"/>
  <c r="IQ19"/>
  <c r="IP19"/>
  <c r="IZ18"/>
  <c r="IY18"/>
  <c r="IX18"/>
  <c r="IW18"/>
  <c r="IS18"/>
  <c r="IR18"/>
  <c r="IQ18"/>
  <c r="IP18"/>
  <c r="IZ17"/>
  <c r="IY17"/>
  <c r="IX17"/>
  <c r="IW17"/>
  <c r="IS17"/>
  <c r="IR17"/>
  <c r="IQ17"/>
  <c r="IP17"/>
  <c r="IZ16"/>
  <c r="IY16"/>
  <c r="IX16"/>
  <c r="IW16"/>
  <c r="IS16"/>
  <c r="IR16"/>
  <c r="IQ16"/>
  <c r="IP16"/>
  <c r="IZ15"/>
  <c r="IY15"/>
  <c r="IX15"/>
  <c r="IW15"/>
  <c r="IS15"/>
  <c r="IR15"/>
  <c r="IQ15"/>
  <c r="IP15"/>
  <c r="IZ14"/>
  <c r="IY14"/>
  <c r="IX14"/>
  <c r="IW14"/>
  <c r="IS14"/>
  <c r="IR14"/>
  <c r="IQ14"/>
  <c r="IP14"/>
  <c r="IZ13"/>
  <c r="IY13"/>
  <c r="IX13"/>
  <c r="IW13"/>
  <c r="IS13"/>
  <c r="IR13"/>
  <c r="IQ13"/>
  <c r="IP13"/>
  <c r="IZ12"/>
  <c r="IY12"/>
  <c r="IX12"/>
  <c r="IW12"/>
  <c r="IS12"/>
  <c r="IR12"/>
  <c r="IQ12"/>
  <c r="IP12"/>
  <c r="IZ11"/>
  <c r="IY11"/>
  <c r="IX11"/>
  <c r="IW11"/>
  <c r="IS11"/>
  <c r="IR11"/>
  <c r="IQ11"/>
  <c r="IP11"/>
  <c r="IZ10"/>
  <c r="IY10"/>
  <c r="IX10"/>
  <c r="IW10"/>
  <c r="IS10"/>
  <c r="IR10"/>
  <c r="IQ10"/>
  <c r="IP10"/>
  <c r="IZ9"/>
  <c r="IY9"/>
  <c r="IX9"/>
  <c r="IW9"/>
  <c r="IS9"/>
  <c r="IR9"/>
  <c r="IQ9"/>
  <c r="IP9"/>
  <c r="IZ8"/>
  <c r="IY8"/>
  <c r="IX8"/>
  <c r="IW8"/>
  <c r="IS8"/>
  <c r="IR8"/>
  <c r="IQ8"/>
  <c r="IP8"/>
  <c r="IZ7"/>
  <c r="IY7"/>
  <c r="IX7"/>
  <c r="IW7"/>
  <c r="IS7"/>
  <c r="IR7"/>
  <c r="IQ7"/>
  <c r="IP7"/>
  <c r="IZ6"/>
  <c r="IY6"/>
  <c r="IX6"/>
  <c r="IW6"/>
  <c r="IS6"/>
  <c r="IR6"/>
  <c r="IQ6"/>
  <c r="IP6"/>
  <c r="IZ5"/>
  <c r="IY5"/>
  <c r="IX5"/>
  <c r="IW5"/>
  <c r="IR5"/>
  <c r="IQ5"/>
  <c r="IP5"/>
  <c r="IG6"/>
  <c r="IH6"/>
  <c r="II6"/>
  <c r="IG7"/>
  <c r="IH7"/>
  <c r="II7"/>
  <c r="IG8"/>
  <c r="IH8"/>
  <c r="II8"/>
  <c r="IG9"/>
  <c r="IH9"/>
  <c r="II9"/>
  <c r="IG10"/>
  <c r="IH10"/>
  <c r="II10"/>
  <c r="IG11"/>
  <c r="IH11"/>
  <c r="II11"/>
  <c r="IG12"/>
  <c r="IH12"/>
  <c r="II12"/>
  <c r="IG13"/>
  <c r="IH13"/>
  <c r="II13"/>
  <c r="IG14"/>
  <c r="IH14"/>
  <c r="II14"/>
  <c r="IG15"/>
  <c r="IH15"/>
  <c r="II15"/>
  <c r="IG16"/>
  <c r="IH16"/>
  <c r="II16"/>
  <c r="IG17"/>
  <c r="IH17"/>
  <c r="II17"/>
  <c r="IG18"/>
  <c r="IH18"/>
  <c r="II18"/>
  <c r="IG19"/>
  <c r="IH19"/>
  <c r="II19"/>
  <c r="IG20"/>
  <c r="IH20"/>
  <c r="II20"/>
  <c r="IG21"/>
  <c r="IH21"/>
  <c r="II21"/>
  <c r="IG22"/>
  <c r="IH22"/>
  <c r="II22"/>
  <c r="IG23"/>
  <c r="IH23"/>
  <c r="II23"/>
  <c r="IG24"/>
  <c r="IH24"/>
  <c r="II24"/>
  <c r="IG25"/>
  <c r="IH25"/>
  <c r="II25"/>
  <c r="IG26"/>
  <c r="IH26"/>
  <c r="II26"/>
  <c r="IG27"/>
  <c r="IH27"/>
  <c r="II27"/>
  <c r="IG28"/>
  <c r="IH28"/>
  <c r="II28"/>
  <c r="IG29"/>
  <c r="IH29"/>
  <c r="II29"/>
  <c r="IG30"/>
  <c r="IH30"/>
  <c r="II30"/>
  <c r="IG31"/>
  <c r="IH31"/>
  <c r="II31"/>
  <c r="IG32"/>
  <c r="IH32"/>
  <c r="II32"/>
  <c r="IG33"/>
  <c r="IH33"/>
  <c r="II33"/>
  <c r="IG34"/>
  <c r="IH34"/>
  <c r="II34"/>
  <c r="IG35"/>
  <c r="IH35"/>
  <c r="II35"/>
  <c r="IG36"/>
  <c r="IH36"/>
  <c r="II36"/>
  <c r="IG37"/>
  <c r="IH37"/>
  <c r="II37"/>
  <c r="IG38"/>
  <c r="IH38"/>
  <c r="II38"/>
  <c r="IG39"/>
  <c r="IH39"/>
  <c r="II39"/>
  <c r="IG40"/>
  <c r="IH40"/>
  <c r="II40"/>
  <c r="IG41"/>
  <c r="IH41"/>
  <c r="II41"/>
  <c r="IG42"/>
  <c r="IH42"/>
  <c r="II42"/>
  <c r="IG43"/>
  <c r="IH43"/>
  <c r="II43"/>
  <c r="IG44"/>
  <c r="IH44"/>
  <c r="II44"/>
  <c r="IG45"/>
  <c r="IH45"/>
  <c r="II45"/>
  <c r="IG46"/>
  <c r="IH46"/>
  <c r="II46"/>
  <c r="IG47"/>
  <c r="IH47"/>
  <c r="II47"/>
  <c r="IG48"/>
  <c r="IH48"/>
  <c r="II48"/>
  <c r="IG49"/>
  <c r="IH49"/>
  <c r="II49"/>
  <c r="IG50"/>
  <c r="IH50"/>
  <c r="II50"/>
  <c r="IG51"/>
  <c r="IH51"/>
  <c r="II51"/>
  <c r="IG52"/>
  <c r="IH52"/>
  <c r="II52"/>
  <c r="IG53"/>
  <c r="IH53"/>
  <c r="II53"/>
  <c r="IG54"/>
  <c r="IH54"/>
  <c r="II54"/>
  <c r="IG55"/>
  <c r="IH55"/>
  <c r="II55"/>
  <c r="IG56"/>
  <c r="IH56"/>
  <c r="II56"/>
  <c r="IG57"/>
  <c r="IH57"/>
  <c r="II57"/>
  <c r="IG58"/>
  <c r="IH58"/>
  <c r="II58"/>
  <c r="IG59"/>
  <c r="IH59"/>
  <c r="II59"/>
  <c r="IG60"/>
  <c r="IH60"/>
  <c r="II60"/>
  <c r="IG61"/>
  <c r="IH61"/>
  <c r="II61"/>
  <c r="IG62"/>
  <c r="IH62"/>
  <c r="II62"/>
  <c r="IG63"/>
  <c r="IH63"/>
  <c r="II63"/>
  <c r="IG64"/>
  <c r="IH64"/>
  <c r="II64"/>
  <c r="IG65"/>
  <c r="IH65"/>
  <c r="II65"/>
  <c r="IG66"/>
  <c r="IH66"/>
  <c r="II66"/>
  <c r="IG67"/>
  <c r="IH67"/>
  <c r="II67"/>
  <c r="IG68"/>
  <c r="IH68"/>
  <c r="II68"/>
  <c r="IG69"/>
  <c r="IH69"/>
  <c r="II69"/>
  <c r="IG70"/>
  <c r="IH70"/>
  <c r="II70"/>
  <c r="IG71"/>
  <c r="IH71"/>
  <c r="II71"/>
  <c r="IG72"/>
  <c r="IH72"/>
  <c r="II72"/>
  <c r="IG73"/>
  <c r="IH73"/>
  <c r="II73"/>
  <c r="IG74"/>
  <c r="IH74"/>
  <c r="II74"/>
  <c r="IG75"/>
  <c r="IH75"/>
  <c r="II75"/>
  <c r="IG76"/>
  <c r="IH76"/>
  <c r="II76"/>
  <c r="IG77"/>
  <c r="IH77"/>
  <c r="II77"/>
  <c r="IG78"/>
  <c r="IH78"/>
  <c r="II78"/>
  <c r="IG79"/>
  <c r="IH79"/>
  <c r="II79"/>
  <c r="IG80"/>
  <c r="IH80"/>
  <c r="II80"/>
  <c r="IG81"/>
  <c r="IH81"/>
  <c r="II81"/>
  <c r="IG82"/>
  <c r="IH82"/>
  <c r="II82"/>
  <c r="IG83"/>
  <c r="IH83"/>
  <c r="II83"/>
  <c r="IG84"/>
  <c r="IH84"/>
  <c r="II84"/>
  <c r="IG85"/>
  <c r="IH85"/>
  <c r="II85"/>
  <c r="II5"/>
  <c r="IG5"/>
  <c r="IH5"/>
  <c r="IF5"/>
  <c r="IM85"/>
  <c r="IL85"/>
  <c r="IK85"/>
  <c r="IJ85"/>
  <c r="IF85"/>
  <c r="IE85"/>
  <c r="ID85"/>
  <c r="IC85"/>
  <c r="IM84"/>
  <c r="IL84"/>
  <c r="IK84"/>
  <c r="IJ84"/>
  <c r="IF84"/>
  <c r="IE84"/>
  <c r="ID84"/>
  <c r="IC84"/>
  <c r="IM83"/>
  <c r="IL83"/>
  <c r="IK83"/>
  <c r="IJ83"/>
  <c r="IF83"/>
  <c r="IE83"/>
  <c r="ID83"/>
  <c r="IC83"/>
  <c r="IM82"/>
  <c r="IL82"/>
  <c r="IK82"/>
  <c r="IJ82"/>
  <c r="IF82"/>
  <c r="IE82"/>
  <c r="ID82"/>
  <c r="IC82"/>
  <c r="IM81"/>
  <c r="IL81"/>
  <c r="IK81"/>
  <c r="IJ81"/>
  <c r="IF81"/>
  <c r="IE81"/>
  <c r="ID81"/>
  <c r="IC81"/>
  <c r="IM80"/>
  <c r="IL80"/>
  <c r="IK80"/>
  <c r="IJ80"/>
  <c r="IF80"/>
  <c r="IE80"/>
  <c r="ID80"/>
  <c r="IC80"/>
  <c r="IM79"/>
  <c r="IL79"/>
  <c r="IK79"/>
  <c r="IJ79"/>
  <c r="IF79"/>
  <c r="IE79"/>
  <c r="ID79"/>
  <c r="IC79"/>
  <c r="IM78"/>
  <c r="IL78"/>
  <c r="IK78"/>
  <c r="IJ78"/>
  <c r="IF78"/>
  <c r="IE78"/>
  <c r="ID78"/>
  <c r="IC78"/>
  <c r="IM77"/>
  <c r="IL77"/>
  <c r="IK77"/>
  <c r="IJ77"/>
  <c r="IF77"/>
  <c r="IE77"/>
  <c r="ID77"/>
  <c r="IC77"/>
  <c r="IM76"/>
  <c r="IL76"/>
  <c r="IK76"/>
  <c r="IJ76"/>
  <c r="IF76"/>
  <c r="IE76"/>
  <c r="ID76"/>
  <c r="IC76"/>
  <c r="IM75"/>
  <c r="IL75"/>
  <c r="IK75"/>
  <c r="IJ75"/>
  <c r="IF75"/>
  <c r="IE75"/>
  <c r="ID75"/>
  <c r="IC75"/>
  <c r="IM74"/>
  <c r="IL74"/>
  <c r="IK74"/>
  <c r="IJ74"/>
  <c r="IF74"/>
  <c r="IE74"/>
  <c r="ID74"/>
  <c r="IC74"/>
  <c r="IM73"/>
  <c r="IL73"/>
  <c r="IK73"/>
  <c r="IJ73"/>
  <c r="IF73"/>
  <c r="IE73"/>
  <c r="ID73"/>
  <c r="IC73"/>
  <c r="IM72"/>
  <c r="IL72"/>
  <c r="IK72"/>
  <c r="IJ72"/>
  <c r="IF72"/>
  <c r="IE72"/>
  <c r="ID72"/>
  <c r="IC72"/>
  <c r="IM71"/>
  <c r="IL71"/>
  <c r="IK71"/>
  <c r="IJ71"/>
  <c r="IF71"/>
  <c r="IE71"/>
  <c r="ID71"/>
  <c r="IC71"/>
  <c r="IM70"/>
  <c r="IL70"/>
  <c r="IK70"/>
  <c r="IJ70"/>
  <c r="IF70"/>
  <c r="IE70"/>
  <c r="ID70"/>
  <c r="IC70"/>
  <c r="IM69"/>
  <c r="IL69"/>
  <c r="IK69"/>
  <c r="IJ69"/>
  <c r="IF69"/>
  <c r="IE69"/>
  <c r="ID69"/>
  <c r="IC69"/>
  <c r="IM68"/>
  <c r="IL68"/>
  <c r="IK68"/>
  <c r="IJ68"/>
  <c r="IF68"/>
  <c r="IE68"/>
  <c r="ID68"/>
  <c r="IC68"/>
  <c r="IM67"/>
  <c r="IL67"/>
  <c r="IK67"/>
  <c r="IJ67"/>
  <c r="IF67"/>
  <c r="IE67"/>
  <c r="ID67"/>
  <c r="IC67"/>
  <c r="IM66"/>
  <c r="IL66"/>
  <c r="IK66"/>
  <c r="IJ66"/>
  <c r="IF66"/>
  <c r="IE66"/>
  <c r="ID66"/>
  <c r="IC66"/>
  <c r="IM65"/>
  <c r="IL65"/>
  <c r="IK65"/>
  <c r="IJ65"/>
  <c r="IF65"/>
  <c r="IE65"/>
  <c r="ID65"/>
  <c r="IC65"/>
  <c r="IM64"/>
  <c r="IL64"/>
  <c r="IK64"/>
  <c r="IJ64"/>
  <c r="IF64"/>
  <c r="IE64"/>
  <c r="ID64"/>
  <c r="IC64"/>
  <c r="IM63"/>
  <c r="IL63"/>
  <c r="IK63"/>
  <c r="IJ63"/>
  <c r="IF63"/>
  <c r="IE63"/>
  <c r="ID63"/>
  <c r="IC63"/>
  <c r="IM62"/>
  <c r="IL62"/>
  <c r="IK62"/>
  <c r="IJ62"/>
  <c r="IF62"/>
  <c r="IE62"/>
  <c r="ID62"/>
  <c r="IC62"/>
  <c r="IM61"/>
  <c r="IL61"/>
  <c r="IK61"/>
  <c r="IJ61"/>
  <c r="IF61"/>
  <c r="IE61"/>
  <c r="ID61"/>
  <c r="IC61"/>
  <c r="IM60"/>
  <c r="IL60"/>
  <c r="IK60"/>
  <c r="IJ60"/>
  <c r="IF60"/>
  <c r="IE60"/>
  <c r="ID60"/>
  <c r="IC60"/>
  <c r="IM59"/>
  <c r="IL59"/>
  <c r="IK59"/>
  <c r="IJ59"/>
  <c r="IF59"/>
  <c r="IE59"/>
  <c r="ID59"/>
  <c r="IC59"/>
  <c r="IM58"/>
  <c r="IL58"/>
  <c r="IK58"/>
  <c r="IJ58"/>
  <c r="IF58"/>
  <c r="IE58"/>
  <c r="ID58"/>
  <c r="IC58"/>
  <c r="IM57"/>
  <c r="IL57"/>
  <c r="IK57"/>
  <c r="IJ57"/>
  <c r="IF57"/>
  <c r="IE57"/>
  <c r="ID57"/>
  <c r="IC57"/>
  <c r="IM56"/>
  <c r="IL56"/>
  <c r="IK56"/>
  <c r="IJ56"/>
  <c r="IF56"/>
  <c r="IE56"/>
  <c r="ID56"/>
  <c r="IC56"/>
  <c r="IM55"/>
  <c r="IL55"/>
  <c r="IK55"/>
  <c r="IJ55"/>
  <c r="IF55"/>
  <c r="IE55"/>
  <c r="ID55"/>
  <c r="IC55"/>
  <c r="IM54"/>
  <c r="IL54"/>
  <c r="IK54"/>
  <c r="IJ54"/>
  <c r="IF54"/>
  <c r="IE54"/>
  <c r="ID54"/>
  <c r="IC54"/>
  <c r="IM53"/>
  <c r="IL53"/>
  <c r="IK53"/>
  <c r="IJ53"/>
  <c r="IF53"/>
  <c r="IE53"/>
  <c r="ID53"/>
  <c r="IC53"/>
  <c r="IM52"/>
  <c r="IL52"/>
  <c r="IK52"/>
  <c r="IJ52"/>
  <c r="IF52"/>
  <c r="IE52"/>
  <c r="ID52"/>
  <c r="IC52"/>
  <c r="IM51"/>
  <c r="IL51"/>
  <c r="IK51"/>
  <c r="IJ51"/>
  <c r="IF51"/>
  <c r="IE51"/>
  <c r="ID51"/>
  <c r="IC51"/>
  <c r="IM50"/>
  <c r="IL50"/>
  <c r="IK50"/>
  <c r="IJ50"/>
  <c r="IF50"/>
  <c r="IE50"/>
  <c r="ID50"/>
  <c r="IC50"/>
  <c r="IM49"/>
  <c r="IL49"/>
  <c r="IK49"/>
  <c r="IJ49"/>
  <c r="IF49"/>
  <c r="IE49"/>
  <c r="ID49"/>
  <c r="IC49"/>
  <c r="IM48"/>
  <c r="IL48"/>
  <c r="IK48"/>
  <c r="IJ48"/>
  <c r="IF48"/>
  <c r="IE48"/>
  <c r="ID48"/>
  <c r="IC48"/>
  <c r="IM47"/>
  <c r="IL47"/>
  <c r="IK47"/>
  <c r="IJ47"/>
  <c r="IF47"/>
  <c r="IE47"/>
  <c r="ID47"/>
  <c r="IC47"/>
  <c r="IM46"/>
  <c r="IL46"/>
  <c r="IK46"/>
  <c r="IJ46"/>
  <c r="IF46"/>
  <c r="IE46"/>
  <c r="ID46"/>
  <c r="IC46"/>
  <c r="IM45"/>
  <c r="IL45"/>
  <c r="IK45"/>
  <c r="IJ45"/>
  <c r="IF45"/>
  <c r="IE45"/>
  <c r="ID45"/>
  <c r="IC45"/>
  <c r="IM44"/>
  <c r="IL44"/>
  <c r="IK44"/>
  <c r="IJ44"/>
  <c r="IF44"/>
  <c r="IE44"/>
  <c r="ID44"/>
  <c r="IC44"/>
  <c r="IM43"/>
  <c r="IL43"/>
  <c r="IK43"/>
  <c r="IJ43"/>
  <c r="IF43"/>
  <c r="IE43"/>
  <c r="ID43"/>
  <c r="IC43"/>
  <c r="IM42"/>
  <c r="IL42"/>
  <c r="IK42"/>
  <c r="IJ42"/>
  <c r="IF42"/>
  <c r="IE42"/>
  <c r="ID42"/>
  <c r="IC42"/>
  <c r="IM41"/>
  <c r="IL41"/>
  <c r="IK41"/>
  <c r="IJ41"/>
  <c r="IF41"/>
  <c r="IE41"/>
  <c r="ID41"/>
  <c r="IC41"/>
  <c r="IM40"/>
  <c r="IL40"/>
  <c r="IK40"/>
  <c r="IJ40"/>
  <c r="IF40"/>
  <c r="IE40"/>
  <c r="ID40"/>
  <c r="IC40"/>
  <c r="IM39"/>
  <c r="IL39"/>
  <c r="IK39"/>
  <c r="IJ39"/>
  <c r="IF39"/>
  <c r="IE39"/>
  <c r="ID39"/>
  <c r="IC39"/>
  <c r="IM38"/>
  <c r="IL38"/>
  <c r="IK38"/>
  <c r="IJ38"/>
  <c r="IF38"/>
  <c r="IE38"/>
  <c r="ID38"/>
  <c r="IC38"/>
  <c r="IM37"/>
  <c r="IL37"/>
  <c r="IK37"/>
  <c r="IJ37"/>
  <c r="IF37"/>
  <c r="IE37"/>
  <c r="ID37"/>
  <c r="IC37"/>
  <c r="IM36"/>
  <c r="IL36"/>
  <c r="IK36"/>
  <c r="IJ36"/>
  <c r="IF36"/>
  <c r="IE36"/>
  <c r="ID36"/>
  <c r="IC36"/>
  <c r="IM35"/>
  <c r="IL35"/>
  <c r="IK35"/>
  <c r="IJ35"/>
  <c r="IF35"/>
  <c r="IE35"/>
  <c r="ID35"/>
  <c r="IC35"/>
  <c r="IM34"/>
  <c r="IL34"/>
  <c r="IK34"/>
  <c r="IJ34"/>
  <c r="IF34"/>
  <c r="IE34"/>
  <c r="ID34"/>
  <c r="IC34"/>
  <c r="IM33"/>
  <c r="IL33"/>
  <c r="IK33"/>
  <c r="IJ33"/>
  <c r="IF33"/>
  <c r="IE33"/>
  <c r="ID33"/>
  <c r="IC33"/>
  <c r="IM32"/>
  <c r="IL32"/>
  <c r="IK32"/>
  <c r="IJ32"/>
  <c r="IF32"/>
  <c r="IE32"/>
  <c r="ID32"/>
  <c r="IC32"/>
  <c r="IM31"/>
  <c r="IL31"/>
  <c r="IK31"/>
  <c r="IJ31"/>
  <c r="IF31"/>
  <c r="IE31"/>
  <c r="ID31"/>
  <c r="IC31"/>
  <c r="IM30"/>
  <c r="IL30"/>
  <c r="IK30"/>
  <c r="IJ30"/>
  <c r="IF30"/>
  <c r="IE30"/>
  <c r="ID30"/>
  <c r="IC30"/>
  <c r="IM29"/>
  <c r="IL29"/>
  <c r="IK29"/>
  <c r="IJ29"/>
  <c r="IF29"/>
  <c r="IE29"/>
  <c r="ID29"/>
  <c r="IC29"/>
  <c r="IM28"/>
  <c r="IL28"/>
  <c r="IK28"/>
  <c r="IJ28"/>
  <c r="IF28"/>
  <c r="IE28"/>
  <c r="ID28"/>
  <c r="IC28"/>
  <c r="IM27"/>
  <c r="IL27"/>
  <c r="IK27"/>
  <c r="IJ27"/>
  <c r="IF27"/>
  <c r="IE27"/>
  <c r="ID27"/>
  <c r="IC27"/>
  <c r="IM26"/>
  <c r="IL26"/>
  <c r="IK26"/>
  <c r="IJ26"/>
  <c r="IF26"/>
  <c r="IE26"/>
  <c r="ID26"/>
  <c r="IC26"/>
  <c r="IM25"/>
  <c r="IL25"/>
  <c r="IK25"/>
  <c r="IJ25"/>
  <c r="IF25"/>
  <c r="IE25"/>
  <c r="ID25"/>
  <c r="IC25"/>
  <c r="IM24"/>
  <c r="IL24"/>
  <c r="IK24"/>
  <c r="IJ24"/>
  <c r="IF24"/>
  <c r="IE24"/>
  <c r="ID24"/>
  <c r="IC24"/>
  <c r="IM23"/>
  <c r="IL23"/>
  <c r="IK23"/>
  <c r="IJ23"/>
  <c r="IF23"/>
  <c r="IE23"/>
  <c r="ID23"/>
  <c r="IC23"/>
  <c r="IM22"/>
  <c r="IL22"/>
  <c r="IK22"/>
  <c r="IJ22"/>
  <c r="IF22"/>
  <c r="IE22"/>
  <c r="ID22"/>
  <c r="IC22"/>
  <c r="IM21"/>
  <c r="IL21"/>
  <c r="IK21"/>
  <c r="IJ21"/>
  <c r="IF21"/>
  <c r="IE21"/>
  <c r="ID21"/>
  <c r="IC21"/>
  <c r="IM20"/>
  <c r="IL20"/>
  <c r="IK20"/>
  <c r="IJ20"/>
  <c r="IF20"/>
  <c r="IE20"/>
  <c r="ID20"/>
  <c r="IC20"/>
  <c r="IM19"/>
  <c r="IL19"/>
  <c r="IK19"/>
  <c r="IJ19"/>
  <c r="IF19"/>
  <c r="IE19"/>
  <c r="ID19"/>
  <c r="IC19"/>
  <c r="IM18"/>
  <c r="IL18"/>
  <c r="IK18"/>
  <c r="IJ18"/>
  <c r="IF18"/>
  <c r="IE18"/>
  <c r="ID18"/>
  <c r="IC18"/>
  <c r="IM17"/>
  <c r="IL17"/>
  <c r="IK17"/>
  <c r="IJ17"/>
  <c r="IF17"/>
  <c r="IE17"/>
  <c r="ID17"/>
  <c r="IC17"/>
  <c r="IM16"/>
  <c r="IL16"/>
  <c r="IK16"/>
  <c r="IJ16"/>
  <c r="IF16"/>
  <c r="IE16"/>
  <c r="ID16"/>
  <c r="IC16"/>
  <c r="IM15"/>
  <c r="IL15"/>
  <c r="IK15"/>
  <c r="IJ15"/>
  <c r="IF15"/>
  <c r="IE15"/>
  <c r="ID15"/>
  <c r="IC15"/>
  <c r="IM14"/>
  <c r="IL14"/>
  <c r="IK14"/>
  <c r="IJ14"/>
  <c r="IF14"/>
  <c r="IE14"/>
  <c r="ID14"/>
  <c r="IC14"/>
  <c r="IM13"/>
  <c r="IL13"/>
  <c r="IK13"/>
  <c r="IJ13"/>
  <c r="IF13"/>
  <c r="IE13"/>
  <c r="ID13"/>
  <c r="IC13"/>
  <c r="IM12"/>
  <c r="IL12"/>
  <c r="IK12"/>
  <c r="IJ12"/>
  <c r="IF12"/>
  <c r="IE12"/>
  <c r="ID12"/>
  <c r="IC12"/>
  <c r="IM11"/>
  <c r="IL11"/>
  <c r="IK11"/>
  <c r="IJ11"/>
  <c r="IF11"/>
  <c r="IE11"/>
  <c r="ID11"/>
  <c r="IC11"/>
  <c r="IM10"/>
  <c r="IL10"/>
  <c r="IK10"/>
  <c r="IJ10"/>
  <c r="IF10"/>
  <c r="IE10"/>
  <c r="ID10"/>
  <c r="IC10"/>
  <c r="IM9"/>
  <c r="IL9"/>
  <c r="IK9"/>
  <c r="IJ9"/>
  <c r="IF9"/>
  <c r="IE9"/>
  <c r="ID9"/>
  <c r="IC9"/>
  <c r="IM8"/>
  <c r="IL8"/>
  <c r="IK8"/>
  <c r="IJ8"/>
  <c r="IF8"/>
  <c r="IE8"/>
  <c r="ID8"/>
  <c r="IC8"/>
  <c r="IM7"/>
  <c r="IL7"/>
  <c r="IK7"/>
  <c r="IJ7"/>
  <c r="IF7"/>
  <c r="IE7"/>
  <c r="ID7"/>
  <c r="IC7"/>
  <c r="IM6"/>
  <c r="IL6"/>
  <c r="IK6"/>
  <c r="IJ6"/>
  <c r="IF6"/>
  <c r="IE6"/>
  <c r="ID6"/>
  <c r="IC6"/>
  <c r="IM5"/>
  <c r="IL5"/>
  <c r="IK5"/>
  <c r="IJ5"/>
  <c r="IE5"/>
  <c r="ID5"/>
  <c r="IC5"/>
  <c r="HT6"/>
  <c r="HU6"/>
  <c r="HV6"/>
  <c r="HT7"/>
  <c r="HU7"/>
  <c r="HV7"/>
  <c r="HT8"/>
  <c r="HU8"/>
  <c r="HV8"/>
  <c r="HT9"/>
  <c r="HU9"/>
  <c r="HV9"/>
  <c r="HT10"/>
  <c r="HU10"/>
  <c r="HV10"/>
  <c r="HT11"/>
  <c r="HU11"/>
  <c r="HV11"/>
  <c r="HT12"/>
  <c r="HU12"/>
  <c r="HV12"/>
  <c r="HT13"/>
  <c r="HU13"/>
  <c r="HV13"/>
  <c r="HT14"/>
  <c r="HU14"/>
  <c r="HV14"/>
  <c r="HT15"/>
  <c r="HU15"/>
  <c r="HV15"/>
  <c r="HT16"/>
  <c r="HU16"/>
  <c r="HV16"/>
  <c r="HT17"/>
  <c r="HU17"/>
  <c r="HV17"/>
  <c r="HT18"/>
  <c r="HU18"/>
  <c r="HV18"/>
  <c r="HT19"/>
  <c r="HU19"/>
  <c r="HV19"/>
  <c r="HT20"/>
  <c r="HU20"/>
  <c r="HV20"/>
  <c r="HT21"/>
  <c r="HU21"/>
  <c r="HV21"/>
  <c r="HT22"/>
  <c r="HU22"/>
  <c r="HV22"/>
  <c r="HT23"/>
  <c r="HU23"/>
  <c r="HV23"/>
  <c r="HT24"/>
  <c r="HU24"/>
  <c r="HV24"/>
  <c r="HT25"/>
  <c r="HU25"/>
  <c r="HV25"/>
  <c r="HT26"/>
  <c r="HU26"/>
  <c r="HV26"/>
  <c r="HT27"/>
  <c r="HU27"/>
  <c r="HV27"/>
  <c r="HT28"/>
  <c r="HU28"/>
  <c r="HV28"/>
  <c r="HT29"/>
  <c r="HU29"/>
  <c r="HV29"/>
  <c r="HT30"/>
  <c r="HU30"/>
  <c r="HV30"/>
  <c r="HT31"/>
  <c r="HU31"/>
  <c r="HV31"/>
  <c r="HT32"/>
  <c r="HU32"/>
  <c r="HV32"/>
  <c r="HT33"/>
  <c r="HU33"/>
  <c r="HV33"/>
  <c r="HT34"/>
  <c r="HU34"/>
  <c r="HV34"/>
  <c r="HT35"/>
  <c r="HU35"/>
  <c r="HV35"/>
  <c r="HT36"/>
  <c r="HU36"/>
  <c r="HV36"/>
  <c r="HT37"/>
  <c r="HU37"/>
  <c r="HV37"/>
  <c r="HT38"/>
  <c r="HU38"/>
  <c r="HV38"/>
  <c r="HT39"/>
  <c r="HU39"/>
  <c r="HV39"/>
  <c r="HT40"/>
  <c r="HU40"/>
  <c r="HV40"/>
  <c r="HT41"/>
  <c r="HU41"/>
  <c r="HV41"/>
  <c r="HT42"/>
  <c r="HU42"/>
  <c r="HV42"/>
  <c r="HT43"/>
  <c r="HU43"/>
  <c r="HV43"/>
  <c r="HT44"/>
  <c r="HU44"/>
  <c r="HV44"/>
  <c r="HT45"/>
  <c r="HU45"/>
  <c r="HV45"/>
  <c r="HT46"/>
  <c r="HU46"/>
  <c r="HV46"/>
  <c r="HT47"/>
  <c r="HU47"/>
  <c r="HV47"/>
  <c r="HT48"/>
  <c r="HU48"/>
  <c r="HV48"/>
  <c r="HT49"/>
  <c r="HU49"/>
  <c r="HV49"/>
  <c r="HT50"/>
  <c r="HU50"/>
  <c r="HV50"/>
  <c r="HT51"/>
  <c r="HU51"/>
  <c r="HV51"/>
  <c r="HT52"/>
  <c r="HU52"/>
  <c r="HV52"/>
  <c r="HT53"/>
  <c r="HU53"/>
  <c r="HV53"/>
  <c r="HT54"/>
  <c r="HU54"/>
  <c r="HV54"/>
  <c r="HT55"/>
  <c r="HU55"/>
  <c r="HV55"/>
  <c r="HT56"/>
  <c r="HU56"/>
  <c r="HV56"/>
  <c r="HT57"/>
  <c r="HU57"/>
  <c r="HV57"/>
  <c r="HT58"/>
  <c r="HU58"/>
  <c r="HV58"/>
  <c r="HT59"/>
  <c r="HU59"/>
  <c r="HV59"/>
  <c r="HT60"/>
  <c r="HU60"/>
  <c r="HV60"/>
  <c r="HT61"/>
  <c r="HU61"/>
  <c r="HV61"/>
  <c r="HT62"/>
  <c r="HU62"/>
  <c r="HV62"/>
  <c r="HT63"/>
  <c r="HU63"/>
  <c r="HV63"/>
  <c r="HT64"/>
  <c r="HU64"/>
  <c r="HV64"/>
  <c r="HT65"/>
  <c r="HU65"/>
  <c r="HV65"/>
  <c r="HT66"/>
  <c r="HU66"/>
  <c r="HV66"/>
  <c r="HT67"/>
  <c r="HU67"/>
  <c r="HV67"/>
  <c r="HT68"/>
  <c r="HU68"/>
  <c r="HV68"/>
  <c r="HT69"/>
  <c r="HU69"/>
  <c r="HV69"/>
  <c r="HT70"/>
  <c r="HU70"/>
  <c r="HV70"/>
  <c r="HV5"/>
  <c r="HT5"/>
  <c r="HU5"/>
  <c r="HS5"/>
  <c r="HZ70"/>
  <c r="HY70"/>
  <c r="HX70"/>
  <c r="HW70"/>
  <c r="HS70"/>
  <c r="HR70"/>
  <c r="HQ70"/>
  <c r="HP70"/>
  <c r="HZ69"/>
  <c r="HY69"/>
  <c r="HX69"/>
  <c r="HW69"/>
  <c r="HS69"/>
  <c r="HR69"/>
  <c r="HQ69"/>
  <c r="HP69"/>
  <c r="HZ68"/>
  <c r="HY68"/>
  <c r="HX68"/>
  <c r="HW68"/>
  <c r="HS68"/>
  <c r="HR68"/>
  <c r="HQ68"/>
  <c r="HP68"/>
  <c r="HZ67"/>
  <c r="HY67"/>
  <c r="HX67"/>
  <c r="HW67"/>
  <c r="HS67"/>
  <c r="HR67"/>
  <c r="HQ67"/>
  <c r="HP67"/>
  <c r="HZ66"/>
  <c r="HY66"/>
  <c r="HX66"/>
  <c r="HW66"/>
  <c r="HS66"/>
  <c r="HR66"/>
  <c r="HQ66"/>
  <c r="HP66"/>
  <c r="HZ65"/>
  <c r="HY65"/>
  <c r="HX65"/>
  <c r="HW65"/>
  <c r="HS65"/>
  <c r="HR65"/>
  <c r="HQ65"/>
  <c r="HP65"/>
  <c r="HZ64"/>
  <c r="HY64"/>
  <c r="HX64"/>
  <c r="HW64"/>
  <c r="HS64"/>
  <c r="HR64"/>
  <c r="HQ64"/>
  <c r="HP64"/>
  <c r="HZ63"/>
  <c r="HY63"/>
  <c r="HX63"/>
  <c r="HW63"/>
  <c r="HS63"/>
  <c r="HR63"/>
  <c r="HQ63"/>
  <c r="HP63"/>
  <c r="HZ62"/>
  <c r="HY62"/>
  <c r="HX62"/>
  <c r="HW62"/>
  <c r="HS62"/>
  <c r="HR62"/>
  <c r="HQ62"/>
  <c r="HP62"/>
  <c r="HZ61"/>
  <c r="HY61"/>
  <c r="HX61"/>
  <c r="HW61"/>
  <c r="HS61"/>
  <c r="HR61"/>
  <c r="HQ61"/>
  <c r="HP61"/>
  <c r="HZ60"/>
  <c r="HY60"/>
  <c r="HX60"/>
  <c r="HW60"/>
  <c r="HS60"/>
  <c r="HR60"/>
  <c r="HQ60"/>
  <c r="HP60"/>
  <c r="HZ59"/>
  <c r="HY59"/>
  <c r="HX59"/>
  <c r="HW59"/>
  <c r="HS59"/>
  <c r="HR59"/>
  <c r="HQ59"/>
  <c r="HP59"/>
  <c r="HZ58"/>
  <c r="HY58"/>
  <c r="HX58"/>
  <c r="HW58"/>
  <c r="HS58"/>
  <c r="HR58"/>
  <c r="HQ58"/>
  <c r="HP58"/>
  <c r="HZ57"/>
  <c r="HY57"/>
  <c r="HX57"/>
  <c r="HW57"/>
  <c r="HS57"/>
  <c r="HR57"/>
  <c r="HQ57"/>
  <c r="HP57"/>
  <c r="HZ56"/>
  <c r="HY56"/>
  <c r="HX56"/>
  <c r="HW56"/>
  <c r="HS56"/>
  <c r="HR56"/>
  <c r="HQ56"/>
  <c r="HP56"/>
  <c r="HZ55"/>
  <c r="HY55"/>
  <c r="HX55"/>
  <c r="HW55"/>
  <c r="HS55"/>
  <c r="HR55"/>
  <c r="HQ55"/>
  <c r="HP55"/>
  <c r="HZ54"/>
  <c r="HY54"/>
  <c r="HX54"/>
  <c r="HW54"/>
  <c r="HS54"/>
  <c r="HR54"/>
  <c r="HQ54"/>
  <c r="HP54"/>
  <c r="HZ53"/>
  <c r="HY53"/>
  <c r="HX53"/>
  <c r="HW53"/>
  <c r="HS53"/>
  <c r="HR53"/>
  <c r="HQ53"/>
  <c r="HP53"/>
  <c r="HZ52"/>
  <c r="HY52"/>
  <c r="HX52"/>
  <c r="HW52"/>
  <c r="HS52"/>
  <c r="HR52"/>
  <c r="HQ52"/>
  <c r="HP52"/>
  <c r="HZ51"/>
  <c r="HY51"/>
  <c r="HX51"/>
  <c r="HW51"/>
  <c r="HS51"/>
  <c r="HR51"/>
  <c r="HQ51"/>
  <c r="HP51"/>
  <c r="HZ50"/>
  <c r="HY50"/>
  <c r="HX50"/>
  <c r="HW50"/>
  <c r="HS50"/>
  <c r="HR50"/>
  <c r="HQ50"/>
  <c r="HP50"/>
  <c r="HZ49"/>
  <c r="HY49"/>
  <c r="HX49"/>
  <c r="HW49"/>
  <c r="HS49"/>
  <c r="HR49"/>
  <c r="HQ49"/>
  <c r="HP49"/>
  <c r="HZ48"/>
  <c r="HY48"/>
  <c r="HX48"/>
  <c r="HW48"/>
  <c r="HS48"/>
  <c r="HR48"/>
  <c r="HQ48"/>
  <c r="HP48"/>
  <c r="HZ47"/>
  <c r="HY47"/>
  <c r="HX47"/>
  <c r="HW47"/>
  <c r="HS47"/>
  <c r="HR47"/>
  <c r="HQ47"/>
  <c r="HP47"/>
  <c r="HZ46"/>
  <c r="HY46"/>
  <c r="HX46"/>
  <c r="HW46"/>
  <c r="HS46"/>
  <c r="HR46"/>
  <c r="HQ46"/>
  <c r="HP46"/>
  <c r="HZ45"/>
  <c r="HY45"/>
  <c r="HX45"/>
  <c r="HW45"/>
  <c r="HS45"/>
  <c r="HR45"/>
  <c r="HQ45"/>
  <c r="HP45"/>
  <c r="HZ44"/>
  <c r="HY44"/>
  <c r="HX44"/>
  <c r="HW44"/>
  <c r="HS44"/>
  <c r="HR44"/>
  <c r="HQ44"/>
  <c r="HP44"/>
  <c r="HZ43"/>
  <c r="HY43"/>
  <c r="HX43"/>
  <c r="HW43"/>
  <c r="HS43"/>
  <c r="HR43"/>
  <c r="HQ43"/>
  <c r="HP43"/>
  <c r="HZ42"/>
  <c r="HY42"/>
  <c r="HX42"/>
  <c r="HW42"/>
  <c r="HS42"/>
  <c r="HR42"/>
  <c r="HQ42"/>
  <c r="HP42"/>
  <c r="HZ41"/>
  <c r="HY41"/>
  <c r="HX41"/>
  <c r="HW41"/>
  <c r="HS41"/>
  <c r="HR41"/>
  <c r="HQ41"/>
  <c r="HP41"/>
  <c r="HZ40"/>
  <c r="HY40"/>
  <c r="HX40"/>
  <c r="HW40"/>
  <c r="HS40"/>
  <c r="HR40"/>
  <c r="HQ40"/>
  <c r="HP40"/>
  <c r="HZ39"/>
  <c r="HY39"/>
  <c r="HX39"/>
  <c r="HW39"/>
  <c r="HS39"/>
  <c r="HR39"/>
  <c r="HQ39"/>
  <c r="HP39"/>
  <c r="HZ38"/>
  <c r="HY38"/>
  <c r="HX38"/>
  <c r="HW38"/>
  <c r="HS38"/>
  <c r="HR38"/>
  <c r="HQ38"/>
  <c r="HP38"/>
  <c r="HZ37"/>
  <c r="HY37"/>
  <c r="HX37"/>
  <c r="HW37"/>
  <c r="HS37"/>
  <c r="HR37"/>
  <c r="HQ37"/>
  <c r="HP37"/>
  <c r="HZ36"/>
  <c r="HY36"/>
  <c r="HX36"/>
  <c r="HW36"/>
  <c r="HS36"/>
  <c r="HR36"/>
  <c r="HQ36"/>
  <c r="HP36"/>
  <c r="HZ35"/>
  <c r="HY35"/>
  <c r="HX35"/>
  <c r="HW35"/>
  <c r="HS35"/>
  <c r="HR35"/>
  <c r="HQ35"/>
  <c r="HP35"/>
  <c r="HZ34"/>
  <c r="HY34"/>
  <c r="HX34"/>
  <c r="HW34"/>
  <c r="HS34"/>
  <c r="HR34"/>
  <c r="HQ34"/>
  <c r="HP34"/>
  <c r="HZ33"/>
  <c r="HY33"/>
  <c r="HX33"/>
  <c r="HW33"/>
  <c r="HS33"/>
  <c r="HR33"/>
  <c r="HQ33"/>
  <c r="HP33"/>
  <c r="HZ32"/>
  <c r="HY32"/>
  <c r="HX32"/>
  <c r="HW32"/>
  <c r="HS32"/>
  <c r="HR32"/>
  <c r="HQ32"/>
  <c r="HP32"/>
  <c r="HZ31"/>
  <c r="HY31"/>
  <c r="HX31"/>
  <c r="HW31"/>
  <c r="HS31"/>
  <c r="HR31"/>
  <c r="HQ31"/>
  <c r="HP31"/>
  <c r="HZ30"/>
  <c r="HY30"/>
  <c r="HX30"/>
  <c r="HW30"/>
  <c r="HS30"/>
  <c r="HR30"/>
  <c r="HQ30"/>
  <c r="HP30"/>
  <c r="HZ29"/>
  <c r="HY29"/>
  <c r="HX29"/>
  <c r="HW29"/>
  <c r="HS29"/>
  <c r="HR29"/>
  <c r="HQ29"/>
  <c r="HP29"/>
  <c r="HZ28"/>
  <c r="HY28"/>
  <c r="HX28"/>
  <c r="HW28"/>
  <c r="HS28"/>
  <c r="HR28"/>
  <c r="HQ28"/>
  <c r="HP28"/>
  <c r="HZ27"/>
  <c r="HY27"/>
  <c r="HX27"/>
  <c r="HW27"/>
  <c r="HS27"/>
  <c r="HR27"/>
  <c r="HQ27"/>
  <c r="HP27"/>
  <c r="HZ26"/>
  <c r="HY26"/>
  <c r="HX26"/>
  <c r="HW26"/>
  <c r="HS26"/>
  <c r="HR26"/>
  <c r="HQ26"/>
  <c r="HP26"/>
  <c r="HZ25"/>
  <c r="HY25"/>
  <c r="HX25"/>
  <c r="HW25"/>
  <c r="HS25"/>
  <c r="HR25"/>
  <c r="HQ25"/>
  <c r="HP25"/>
  <c r="HZ24"/>
  <c r="HY24"/>
  <c r="HX24"/>
  <c r="HW24"/>
  <c r="HS24"/>
  <c r="HR24"/>
  <c r="HQ24"/>
  <c r="HP24"/>
  <c r="HZ23"/>
  <c r="HY23"/>
  <c r="HX23"/>
  <c r="HW23"/>
  <c r="HS23"/>
  <c r="HR23"/>
  <c r="HQ23"/>
  <c r="HP23"/>
  <c r="HZ22"/>
  <c r="HY22"/>
  <c r="HX22"/>
  <c r="HW22"/>
  <c r="HS22"/>
  <c r="HR22"/>
  <c r="HQ22"/>
  <c r="HP22"/>
  <c r="HZ21"/>
  <c r="HY21"/>
  <c r="HX21"/>
  <c r="HW21"/>
  <c r="HS21"/>
  <c r="HR21"/>
  <c r="HQ21"/>
  <c r="HP21"/>
  <c r="HZ20"/>
  <c r="HY20"/>
  <c r="HX20"/>
  <c r="HW20"/>
  <c r="HS20"/>
  <c r="HR20"/>
  <c r="HQ20"/>
  <c r="HP20"/>
  <c r="HZ19"/>
  <c r="HY19"/>
  <c r="HX19"/>
  <c r="HW19"/>
  <c r="HS19"/>
  <c r="HR19"/>
  <c r="HQ19"/>
  <c r="HP19"/>
  <c r="HZ18"/>
  <c r="HY18"/>
  <c r="HX18"/>
  <c r="HW18"/>
  <c r="HS18"/>
  <c r="HR18"/>
  <c r="HQ18"/>
  <c r="HP18"/>
  <c r="HZ17"/>
  <c r="HY17"/>
  <c r="HX17"/>
  <c r="HW17"/>
  <c r="HS17"/>
  <c r="HR17"/>
  <c r="HQ17"/>
  <c r="HP17"/>
  <c r="HZ16"/>
  <c r="HY16"/>
  <c r="HX16"/>
  <c r="HW16"/>
  <c r="HS16"/>
  <c r="HR16"/>
  <c r="HQ16"/>
  <c r="HP16"/>
  <c r="HZ15"/>
  <c r="HY15"/>
  <c r="HX15"/>
  <c r="HW15"/>
  <c r="HS15"/>
  <c r="HR15"/>
  <c r="HQ15"/>
  <c r="HP15"/>
  <c r="HZ14"/>
  <c r="HY14"/>
  <c r="HX14"/>
  <c r="HW14"/>
  <c r="HS14"/>
  <c r="HR14"/>
  <c r="HQ14"/>
  <c r="HP14"/>
  <c r="HZ13"/>
  <c r="HY13"/>
  <c r="HX13"/>
  <c r="HW13"/>
  <c r="HS13"/>
  <c r="HR13"/>
  <c r="HQ13"/>
  <c r="HP13"/>
  <c r="HZ12"/>
  <c r="HY12"/>
  <c r="HX12"/>
  <c r="HW12"/>
  <c r="HS12"/>
  <c r="HR12"/>
  <c r="HQ12"/>
  <c r="HP12"/>
  <c r="HZ11"/>
  <c r="HY11"/>
  <c r="HX11"/>
  <c r="HW11"/>
  <c r="HS11"/>
  <c r="HR11"/>
  <c r="HQ11"/>
  <c r="HP11"/>
  <c r="HZ10"/>
  <c r="HY10"/>
  <c r="HX10"/>
  <c r="HW10"/>
  <c r="HS10"/>
  <c r="HR10"/>
  <c r="HQ10"/>
  <c r="HP10"/>
  <c r="HZ9"/>
  <c r="HY9"/>
  <c r="HX9"/>
  <c r="HW9"/>
  <c r="HS9"/>
  <c r="HR9"/>
  <c r="HQ9"/>
  <c r="HP9"/>
  <c r="HZ8"/>
  <c r="HY8"/>
  <c r="HX8"/>
  <c r="HW8"/>
  <c r="HS8"/>
  <c r="HR8"/>
  <c r="HQ8"/>
  <c r="HP8"/>
  <c r="HZ7"/>
  <c r="HY7"/>
  <c r="HX7"/>
  <c r="HW7"/>
  <c r="HS7"/>
  <c r="HR7"/>
  <c r="HQ7"/>
  <c r="HP7"/>
  <c r="HZ6"/>
  <c r="HY6"/>
  <c r="HX6"/>
  <c r="HW6"/>
  <c r="HS6"/>
  <c r="HR6"/>
  <c r="HQ6"/>
  <c r="HP6"/>
  <c r="HZ5"/>
  <c r="HY5"/>
  <c r="HX5"/>
  <c r="HW5"/>
  <c r="HR5"/>
  <c r="HQ5"/>
  <c r="HP5"/>
  <c r="HG6"/>
  <c r="HH6"/>
  <c r="HI6"/>
  <c r="HG7"/>
  <c r="HH7"/>
  <c r="HI7"/>
  <c r="HG8"/>
  <c r="HH8"/>
  <c r="HI8"/>
  <c r="HG9"/>
  <c r="HH9"/>
  <c r="HI9"/>
  <c r="HG10"/>
  <c r="HH10"/>
  <c r="HI10"/>
  <c r="HG11"/>
  <c r="HH11"/>
  <c r="HI11"/>
  <c r="HG12"/>
  <c r="HH12"/>
  <c r="HI12"/>
  <c r="HG13"/>
  <c r="HH13"/>
  <c r="HI13"/>
  <c r="HG14"/>
  <c r="HH14"/>
  <c r="HI14"/>
  <c r="HG15"/>
  <c r="HH15"/>
  <c r="HI15"/>
  <c r="HG16"/>
  <c r="HH16"/>
  <c r="HI16"/>
  <c r="HG17"/>
  <c r="HH17"/>
  <c r="HI17"/>
  <c r="HG18"/>
  <c r="HH18"/>
  <c r="HI18"/>
  <c r="HG19"/>
  <c r="HH19"/>
  <c r="HI19"/>
  <c r="HG20"/>
  <c r="HH20"/>
  <c r="HI20"/>
  <c r="HG21"/>
  <c r="HH21"/>
  <c r="HI21"/>
  <c r="HG22"/>
  <c r="HH22"/>
  <c r="HI22"/>
  <c r="HG23"/>
  <c r="HH23"/>
  <c r="HI23"/>
  <c r="HG24"/>
  <c r="HH24"/>
  <c r="HI24"/>
  <c r="HG25"/>
  <c r="HH25"/>
  <c r="HI25"/>
  <c r="HG26"/>
  <c r="HH26"/>
  <c r="HI26"/>
  <c r="HG27"/>
  <c r="HH27"/>
  <c r="HI27"/>
  <c r="HG28"/>
  <c r="HH28"/>
  <c r="HI28"/>
  <c r="HG29"/>
  <c r="HH29"/>
  <c r="HI29"/>
  <c r="HG30"/>
  <c r="HH30"/>
  <c r="HI30"/>
  <c r="HG31"/>
  <c r="HH31"/>
  <c r="HI31"/>
  <c r="HG32"/>
  <c r="HH32"/>
  <c r="HI32"/>
  <c r="HG33"/>
  <c r="HH33"/>
  <c r="HI33"/>
  <c r="HG34"/>
  <c r="HH34"/>
  <c r="HI34"/>
  <c r="HG35"/>
  <c r="HH35"/>
  <c r="HI35"/>
  <c r="HG36"/>
  <c r="HH36"/>
  <c r="HI36"/>
  <c r="HG37"/>
  <c r="HH37"/>
  <c r="HI37"/>
  <c r="HG38"/>
  <c r="HH38"/>
  <c r="HI38"/>
  <c r="HG39"/>
  <c r="HH39"/>
  <c r="HI39"/>
  <c r="HG40"/>
  <c r="HH40"/>
  <c r="HI40"/>
  <c r="HG41"/>
  <c r="HH41"/>
  <c r="HI41"/>
  <c r="HG42"/>
  <c r="HH42"/>
  <c r="HI42"/>
  <c r="HG43"/>
  <c r="HH43"/>
  <c r="HI43"/>
  <c r="HG44"/>
  <c r="HH44"/>
  <c r="HI44"/>
  <c r="HG45"/>
  <c r="HH45"/>
  <c r="HI45"/>
  <c r="HG46"/>
  <c r="HH46"/>
  <c r="HI46"/>
  <c r="HG47"/>
  <c r="HH47"/>
  <c r="HI47"/>
  <c r="HG48"/>
  <c r="HH48"/>
  <c r="HI48"/>
  <c r="HG49"/>
  <c r="HH49"/>
  <c r="HI49"/>
  <c r="HG50"/>
  <c r="HH50"/>
  <c r="HI50"/>
  <c r="HG51"/>
  <c r="HH51"/>
  <c r="HI51"/>
  <c r="HG52"/>
  <c r="HH52"/>
  <c r="HI52"/>
  <c r="HG53"/>
  <c r="HH53"/>
  <c r="HI53"/>
  <c r="HG54"/>
  <c r="HH54"/>
  <c r="HI54"/>
  <c r="HG55"/>
  <c r="HH55"/>
  <c r="HI55"/>
  <c r="HG56"/>
  <c r="HH56"/>
  <c r="HI56"/>
  <c r="HG57"/>
  <c r="HH57"/>
  <c r="HI57"/>
  <c r="HG58"/>
  <c r="HH58"/>
  <c r="HI58"/>
  <c r="HG59"/>
  <c r="HH59"/>
  <c r="HI59"/>
  <c r="HG60"/>
  <c r="HH60"/>
  <c r="HI60"/>
  <c r="HG61"/>
  <c r="HH61"/>
  <c r="HI61"/>
  <c r="HG62"/>
  <c r="HH62"/>
  <c r="HI62"/>
  <c r="HG63"/>
  <c r="HH63"/>
  <c r="HI63"/>
  <c r="HG64"/>
  <c r="HH64"/>
  <c r="HI64"/>
  <c r="HG65"/>
  <c r="HH65"/>
  <c r="HI65"/>
  <c r="HG66"/>
  <c r="HH66"/>
  <c r="HI66"/>
  <c r="HG67"/>
  <c r="HH67"/>
  <c r="HI67"/>
  <c r="HG68"/>
  <c r="HH68"/>
  <c r="HI68"/>
  <c r="HG69"/>
  <c r="HH69"/>
  <c r="HI69"/>
  <c r="HG70"/>
  <c r="HH70"/>
  <c r="HI70"/>
  <c r="HG71"/>
  <c r="HH71"/>
  <c r="HI71"/>
  <c r="HG72"/>
  <c r="HH72"/>
  <c r="HI72"/>
  <c r="HG73"/>
  <c r="HH73"/>
  <c r="HI73"/>
  <c r="HG74"/>
  <c r="HH74"/>
  <c r="HI74"/>
  <c r="HG75"/>
  <c r="HH75"/>
  <c r="HI75"/>
  <c r="HG76"/>
  <c r="HH76"/>
  <c r="HI76"/>
  <c r="HG77"/>
  <c r="HH77"/>
  <c r="HI77"/>
  <c r="HG78"/>
  <c r="HH78"/>
  <c r="HI78"/>
  <c r="HG79"/>
  <c r="HH79"/>
  <c r="HI79"/>
  <c r="HG80"/>
  <c r="HH80"/>
  <c r="HI80"/>
  <c r="HG81"/>
  <c r="HH81"/>
  <c r="HI81"/>
  <c r="HG82"/>
  <c r="HH82"/>
  <c r="HI82"/>
  <c r="HG83"/>
  <c r="HH83"/>
  <c r="HI83"/>
  <c r="HG84"/>
  <c r="HH84"/>
  <c r="HI84"/>
  <c r="HG85"/>
  <c r="HH85"/>
  <c r="HI85"/>
  <c r="HI5"/>
  <c r="HG5"/>
  <c r="HH5"/>
  <c r="HF5"/>
  <c r="HM85"/>
  <c r="HL85"/>
  <c r="HK85"/>
  <c r="HJ85"/>
  <c r="HF85"/>
  <c r="HE85"/>
  <c r="HD85"/>
  <c r="HC85"/>
  <c r="HM84"/>
  <c r="HL84"/>
  <c r="HK84"/>
  <c r="HJ84"/>
  <c r="HF84"/>
  <c r="HE84"/>
  <c r="HD84"/>
  <c r="HC84"/>
  <c r="HM83"/>
  <c r="HL83"/>
  <c r="HK83"/>
  <c r="HJ83"/>
  <c r="HF83"/>
  <c r="HE83"/>
  <c r="HD83"/>
  <c r="HC83"/>
  <c r="HM82"/>
  <c r="HL82"/>
  <c r="HK82"/>
  <c r="HJ82"/>
  <c r="HF82"/>
  <c r="HE82"/>
  <c r="HD82"/>
  <c r="HC82"/>
  <c r="HM81"/>
  <c r="HL81"/>
  <c r="HK81"/>
  <c r="HJ81"/>
  <c r="HF81"/>
  <c r="HE81"/>
  <c r="HD81"/>
  <c r="HC81"/>
  <c r="HM80"/>
  <c r="HL80"/>
  <c r="HK80"/>
  <c r="HJ80"/>
  <c r="HF80"/>
  <c r="HE80"/>
  <c r="HD80"/>
  <c r="HC80"/>
  <c r="HM79"/>
  <c r="HL79"/>
  <c r="HK79"/>
  <c r="HJ79"/>
  <c r="HF79"/>
  <c r="HE79"/>
  <c r="HD79"/>
  <c r="HC79"/>
  <c r="HM78"/>
  <c r="HL78"/>
  <c r="HK78"/>
  <c r="HJ78"/>
  <c r="HF78"/>
  <c r="HE78"/>
  <c r="HD78"/>
  <c r="HC78"/>
  <c r="HM77"/>
  <c r="HL77"/>
  <c r="HK77"/>
  <c r="HJ77"/>
  <c r="HF77"/>
  <c r="HE77"/>
  <c r="HD77"/>
  <c r="HC77"/>
  <c r="HM76"/>
  <c r="HL76"/>
  <c r="HK76"/>
  <c r="HJ76"/>
  <c r="HF76"/>
  <c r="HE76"/>
  <c r="HD76"/>
  <c r="HC76"/>
  <c r="HM75"/>
  <c r="HL75"/>
  <c r="HK75"/>
  <c r="HJ75"/>
  <c r="HF75"/>
  <c r="HE75"/>
  <c r="HD75"/>
  <c r="HC75"/>
  <c r="HM74"/>
  <c r="HL74"/>
  <c r="HK74"/>
  <c r="HJ74"/>
  <c r="HF74"/>
  <c r="HE74"/>
  <c r="HD74"/>
  <c r="HC74"/>
  <c r="HM73"/>
  <c r="HL73"/>
  <c r="HK73"/>
  <c r="HJ73"/>
  <c r="HF73"/>
  <c r="HE73"/>
  <c r="HD73"/>
  <c r="HC73"/>
  <c r="HM72"/>
  <c r="HL72"/>
  <c r="HK72"/>
  <c r="HJ72"/>
  <c r="HF72"/>
  <c r="HE72"/>
  <c r="HD72"/>
  <c r="HC72"/>
  <c r="HM71"/>
  <c r="HL71"/>
  <c r="HK71"/>
  <c r="HJ71"/>
  <c r="HF71"/>
  <c r="HE71"/>
  <c r="HD71"/>
  <c r="HC71"/>
  <c r="HM70"/>
  <c r="HL70"/>
  <c r="HK70"/>
  <c r="HJ70"/>
  <c r="HF70"/>
  <c r="HE70"/>
  <c r="HD70"/>
  <c r="HC70"/>
  <c r="HM69"/>
  <c r="HL69"/>
  <c r="HK69"/>
  <c r="HJ69"/>
  <c r="HF69"/>
  <c r="HE69"/>
  <c r="HD69"/>
  <c r="HC69"/>
  <c r="HM68"/>
  <c r="HL68"/>
  <c r="HK68"/>
  <c r="HJ68"/>
  <c r="HF68"/>
  <c r="HE68"/>
  <c r="HD68"/>
  <c r="HC68"/>
  <c r="HM67"/>
  <c r="HL67"/>
  <c r="HK67"/>
  <c r="HJ67"/>
  <c r="HF67"/>
  <c r="HE67"/>
  <c r="HD67"/>
  <c r="HC67"/>
  <c r="HM66"/>
  <c r="HL66"/>
  <c r="HK66"/>
  <c r="HJ66"/>
  <c r="HF66"/>
  <c r="HE66"/>
  <c r="HD66"/>
  <c r="HC66"/>
  <c r="HM65"/>
  <c r="HL65"/>
  <c r="HK65"/>
  <c r="HJ65"/>
  <c r="HF65"/>
  <c r="HE65"/>
  <c r="HD65"/>
  <c r="HC65"/>
  <c r="HM64"/>
  <c r="HL64"/>
  <c r="HK64"/>
  <c r="HJ64"/>
  <c r="HF64"/>
  <c r="HE64"/>
  <c r="HD64"/>
  <c r="HC64"/>
  <c r="HM63"/>
  <c r="HL63"/>
  <c r="HK63"/>
  <c r="HJ63"/>
  <c r="HF63"/>
  <c r="HE63"/>
  <c r="HD63"/>
  <c r="HC63"/>
  <c r="HM62"/>
  <c r="HL62"/>
  <c r="HK62"/>
  <c r="HJ62"/>
  <c r="HF62"/>
  <c r="HE62"/>
  <c r="HD62"/>
  <c r="HC62"/>
  <c r="HM61"/>
  <c r="HL61"/>
  <c r="HK61"/>
  <c r="HJ61"/>
  <c r="HF61"/>
  <c r="HE61"/>
  <c r="HD61"/>
  <c r="HC61"/>
  <c r="HM60"/>
  <c r="HL60"/>
  <c r="HK60"/>
  <c r="HJ60"/>
  <c r="HF60"/>
  <c r="HE60"/>
  <c r="HD60"/>
  <c r="HC60"/>
  <c r="HM59"/>
  <c r="HL59"/>
  <c r="HK59"/>
  <c r="HJ59"/>
  <c r="HF59"/>
  <c r="HE59"/>
  <c r="HD59"/>
  <c r="HC59"/>
  <c r="HM58"/>
  <c r="HL58"/>
  <c r="HK58"/>
  <c r="HJ58"/>
  <c r="HF58"/>
  <c r="HE58"/>
  <c r="HD58"/>
  <c r="HC58"/>
  <c r="HM57"/>
  <c r="HL57"/>
  <c r="HK57"/>
  <c r="HJ57"/>
  <c r="HF57"/>
  <c r="HE57"/>
  <c r="HD57"/>
  <c r="HC57"/>
  <c r="HM56"/>
  <c r="HL56"/>
  <c r="HK56"/>
  <c r="HJ56"/>
  <c r="HF56"/>
  <c r="HE56"/>
  <c r="HD56"/>
  <c r="HC56"/>
  <c r="HM55"/>
  <c r="HL55"/>
  <c r="HK55"/>
  <c r="HJ55"/>
  <c r="HF55"/>
  <c r="HE55"/>
  <c r="HD55"/>
  <c r="HC55"/>
  <c r="HM54"/>
  <c r="HL54"/>
  <c r="HK54"/>
  <c r="HJ54"/>
  <c r="HF54"/>
  <c r="HE54"/>
  <c r="HD54"/>
  <c r="HC54"/>
  <c r="HM53"/>
  <c r="HL53"/>
  <c r="HK53"/>
  <c r="HJ53"/>
  <c r="HF53"/>
  <c r="HE53"/>
  <c r="HD53"/>
  <c r="HC53"/>
  <c r="HM52"/>
  <c r="HL52"/>
  <c r="HK52"/>
  <c r="HJ52"/>
  <c r="HF52"/>
  <c r="HE52"/>
  <c r="HD52"/>
  <c r="HC52"/>
  <c r="HM51"/>
  <c r="HL51"/>
  <c r="HK51"/>
  <c r="HJ51"/>
  <c r="HF51"/>
  <c r="HE51"/>
  <c r="HD51"/>
  <c r="HC51"/>
  <c r="HM50"/>
  <c r="HL50"/>
  <c r="HK50"/>
  <c r="HJ50"/>
  <c r="HF50"/>
  <c r="HE50"/>
  <c r="HD50"/>
  <c r="HC50"/>
  <c r="HM49"/>
  <c r="HL49"/>
  <c r="HK49"/>
  <c r="HJ49"/>
  <c r="HF49"/>
  <c r="HE49"/>
  <c r="HD49"/>
  <c r="HC49"/>
  <c r="HM48"/>
  <c r="HL48"/>
  <c r="HK48"/>
  <c r="HJ48"/>
  <c r="HF48"/>
  <c r="HE48"/>
  <c r="HD48"/>
  <c r="HC48"/>
  <c r="HM47"/>
  <c r="HL47"/>
  <c r="HK47"/>
  <c r="HJ47"/>
  <c r="HF47"/>
  <c r="HE47"/>
  <c r="HD47"/>
  <c r="HC47"/>
  <c r="HM46"/>
  <c r="HL46"/>
  <c r="HK46"/>
  <c r="HJ46"/>
  <c r="HF46"/>
  <c r="HE46"/>
  <c r="HD46"/>
  <c r="HC46"/>
  <c r="HM45"/>
  <c r="HL45"/>
  <c r="HK45"/>
  <c r="HJ45"/>
  <c r="HF45"/>
  <c r="HE45"/>
  <c r="HD45"/>
  <c r="HC45"/>
  <c r="HM44"/>
  <c r="HL44"/>
  <c r="HK44"/>
  <c r="HJ44"/>
  <c r="HF44"/>
  <c r="HE44"/>
  <c r="HD44"/>
  <c r="HC44"/>
  <c r="HM43"/>
  <c r="HL43"/>
  <c r="HK43"/>
  <c r="HJ43"/>
  <c r="HF43"/>
  <c r="HE43"/>
  <c r="HD43"/>
  <c r="HC43"/>
  <c r="HM42"/>
  <c r="HL42"/>
  <c r="HK42"/>
  <c r="HJ42"/>
  <c r="HF42"/>
  <c r="HE42"/>
  <c r="HD42"/>
  <c r="HC42"/>
  <c r="HM41"/>
  <c r="HL41"/>
  <c r="HK41"/>
  <c r="HJ41"/>
  <c r="HF41"/>
  <c r="HE41"/>
  <c r="HD41"/>
  <c r="HC41"/>
  <c r="HM40"/>
  <c r="HL40"/>
  <c r="HK40"/>
  <c r="HJ40"/>
  <c r="HF40"/>
  <c r="HE40"/>
  <c r="HD40"/>
  <c r="HC40"/>
  <c r="HM39"/>
  <c r="HL39"/>
  <c r="HK39"/>
  <c r="HJ39"/>
  <c r="HF39"/>
  <c r="HE39"/>
  <c r="HD39"/>
  <c r="HC39"/>
  <c r="HM38"/>
  <c r="HL38"/>
  <c r="HK38"/>
  <c r="HJ38"/>
  <c r="HF38"/>
  <c r="HE38"/>
  <c r="HD38"/>
  <c r="HC38"/>
  <c r="HM37"/>
  <c r="HL37"/>
  <c r="HK37"/>
  <c r="HJ37"/>
  <c r="HF37"/>
  <c r="HE37"/>
  <c r="HD37"/>
  <c r="HC37"/>
  <c r="HM36"/>
  <c r="HL36"/>
  <c r="HK36"/>
  <c r="HJ36"/>
  <c r="HF36"/>
  <c r="HE36"/>
  <c r="HD36"/>
  <c r="HC36"/>
  <c r="HM35"/>
  <c r="HL35"/>
  <c r="HK35"/>
  <c r="HJ35"/>
  <c r="HF35"/>
  <c r="HE35"/>
  <c r="HD35"/>
  <c r="HC35"/>
  <c r="HM34"/>
  <c r="HL34"/>
  <c r="HK34"/>
  <c r="HJ34"/>
  <c r="HF34"/>
  <c r="HE34"/>
  <c r="HD34"/>
  <c r="HC34"/>
  <c r="HM33"/>
  <c r="HL33"/>
  <c r="HK33"/>
  <c r="HJ33"/>
  <c r="HF33"/>
  <c r="HE33"/>
  <c r="HD33"/>
  <c r="HC33"/>
  <c r="HM32"/>
  <c r="HL32"/>
  <c r="HK32"/>
  <c r="HJ32"/>
  <c r="HF32"/>
  <c r="HE32"/>
  <c r="HD32"/>
  <c r="HC32"/>
  <c r="HM31"/>
  <c r="HL31"/>
  <c r="HK31"/>
  <c r="HJ31"/>
  <c r="HF31"/>
  <c r="HE31"/>
  <c r="HD31"/>
  <c r="HC31"/>
  <c r="HM30"/>
  <c r="HL30"/>
  <c r="HK30"/>
  <c r="HJ30"/>
  <c r="HF30"/>
  <c r="HE30"/>
  <c r="HD30"/>
  <c r="HC30"/>
  <c r="HM29"/>
  <c r="HL29"/>
  <c r="HK29"/>
  <c r="HJ29"/>
  <c r="HF29"/>
  <c r="HE29"/>
  <c r="HD29"/>
  <c r="HC29"/>
  <c r="HM28"/>
  <c r="HL28"/>
  <c r="HK28"/>
  <c r="HJ28"/>
  <c r="HF28"/>
  <c r="HE28"/>
  <c r="HD28"/>
  <c r="HC28"/>
  <c r="HM27"/>
  <c r="HL27"/>
  <c r="HK27"/>
  <c r="HJ27"/>
  <c r="HF27"/>
  <c r="HE27"/>
  <c r="HD27"/>
  <c r="HC27"/>
  <c r="HM26"/>
  <c r="HL26"/>
  <c r="HK26"/>
  <c r="HJ26"/>
  <c r="HF26"/>
  <c r="HE26"/>
  <c r="HD26"/>
  <c r="HC26"/>
  <c r="HM25"/>
  <c r="HL25"/>
  <c r="HK25"/>
  <c r="HJ25"/>
  <c r="HF25"/>
  <c r="HE25"/>
  <c r="HD25"/>
  <c r="HC25"/>
  <c r="HM24"/>
  <c r="HL24"/>
  <c r="HK24"/>
  <c r="HJ24"/>
  <c r="HF24"/>
  <c r="HE24"/>
  <c r="HD24"/>
  <c r="HC24"/>
  <c r="HM23"/>
  <c r="HL23"/>
  <c r="HK23"/>
  <c r="HJ23"/>
  <c r="HF23"/>
  <c r="HE23"/>
  <c r="HD23"/>
  <c r="HC23"/>
  <c r="HM22"/>
  <c r="HL22"/>
  <c r="HK22"/>
  <c r="HJ22"/>
  <c r="HF22"/>
  <c r="HE22"/>
  <c r="HD22"/>
  <c r="HC22"/>
  <c r="HM21"/>
  <c r="HL21"/>
  <c r="HK21"/>
  <c r="HJ21"/>
  <c r="HF21"/>
  <c r="HE21"/>
  <c r="HD21"/>
  <c r="HC21"/>
  <c r="HM20"/>
  <c r="HL20"/>
  <c r="HK20"/>
  <c r="HJ20"/>
  <c r="HF20"/>
  <c r="HE20"/>
  <c r="HD20"/>
  <c r="HC20"/>
  <c r="HM19"/>
  <c r="HL19"/>
  <c r="HK19"/>
  <c r="HJ19"/>
  <c r="HF19"/>
  <c r="HE19"/>
  <c r="HD19"/>
  <c r="HC19"/>
  <c r="HM18"/>
  <c r="HL18"/>
  <c r="HK18"/>
  <c r="HJ18"/>
  <c r="HF18"/>
  <c r="HE18"/>
  <c r="HD18"/>
  <c r="HC18"/>
  <c r="HM17"/>
  <c r="HL17"/>
  <c r="HK17"/>
  <c r="HJ17"/>
  <c r="HF17"/>
  <c r="HE17"/>
  <c r="HD17"/>
  <c r="HC17"/>
  <c r="HM16"/>
  <c r="HL16"/>
  <c r="HK16"/>
  <c r="HJ16"/>
  <c r="HF16"/>
  <c r="HE16"/>
  <c r="HD16"/>
  <c r="HC16"/>
  <c r="HM15"/>
  <c r="HL15"/>
  <c r="HK15"/>
  <c r="HJ15"/>
  <c r="HF15"/>
  <c r="HE15"/>
  <c r="HD15"/>
  <c r="HC15"/>
  <c r="HM14"/>
  <c r="HL14"/>
  <c r="HK14"/>
  <c r="HJ14"/>
  <c r="HF14"/>
  <c r="HE14"/>
  <c r="HD14"/>
  <c r="HC14"/>
  <c r="HM13"/>
  <c r="HL13"/>
  <c r="HK13"/>
  <c r="HJ13"/>
  <c r="HF13"/>
  <c r="HE13"/>
  <c r="HD13"/>
  <c r="HC13"/>
  <c r="HM12"/>
  <c r="HL12"/>
  <c r="HK12"/>
  <c r="HJ12"/>
  <c r="HF12"/>
  <c r="HE12"/>
  <c r="HD12"/>
  <c r="HC12"/>
  <c r="HM11"/>
  <c r="HL11"/>
  <c r="HK11"/>
  <c r="HJ11"/>
  <c r="HF11"/>
  <c r="HE11"/>
  <c r="HD11"/>
  <c r="HC11"/>
  <c r="HM10"/>
  <c r="HL10"/>
  <c r="HK10"/>
  <c r="HJ10"/>
  <c r="HF10"/>
  <c r="HE10"/>
  <c r="HD10"/>
  <c r="HC10"/>
  <c r="HM9"/>
  <c r="HL9"/>
  <c r="HK9"/>
  <c r="HJ9"/>
  <c r="HF9"/>
  <c r="HE9"/>
  <c r="HD9"/>
  <c r="HC9"/>
  <c r="HM8"/>
  <c r="HL8"/>
  <c r="HK8"/>
  <c r="HJ8"/>
  <c r="HF8"/>
  <c r="HE8"/>
  <c r="HD8"/>
  <c r="HC8"/>
  <c r="HM7"/>
  <c r="HL7"/>
  <c r="HK7"/>
  <c r="HJ7"/>
  <c r="HF7"/>
  <c r="HE7"/>
  <c r="HD7"/>
  <c r="HC7"/>
  <c r="HM6"/>
  <c r="HL6"/>
  <c r="HK6"/>
  <c r="HJ6"/>
  <c r="HF6"/>
  <c r="HE6"/>
  <c r="HD6"/>
  <c r="HC6"/>
  <c r="HM5"/>
  <c r="HL5"/>
  <c r="HK5"/>
  <c r="HJ5"/>
  <c r="HE5"/>
  <c r="HD5"/>
  <c r="HC5"/>
  <c r="GT6"/>
  <c r="GU6"/>
  <c r="GV6"/>
  <c r="GT7"/>
  <c r="GU7"/>
  <c r="GV7"/>
  <c r="GT8"/>
  <c r="GU8"/>
  <c r="GV8"/>
  <c r="GT9"/>
  <c r="GU9"/>
  <c r="GV9"/>
  <c r="GT10"/>
  <c r="GU10"/>
  <c r="GV10"/>
  <c r="GT11"/>
  <c r="GU11"/>
  <c r="GV11"/>
  <c r="GT12"/>
  <c r="GU12"/>
  <c r="GV12"/>
  <c r="GT13"/>
  <c r="GU13"/>
  <c r="GV13"/>
  <c r="GT14"/>
  <c r="GU14"/>
  <c r="GV14"/>
  <c r="GT15"/>
  <c r="GU15"/>
  <c r="GV15"/>
  <c r="GT16"/>
  <c r="GU16"/>
  <c r="GV16"/>
  <c r="GT17"/>
  <c r="GU17"/>
  <c r="GV17"/>
  <c r="GT18"/>
  <c r="GU18"/>
  <c r="GV18"/>
  <c r="GT19"/>
  <c r="GU19"/>
  <c r="GV19"/>
  <c r="GT20"/>
  <c r="GU20"/>
  <c r="GV20"/>
  <c r="GT21"/>
  <c r="GU21"/>
  <c r="GV21"/>
  <c r="GT22"/>
  <c r="GU22"/>
  <c r="GV22"/>
  <c r="GT23"/>
  <c r="GU23"/>
  <c r="GV23"/>
  <c r="GT24"/>
  <c r="GU24"/>
  <c r="GV24"/>
  <c r="GT25"/>
  <c r="GU25"/>
  <c r="GV25"/>
  <c r="GT26"/>
  <c r="GU26"/>
  <c r="GV26"/>
  <c r="GT27"/>
  <c r="GU27"/>
  <c r="GV27"/>
  <c r="GT28"/>
  <c r="GU28"/>
  <c r="GV28"/>
  <c r="GT29"/>
  <c r="GU29"/>
  <c r="GV29"/>
  <c r="GT30"/>
  <c r="GU30"/>
  <c r="GV30"/>
  <c r="GT31"/>
  <c r="GU31"/>
  <c r="GV31"/>
  <c r="GT32"/>
  <c r="GU32"/>
  <c r="GV32"/>
  <c r="GT33"/>
  <c r="GU33"/>
  <c r="GV33"/>
  <c r="GT34"/>
  <c r="GU34"/>
  <c r="GV34"/>
  <c r="GT35"/>
  <c r="GU35"/>
  <c r="GV35"/>
  <c r="GT36"/>
  <c r="GU36"/>
  <c r="GV36"/>
  <c r="GT37"/>
  <c r="GU37"/>
  <c r="GV37"/>
  <c r="GT38"/>
  <c r="GU38"/>
  <c r="GV38"/>
  <c r="GT39"/>
  <c r="GU39"/>
  <c r="GV39"/>
  <c r="GT40"/>
  <c r="GU40"/>
  <c r="GV40"/>
  <c r="GT41"/>
  <c r="GU41"/>
  <c r="GV41"/>
  <c r="GT42"/>
  <c r="GU42"/>
  <c r="GV42"/>
  <c r="GT43"/>
  <c r="GU43"/>
  <c r="GV43"/>
  <c r="GT44"/>
  <c r="GU44"/>
  <c r="GV44"/>
  <c r="GT45"/>
  <c r="GU45"/>
  <c r="GV45"/>
  <c r="GT46"/>
  <c r="GU46"/>
  <c r="GV46"/>
  <c r="GT47"/>
  <c r="GU47"/>
  <c r="GV47"/>
  <c r="GT48"/>
  <c r="GU48"/>
  <c r="GV48"/>
  <c r="GT49"/>
  <c r="GU49"/>
  <c r="GV49"/>
  <c r="GT50"/>
  <c r="GU50"/>
  <c r="GV50"/>
  <c r="GT51"/>
  <c r="GU51"/>
  <c r="GV51"/>
  <c r="GT52"/>
  <c r="GU52"/>
  <c r="GV52"/>
  <c r="GT53"/>
  <c r="GU53"/>
  <c r="GV53"/>
  <c r="GT54"/>
  <c r="GU54"/>
  <c r="GV54"/>
  <c r="GT55"/>
  <c r="GU55"/>
  <c r="GV55"/>
  <c r="GT56"/>
  <c r="GU56"/>
  <c r="GV56"/>
  <c r="GT57"/>
  <c r="GU57"/>
  <c r="GV57"/>
  <c r="GT58"/>
  <c r="GU58"/>
  <c r="GV58"/>
  <c r="GT59"/>
  <c r="GU59"/>
  <c r="GV59"/>
  <c r="GT60"/>
  <c r="GU60"/>
  <c r="GV60"/>
  <c r="GT61"/>
  <c r="GU61"/>
  <c r="GV61"/>
  <c r="GT62"/>
  <c r="GU62"/>
  <c r="GV62"/>
  <c r="GT63"/>
  <c r="GU63"/>
  <c r="GV63"/>
  <c r="GT64"/>
  <c r="GU64"/>
  <c r="GV64"/>
  <c r="GT65"/>
  <c r="GU65"/>
  <c r="GV65"/>
  <c r="GT66"/>
  <c r="GU66"/>
  <c r="GV66"/>
  <c r="GT67"/>
  <c r="GU67"/>
  <c r="GV67"/>
  <c r="GT68"/>
  <c r="GU68"/>
  <c r="GV68"/>
  <c r="GT69"/>
  <c r="GU69"/>
  <c r="GV69"/>
  <c r="GT70"/>
  <c r="GU70"/>
  <c r="GV70"/>
  <c r="GT71"/>
  <c r="GU71"/>
  <c r="GV71"/>
  <c r="GT72"/>
  <c r="GU72"/>
  <c r="GV72"/>
  <c r="GT73"/>
  <c r="GU73"/>
  <c r="GV73"/>
  <c r="GT74"/>
  <c r="GU74"/>
  <c r="GV74"/>
  <c r="GT75"/>
  <c r="GU75"/>
  <c r="GV75"/>
  <c r="GT76"/>
  <c r="GU76"/>
  <c r="GV76"/>
  <c r="GT77"/>
  <c r="GU77"/>
  <c r="GV77"/>
  <c r="GT78"/>
  <c r="GU78"/>
  <c r="GV78"/>
  <c r="GT79"/>
  <c r="GU79"/>
  <c r="GV79"/>
  <c r="GT80"/>
  <c r="GU80"/>
  <c r="GV80"/>
  <c r="GT81"/>
  <c r="GU81"/>
  <c r="GV81"/>
  <c r="GT82"/>
  <c r="GU82"/>
  <c r="GV82"/>
  <c r="GT83"/>
  <c r="GU83"/>
  <c r="GV83"/>
  <c r="GT84"/>
  <c r="GU84"/>
  <c r="GV84"/>
  <c r="GT85"/>
  <c r="GU85"/>
  <c r="GV85"/>
  <c r="GV5"/>
  <c r="GT5"/>
  <c r="GU5"/>
  <c r="GS5"/>
  <c r="GZ85"/>
  <c r="GY85"/>
  <c r="GX85"/>
  <c r="GW85"/>
  <c r="GS85"/>
  <c r="GR85"/>
  <c r="GQ85"/>
  <c r="GP85"/>
  <c r="GZ84"/>
  <c r="GY84"/>
  <c r="GX84"/>
  <c r="GW84"/>
  <c r="GS84"/>
  <c r="GR84"/>
  <c r="GQ84"/>
  <c r="GP84"/>
  <c r="GZ83"/>
  <c r="GY83"/>
  <c r="GX83"/>
  <c r="GW83"/>
  <c r="GS83"/>
  <c r="GR83"/>
  <c r="GQ83"/>
  <c r="GP83"/>
  <c r="GZ82"/>
  <c r="GY82"/>
  <c r="GX82"/>
  <c r="GW82"/>
  <c r="GS82"/>
  <c r="GR82"/>
  <c r="GQ82"/>
  <c r="GP82"/>
  <c r="GZ81"/>
  <c r="GY81"/>
  <c r="GX81"/>
  <c r="GW81"/>
  <c r="GS81"/>
  <c r="GR81"/>
  <c r="GQ81"/>
  <c r="GP81"/>
  <c r="GZ80"/>
  <c r="GY80"/>
  <c r="GX80"/>
  <c r="GW80"/>
  <c r="GS80"/>
  <c r="GR80"/>
  <c r="GQ80"/>
  <c r="GP80"/>
  <c r="GZ79"/>
  <c r="GY79"/>
  <c r="GX79"/>
  <c r="GW79"/>
  <c r="GS79"/>
  <c r="GR79"/>
  <c r="GQ79"/>
  <c r="GP79"/>
  <c r="GZ78"/>
  <c r="GY78"/>
  <c r="GX78"/>
  <c r="GW78"/>
  <c r="GS78"/>
  <c r="GR78"/>
  <c r="GQ78"/>
  <c r="GP78"/>
  <c r="GZ77"/>
  <c r="GY77"/>
  <c r="GX77"/>
  <c r="GW77"/>
  <c r="GS77"/>
  <c r="GR77"/>
  <c r="GQ77"/>
  <c r="GP77"/>
  <c r="GZ76"/>
  <c r="GY76"/>
  <c r="GX76"/>
  <c r="GW76"/>
  <c r="GS76"/>
  <c r="GR76"/>
  <c r="GQ76"/>
  <c r="GP76"/>
  <c r="GZ75"/>
  <c r="GY75"/>
  <c r="GX75"/>
  <c r="GW75"/>
  <c r="GS75"/>
  <c r="GR75"/>
  <c r="GQ75"/>
  <c r="GP75"/>
  <c r="GZ74"/>
  <c r="GY74"/>
  <c r="GX74"/>
  <c r="GW74"/>
  <c r="GS74"/>
  <c r="GR74"/>
  <c r="GQ74"/>
  <c r="GP74"/>
  <c r="GZ73"/>
  <c r="GY73"/>
  <c r="GX73"/>
  <c r="GW73"/>
  <c r="GS73"/>
  <c r="GR73"/>
  <c r="GQ73"/>
  <c r="GP73"/>
  <c r="GZ72"/>
  <c r="GY72"/>
  <c r="GX72"/>
  <c r="GW72"/>
  <c r="GS72"/>
  <c r="GR72"/>
  <c r="GQ72"/>
  <c r="GP72"/>
  <c r="GZ71"/>
  <c r="GY71"/>
  <c r="GX71"/>
  <c r="GW71"/>
  <c r="GS71"/>
  <c r="GR71"/>
  <c r="GQ71"/>
  <c r="GP71"/>
  <c r="GZ70"/>
  <c r="GY70"/>
  <c r="GX70"/>
  <c r="GW70"/>
  <c r="GS70"/>
  <c r="GR70"/>
  <c r="GQ70"/>
  <c r="GP70"/>
  <c r="GZ69"/>
  <c r="GY69"/>
  <c r="GX69"/>
  <c r="GW69"/>
  <c r="GS69"/>
  <c r="GR69"/>
  <c r="GQ69"/>
  <c r="GP69"/>
  <c r="GZ68"/>
  <c r="GY68"/>
  <c r="GX68"/>
  <c r="GW68"/>
  <c r="GS68"/>
  <c r="GR68"/>
  <c r="GQ68"/>
  <c r="GP68"/>
  <c r="GZ67"/>
  <c r="GY67"/>
  <c r="GX67"/>
  <c r="GW67"/>
  <c r="GS67"/>
  <c r="GR67"/>
  <c r="GQ67"/>
  <c r="GP67"/>
  <c r="GZ66"/>
  <c r="GY66"/>
  <c r="GX66"/>
  <c r="GW66"/>
  <c r="GS66"/>
  <c r="GR66"/>
  <c r="GQ66"/>
  <c r="GP66"/>
  <c r="GZ65"/>
  <c r="GY65"/>
  <c r="GX65"/>
  <c r="GW65"/>
  <c r="GS65"/>
  <c r="GR65"/>
  <c r="GQ65"/>
  <c r="GP65"/>
  <c r="GZ64"/>
  <c r="GY64"/>
  <c r="GX64"/>
  <c r="GW64"/>
  <c r="GS64"/>
  <c r="GR64"/>
  <c r="GQ64"/>
  <c r="GP64"/>
  <c r="GZ63"/>
  <c r="GY63"/>
  <c r="GX63"/>
  <c r="GW63"/>
  <c r="GS63"/>
  <c r="GR63"/>
  <c r="GQ63"/>
  <c r="GP63"/>
  <c r="GZ62"/>
  <c r="GY62"/>
  <c r="GX62"/>
  <c r="GW62"/>
  <c r="GS62"/>
  <c r="GR62"/>
  <c r="GQ62"/>
  <c r="GP62"/>
  <c r="GZ61"/>
  <c r="GY61"/>
  <c r="GX61"/>
  <c r="GW61"/>
  <c r="GS61"/>
  <c r="GR61"/>
  <c r="GQ61"/>
  <c r="GP61"/>
  <c r="GZ60"/>
  <c r="GY60"/>
  <c r="GX60"/>
  <c r="GW60"/>
  <c r="GS60"/>
  <c r="GR60"/>
  <c r="GQ60"/>
  <c r="GP60"/>
  <c r="GZ59"/>
  <c r="GY59"/>
  <c r="GX59"/>
  <c r="GW59"/>
  <c r="GS59"/>
  <c r="GR59"/>
  <c r="GQ59"/>
  <c r="GP59"/>
  <c r="GZ58"/>
  <c r="GY58"/>
  <c r="GX58"/>
  <c r="GW58"/>
  <c r="GS58"/>
  <c r="GR58"/>
  <c r="GQ58"/>
  <c r="GP58"/>
  <c r="GZ57"/>
  <c r="GY57"/>
  <c r="GX57"/>
  <c r="GW57"/>
  <c r="GS57"/>
  <c r="GR57"/>
  <c r="GQ57"/>
  <c r="GP57"/>
  <c r="GZ56"/>
  <c r="GY56"/>
  <c r="GX56"/>
  <c r="GW56"/>
  <c r="GS56"/>
  <c r="GR56"/>
  <c r="GQ56"/>
  <c r="GP56"/>
  <c r="GZ55"/>
  <c r="GY55"/>
  <c r="GX55"/>
  <c r="GW55"/>
  <c r="GS55"/>
  <c r="GR55"/>
  <c r="GQ55"/>
  <c r="GP55"/>
  <c r="GZ54"/>
  <c r="GY54"/>
  <c r="GX54"/>
  <c r="GW54"/>
  <c r="GS54"/>
  <c r="GR54"/>
  <c r="GQ54"/>
  <c r="GP54"/>
  <c r="GZ53"/>
  <c r="GY53"/>
  <c r="GX53"/>
  <c r="GW53"/>
  <c r="GS53"/>
  <c r="GR53"/>
  <c r="GQ53"/>
  <c r="GP53"/>
  <c r="GZ52"/>
  <c r="GY52"/>
  <c r="GX52"/>
  <c r="GW52"/>
  <c r="GS52"/>
  <c r="GR52"/>
  <c r="GQ52"/>
  <c r="GP52"/>
  <c r="GZ51"/>
  <c r="GY51"/>
  <c r="GX51"/>
  <c r="GW51"/>
  <c r="GS51"/>
  <c r="GR51"/>
  <c r="GQ51"/>
  <c r="GP51"/>
  <c r="GZ50"/>
  <c r="GY50"/>
  <c r="GX50"/>
  <c r="GW50"/>
  <c r="GS50"/>
  <c r="GR50"/>
  <c r="GQ50"/>
  <c r="GP50"/>
  <c r="GZ49"/>
  <c r="GY49"/>
  <c r="GX49"/>
  <c r="GW49"/>
  <c r="GS49"/>
  <c r="GR49"/>
  <c r="GQ49"/>
  <c r="GP49"/>
  <c r="GZ48"/>
  <c r="GY48"/>
  <c r="GX48"/>
  <c r="GW48"/>
  <c r="GS48"/>
  <c r="GR48"/>
  <c r="GQ48"/>
  <c r="GP48"/>
  <c r="GZ47"/>
  <c r="GY47"/>
  <c r="GX47"/>
  <c r="GW47"/>
  <c r="GS47"/>
  <c r="GR47"/>
  <c r="GQ47"/>
  <c r="GP47"/>
  <c r="GZ46"/>
  <c r="GY46"/>
  <c r="GX46"/>
  <c r="GW46"/>
  <c r="GS46"/>
  <c r="GR46"/>
  <c r="GQ46"/>
  <c r="GP46"/>
  <c r="GZ45"/>
  <c r="GY45"/>
  <c r="GX45"/>
  <c r="GW45"/>
  <c r="GS45"/>
  <c r="GR45"/>
  <c r="GQ45"/>
  <c r="GP45"/>
  <c r="GZ44"/>
  <c r="GY44"/>
  <c r="GX44"/>
  <c r="GW44"/>
  <c r="GS44"/>
  <c r="GR44"/>
  <c r="GQ44"/>
  <c r="GP44"/>
  <c r="GZ43"/>
  <c r="GY43"/>
  <c r="GX43"/>
  <c r="GW43"/>
  <c r="GS43"/>
  <c r="GR43"/>
  <c r="GQ43"/>
  <c r="GP43"/>
  <c r="GZ42"/>
  <c r="GY42"/>
  <c r="GX42"/>
  <c r="GW42"/>
  <c r="GS42"/>
  <c r="GR42"/>
  <c r="GQ42"/>
  <c r="GP42"/>
  <c r="GZ41"/>
  <c r="GY41"/>
  <c r="GX41"/>
  <c r="GW41"/>
  <c r="GS41"/>
  <c r="GR41"/>
  <c r="GQ41"/>
  <c r="GP41"/>
  <c r="GZ40"/>
  <c r="GY40"/>
  <c r="GX40"/>
  <c r="GW40"/>
  <c r="GS40"/>
  <c r="GR40"/>
  <c r="GQ40"/>
  <c r="GP40"/>
  <c r="GZ39"/>
  <c r="GY39"/>
  <c r="GX39"/>
  <c r="GW39"/>
  <c r="GS39"/>
  <c r="GR39"/>
  <c r="GQ39"/>
  <c r="GP39"/>
  <c r="GZ38"/>
  <c r="GY38"/>
  <c r="GX38"/>
  <c r="GW38"/>
  <c r="GS38"/>
  <c r="GR38"/>
  <c r="GQ38"/>
  <c r="GP38"/>
  <c r="GZ37"/>
  <c r="GY37"/>
  <c r="GX37"/>
  <c r="GW37"/>
  <c r="GS37"/>
  <c r="GR37"/>
  <c r="GQ37"/>
  <c r="GP37"/>
  <c r="GZ36"/>
  <c r="GY36"/>
  <c r="GX36"/>
  <c r="GW36"/>
  <c r="GS36"/>
  <c r="GR36"/>
  <c r="GQ36"/>
  <c r="GP36"/>
  <c r="GZ35"/>
  <c r="GY35"/>
  <c r="GX35"/>
  <c r="GW35"/>
  <c r="GS35"/>
  <c r="GR35"/>
  <c r="GQ35"/>
  <c r="GP35"/>
  <c r="GZ34"/>
  <c r="GY34"/>
  <c r="GX34"/>
  <c r="GW34"/>
  <c r="GS34"/>
  <c r="GR34"/>
  <c r="GQ34"/>
  <c r="GP34"/>
  <c r="GZ33"/>
  <c r="GY33"/>
  <c r="GX33"/>
  <c r="GW33"/>
  <c r="GS33"/>
  <c r="GR33"/>
  <c r="GQ33"/>
  <c r="GP33"/>
  <c r="GZ32"/>
  <c r="GY32"/>
  <c r="GX32"/>
  <c r="GW32"/>
  <c r="GS32"/>
  <c r="GR32"/>
  <c r="GQ32"/>
  <c r="GP32"/>
  <c r="GZ31"/>
  <c r="GY31"/>
  <c r="GX31"/>
  <c r="GW31"/>
  <c r="GS31"/>
  <c r="GR31"/>
  <c r="GQ31"/>
  <c r="GP31"/>
  <c r="GZ30"/>
  <c r="GY30"/>
  <c r="GX30"/>
  <c r="GW30"/>
  <c r="GS30"/>
  <c r="GR30"/>
  <c r="GQ30"/>
  <c r="GP30"/>
  <c r="GZ29"/>
  <c r="GY29"/>
  <c r="GX29"/>
  <c r="GW29"/>
  <c r="GS29"/>
  <c r="GR29"/>
  <c r="GQ29"/>
  <c r="GP29"/>
  <c r="GZ28"/>
  <c r="GY28"/>
  <c r="GX28"/>
  <c r="GW28"/>
  <c r="GS28"/>
  <c r="GR28"/>
  <c r="GQ28"/>
  <c r="GP28"/>
  <c r="GZ27"/>
  <c r="GY27"/>
  <c r="GX27"/>
  <c r="GW27"/>
  <c r="GS27"/>
  <c r="GR27"/>
  <c r="GQ27"/>
  <c r="GP27"/>
  <c r="GZ26"/>
  <c r="GY26"/>
  <c r="GX26"/>
  <c r="GW26"/>
  <c r="GS26"/>
  <c r="GR26"/>
  <c r="GQ26"/>
  <c r="GP26"/>
  <c r="GZ25"/>
  <c r="GY25"/>
  <c r="GX25"/>
  <c r="GW25"/>
  <c r="GS25"/>
  <c r="GR25"/>
  <c r="GQ25"/>
  <c r="GP25"/>
  <c r="GZ24"/>
  <c r="GY24"/>
  <c r="GX24"/>
  <c r="GW24"/>
  <c r="GS24"/>
  <c r="GR24"/>
  <c r="GQ24"/>
  <c r="GP24"/>
  <c r="GZ23"/>
  <c r="GY23"/>
  <c r="GX23"/>
  <c r="GW23"/>
  <c r="GS23"/>
  <c r="GR23"/>
  <c r="GQ23"/>
  <c r="GP23"/>
  <c r="GZ22"/>
  <c r="GY22"/>
  <c r="GX22"/>
  <c r="GW22"/>
  <c r="GS22"/>
  <c r="GR22"/>
  <c r="GQ22"/>
  <c r="GP22"/>
  <c r="GZ21"/>
  <c r="GY21"/>
  <c r="GX21"/>
  <c r="GW21"/>
  <c r="GS21"/>
  <c r="GR21"/>
  <c r="GQ21"/>
  <c r="GP21"/>
  <c r="GZ20"/>
  <c r="GY20"/>
  <c r="GX20"/>
  <c r="GW20"/>
  <c r="GS20"/>
  <c r="GR20"/>
  <c r="GQ20"/>
  <c r="GP20"/>
  <c r="GZ19"/>
  <c r="GY19"/>
  <c r="GX19"/>
  <c r="GW19"/>
  <c r="GS19"/>
  <c r="GR19"/>
  <c r="GQ19"/>
  <c r="GP19"/>
  <c r="GZ18"/>
  <c r="GY18"/>
  <c r="GX18"/>
  <c r="GW18"/>
  <c r="GS18"/>
  <c r="GR18"/>
  <c r="GQ18"/>
  <c r="GP18"/>
  <c r="GZ17"/>
  <c r="GY17"/>
  <c r="GX17"/>
  <c r="GW17"/>
  <c r="GS17"/>
  <c r="GR17"/>
  <c r="GQ17"/>
  <c r="GP17"/>
  <c r="GZ16"/>
  <c r="GY16"/>
  <c r="GX16"/>
  <c r="GW16"/>
  <c r="GS16"/>
  <c r="GR16"/>
  <c r="GQ16"/>
  <c r="GP16"/>
  <c r="GZ15"/>
  <c r="GY15"/>
  <c r="GX15"/>
  <c r="GW15"/>
  <c r="GS15"/>
  <c r="GR15"/>
  <c r="GQ15"/>
  <c r="GP15"/>
  <c r="GZ14"/>
  <c r="GY14"/>
  <c r="GX14"/>
  <c r="GW14"/>
  <c r="GS14"/>
  <c r="GR14"/>
  <c r="GQ14"/>
  <c r="GP14"/>
  <c r="GZ13"/>
  <c r="GY13"/>
  <c r="GX13"/>
  <c r="GW13"/>
  <c r="GS13"/>
  <c r="GR13"/>
  <c r="GQ13"/>
  <c r="GP13"/>
  <c r="GZ12"/>
  <c r="GY12"/>
  <c r="GX12"/>
  <c r="GW12"/>
  <c r="GS12"/>
  <c r="GR12"/>
  <c r="GQ12"/>
  <c r="GP12"/>
  <c r="GZ11"/>
  <c r="GY11"/>
  <c r="GX11"/>
  <c r="GW11"/>
  <c r="GS11"/>
  <c r="GR11"/>
  <c r="GQ11"/>
  <c r="GP11"/>
  <c r="GZ10"/>
  <c r="GY10"/>
  <c r="GX10"/>
  <c r="GW10"/>
  <c r="GS10"/>
  <c r="GR10"/>
  <c r="GQ10"/>
  <c r="GP10"/>
  <c r="GZ9"/>
  <c r="GY9"/>
  <c r="GX9"/>
  <c r="GW9"/>
  <c r="GS9"/>
  <c r="GR9"/>
  <c r="GQ9"/>
  <c r="GP9"/>
  <c r="GZ8"/>
  <c r="GY8"/>
  <c r="GX8"/>
  <c r="GW8"/>
  <c r="GS8"/>
  <c r="GR8"/>
  <c r="GQ8"/>
  <c r="GP8"/>
  <c r="GZ7"/>
  <c r="GY7"/>
  <c r="GX7"/>
  <c r="GW7"/>
  <c r="GS7"/>
  <c r="GR7"/>
  <c r="GQ7"/>
  <c r="GP7"/>
  <c r="GZ6"/>
  <c r="GY6"/>
  <c r="GX6"/>
  <c r="GW6"/>
  <c r="GS6"/>
  <c r="GR6"/>
  <c r="GQ6"/>
  <c r="GP6"/>
  <c r="GZ5"/>
  <c r="GY5"/>
  <c r="GX5"/>
  <c r="GW5"/>
  <c r="GR5"/>
  <c r="GQ5"/>
  <c r="GP5"/>
  <c r="DG6"/>
  <c r="DH6"/>
  <c r="DI6"/>
  <c r="DG7"/>
  <c r="DH7"/>
  <c r="DI7"/>
  <c r="DG8"/>
  <c r="DH8"/>
  <c r="DI8"/>
  <c r="DG9"/>
  <c r="DH9"/>
  <c r="DI9"/>
  <c r="DG10"/>
  <c r="DH10"/>
  <c r="DI10"/>
  <c r="DG11"/>
  <c r="DH11"/>
  <c r="DI11"/>
  <c r="DG12"/>
  <c r="DH12"/>
  <c r="DI12"/>
  <c r="DG13"/>
  <c r="DH13"/>
  <c r="DI13"/>
  <c r="DG14"/>
  <c r="DH14"/>
  <c r="DI14"/>
  <c r="DG15"/>
  <c r="DH15"/>
  <c r="DI15"/>
  <c r="DG16"/>
  <c r="DH16"/>
  <c r="DI16"/>
  <c r="DG17"/>
  <c r="DH17"/>
  <c r="DI17"/>
  <c r="DG18"/>
  <c r="DH18"/>
  <c r="DI18"/>
  <c r="DG19"/>
  <c r="DH19"/>
  <c r="DI19"/>
  <c r="DG20"/>
  <c r="DH20"/>
  <c r="DI20"/>
  <c r="DG21"/>
  <c r="DH21"/>
  <c r="DI21"/>
  <c r="DG22"/>
  <c r="DH22"/>
  <c r="DI22"/>
  <c r="DG23"/>
  <c r="DH23"/>
  <c r="DI23"/>
  <c r="DG24"/>
  <c r="DH24"/>
  <c r="DI24"/>
  <c r="DG25"/>
  <c r="DH25"/>
  <c r="DI25"/>
  <c r="DG26"/>
  <c r="DH26"/>
  <c r="DI26"/>
  <c r="DG27"/>
  <c r="DH27"/>
  <c r="DI27"/>
  <c r="DG28"/>
  <c r="DH28"/>
  <c r="DI28"/>
  <c r="DG29"/>
  <c r="DH29"/>
  <c r="DI29"/>
  <c r="DG30"/>
  <c r="DH30"/>
  <c r="DI30"/>
  <c r="DG31"/>
  <c r="DH31"/>
  <c r="DI31"/>
  <c r="DG32"/>
  <c r="DH32"/>
  <c r="DI32"/>
  <c r="DG33"/>
  <c r="DH33"/>
  <c r="DI33"/>
  <c r="DG34"/>
  <c r="DH34"/>
  <c r="DI34"/>
  <c r="DG35"/>
  <c r="DH35"/>
  <c r="DI35"/>
  <c r="DG36"/>
  <c r="DH36"/>
  <c r="DI36"/>
  <c r="DG37"/>
  <c r="DH37"/>
  <c r="DI37"/>
  <c r="DG38"/>
  <c r="DH38"/>
  <c r="DI38"/>
  <c r="DG39"/>
  <c r="DH39"/>
  <c r="DI39"/>
  <c r="DG40"/>
  <c r="DH40"/>
  <c r="DI40"/>
  <c r="DG41"/>
  <c r="DH41"/>
  <c r="DI41"/>
  <c r="DG42"/>
  <c r="DH42"/>
  <c r="DI42"/>
  <c r="DG43"/>
  <c r="DH43"/>
  <c r="DI43"/>
  <c r="DG44"/>
  <c r="DH44"/>
  <c r="DI44"/>
  <c r="DG45"/>
  <c r="DH45"/>
  <c r="DI45"/>
  <c r="DG46"/>
  <c r="DH46"/>
  <c r="DI46"/>
  <c r="DG47"/>
  <c r="DH47"/>
  <c r="DI47"/>
  <c r="DG48"/>
  <c r="DH48"/>
  <c r="DI48"/>
  <c r="DG49"/>
  <c r="DH49"/>
  <c r="DI49"/>
  <c r="DG50"/>
  <c r="DH50"/>
  <c r="DI50"/>
  <c r="DG51"/>
  <c r="DH51"/>
  <c r="DI51"/>
  <c r="DG52"/>
  <c r="DH52"/>
  <c r="DI52"/>
  <c r="DG53"/>
  <c r="DH53"/>
  <c r="DI53"/>
  <c r="DG54"/>
  <c r="DH54"/>
  <c r="DI54"/>
  <c r="DG55"/>
  <c r="DH55"/>
  <c r="DI55"/>
  <c r="DG56"/>
  <c r="DH56"/>
  <c r="DI56"/>
  <c r="DG57"/>
  <c r="DH57"/>
  <c r="DI57"/>
  <c r="DG58"/>
  <c r="DH58"/>
  <c r="DI58"/>
  <c r="DG59"/>
  <c r="DH59"/>
  <c r="DI59"/>
  <c r="DG60"/>
  <c r="DH60"/>
  <c r="DI60"/>
  <c r="DG61"/>
  <c r="DH61"/>
  <c r="DI61"/>
  <c r="DG62"/>
  <c r="DH62"/>
  <c r="DI62"/>
  <c r="DG63"/>
  <c r="DH63"/>
  <c r="DI63"/>
  <c r="DG64"/>
  <c r="DH64"/>
  <c r="DI64"/>
  <c r="DG65"/>
  <c r="DH65"/>
  <c r="DI65"/>
  <c r="DG66"/>
  <c r="DH66"/>
  <c r="DI66"/>
  <c r="DG67"/>
  <c r="DH67"/>
  <c r="DI67"/>
  <c r="DG68"/>
  <c r="DH68"/>
  <c r="DI68"/>
  <c r="DG69"/>
  <c r="DH69"/>
  <c r="DI69"/>
  <c r="DG70"/>
  <c r="DH70"/>
  <c r="DI70"/>
  <c r="DI5"/>
  <c r="DG5"/>
  <c r="DH5"/>
  <c r="DF5"/>
  <c r="DM70"/>
  <c r="DL70"/>
  <c r="DK70"/>
  <c r="DJ70"/>
  <c r="DF70"/>
  <c r="DE70"/>
  <c r="DD70"/>
  <c r="DC70"/>
  <c r="DM69"/>
  <c r="DL69"/>
  <c r="DK69"/>
  <c r="DJ69"/>
  <c r="DF69"/>
  <c r="DE69"/>
  <c r="DD69"/>
  <c r="DC69"/>
  <c r="DM68"/>
  <c r="DL68"/>
  <c r="DK68"/>
  <c r="DJ68"/>
  <c r="DF68"/>
  <c r="DE68"/>
  <c r="DD68"/>
  <c r="DC68"/>
  <c r="DM67"/>
  <c r="DL67"/>
  <c r="DK67"/>
  <c r="DJ67"/>
  <c r="DF67"/>
  <c r="DE67"/>
  <c r="DD67"/>
  <c r="DC67"/>
  <c r="DM66"/>
  <c r="DL66"/>
  <c r="DK66"/>
  <c r="DJ66"/>
  <c r="DF66"/>
  <c r="DE66"/>
  <c r="DD66"/>
  <c r="DC66"/>
  <c r="DM65"/>
  <c r="DL65"/>
  <c r="DK65"/>
  <c r="DJ65"/>
  <c r="DF65"/>
  <c r="DE65"/>
  <c r="DD65"/>
  <c r="DC65"/>
  <c r="DM64"/>
  <c r="DL64"/>
  <c r="DK64"/>
  <c r="DJ64"/>
  <c r="DF64"/>
  <c r="DE64"/>
  <c r="DD64"/>
  <c r="DC64"/>
  <c r="DM63"/>
  <c r="DL63"/>
  <c r="DK63"/>
  <c r="DJ63"/>
  <c r="DF63"/>
  <c r="DE63"/>
  <c r="DD63"/>
  <c r="DC63"/>
  <c r="DM62"/>
  <c r="DL62"/>
  <c r="DK62"/>
  <c r="DJ62"/>
  <c r="DF62"/>
  <c r="DE62"/>
  <c r="DD62"/>
  <c r="DC62"/>
  <c r="DM61"/>
  <c r="DL61"/>
  <c r="DK61"/>
  <c r="DJ61"/>
  <c r="DF61"/>
  <c r="DE61"/>
  <c r="DD61"/>
  <c r="DC61"/>
  <c r="DM60"/>
  <c r="DL60"/>
  <c r="DK60"/>
  <c r="DJ60"/>
  <c r="DF60"/>
  <c r="DE60"/>
  <c r="DD60"/>
  <c r="DC60"/>
  <c r="DM59"/>
  <c r="DL59"/>
  <c r="DK59"/>
  <c r="DJ59"/>
  <c r="DF59"/>
  <c r="DE59"/>
  <c r="DD59"/>
  <c r="DC59"/>
  <c r="DM58"/>
  <c r="DL58"/>
  <c r="DK58"/>
  <c r="DJ58"/>
  <c r="DF58"/>
  <c r="DE58"/>
  <c r="DD58"/>
  <c r="DC58"/>
  <c r="DM57"/>
  <c r="DL57"/>
  <c r="DK57"/>
  <c r="DJ57"/>
  <c r="DF57"/>
  <c r="DE57"/>
  <c r="DD57"/>
  <c r="DC57"/>
  <c r="DM56"/>
  <c r="DL56"/>
  <c r="DK56"/>
  <c r="DJ56"/>
  <c r="DF56"/>
  <c r="DE56"/>
  <c r="DD56"/>
  <c r="DC56"/>
  <c r="DM55"/>
  <c r="DL55"/>
  <c r="DK55"/>
  <c r="DJ55"/>
  <c r="DF55"/>
  <c r="DE55"/>
  <c r="DD55"/>
  <c r="DC55"/>
  <c r="DM54"/>
  <c r="DL54"/>
  <c r="DK54"/>
  <c r="DJ54"/>
  <c r="DF54"/>
  <c r="DE54"/>
  <c r="DD54"/>
  <c r="DC54"/>
  <c r="DM53"/>
  <c r="DL53"/>
  <c r="DK53"/>
  <c r="DJ53"/>
  <c r="DF53"/>
  <c r="DE53"/>
  <c r="DD53"/>
  <c r="DC53"/>
  <c r="DM52"/>
  <c r="DL52"/>
  <c r="DK52"/>
  <c r="DJ52"/>
  <c r="DF52"/>
  <c r="DE52"/>
  <c r="DD52"/>
  <c r="DC52"/>
  <c r="DM51"/>
  <c r="DL51"/>
  <c r="DK51"/>
  <c r="DJ51"/>
  <c r="DF51"/>
  <c r="DE51"/>
  <c r="DD51"/>
  <c r="DC51"/>
  <c r="DM50"/>
  <c r="DL50"/>
  <c r="DK50"/>
  <c r="DJ50"/>
  <c r="DF50"/>
  <c r="DE50"/>
  <c r="DD50"/>
  <c r="DC50"/>
  <c r="DM49"/>
  <c r="DL49"/>
  <c r="DK49"/>
  <c r="DJ49"/>
  <c r="DF49"/>
  <c r="DE49"/>
  <c r="DD49"/>
  <c r="DC49"/>
  <c r="DM48"/>
  <c r="DL48"/>
  <c r="DK48"/>
  <c r="DJ48"/>
  <c r="DF48"/>
  <c r="DE48"/>
  <c r="DD48"/>
  <c r="DC48"/>
  <c r="DM47"/>
  <c r="DL47"/>
  <c r="DK47"/>
  <c r="DJ47"/>
  <c r="DF47"/>
  <c r="DE47"/>
  <c r="DD47"/>
  <c r="DC47"/>
  <c r="DM46"/>
  <c r="DL46"/>
  <c r="DK46"/>
  <c r="DJ46"/>
  <c r="DF46"/>
  <c r="DE46"/>
  <c r="DD46"/>
  <c r="DC46"/>
  <c r="DM45"/>
  <c r="DL45"/>
  <c r="DK45"/>
  <c r="DJ45"/>
  <c r="DF45"/>
  <c r="DE45"/>
  <c r="DD45"/>
  <c r="DC45"/>
  <c r="DM44"/>
  <c r="DL44"/>
  <c r="DK44"/>
  <c r="DJ44"/>
  <c r="DF44"/>
  <c r="DE44"/>
  <c r="DD44"/>
  <c r="DC44"/>
  <c r="DM43"/>
  <c r="DL43"/>
  <c r="DK43"/>
  <c r="DJ43"/>
  <c r="DF43"/>
  <c r="DE43"/>
  <c r="DD43"/>
  <c r="DC43"/>
  <c r="DM42"/>
  <c r="DL42"/>
  <c r="DK42"/>
  <c r="DJ42"/>
  <c r="DF42"/>
  <c r="DE42"/>
  <c r="DD42"/>
  <c r="DC42"/>
  <c r="DM41"/>
  <c r="DL41"/>
  <c r="DK41"/>
  <c r="DJ41"/>
  <c r="DF41"/>
  <c r="DE41"/>
  <c r="DD41"/>
  <c r="DC41"/>
  <c r="DM40"/>
  <c r="DL40"/>
  <c r="DK40"/>
  <c r="DJ40"/>
  <c r="DF40"/>
  <c r="DE40"/>
  <c r="DD40"/>
  <c r="DC40"/>
  <c r="DM39"/>
  <c r="DL39"/>
  <c r="DK39"/>
  <c r="DJ39"/>
  <c r="DF39"/>
  <c r="DE39"/>
  <c r="DD39"/>
  <c r="DC39"/>
  <c r="DM38"/>
  <c r="DL38"/>
  <c r="DK38"/>
  <c r="DJ38"/>
  <c r="DF38"/>
  <c r="DE38"/>
  <c r="DD38"/>
  <c r="DC38"/>
  <c r="DM37"/>
  <c r="DL37"/>
  <c r="DK37"/>
  <c r="DJ37"/>
  <c r="DF37"/>
  <c r="DE37"/>
  <c r="DD37"/>
  <c r="DC37"/>
  <c r="DM36"/>
  <c r="DL36"/>
  <c r="DK36"/>
  <c r="DJ36"/>
  <c r="DF36"/>
  <c r="DE36"/>
  <c r="DD36"/>
  <c r="DC36"/>
  <c r="DM35"/>
  <c r="DL35"/>
  <c r="DK35"/>
  <c r="DJ35"/>
  <c r="DF35"/>
  <c r="DE35"/>
  <c r="DD35"/>
  <c r="DC35"/>
  <c r="DM34"/>
  <c r="DL34"/>
  <c r="DK34"/>
  <c r="DJ34"/>
  <c r="DF34"/>
  <c r="DE34"/>
  <c r="DD34"/>
  <c r="DC34"/>
  <c r="DM33"/>
  <c r="DL33"/>
  <c r="DK33"/>
  <c r="DJ33"/>
  <c r="DF33"/>
  <c r="DE33"/>
  <c r="DD33"/>
  <c r="DC33"/>
  <c r="DM32"/>
  <c r="DL32"/>
  <c r="DK32"/>
  <c r="DJ32"/>
  <c r="DF32"/>
  <c r="DE32"/>
  <c r="DD32"/>
  <c r="DC32"/>
  <c r="DM31"/>
  <c r="DL31"/>
  <c r="DK31"/>
  <c r="DJ31"/>
  <c r="DF31"/>
  <c r="DE31"/>
  <c r="DD31"/>
  <c r="DC31"/>
  <c r="DM30"/>
  <c r="DL30"/>
  <c r="DK30"/>
  <c r="DJ30"/>
  <c r="DF30"/>
  <c r="DE30"/>
  <c r="DD30"/>
  <c r="DC30"/>
  <c r="DM29"/>
  <c r="DL29"/>
  <c r="DK29"/>
  <c r="DJ29"/>
  <c r="DF29"/>
  <c r="DE29"/>
  <c r="DD29"/>
  <c r="DC29"/>
  <c r="DM28"/>
  <c r="DL28"/>
  <c r="DK28"/>
  <c r="DJ28"/>
  <c r="DF28"/>
  <c r="DE28"/>
  <c r="DD28"/>
  <c r="DC28"/>
  <c r="DM27"/>
  <c r="DL27"/>
  <c r="DK27"/>
  <c r="DJ27"/>
  <c r="DF27"/>
  <c r="DE27"/>
  <c r="DD27"/>
  <c r="DC27"/>
  <c r="DM26"/>
  <c r="DL26"/>
  <c r="DK26"/>
  <c r="DJ26"/>
  <c r="DF26"/>
  <c r="DE26"/>
  <c r="DD26"/>
  <c r="DC26"/>
  <c r="DM25"/>
  <c r="DL25"/>
  <c r="DK25"/>
  <c r="DJ25"/>
  <c r="DF25"/>
  <c r="DE25"/>
  <c r="DD25"/>
  <c r="DC25"/>
  <c r="DM24"/>
  <c r="DL24"/>
  <c r="DK24"/>
  <c r="DJ24"/>
  <c r="DF24"/>
  <c r="DE24"/>
  <c r="DD24"/>
  <c r="DC24"/>
  <c r="DM23"/>
  <c r="DL23"/>
  <c r="DK23"/>
  <c r="DJ23"/>
  <c r="DF23"/>
  <c r="DE23"/>
  <c r="DD23"/>
  <c r="DC23"/>
  <c r="DM22"/>
  <c r="DL22"/>
  <c r="DK22"/>
  <c r="DJ22"/>
  <c r="DF22"/>
  <c r="DE22"/>
  <c r="DD22"/>
  <c r="DC22"/>
  <c r="DM21"/>
  <c r="DL21"/>
  <c r="DK21"/>
  <c r="DJ21"/>
  <c r="DF21"/>
  <c r="DE21"/>
  <c r="DD21"/>
  <c r="DC21"/>
  <c r="DM20"/>
  <c r="DL20"/>
  <c r="DK20"/>
  <c r="DJ20"/>
  <c r="DF20"/>
  <c r="DE20"/>
  <c r="DD20"/>
  <c r="DC20"/>
  <c r="DM19"/>
  <c r="DL19"/>
  <c r="DK19"/>
  <c r="DJ19"/>
  <c r="DF19"/>
  <c r="DE19"/>
  <c r="DD19"/>
  <c r="DC19"/>
  <c r="DM18"/>
  <c r="DL18"/>
  <c r="DK18"/>
  <c r="DJ18"/>
  <c r="DF18"/>
  <c r="DE18"/>
  <c r="DD18"/>
  <c r="DC18"/>
  <c r="DM17"/>
  <c r="DL17"/>
  <c r="DK17"/>
  <c r="DJ17"/>
  <c r="DF17"/>
  <c r="DE17"/>
  <c r="DD17"/>
  <c r="DC17"/>
  <c r="DM16"/>
  <c r="DL16"/>
  <c r="DK16"/>
  <c r="DJ16"/>
  <c r="DF16"/>
  <c r="DE16"/>
  <c r="DD16"/>
  <c r="DC16"/>
  <c r="DM15"/>
  <c r="DL15"/>
  <c r="DK15"/>
  <c r="DJ15"/>
  <c r="DF15"/>
  <c r="DE15"/>
  <c r="DD15"/>
  <c r="DC15"/>
  <c r="DM14"/>
  <c r="DL14"/>
  <c r="DK14"/>
  <c r="DJ14"/>
  <c r="DF14"/>
  <c r="DE14"/>
  <c r="DD14"/>
  <c r="DC14"/>
  <c r="DM13"/>
  <c r="DL13"/>
  <c r="DK13"/>
  <c r="DJ13"/>
  <c r="DF13"/>
  <c r="DE13"/>
  <c r="DD13"/>
  <c r="DC13"/>
  <c r="DM12"/>
  <c r="DL12"/>
  <c r="DK12"/>
  <c r="DJ12"/>
  <c r="DF12"/>
  <c r="DE12"/>
  <c r="DD12"/>
  <c r="DC12"/>
  <c r="DM11"/>
  <c r="DL11"/>
  <c r="DK11"/>
  <c r="DJ11"/>
  <c r="DF11"/>
  <c r="DE11"/>
  <c r="DD11"/>
  <c r="DC11"/>
  <c r="DM10"/>
  <c r="DL10"/>
  <c r="DK10"/>
  <c r="DJ10"/>
  <c r="DF10"/>
  <c r="DE10"/>
  <c r="DD10"/>
  <c r="DC10"/>
  <c r="DM9"/>
  <c r="DL9"/>
  <c r="DK9"/>
  <c r="DJ9"/>
  <c r="DF9"/>
  <c r="DE9"/>
  <c r="DD9"/>
  <c r="DC9"/>
  <c r="DM8"/>
  <c r="DL8"/>
  <c r="DK8"/>
  <c r="DJ8"/>
  <c r="DF8"/>
  <c r="DE8"/>
  <c r="DD8"/>
  <c r="DC8"/>
  <c r="DM7"/>
  <c r="DL7"/>
  <c r="DK7"/>
  <c r="DJ7"/>
  <c r="DF7"/>
  <c r="DE7"/>
  <c r="DD7"/>
  <c r="DC7"/>
  <c r="DM6"/>
  <c r="DL6"/>
  <c r="DK6"/>
  <c r="DJ6"/>
  <c r="DF6"/>
  <c r="DE6"/>
  <c r="DD6"/>
  <c r="DC6"/>
  <c r="DM5"/>
  <c r="DL5"/>
  <c r="DK5"/>
  <c r="DJ5"/>
  <c r="DE5"/>
  <c r="DD5"/>
  <c r="DC5"/>
  <c r="CT6"/>
  <c r="CU6"/>
  <c r="CV6"/>
  <c r="CT7"/>
  <c r="CU7"/>
  <c r="CV7"/>
  <c r="CT8"/>
  <c r="CU8"/>
  <c r="CV8"/>
  <c r="CT9"/>
  <c r="CU9"/>
  <c r="CV9"/>
  <c r="CT10"/>
  <c r="CU10"/>
  <c r="CV10"/>
  <c r="CT11"/>
  <c r="CU11"/>
  <c r="CV11"/>
  <c r="CT12"/>
  <c r="CU12"/>
  <c r="CV12"/>
  <c r="CT13"/>
  <c r="CU13"/>
  <c r="CV13"/>
  <c r="CT14"/>
  <c r="CU14"/>
  <c r="CV14"/>
  <c r="CT15"/>
  <c r="CU15"/>
  <c r="CV15"/>
  <c r="CT16"/>
  <c r="CU16"/>
  <c r="CV16"/>
  <c r="CT17"/>
  <c r="CU17"/>
  <c r="CV17"/>
  <c r="CT18"/>
  <c r="CU18"/>
  <c r="CV18"/>
  <c r="CT19"/>
  <c r="CU19"/>
  <c r="CV19"/>
  <c r="CT20"/>
  <c r="CU20"/>
  <c r="CV20"/>
  <c r="CT21"/>
  <c r="CU21"/>
  <c r="CV21"/>
  <c r="CT22"/>
  <c r="CU22"/>
  <c r="CV22"/>
  <c r="CT23"/>
  <c r="CU23"/>
  <c r="CV23"/>
  <c r="CT24"/>
  <c r="CU24"/>
  <c r="CV24"/>
  <c r="CT25"/>
  <c r="CU25"/>
  <c r="CV25"/>
  <c r="CT26"/>
  <c r="CU26"/>
  <c r="CV26"/>
  <c r="CT27"/>
  <c r="CU27"/>
  <c r="CV27"/>
  <c r="CT28"/>
  <c r="CU28"/>
  <c r="CV28"/>
  <c r="CT29"/>
  <c r="CU29"/>
  <c r="CV29"/>
  <c r="CT30"/>
  <c r="CU30"/>
  <c r="CV30"/>
  <c r="CT31"/>
  <c r="CU31"/>
  <c r="CV31"/>
  <c r="CT32"/>
  <c r="CU32"/>
  <c r="CV32"/>
  <c r="CT33"/>
  <c r="CU33"/>
  <c r="CV33"/>
  <c r="CT34"/>
  <c r="CU34"/>
  <c r="CV34"/>
  <c r="CT35"/>
  <c r="CU35"/>
  <c r="CV35"/>
  <c r="CT36"/>
  <c r="CU36"/>
  <c r="CV36"/>
  <c r="CT37"/>
  <c r="CU37"/>
  <c r="CV37"/>
  <c r="CT38"/>
  <c r="CU38"/>
  <c r="CV38"/>
  <c r="CT39"/>
  <c r="CU39"/>
  <c r="CV39"/>
  <c r="CT40"/>
  <c r="CU40"/>
  <c r="CV40"/>
  <c r="CT41"/>
  <c r="CU41"/>
  <c r="CV41"/>
  <c r="CT42"/>
  <c r="CU42"/>
  <c r="CV42"/>
  <c r="CT43"/>
  <c r="CU43"/>
  <c r="CV43"/>
  <c r="CT44"/>
  <c r="CU44"/>
  <c r="CV44"/>
  <c r="CT45"/>
  <c r="CU45"/>
  <c r="CV45"/>
  <c r="CT46"/>
  <c r="CU46"/>
  <c r="CV46"/>
  <c r="CT47"/>
  <c r="CU47"/>
  <c r="CV47"/>
  <c r="CT48"/>
  <c r="CU48"/>
  <c r="CV48"/>
  <c r="CT49"/>
  <c r="CU49"/>
  <c r="CV49"/>
  <c r="CT50"/>
  <c r="CU50"/>
  <c r="CV50"/>
  <c r="CT51"/>
  <c r="CU51"/>
  <c r="CV51"/>
  <c r="CT52"/>
  <c r="CU52"/>
  <c r="CV52"/>
  <c r="CT53"/>
  <c r="CU53"/>
  <c r="CV53"/>
  <c r="CT54"/>
  <c r="CU54"/>
  <c r="CV54"/>
  <c r="CT55"/>
  <c r="CU55"/>
  <c r="CV55"/>
  <c r="CT56"/>
  <c r="CU56"/>
  <c r="CV56"/>
  <c r="CT57"/>
  <c r="CU57"/>
  <c r="CV57"/>
  <c r="CT58"/>
  <c r="CU58"/>
  <c r="CV58"/>
  <c r="CT59"/>
  <c r="CU59"/>
  <c r="CV59"/>
  <c r="CT60"/>
  <c r="CU60"/>
  <c r="CV60"/>
  <c r="CT61"/>
  <c r="CU61"/>
  <c r="CV61"/>
  <c r="CT62"/>
  <c r="CU62"/>
  <c r="CV62"/>
  <c r="CT63"/>
  <c r="CU63"/>
  <c r="CV63"/>
  <c r="CT64"/>
  <c r="CU64"/>
  <c r="CV64"/>
  <c r="CT65"/>
  <c r="CU65"/>
  <c r="CV65"/>
  <c r="CT66"/>
  <c r="CU66"/>
  <c r="CV66"/>
  <c r="CT67"/>
  <c r="CU67"/>
  <c r="CV67"/>
  <c r="CT68"/>
  <c r="CU68"/>
  <c r="CV68"/>
  <c r="CT69"/>
  <c r="CU69"/>
  <c r="CV69"/>
  <c r="CT70"/>
  <c r="CU70"/>
  <c r="CV70"/>
  <c r="CT71"/>
  <c r="CU71"/>
  <c r="CV71"/>
  <c r="CT72"/>
  <c r="CU72"/>
  <c r="CV72"/>
  <c r="CT73"/>
  <c r="CU73"/>
  <c r="CV73"/>
  <c r="CT74"/>
  <c r="CU74"/>
  <c r="CV74"/>
  <c r="CT75"/>
  <c r="CU75"/>
  <c r="CV75"/>
  <c r="CT76"/>
  <c r="CU76"/>
  <c r="CV76"/>
  <c r="CT77"/>
  <c r="CU77"/>
  <c r="CV77"/>
  <c r="CT78"/>
  <c r="CU78"/>
  <c r="CV78"/>
  <c r="CT79"/>
  <c r="CU79"/>
  <c r="CV79"/>
  <c r="CT80"/>
  <c r="CU80"/>
  <c r="CV80"/>
  <c r="CT81"/>
  <c r="CU81"/>
  <c r="CV81"/>
  <c r="CT82"/>
  <c r="CU82"/>
  <c r="CV82"/>
  <c r="CT83"/>
  <c r="CU83"/>
  <c r="CV83"/>
  <c r="CT84"/>
  <c r="CU84"/>
  <c r="CV84"/>
  <c r="CT85"/>
  <c r="CU85"/>
  <c r="CV85"/>
  <c r="CV5"/>
  <c r="CT5"/>
  <c r="CU5"/>
  <c r="CS5"/>
  <c r="CZ85"/>
  <c r="CY85"/>
  <c r="CX85"/>
  <c r="CW85"/>
  <c r="CS85"/>
  <c r="CR85"/>
  <c r="CQ85"/>
  <c r="CP85"/>
  <c r="CZ84"/>
  <c r="CY84"/>
  <c r="CX84"/>
  <c r="CW84"/>
  <c r="CS84"/>
  <c r="CR84"/>
  <c r="CQ84"/>
  <c r="CP84"/>
  <c r="CZ83"/>
  <c r="CY83"/>
  <c r="CX83"/>
  <c r="CW83"/>
  <c r="CS83"/>
  <c r="CR83"/>
  <c r="CQ83"/>
  <c r="CP83"/>
  <c r="CZ82"/>
  <c r="CY82"/>
  <c r="CX82"/>
  <c r="CW82"/>
  <c r="CS82"/>
  <c r="CR82"/>
  <c r="CQ82"/>
  <c r="CP82"/>
  <c r="CZ81"/>
  <c r="CY81"/>
  <c r="CX81"/>
  <c r="CW81"/>
  <c r="CS81"/>
  <c r="CR81"/>
  <c r="CQ81"/>
  <c r="CP81"/>
  <c r="CZ80"/>
  <c r="CY80"/>
  <c r="CX80"/>
  <c r="CW80"/>
  <c r="CS80"/>
  <c r="CR80"/>
  <c r="CQ80"/>
  <c r="CP80"/>
  <c r="CZ79"/>
  <c r="CY79"/>
  <c r="CX79"/>
  <c r="CW79"/>
  <c r="CS79"/>
  <c r="CR79"/>
  <c r="CQ79"/>
  <c r="CP79"/>
  <c r="CZ78"/>
  <c r="CY78"/>
  <c r="CX78"/>
  <c r="CW78"/>
  <c r="CS78"/>
  <c r="CR78"/>
  <c r="CQ78"/>
  <c r="CP78"/>
  <c r="CZ77"/>
  <c r="CY77"/>
  <c r="CX77"/>
  <c r="CW77"/>
  <c r="CS77"/>
  <c r="CR77"/>
  <c r="CQ77"/>
  <c r="CP77"/>
  <c r="CZ76"/>
  <c r="CY76"/>
  <c r="CX76"/>
  <c r="CW76"/>
  <c r="CS76"/>
  <c r="CR76"/>
  <c r="CQ76"/>
  <c r="CP76"/>
  <c r="CZ75"/>
  <c r="CY75"/>
  <c r="CX75"/>
  <c r="CW75"/>
  <c r="CS75"/>
  <c r="CR75"/>
  <c r="CQ75"/>
  <c r="CP75"/>
  <c r="CZ74"/>
  <c r="CY74"/>
  <c r="CX74"/>
  <c r="CW74"/>
  <c r="CS74"/>
  <c r="CR74"/>
  <c r="CQ74"/>
  <c r="CP74"/>
  <c r="CZ73"/>
  <c r="CY73"/>
  <c r="CX73"/>
  <c r="CW73"/>
  <c r="CS73"/>
  <c r="CR73"/>
  <c r="CQ73"/>
  <c r="CP73"/>
  <c r="CZ72"/>
  <c r="CY72"/>
  <c r="CX72"/>
  <c r="CW72"/>
  <c r="CS72"/>
  <c r="CR72"/>
  <c r="CQ72"/>
  <c r="CP72"/>
  <c r="CZ71"/>
  <c r="CY71"/>
  <c r="CX71"/>
  <c r="CW71"/>
  <c r="CS71"/>
  <c r="CR71"/>
  <c r="CQ71"/>
  <c r="CP71"/>
  <c r="CZ70"/>
  <c r="CY70"/>
  <c r="CX70"/>
  <c r="CW70"/>
  <c r="CS70"/>
  <c r="CR70"/>
  <c r="CQ70"/>
  <c r="CP70"/>
  <c r="CZ69"/>
  <c r="CY69"/>
  <c r="CX69"/>
  <c r="CW69"/>
  <c r="CS69"/>
  <c r="CR69"/>
  <c r="CQ69"/>
  <c r="CP69"/>
  <c r="CZ68"/>
  <c r="CY68"/>
  <c r="CX68"/>
  <c r="CW68"/>
  <c r="CS68"/>
  <c r="CR68"/>
  <c r="CQ68"/>
  <c r="CP68"/>
  <c r="CZ67"/>
  <c r="CY67"/>
  <c r="CX67"/>
  <c r="CW67"/>
  <c r="CS67"/>
  <c r="CR67"/>
  <c r="CQ67"/>
  <c r="CP67"/>
  <c r="CZ66"/>
  <c r="CY66"/>
  <c r="CX66"/>
  <c r="CW66"/>
  <c r="CS66"/>
  <c r="CR66"/>
  <c r="CQ66"/>
  <c r="CP66"/>
  <c r="CZ65"/>
  <c r="CY65"/>
  <c r="CX65"/>
  <c r="CW65"/>
  <c r="CS65"/>
  <c r="CR65"/>
  <c r="CQ65"/>
  <c r="CP65"/>
  <c r="CZ64"/>
  <c r="CY64"/>
  <c r="CX64"/>
  <c r="CW64"/>
  <c r="CS64"/>
  <c r="CR64"/>
  <c r="CQ64"/>
  <c r="CP64"/>
  <c r="CZ63"/>
  <c r="CY63"/>
  <c r="CX63"/>
  <c r="CW63"/>
  <c r="CS63"/>
  <c r="CR63"/>
  <c r="CQ63"/>
  <c r="CP63"/>
  <c r="CZ62"/>
  <c r="CY62"/>
  <c r="CX62"/>
  <c r="CW62"/>
  <c r="CS62"/>
  <c r="CR62"/>
  <c r="CQ62"/>
  <c r="CP62"/>
  <c r="CZ61"/>
  <c r="CY61"/>
  <c r="CX61"/>
  <c r="CW61"/>
  <c r="CS61"/>
  <c r="CR61"/>
  <c r="CQ61"/>
  <c r="CP61"/>
  <c r="CZ60"/>
  <c r="CY60"/>
  <c r="CX60"/>
  <c r="CW60"/>
  <c r="CS60"/>
  <c r="CR60"/>
  <c r="CQ60"/>
  <c r="CP60"/>
  <c r="CZ59"/>
  <c r="CY59"/>
  <c r="CX59"/>
  <c r="CW59"/>
  <c r="CS59"/>
  <c r="CR59"/>
  <c r="CQ59"/>
  <c r="CP59"/>
  <c r="CZ58"/>
  <c r="CY58"/>
  <c r="CX58"/>
  <c r="CW58"/>
  <c r="CS58"/>
  <c r="CR58"/>
  <c r="CQ58"/>
  <c r="CP58"/>
  <c r="CZ57"/>
  <c r="CY57"/>
  <c r="CX57"/>
  <c r="CW57"/>
  <c r="CS57"/>
  <c r="CR57"/>
  <c r="CQ57"/>
  <c r="CP57"/>
  <c r="CZ56"/>
  <c r="CY56"/>
  <c r="CX56"/>
  <c r="CW56"/>
  <c r="CS56"/>
  <c r="CR56"/>
  <c r="CQ56"/>
  <c r="CP56"/>
  <c r="CZ55"/>
  <c r="CY55"/>
  <c r="CX55"/>
  <c r="CW55"/>
  <c r="CS55"/>
  <c r="CR55"/>
  <c r="CQ55"/>
  <c r="CP55"/>
  <c r="CZ54"/>
  <c r="CY54"/>
  <c r="CX54"/>
  <c r="CW54"/>
  <c r="CS54"/>
  <c r="CR54"/>
  <c r="CQ54"/>
  <c r="CP54"/>
  <c r="CZ53"/>
  <c r="CY53"/>
  <c r="CX53"/>
  <c r="CW53"/>
  <c r="CS53"/>
  <c r="CR53"/>
  <c r="CQ53"/>
  <c r="CP53"/>
  <c r="CZ52"/>
  <c r="CY52"/>
  <c r="CX52"/>
  <c r="CW52"/>
  <c r="CS52"/>
  <c r="CR52"/>
  <c r="CQ52"/>
  <c r="CP52"/>
  <c r="CZ51"/>
  <c r="CY51"/>
  <c r="CX51"/>
  <c r="CW51"/>
  <c r="CS51"/>
  <c r="CR51"/>
  <c r="CQ51"/>
  <c r="CP51"/>
  <c r="CZ50"/>
  <c r="CY50"/>
  <c r="CX50"/>
  <c r="CW50"/>
  <c r="CS50"/>
  <c r="CR50"/>
  <c r="CQ50"/>
  <c r="CP50"/>
  <c r="CZ49"/>
  <c r="CY49"/>
  <c r="CX49"/>
  <c r="CW49"/>
  <c r="CS49"/>
  <c r="CR49"/>
  <c r="CQ49"/>
  <c r="CP49"/>
  <c r="CZ48"/>
  <c r="CY48"/>
  <c r="CX48"/>
  <c r="CW48"/>
  <c r="CS48"/>
  <c r="CR48"/>
  <c r="CQ48"/>
  <c r="CP48"/>
  <c r="CZ47"/>
  <c r="CY47"/>
  <c r="CX47"/>
  <c r="CW47"/>
  <c r="CS47"/>
  <c r="CR47"/>
  <c r="CQ47"/>
  <c r="CP47"/>
  <c r="CZ46"/>
  <c r="CY46"/>
  <c r="CX46"/>
  <c r="CW46"/>
  <c r="CS46"/>
  <c r="CR46"/>
  <c r="CQ46"/>
  <c r="CP46"/>
  <c r="CZ45"/>
  <c r="CY45"/>
  <c r="CX45"/>
  <c r="CW45"/>
  <c r="CS45"/>
  <c r="CR45"/>
  <c r="CQ45"/>
  <c r="CP45"/>
  <c r="CZ44"/>
  <c r="CY44"/>
  <c r="CX44"/>
  <c r="CW44"/>
  <c r="CS44"/>
  <c r="CR44"/>
  <c r="CQ44"/>
  <c r="CP44"/>
  <c r="CZ43"/>
  <c r="CY43"/>
  <c r="CX43"/>
  <c r="CW43"/>
  <c r="CS43"/>
  <c r="CR43"/>
  <c r="CQ43"/>
  <c r="CP43"/>
  <c r="CZ42"/>
  <c r="CY42"/>
  <c r="CX42"/>
  <c r="CW42"/>
  <c r="CS42"/>
  <c r="CR42"/>
  <c r="CQ42"/>
  <c r="CP42"/>
  <c r="CZ41"/>
  <c r="CY41"/>
  <c r="CX41"/>
  <c r="CW41"/>
  <c r="CS41"/>
  <c r="CR41"/>
  <c r="CQ41"/>
  <c r="CP41"/>
  <c r="CZ40"/>
  <c r="CY40"/>
  <c r="CX40"/>
  <c r="CW40"/>
  <c r="CS40"/>
  <c r="CR40"/>
  <c r="CQ40"/>
  <c r="CP40"/>
  <c r="CZ39"/>
  <c r="CY39"/>
  <c r="CX39"/>
  <c r="CW39"/>
  <c r="CS39"/>
  <c r="CR39"/>
  <c r="CQ39"/>
  <c r="CP39"/>
  <c r="CZ38"/>
  <c r="CY38"/>
  <c r="CX38"/>
  <c r="CW38"/>
  <c r="CS38"/>
  <c r="CR38"/>
  <c r="CQ38"/>
  <c r="CP38"/>
  <c r="CZ37"/>
  <c r="CY37"/>
  <c r="CX37"/>
  <c r="CW37"/>
  <c r="CS37"/>
  <c r="CR37"/>
  <c r="CQ37"/>
  <c r="CP37"/>
  <c r="CZ36"/>
  <c r="CY36"/>
  <c r="CX36"/>
  <c r="CW36"/>
  <c r="CS36"/>
  <c r="CR36"/>
  <c r="CQ36"/>
  <c r="CP36"/>
  <c r="CZ35"/>
  <c r="CY35"/>
  <c r="CX35"/>
  <c r="CW35"/>
  <c r="CS35"/>
  <c r="CR35"/>
  <c r="CQ35"/>
  <c r="CP35"/>
  <c r="CZ34"/>
  <c r="CY34"/>
  <c r="CX34"/>
  <c r="CW34"/>
  <c r="CS34"/>
  <c r="CR34"/>
  <c r="CQ34"/>
  <c r="CP34"/>
  <c r="CZ33"/>
  <c r="CY33"/>
  <c r="CX33"/>
  <c r="CW33"/>
  <c r="CS33"/>
  <c r="CR33"/>
  <c r="CQ33"/>
  <c r="CP33"/>
  <c r="CZ32"/>
  <c r="CY32"/>
  <c r="CX32"/>
  <c r="CW32"/>
  <c r="CS32"/>
  <c r="CR32"/>
  <c r="CQ32"/>
  <c r="CP32"/>
  <c r="CZ31"/>
  <c r="CY31"/>
  <c r="CX31"/>
  <c r="CW31"/>
  <c r="CS31"/>
  <c r="CR31"/>
  <c r="CQ31"/>
  <c r="CP31"/>
  <c r="CZ30"/>
  <c r="CY30"/>
  <c r="CX30"/>
  <c r="CW30"/>
  <c r="CS30"/>
  <c r="CR30"/>
  <c r="CQ30"/>
  <c r="CP30"/>
  <c r="CZ29"/>
  <c r="CY29"/>
  <c r="CX29"/>
  <c r="CW29"/>
  <c r="CS29"/>
  <c r="CR29"/>
  <c r="CQ29"/>
  <c r="CP29"/>
  <c r="CZ28"/>
  <c r="CY28"/>
  <c r="CX28"/>
  <c r="CW28"/>
  <c r="CS28"/>
  <c r="CR28"/>
  <c r="CQ28"/>
  <c r="CP28"/>
  <c r="CZ27"/>
  <c r="CY27"/>
  <c r="CX27"/>
  <c r="CW27"/>
  <c r="CS27"/>
  <c r="CR27"/>
  <c r="CQ27"/>
  <c r="CP27"/>
  <c r="CZ26"/>
  <c r="CY26"/>
  <c r="CX26"/>
  <c r="CW26"/>
  <c r="CS26"/>
  <c r="CR26"/>
  <c r="CQ26"/>
  <c r="CP26"/>
  <c r="CZ25"/>
  <c r="CY25"/>
  <c r="CX25"/>
  <c r="CW25"/>
  <c r="CS25"/>
  <c r="CR25"/>
  <c r="CQ25"/>
  <c r="CP25"/>
  <c r="CZ24"/>
  <c r="CY24"/>
  <c r="CX24"/>
  <c r="CW24"/>
  <c r="CS24"/>
  <c r="CR24"/>
  <c r="CQ24"/>
  <c r="CP24"/>
  <c r="CZ23"/>
  <c r="CY23"/>
  <c r="CX23"/>
  <c r="CW23"/>
  <c r="CS23"/>
  <c r="CR23"/>
  <c r="CQ23"/>
  <c r="CP23"/>
  <c r="CZ22"/>
  <c r="CY22"/>
  <c r="CX22"/>
  <c r="CW22"/>
  <c r="CS22"/>
  <c r="CR22"/>
  <c r="CQ22"/>
  <c r="CP22"/>
  <c r="CZ21"/>
  <c r="CY21"/>
  <c r="CX21"/>
  <c r="CW21"/>
  <c r="CS21"/>
  <c r="CR21"/>
  <c r="CQ21"/>
  <c r="CP21"/>
  <c r="CZ20"/>
  <c r="CY20"/>
  <c r="CX20"/>
  <c r="CW20"/>
  <c r="CS20"/>
  <c r="CR20"/>
  <c r="CQ20"/>
  <c r="CP20"/>
  <c r="CZ19"/>
  <c r="CY19"/>
  <c r="CX19"/>
  <c r="CW19"/>
  <c r="CS19"/>
  <c r="CR19"/>
  <c r="CQ19"/>
  <c r="CP19"/>
  <c r="CZ18"/>
  <c r="CY18"/>
  <c r="CX18"/>
  <c r="CW18"/>
  <c r="CS18"/>
  <c r="CR18"/>
  <c r="CQ18"/>
  <c r="CP18"/>
  <c r="CZ17"/>
  <c r="CY17"/>
  <c r="CX17"/>
  <c r="CW17"/>
  <c r="CS17"/>
  <c r="CR17"/>
  <c r="CQ17"/>
  <c r="CP17"/>
  <c r="CZ16"/>
  <c r="CY16"/>
  <c r="CX16"/>
  <c r="CW16"/>
  <c r="CS16"/>
  <c r="CR16"/>
  <c r="CQ16"/>
  <c r="CP16"/>
  <c r="CZ15"/>
  <c r="CY15"/>
  <c r="CX15"/>
  <c r="CW15"/>
  <c r="CS15"/>
  <c r="CR15"/>
  <c r="CQ15"/>
  <c r="CP15"/>
  <c r="CZ14"/>
  <c r="CY14"/>
  <c r="CX14"/>
  <c r="CW14"/>
  <c r="CS14"/>
  <c r="CR14"/>
  <c r="CQ14"/>
  <c r="CP14"/>
  <c r="CZ13"/>
  <c r="CY13"/>
  <c r="CX13"/>
  <c r="CW13"/>
  <c r="CS13"/>
  <c r="CR13"/>
  <c r="CQ13"/>
  <c r="CP13"/>
  <c r="CZ12"/>
  <c r="CY12"/>
  <c r="CX12"/>
  <c r="CW12"/>
  <c r="CS12"/>
  <c r="CR12"/>
  <c r="CQ12"/>
  <c r="CP12"/>
  <c r="CZ11"/>
  <c r="CY11"/>
  <c r="CX11"/>
  <c r="CW11"/>
  <c r="CS11"/>
  <c r="CR11"/>
  <c r="CQ11"/>
  <c r="CP11"/>
  <c r="CZ10"/>
  <c r="CY10"/>
  <c r="CX10"/>
  <c r="CW10"/>
  <c r="CS10"/>
  <c r="CR10"/>
  <c r="CQ10"/>
  <c r="CP10"/>
  <c r="CZ9"/>
  <c r="CY9"/>
  <c r="CX9"/>
  <c r="CW9"/>
  <c r="CS9"/>
  <c r="CR9"/>
  <c r="CQ9"/>
  <c r="CP9"/>
  <c r="CZ8"/>
  <c r="CY8"/>
  <c r="CX8"/>
  <c r="CW8"/>
  <c r="CS8"/>
  <c r="CR8"/>
  <c r="CQ8"/>
  <c r="CP8"/>
  <c r="CZ7"/>
  <c r="CY7"/>
  <c r="CX7"/>
  <c r="CW7"/>
  <c r="CS7"/>
  <c r="CR7"/>
  <c r="CQ7"/>
  <c r="CP7"/>
  <c r="CZ6"/>
  <c r="CY6"/>
  <c r="CX6"/>
  <c r="CW6"/>
  <c r="CS6"/>
  <c r="CR6"/>
  <c r="CQ6"/>
  <c r="CP6"/>
  <c r="CZ5"/>
  <c r="CY5"/>
  <c r="CX5"/>
  <c r="CW5"/>
  <c r="CR5"/>
  <c r="CQ5"/>
  <c r="CP5"/>
  <c r="CG6"/>
  <c r="CH6"/>
  <c r="CI6"/>
  <c r="CG7"/>
  <c r="CH7"/>
  <c r="CI7"/>
  <c r="CG8"/>
  <c r="CH8"/>
  <c r="CI8"/>
  <c r="CG9"/>
  <c r="CH9"/>
  <c r="CI9"/>
  <c r="CG10"/>
  <c r="CH10"/>
  <c r="CI10"/>
  <c r="CG11"/>
  <c r="CH11"/>
  <c r="CI11"/>
  <c r="CG12"/>
  <c r="CH12"/>
  <c r="CI12"/>
  <c r="CG13"/>
  <c r="CH13"/>
  <c r="CI13"/>
  <c r="CG14"/>
  <c r="CH14"/>
  <c r="CI14"/>
  <c r="CG15"/>
  <c r="CH15"/>
  <c r="CI15"/>
  <c r="CG16"/>
  <c r="CH16"/>
  <c r="CI16"/>
  <c r="CG17"/>
  <c r="CH17"/>
  <c r="CI17"/>
  <c r="CG18"/>
  <c r="CH18"/>
  <c r="CI18"/>
  <c r="CG19"/>
  <c r="CH19"/>
  <c r="CI19"/>
  <c r="CG20"/>
  <c r="CH20"/>
  <c r="CI20"/>
  <c r="CG21"/>
  <c r="CH21"/>
  <c r="CI21"/>
  <c r="CG22"/>
  <c r="CH22"/>
  <c r="CI22"/>
  <c r="CG23"/>
  <c r="CH23"/>
  <c r="CI23"/>
  <c r="CG24"/>
  <c r="CH24"/>
  <c r="CI24"/>
  <c r="CG25"/>
  <c r="CH25"/>
  <c r="CI25"/>
  <c r="CG26"/>
  <c r="CH26"/>
  <c r="CI26"/>
  <c r="CG27"/>
  <c r="CH27"/>
  <c r="CI27"/>
  <c r="CG28"/>
  <c r="CH28"/>
  <c r="CI28"/>
  <c r="CG29"/>
  <c r="CH29"/>
  <c r="CI29"/>
  <c r="CG30"/>
  <c r="CH30"/>
  <c r="CI30"/>
  <c r="CG31"/>
  <c r="CH31"/>
  <c r="CI31"/>
  <c r="CG32"/>
  <c r="CH32"/>
  <c r="CI32"/>
  <c r="CG33"/>
  <c r="CH33"/>
  <c r="CI33"/>
  <c r="CG34"/>
  <c r="CH34"/>
  <c r="CI34"/>
  <c r="CG35"/>
  <c r="CH35"/>
  <c r="CI35"/>
  <c r="CG36"/>
  <c r="CH36"/>
  <c r="CI36"/>
  <c r="CG37"/>
  <c r="CH37"/>
  <c r="CI37"/>
  <c r="CG38"/>
  <c r="CH38"/>
  <c r="CI38"/>
  <c r="CG39"/>
  <c r="CH39"/>
  <c r="CI39"/>
  <c r="CG40"/>
  <c r="CH40"/>
  <c r="CI40"/>
  <c r="CG41"/>
  <c r="CH41"/>
  <c r="CI41"/>
  <c r="CG42"/>
  <c r="CH42"/>
  <c r="CI42"/>
  <c r="CG43"/>
  <c r="CH43"/>
  <c r="CI43"/>
  <c r="CG44"/>
  <c r="CH44"/>
  <c r="CI44"/>
  <c r="CG45"/>
  <c r="CH45"/>
  <c r="CI45"/>
  <c r="CG46"/>
  <c r="CH46"/>
  <c r="CI46"/>
  <c r="CG47"/>
  <c r="CH47"/>
  <c r="CI47"/>
  <c r="CG48"/>
  <c r="CH48"/>
  <c r="CI48"/>
  <c r="CG49"/>
  <c r="CH49"/>
  <c r="CI49"/>
  <c r="CG50"/>
  <c r="CH50"/>
  <c r="CI50"/>
  <c r="CG51"/>
  <c r="CH51"/>
  <c r="CI51"/>
  <c r="CG52"/>
  <c r="CH52"/>
  <c r="CI52"/>
  <c r="CG53"/>
  <c r="CH53"/>
  <c r="CI53"/>
  <c r="CG54"/>
  <c r="CH54"/>
  <c r="CI54"/>
  <c r="CG55"/>
  <c r="CH55"/>
  <c r="CI55"/>
  <c r="CG56"/>
  <c r="CH56"/>
  <c r="CI56"/>
  <c r="CG57"/>
  <c r="CH57"/>
  <c r="CI57"/>
  <c r="CG58"/>
  <c r="CH58"/>
  <c r="CI58"/>
  <c r="CG59"/>
  <c r="CH59"/>
  <c r="CI59"/>
  <c r="CG60"/>
  <c r="CH60"/>
  <c r="CI60"/>
  <c r="CG61"/>
  <c r="CH61"/>
  <c r="CI61"/>
  <c r="CG62"/>
  <c r="CH62"/>
  <c r="CI62"/>
  <c r="CG63"/>
  <c r="CH63"/>
  <c r="CI63"/>
  <c r="CG64"/>
  <c r="CH64"/>
  <c r="CI64"/>
  <c r="CG65"/>
  <c r="CH65"/>
  <c r="CI65"/>
  <c r="CG66"/>
  <c r="CH66"/>
  <c r="CI66"/>
  <c r="CG67"/>
  <c r="CH67"/>
  <c r="CI67"/>
  <c r="CG68"/>
  <c r="CH68"/>
  <c r="CI68"/>
  <c r="CG69"/>
  <c r="CH69"/>
  <c r="CI69"/>
  <c r="CG70"/>
  <c r="CH70"/>
  <c r="CI70"/>
  <c r="CG71"/>
  <c r="CH71"/>
  <c r="CI71"/>
  <c r="CG72"/>
  <c r="CH72"/>
  <c r="CI72"/>
  <c r="CG73"/>
  <c r="CH73"/>
  <c r="CI73"/>
  <c r="CG74"/>
  <c r="CH74"/>
  <c r="CI74"/>
  <c r="CG75"/>
  <c r="CH75"/>
  <c r="CI75"/>
  <c r="CG76"/>
  <c r="CH76"/>
  <c r="CI76"/>
  <c r="CG77"/>
  <c r="CH77"/>
  <c r="CI77"/>
  <c r="CG78"/>
  <c r="CH78"/>
  <c r="CI78"/>
  <c r="CG79"/>
  <c r="CH79"/>
  <c r="CI79"/>
  <c r="CG80"/>
  <c r="CH80"/>
  <c r="CI80"/>
  <c r="CG81"/>
  <c r="CH81"/>
  <c r="CI81"/>
  <c r="CG82"/>
  <c r="CH82"/>
  <c r="CI82"/>
  <c r="CG83"/>
  <c r="CH83"/>
  <c r="CI83"/>
  <c r="CG84"/>
  <c r="CH84"/>
  <c r="CI84"/>
  <c r="CG85"/>
  <c r="CH85"/>
  <c r="CI85"/>
  <c r="CI5"/>
  <c r="CG5"/>
  <c r="CH5"/>
  <c r="CF5"/>
  <c r="CM85"/>
  <c r="CL85"/>
  <c r="CK85"/>
  <c r="CJ85"/>
  <c r="CF85"/>
  <c r="CE85"/>
  <c r="CD85"/>
  <c r="CC85"/>
  <c r="CM84"/>
  <c r="CL84"/>
  <c r="CK84"/>
  <c r="CJ84"/>
  <c r="CF84"/>
  <c r="CE84"/>
  <c r="CD84"/>
  <c r="CC84"/>
  <c r="CM83"/>
  <c r="CL83"/>
  <c r="CK83"/>
  <c r="CJ83"/>
  <c r="CF83"/>
  <c r="CE83"/>
  <c r="CD83"/>
  <c r="CC83"/>
  <c r="CM82"/>
  <c r="CL82"/>
  <c r="CK82"/>
  <c r="CJ82"/>
  <c r="CF82"/>
  <c r="CE82"/>
  <c r="CD82"/>
  <c r="CC82"/>
  <c r="CM81"/>
  <c r="CL81"/>
  <c r="CK81"/>
  <c r="CJ81"/>
  <c r="CF81"/>
  <c r="CE81"/>
  <c r="CD81"/>
  <c r="CC81"/>
  <c r="CM80"/>
  <c r="CL80"/>
  <c r="CK80"/>
  <c r="CJ80"/>
  <c r="CF80"/>
  <c r="CE80"/>
  <c r="CD80"/>
  <c r="CC80"/>
  <c r="CM79"/>
  <c r="CL79"/>
  <c r="CK79"/>
  <c r="CJ79"/>
  <c r="CF79"/>
  <c r="CE79"/>
  <c r="CD79"/>
  <c r="CC79"/>
  <c r="CM78"/>
  <c r="CL78"/>
  <c r="CK78"/>
  <c r="CJ78"/>
  <c r="CF78"/>
  <c r="CE78"/>
  <c r="CD78"/>
  <c r="CC78"/>
  <c r="CM77"/>
  <c r="CL77"/>
  <c r="CK77"/>
  <c r="CJ77"/>
  <c r="CF77"/>
  <c r="CE77"/>
  <c r="CD77"/>
  <c r="CC77"/>
  <c r="CM76"/>
  <c r="CL76"/>
  <c r="CK76"/>
  <c r="CJ76"/>
  <c r="CF76"/>
  <c r="CE76"/>
  <c r="CD76"/>
  <c r="CC76"/>
  <c r="CM75"/>
  <c r="CL75"/>
  <c r="CK75"/>
  <c r="CJ75"/>
  <c r="CF75"/>
  <c r="CE75"/>
  <c r="CD75"/>
  <c r="CC75"/>
  <c r="CM74"/>
  <c r="CL74"/>
  <c r="CK74"/>
  <c r="CJ74"/>
  <c r="CF74"/>
  <c r="CE74"/>
  <c r="CD74"/>
  <c r="CC74"/>
  <c r="CM73"/>
  <c r="CL73"/>
  <c r="CK73"/>
  <c r="CJ73"/>
  <c r="CF73"/>
  <c r="CE73"/>
  <c r="CD73"/>
  <c r="CC73"/>
  <c r="CM72"/>
  <c r="CL72"/>
  <c r="CK72"/>
  <c r="CJ72"/>
  <c r="CF72"/>
  <c r="CE72"/>
  <c r="CD72"/>
  <c r="CC72"/>
  <c r="CM71"/>
  <c r="CL71"/>
  <c r="CK71"/>
  <c r="CJ71"/>
  <c r="CF71"/>
  <c r="CE71"/>
  <c r="CD71"/>
  <c r="CC71"/>
  <c r="CM70"/>
  <c r="CL70"/>
  <c r="CK70"/>
  <c r="CJ70"/>
  <c r="CF70"/>
  <c r="CE70"/>
  <c r="CD70"/>
  <c r="CC70"/>
  <c r="CM69"/>
  <c r="CL69"/>
  <c r="CK69"/>
  <c r="CJ69"/>
  <c r="CF69"/>
  <c r="CE69"/>
  <c r="CD69"/>
  <c r="CC69"/>
  <c r="CM68"/>
  <c r="CL68"/>
  <c r="CK68"/>
  <c r="CJ68"/>
  <c r="CF68"/>
  <c r="CE68"/>
  <c r="CD68"/>
  <c r="CC68"/>
  <c r="CM67"/>
  <c r="CL67"/>
  <c r="CK67"/>
  <c r="CJ67"/>
  <c r="CF67"/>
  <c r="CE67"/>
  <c r="CD67"/>
  <c r="CC67"/>
  <c r="CM66"/>
  <c r="CL66"/>
  <c r="CK66"/>
  <c r="CJ66"/>
  <c r="CF66"/>
  <c r="CE66"/>
  <c r="CD66"/>
  <c r="CC66"/>
  <c r="CM65"/>
  <c r="CL65"/>
  <c r="CK65"/>
  <c r="CJ65"/>
  <c r="CF65"/>
  <c r="CE65"/>
  <c r="CD65"/>
  <c r="CC65"/>
  <c r="CM64"/>
  <c r="CL64"/>
  <c r="CK64"/>
  <c r="CJ64"/>
  <c r="CF64"/>
  <c r="CE64"/>
  <c r="CD64"/>
  <c r="CC64"/>
  <c r="CM63"/>
  <c r="CL63"/>
  <c r="CK63"/>
  <c r="CJ63"/>
  <c r="CF63"/>
  <c r="CE63"/>
  <c r="CD63"/>
  <c r="CC63"/>
  <c r="CM62"/>
  <c r="CL62"/>
  <c r="CK62"/>
  <c r="CJ62"/>
  <c r="CF62"/>
  <c r="CE62"/>
  <c r="CD62"/>
  <c r="CC62"/>
  <c r="CM61"/>
  <c r="CL61"/>
  <c r="CK61"/>
  <c r="CJ61"/>
  <c r="CF61"/>
  <c r="CE61"/>
  <c r="CD61"/>
  <c r="CC61"/>
  <c r="CM60"/>
  <c r="CL60"/>
  <c r="CK60"/>
  <c r="CJ60"/>
  <c r="CF60"/>
  <c r="CE60"/>
  <c r="CD60"/>
  <c r="CC60"/>
  <c r="CM59"/>
  <c r="CL59"/>
  <c r="CK59"/>
  <c r="CJ59"/>
  <c r="CF59"/>
  <c r="CE59"/>
  <c r="CD59"/>
  <c r="CC59"/>
  <c r="CM58"/>
  <c r="CL58"/>
  <c r="CK58"/>
  <c r="CJ58"/>
  <c r="CF58"/>
  <c r="CE58"/>
  <c r="CD58"/>
  <c r="CC58"/>
  <c r="CM57"/>
  <c r="CL57"/>
  <c r="CK57"/>
  <c r="CJ57"/>
  <c r="CF57"/>
  <c r="CE57"/>
  <c r="CD57"/>
  <c r="CC57"/>
  <c r="CM56"/>
  <c r="CL56"/>
  <c r="CK56"/>
  <c r="CJ56"/>
  <c r="CF56"/>
  <c r="CE56"/>
  <c r="CD56"/>
  <c r="CC56"/>
  <c r="CM55"/>
  <c r="CL55"/>
  <c r="CK55"/>
  <c r="CJ55"/>
  <c r="CF55"/>
  <c r="CE55"/>
  <c r="CD55"/>
  <c r="CC55"/>
  <c r="CM54"/>
  <c r="CL54"/>
  <c r="CK54"/>
  <c r="CJ54"/>
  <c r="CF54"/>
  <c r="CE54"/>
  <c r="CD54"/>
  <c r="CC54"/>
  <c r="CM53"/>
  <c r="CL53"/>
  <c r="CK53"/>
  <c r="CJ53"/>
  <c r="CF53"/>
  <c r="CE53"/>
  <c r="CD53"/>
  <c r="CC53"/>
  <c r="CM52"/>
  <c r="CL52"/>
  <c r="CK52"/>
  <c r="CJ52"/>
  <c r="CF52"/>
  <c r="CE52"/>
  <c r="CD52"/>
  <c r="CC52"/>
  <c r="CM51"/>
  <c r="CL51"/>
  <c r="CK51"/>
  <c r="CJ51"/>
  <c r="CF51"/>
  <c r="CE51"/>
  <c r="CD51"/>
  <c r="CC51"/>
  <c r="CM50"/>
  <c r="CL50"/>
  <c r="CK50"/>
  <c r="CJ50"/>
  <c r="CF50"/>
  <c r="CE50"/>
  <c r="CD50"/>
  <c r="CC50"/>
  <c r="CM49"/>
  <c r="CL49"/>
  <c r="CK49"/>
  <c r="CJ49"/>
  <c r="CF49"/>
  <c r="CE49"/>
  <c r="CD49"/>
  <c r="CC49"/>
  <c r="CM48"/>
  <c r="CL48"/>
  <c r="CK48"/>
  <c r="CJ48"/>
  <c r="CF48"/>
  <c r="CE48"/>
  <c r="CD48"/>
  <c r="CC48"/>
  <c r="CM47"/>
  <c r="CL47"/>
  <c r="CK47"/>
  <c r="CJ47"/>
  <c r="CF47"/>
  <c r="CE47"/>
  <c r="CD47"/>
  <c r="CC47"/>
  <c r="CM46"/>
  <c r="CL46"/>
  <c r="CK46"/>
  <c r="CJ46"/>
  <c r="CF46"/>
  <c r="CE46"/>
  <c r="CD46"/>
  <c r="CC46"/>
  <c r="CM45"/>
  <c r="CL45"/>
  <c r="CK45"/>
  <c r="CJ45"/>
  <c r="CF45"/>
  <c r="CE45"/>
  <c r="CD45"/>
  <c r="CC45"/>
  <c r="CM44"/>
  <c r="CL44"/>
  <c r="CK44"/>
  <c r="CJ44"/>
  <c r="CF44"/>
  <c r="CE44"/>
  <c r="CD44"/>
  <c r="CC44"/>
  <c r="CM43"/>
  <c r="CL43"/>
  <c r="CK43"/>
  <c r="CJ43"/>
  <c r="CF43"/>
  <c r="CE43"/>
  <c r="CD43"/>
  <c r="CC43"/>
  <c r="CM42"/>
  <c r="CL42"/>
  <c r="CK42"/>
  <c r="CJ42"/>
  <c r="CF42"/>
  <c r="CE42"/>
  <c r="CD42"/>
  <c r="CC42"/>
  <c r="CM41"/>
  <c r="CL41"/>
  <c r="CK41"/>
  <c r="CJ41"/>
  <c r="CF41"/>
  <c r="CE41"/>
  <c r="CD41"/>
  <c r="CC41"/>
  <c r="CM40"/>
  <c r="CL40"/>
  <c r="CK40"/>
  <c r="CJ40"/>
  <c r="CF40"/>
  <c r="CE40"/>
  <c r="CD40"/>
  <c r="CC40"/>
  <c r="CM39"/>
  <c r="CL39"/>
  <c r="CK39"/>
  <c r="CJ39"/>
  <c r="CF39"/>
  <c r="CE39"/>
  <c r="CD39"/>
  <c r="CC39"/>
  <c r="CM38"/>
  <c r="CL38"/>
  <c r="CK38"/>
  <c r="CJ38"/>
  <c r="CF38"/>
  <c r="CE38"/>
  <c r="CD38"/>
  <c r="CC38"/>
  <c r="CM37"/>
  <c r="CL37"/>
  <c r="CK37"/>
  <c r="CJ37"/>
  <c r="CF37"/>
  <c r="CE37"/>
  <c r="CD37"/>
  <c r="CC37"/>
  <c r="CM36"/>
  <c r="CL36"/>
  <c r="CK36"/>
  <c r="CJ36"/>
  <c r="CF36"/>
  <c r="CE36"/>
  <c r="CD36"/>
  <c r="CC36"/>
  <c r="CM35"/>
  <c r="CL35"/>
  <c r="CK35"/>
  <c r="CJ35"/>
  <c r="CF35"/>
  <c r="CE35"/>
  <c r="CD35"/>
  <c r="CC35"/>
  <c r="CM34"/>
  <c r="CL34"/>
  <c r="CK34"/>
  <c r="CJ34"/>
  <c r="CF34"/>
  <c r="CE34"/>
  <c r="CD34"/>
  <c r="CC34"/>
  <c r="CM33"/>
  <c r="CL33"/>
  <c r="CK33"/>
  <c r="CJ33"/>
  <c r="CF33"/>
  <c r="CE33"/>
  <c r="CD33"/>
  <c r="CC33"/>
  <c r="CM32"/>
  <c r="CL32"/>
  <c r="CK32"/>
  <c r="CJ32"/>
  <c r="CF32"/>
  <c r="CE32"/>
  <c r="CD32"/>
  <c r="CC32"/>
  <c r="CM31"/>
  <c r="CL31"/>
  <c r="CK31"/>
  <c r="CJ31"/>
  <c r="CF31"/>
  <c r="CE31"/>
  <c r="CD31"/>
  <c r="CC31"/>
  <c r="CM30"/>
  <c r="CL30"/>
  <c r="CK30"/>
  <c r="CJ30"/>
  <c r="CF30"/>
  <c r="CE30"/>
  <c r="CD30"/>
  <c r="CC30"/>
  <c r="CM29"/>
  <c r="CL29"/>
  <c r="CK29"/>
  <c r="CJ29"/>
  <c r="CF29"/>
  <c r="CE29"/>
  <c r="CD29"/>
  <c r="CC29"/>
  <c r="CM28"/>
  <c r="CL28"/>
  <c r="CK28"/>
  <c r="CJ28"/>
  <c r="CF28"/>
  <c r="CE28"/>
  <c r="CD28"/>
  <c r="CC28"/>
  <c r="CM27"/>
  <c r="CL27"/>
  <c r="CK27"/>
  <c r="CJ27"/>
  <c r="CF27"/>
  <c r="CE27"/>
  <c r="CD27"/>
  <c r="CC27"/>
  <c r="CM26"/>
  <c r="CL26"/>
  <c r="CK26"/>
  <c r="CJ26"/>
  <c r="CF26"/>
  <c r="CE26"/>
  <c r="CD26"/>
  <c r="CC26"/>
  <c r="CM25"/>
  <c r="CL25"/>
  <c r="CK25"/>
  <c r="CJ25"/>
  <c r="CF25"/>
  <c r="CE25"/>
  <c r="CD25"/>
  <c r="CC25"/>
  <c r="CM24"/>
  <c r="CL24"/>
  <c r="CK24"/>
  <c r="CJ24"/>
  <c r="CF24"/>
  <c r="CE24"/>
  <c r="CD24"/>
  <c r="CC24"/>
  <c r="CM23"/>
  <c r="CL23"/>
  <c r="CK23"/>
  <c r="CJ23"/>
  <c r="CF23"/>
  <c r="CE23"/>
  <c r="CD23"/>
  <c r="CC23"/>
  <c r="CM22"/>
  <c r="CL22"/>
  <c r="CK22"/>
  <c r="CJ22"/>
  <c r="CF22"/>
  <c r="CE22"/>
  <c r="CD22"/>
  <c r="CC22"/>
  <c r="CM21"/>
  <c r="CL21"/>
  <c r="CK21"/>
  <c r="CJ21"/>
  <c r="CF21"/>
  <c r="CE21"/>
  <c r="CD21"/>
  <c r="CC21"/>
  <c r="CM20"/>
  <c r="CL20"/>
  <c r="CK20"/>
  <c r="CJ20"/>
  <c r="CF20"/>
  <c r="CE20"/>
  <c r="CD20"/>
  <c r="CC20"/>
  <c r="CM19"/>
  <c r="CL19"/>
  <c r="CK19"/>
  <c r="CJ19"/>
  <c r="CF19"/>
  <c r="CE19"/>
  <c r="CD19"/>
  <c r="CC19"/>
  <c r="CM18"/>
  <c r="CL18"/>
  <c r="CK18"/>
  <c r="CJ18"/>
  <c r="CF18"/>
  <c r="CE18"/>
  <c r="CD18"/>
  <c r="CC18"/>
  <c r="CM17"/>
  <c r="CL17"/>
  <c r="CK17"/>
  <c r="CJ17"/>
  <c r="CF17"/>
  <c r="CE17"/>
  <c r="CD17"/>
  <c r="CC17"/>
  <c r="CM16"/>
  <c r="CL16"/>
  <c r="CK16"/>
  <c r="CJ16"/>
  <c r="CF16"/>
  <c r="CE16"/>
  <c r="CD16"/>
  <c r="CC16"/>
  <c r="CM15"/>
  <c r="CL15"/>
  <c r="CK15"/>
  <c r="CJ15"/>
  <c r="CF15"/>
  <c r="CE15"/>
  <c r="CD15"/>
  <c r="CC15"/>
  <c r="CM14"/>
  <c r="CL14"/>
  <c r="CK14"/>
  <c r="CJ14"/>
  <c r="CF14"/>
  <c r="CE14"/>
  <c r="CD14"/>
  <c r="CC14"/>
  <c r="CM13"/>
  <c r="CL13"/>
  <c r="CK13"/>
  <c r="CJ13"/>
  <c r="CF13"/>
  <c r="CE13"/>
  <c r="CD13"/>
  <c r="CC13"/>
  <c r="CM12"/>
  <c r="CL12"/>
  <c r="CK12"/>
  <c r="CJ12"/>
  <c r="CF12"/>
  <c r="CE12"/>
  <c r="CD12"/>
  <c r="CC12"/>
  <c r="CM11"/>
  <c r="CL11"/>
  <c r="CK11"/>
  <c r="CJ11"/>
  <c r="CF11"/>
  <c r="CE11"/>
  <c r="CD11"/>
  <c r="CC11"/>
  <c r="CM10"/>
  <c r="CL10"/>
  <c r="CK10"/>
  <c r="CJ10"/>
  <c r="CF10"/>
  <c r="CE10"/>
  <c r="CD10"/>
  <c r="CC10"/>
  <c r="CM9"/>
  <c r="CL9"/>
  <c r="CK9"/>
  <c r="CJ9"/>
  <c r="CF9"/>
  <c r="CE9"/>
  <c r="CD9"/>
  <c r="CC9"/>
  <c r="CM8"/>
  <c r="CL8"/>
  <c r="CK8"/>
  <c r="CJ8"/>
  <c r="CF8"/>
  <c r="CE8"/>
  <c r="CD8"/>
  <c r="CC8"/>
  <c r="CM7"/>
  <c r="CL7"/>
  <c r="CK7"/>
  <c r="CJ7"/>
  <c r="CF7"/>
  <c r="CE7"/>
  <c r="CD7"/>
  <c r="CC7"/>
  <c r="CM6"/>
  <c r="CL6"/>
  <c r="CK6"/>
  <c r="CJ6"/>
  <c r="CF6"/>
  <c r="CE6"/>
  <c r="CD6"/>
  <c r="CC6"/>
  <c r="CM5"/>
  <c r="CL5"/>
  <c r="CK5"/>
  <c r="CJ5"/>
  <c r="CE5"/>
  <c r="CD5"/>
  <c r="CC5"/>
  <c r="BT6"/>
  <c r="BU6"/>
  <c r="BV6"/>
  <c r="BT7"/>
  <c r="BU7"/>
  <c r="BV7"/>
  <c r="BT8"/>
  <c r="BU8"/>
  <c r="BV8"/>
  <c r="BT9"/>
  <c r="BU9"/>
  <c r="BV9"/>
  <c r="BT10"/>
  <c r="BU10"/>
  <c r="BV10"/>
  <c r="BT11"/>
  <c r="BU11"/>
  <c r="BV11"/>
  <c r="BT12"/>
  <c r="BU12"/>
  <c r="BV12"/>
  <c r="BT13"/>
  <c r="BU13"/>
  <c r="BV13"/>
  <c r="BT14"/>
  <c r="BU14"/>
  <c r="BV14"/>
  <c r="BT15"/>
  <c r="BU15"/>
  <c r="BV15"/>
  <c r="BT16"/>
  <c r="BU16"/>
  <c r="BV16"/>
  <c r="BT17"/>
  <c r="BU17"/>
  <c r="BV17"/>
  <c r="BT18"/>
  <c r="BU18"/>
  <c r="BV18"/>
  <c r="BT19"/>
  <c r="BU19"/>
  <c r="BV19"/>
  <c r="BT20"/>
  <c r="BU20"/>
  <c r="BV20"/>
  <c r="BT21"/>
  <c r="BU21"/>
  <c r="BV21"/>
  <c r="BT22"/>
  <c r="BU22"/>
  <c r="BV22"/>
  <c r="BT23"/>
  <c r="BU23"/>
  <c r="BV23"/>
  <c r="BT24"/>
  <c r="BU24"/>
  <c r="BV24"/>
  <c r="BT25"/>
  <c r="BU25"/>
  <c r="BV25"/>
  <c r="BT26"/>
  <c r="BU26"/>
  <c r="BV26"/>
  <c r="BT27"/>
  <c r="BU27"/>
  <c r="BV27"/>
  <c r="BT28"/>
  <c r="BU28"/>
  <c r="BV28"/>
  <c r="BT29"/>
  <c r="BU29"/>
  <c r="BV29"/>
  <c r="BT30"/>
  <c r="BU30"/>
  <c r="BV30"/>
  <c r="BT31"/>
  <c r="BU31"/>
  <c r="BV31"/>
  <c r="BT32"/>
  <c r="BU32"/>
  <c r="BV32"/>
  <c r="BT33"/>
  <c r="BU33"/>
  <c r="BV33"/>
  <c r="BT34"/>
  <c r="BU34"/>
  <c r="BV34"/>
  <c r="BT35"/>
  <c r="BU35"/>
  <c r="BV35"/>
  <c r="BT36"/>
  <c r="BU36"/>
  <c r="BV36"/>
  <c r="BT37"/>
  <c r="BU37"/>
  <c r="BV37"/>
  <c r="BT38"/>
  <c r="BU38"/>
  <c r="BV38"/>
  <c r="BT39"/>
  <c r="BU39"/>
  <c r="BV39"/>
  <c r="BT40"/>
  <c r="BU40"/>
  <c r="BV40"/>
  <c r="BT41"/>
  <c r="BU41"/>
  <c r="BV41"/>
  <c r="BT42"/>
  <c r="BU42"/>
  <c r="BV42"/>
  <c r="BT43"/>
  <c r="BU43"/>
  <c r="BV43"/>
  <c r="BT44"/>
  <c r="BU44"/>
  <c r="BV44"/>
  <c r="BT45"/>
  <c r="BU45"/>
  <c r="BV45"/>
  <c r="BT46"/>
  <c r="BU46"/>
  <c r="BV46"/>
  <c r="BT47"/>
  <c r="BU47"/>
  <c r="BV47"/>
  <c r="BT48"/>
  <c r="BU48"/>
  <c r="BV48"/>
  <c r="BT49"/>
  <c r="BU49"/>
  <c r="BV49"/>
  <c r="BT50"/>
  <c r="BU50"/>
  <c r="BV50"/>
  <c r="BT51"/>
  <c r="BU51"/>
  <c r="BV51"/>
  <c r="BT52"/>
  <c r="BU52"/>
  <c r="BV52"/>
  <c r="BT53"/>
  <c r="BU53"/>
  <c r="BV53"/>
  <c r="BT54"/>
  <c r="BU54"/>
  <c r="BV54"/>
  <c r="BT55"/>
  <c r="BU55"/>
  <c r="BV55"/>
  <c r="BT56"/>
  <c r="BU56"/>
  <c r="BV56"/>
  <c r="BT57"/>
  <c r="BU57"/>
  <c r="BV57"/>
  <c r="BT58"/>
  <c r="BU58"/>
  <c r="BV58"/>
  <c r="BT59"/>
  <c r="BU59"/>
  <c r="BV59"/>
  <c r="BT60"/>
  <c r="BU60"/>
  <c r="BV60"/>
  <c r="BT61"/>
  <c r="BU61"/>
  <c r="BV61"/>
  <c r="BT62"/>
  <c r="BU62"/>
  <c r="BV62"/>
  <c r="BT63"/>
  <c r="BU63"/>
  <c r="BV63"/>
  <c r="BT64"/>
  <c r="BU64"/>
  <c r="BV64"/>
  <c r="BT65"/>
  <c r="BU65"/>
  <c r="BV65"/>
  <c r="BT66"/>
  <c r="BU66"/>
  <c r="BV66"/>
  <c r="BT67"/>
  <c r="BU67"/>
  <c r="BV67"/>
  <c r="BT68"/>
  <c r="BU68"/>
  <c r="BV68"/>
  <c r="BT69"/>
  <c r="BU69"/>
  <c r="BV69"/>
  <c r="BT70"/>
  <c r="BU70"/>
  <c r="BV70"/>
  <c r="BV5"/>
  <c r="BT5"/>
  <c r="BU5"/>
  <c r="BS5"/>
  <c r="BZ70"/>
  <c r="BY70"/>
  <c r="BX70"/>
  <c r="BW70"/>
  <c r="BS70"/>
  <c r="BR70"/>
  <c r="BQ70"/>
  <c r="BP70"/>
  <c r="BZ69"/>
  <c r="BY69"/>
  <c r="BX69"/>
  <c r="BW69"/>
  <c r="BS69"/>
  <c r="BR69"/>
  <c r="BQ69"/>
  <c r="BP69"/>
  <c r="BZ68"/>
  <c r="BY68"/>
  <c r="BX68"/>
  <c r="BW68"/>
  <c r="BS68"/>
  <c r="BR68"/>
  <c r="BQ68"/>
  <c r="BP68"/>
  <c r="BZ67"/>
  <c r="BY67"/>
  <c r="BX67"/>
  <c r="BW67"/>
  <c r="BS67"/>
  <c r="BR67"/>
  <c r="BQ67"/>
  <c r="BP67"/>
  <c r="BZ66"/>
  <c r="BY66"/>
  <c r="BX66"/>
  <c r="BW66"/>
  <c r="BS66"/>
  <c r="BR66"/>
  <c r="BQ66"/>
  <c r="BP66"/>
  <c r="BZ65"/>
  <c r="BY65"/>
  <c r="BX65"/>
  <c r="BW65"/>
  <c r="BS65"/>
  <c r="BR65"/>
  <c r="BQ65"/>
  <c r="BP65"/>
  <c r="BZ64"/>
  <c r="BY64"/>
  <c r="BX64"/>
  <c r="BW64"/>
  <c r="BS64"/>
  <c r="BR64"/>
  <c r="BQ64"/>
  <c r="BP64"/>
  <c r="BZ63"/>
  <c r="BY63"/>
  <c r="BX63"/>
  <c r="BW63"/>
  <c r="BS63"/>
  <c r="BR63"/>
  <c r="BQ63"/>
  <c r="BP63"/>
  <c r="BZ62"/>
  <c r="BY62"/>
  <c r="BX62"/>
  <c r="BW62"/>
  <c r="BS62"/>
  <c r="BR62"/>
  <c r="BQ62"/>
  <c r="BP62"/>
  <c r="BZ61"/>
  <c r="BY61"/>
  <c r="BX61"/>
  <c r="BW61"/>
  <c r="BS61"/>
  <c r="BR61"/>
  <c r="BQ61"/>
  <c r="BP61"/>
  <c r="BZ60"/>
  <c r="BY60"/>
  <c r="BX60"/>
  <c r="BW60"/>
  <c r="BS60"/>
  <c r="BR60"/>
  <c r="BQ60"/>
  <c r="BP60"/>
  <c r="BZ59"/>
  <c r="BY59"/>
  <c r="BX59"/>
  <c r="BW59"/>
  <c r="BS59"/>
  <c r="BR59"/>
  <c r="BQ59"/>
  <c r="BP59"/>
  <c r="BZ58"/>
  <c r="BY58"/>
  <c r="BX58"/>
  <c r="BW58"/>
  <c r="BS58"/>
  <c r="BR58"/>
  <c r="BQ58"/>
  <c r="BP58"/>
  <c r="BZ57"/>
  <c r="BY57"/>
  <c r="BX57"/>
  <c r="BW57"/>
  <c r="BS57"/>
  <c r="BR57"/>
  <c r="BQ57"/>
  <c r="BP57"/>
  <c r="BZ56"/>
  <c r="BY56"/>
  <c r="BX56"/>
  <c r="BW56"/>
  <c r="BS56"/>
  <c r="BR56"/>
  <c r="BQ56"/>
  <c r="BP56"/>
  <c r="BZ55"/>
  <c r="BY55"/>
  <c r="BX55"/>
  <c r="BW55"/>
  <c r="BS55"/>
  <c r="BR55"/>
  <c r="BQ55"/>
  <c r="BP55"/>
  <c r="BZ54"/>
  <c r="BY54"/>
  <c r="BX54"/>
  <c r="BW54"/>
  <c r="BS54"/>
  <c r="BR54"/>
  <c r="BQ54"/>
  <c r="BP54"/>
  <c r="BZ53"/>
  <c r="BY53"/>
  <c r="BX53"/>
  <c r="BW53"/>
  <c r="BS53"/>
  <c r="BR53"/>
  <c r="BQ53"/>
  <c r="BP53"/>
  <c r="BZ52"/>
  <c r="BY52"/>
  <c r="BX52"/>
  <c r="BW52"/>
  <c r="BS52"/>
  <c r="BR52"/>
  <c r="BQ52"/>
  <c r="BP52"/>
  <c r="BZ51"/>
  <c r="BY51"/>
  <c r="BX51"/>
  <c r="BW51"/>
  <c r="BS51"/>
  <c r="BR51"/>
  <c r="BQ51"/>
  <c r="BP51"/>
  <c r="BZ50"/>
  <c r="BY50"/>
  <c r="BX50"/>
  <c r="BW50"/>
  <c r="BS50"/>
  <c r="BR50"/>
  <c r="BQ50"/>
  <c r="BP50"/>
  <c r="BZ49"/>
  <c r="BY49"/>
  <c r="BX49"/>
  <c r="BW49"/>
  <c r="BS49"/>
  <c r="BR49"/>
  <c r="BQ49"/>
  <c r="BP49"/>
  <c r="BZ48"/>
  <c r="BY48"/>
  <c r="BX48"/>
  <c r="BW48"/>
  <c r="BS48"/>
  <c r="BR48"/>
  <c r="BQ48"/>
  <c r="BP48"/>
  <c r="BZ47"/>
  <c r="BY47"/>
  <c r="BX47"/>
  <c r="BW47"/>
  <c r="BS47"/>
  <c r="BR47"/>
  <c r="BQ47"/>
  <c r="BP47"/>
  <c r="BZ46"/>
  <c r="BY46"/>
  <c r="BX46"/>
  <c r="BW46"/>
  <c r="BS46"/>
  <c r="BR46"/>
  <c r="BQ46"/>
  <c r="BP46"/>
  <c r="BZ45"/>
  <c r="BY45"/>
  <c r="BX45"/>
  <c r="BW45"/>
  <c r="BS45"/>
  <c r="BR45"/>
  <c r="BQ45"/>
  <c r="BP45"/>
  <c r="BZ44"/>
  <c r="BY44"/>
  <c r="BX44"/>
  <c r="BW44"/>
  <c r="BS44"/>
  <c r="BR44"/>
  <c r="BQ44"/>
  <c r="BP44"/>
  <c r="BZ43"/>
  <c r="BY43"/>
  <c r="BX43"/>
  <c r="BW43"/>
  <c r="BS43"/>
  <c r="BR43"/>
  <c r="BQ43"/>
  <c r="BP43"/>
  <c r="BZ42"/>
  <c r="BY42"/>
  <c r="BX42"/>
  <c r="BW42"/>
  <c r="BS42"/>
  <c r="BR42"/>
  <c r="BQ42"/>
  <c r="BP42"/>
  <c r="BZ41"/>
  <c r="BY41"/>
  <c r="BX41"/>
  <c r="BW41"/>
  <c r="BS41"/>
  <c r="BR41"/>
  <c r="BQ41"/>
  <c r="BP41"/>
  <c r="BZ40"/>
  <c r="BY40"/>
  <c r="BX40"/>
  <c r="BW40"/>
  <c r="BS40"/>
  <c r="BR40"/>
  <c r="BQ40"/>
  <c r="BP40"/>
  <c r="BZ39"/>
  <c r="BY39"/>
  <c r="BX39"/>
  <c r="BW39"/>
  <c r="BS39"/>
  <c r="BR39"/>
  <c r="BQ39"/>
  <c r="BP39"/>
  <c r="BZ38"/>
  <c r="BY38"/>
  <c r="BX38"/>
  <c r="BW38"/>
  <c r="BS38"/>
  <c r="BR38"/>
  <c r="BQ38"/>
  <c r="BP38"/>
  <c r="BZ37"/>
  <c r="BY37"/>
  <c r="BX37"/>
  <c r="BW37"/>
  <c r="BS37"/>
  <c r="BR37"/>
  <c r="BQ37"/>
  <c r="BP37"/>
  <c r="BZ36"/>
  <c r="BY36"/>
  <c r="BX36"/>
  <c r="BW36"/>
  <c r="BS36"/>
  <c r="BR36"/>
  <c r="BQ36"/>
  <c r="BP36"/>
  <c r="BZ35"/>
  <c r="BY35"/>
  <c r="BX35"/>
  <c r="BW35"/>
  <c r="BS35"/>
  <c r="BR35"/>
  <c r="BQ35"/>
  <c r="BP35"/>
  <c r="BZ34"/>
  <c r="BY34"/>
  <c r="BX34"/>
  <c r="BW34"/>
  <c r="BS34"/>
  <c r="BR34"/>
  <c r="BQ34"/>
  <c r="BP34"/>
  <c r="BZ33"/>
  <c r="BY33"/>
  <c r="BX33"/>
  <c r="BW33"/>
  <c r="BS33"/>
  <c r="BR33"/>
  <c r="BQ33"/>
  <c r="BP33"/>
  <c r="BZ32"/>
  <c r="BY32"/>
  <c r="BX32"/>
  <c r="BW32"/>
  <c r="BS32"/>
  <c r="BR32"/>
  <c r="BQ32"/>
  <c r="BP32"/>
  <c r="BZ31"/>
  <c r="BY31"/>
  <c r="BX31"/>
  <c r="BW31"/>
  <c r="BS31"/>
  <c r="BR31"/>
  <c r="BQ31"/>
  <c r="BP31"/>
  <c r="BZ30"/>
  <c r="BY30"/>
  <c r="BX30"/>
  <c r="BW30"/>
  <c r="BS30"/>
  <c r="BR30"/>
  <c r="BQ30"/>
  <c r="BP30"/>
  <c r="BZ29"/>
  <c r="BY29"/>
  <c r="BX29"/>
  <c r="BW29"/>
  <c r="BS29"/>
  <c r="BR29"/>
  <c r="BQ29"/>
  <c r="BP29"/>
  <c r="BZ28"/>
  <c r="BY28"/>
  <c r="BX28"/>
  <c r="BW28"/>
  <c r="BS28"/>
  <c r="BR28"/>
  <c r="BQ28"/>
  <c r="BP28"/>
  <c r="BZ27"/>
  <c r="BY27"/>
  <c r="BX27"/>
  <c r="BW27"/>
  <c r="BS27"/>
  <c r="BR27"/>
  <c r="BQ27"/>
  <c r="BP27"/>
  <c r="BZ26"/>
  <c r="BY26"/>
  <c r="BX26"/>
  <c r="BW26"/>
  <c r="BS26"/>
  <c r="BR26"/>
  <c r="BQ26"/>
  <c r="BP26"/>
  <c r="BZ25"/>
  <c r="BY25"/>
  <c r="BX25"/>
  <c r="BW25"/>
  <c r="BS25"/>
  <c r="BR25"/>
  <c r="BQ25"/>
  <c r="BP25"/>
  <c r="BZ24"/>
  <c r="BY24"/>
  <c r="BX24"/>
  <c r="BW24"/>
  <c r="BS24"/>
  <c r="BR24"/>
  <c r="BQ24"/>
  <c r="BP24"/>
  <c r="BZ23"/>
  <c r="BY23"/>
  <c r="BX23"/>
  <c r="BW23"/>
  <c r="BS23"/>
  <c r="BR23"/>
  <c r="BQ23"/>
  <c r="BP23"/>
  <c r="BZ22"/>
  <c r="BY22"/>
  <c r="BX22"/>
  <c r="BW22"/>
  <c r="BS22"/>
  <c r="BR22"/>
  <c r="BQ22"/>
  <c r="BP22"/>
  <c r="BZ21"/>
  <c r="BY21"/>
  <c r="BX21"/>
  <c r="BW21"/>
  <c r="BS21"/>
  <c r="BR21"/>
  <c r="BQ21"/>
  <c r="BP21"/>
  <c r="BZ20"/>
  <c r="BY20"/>
  <c r="BX20"/>
  <c r="BW20"/>
  <c r="BS20"/>
  <c r="BR20"/>
  <c r="BQ20"/>
  <c r="BP20"/>
  <c r="BZ19"/>
  <c r="BY19"/>
  <c r="BX19"/>
  <c r="BW19"/>
  <c r="BS19"/>
  <c r="BR19"/>
  <c r="BQ19"/>
  <c r="BP19"/>
  <c r="BZ18"/>
  <c r="BY18"/>
  <c r="BX18"/>
  <c r="BW18"/>
  <c r="BS18"/>
  <c r="BR18"/>
  <c r="BQ18"/>
  <c r="BP18"/>
  <c r="BZ17"/>
  <c r="BY17"/>
  <c r="BX17"/>
  <c r="BW17"/>
  <c r="BS17"/>
  <c r="BR17"/>
  <c r="BQ17"/>
  <c r="BP17"/>
  <c r="BZ16"/>
  <c r="BY16"/>
  <c r="BX16"/>
  <c r="BW16"/>
  <c r="BS16"/>
  <c r="BR16"/>
  <c r="BQ16"/>
  <c r="BP16"/>
  <c r="BZ15"/>
  <c r="BY15"/>
  <c r="BX15"/>
  <c r="BW15"/>
  <c r="BS15"/>
  <c r="BR15"/>
  <c r="BQ15"/>
  <c r="BP15"/>
  <c r="BZ14"/>
  <c r="BY14"/>
  <c r="BX14"/>
  <c r="BW14"/>
  <c r="BS14"/>
  <c r="BR14"/>
  <c r="BQ14"/>
  <c r="BP14"/>
  <c r="BZ13"/>
  <c r="BY13"/>
  <c r="BX13"/>
  <c r="BW13"/>
  <c r="BS13"/>
  <c r="BR13"/>
  <c r="BQ13"/>
  <c r="BP13"/>
  <c r="BZ12"/>
  <c r="BY12"/>
  <c r="BX12"/>
  <c r="BW12"/>
  <c r="BS12"/>
  <c r="BR12"/>
  <c r="BQ12"/>
  <c r="BP12"/>
  <c r="BZ11"/>
  <c r="BY11"/>
  <c r="BX11"/>
  <c r="BW11"/>
  <c r="BS11"/>
  <c r="BR11"/>
  <c r="BQ11"/>
  <c r="BP11"/>
  <c r="BZ10"/>
  <c r="BY10"/>
  <c r="BX10"/>
  <c r="BW10"/>
  <c r="BS10"/>
  <c r="BR10"/>
  <c r="BQ10"/>
  <c r="BP10"/>
  <c r="BZ9"/>
  <c r="BY9"/>
  <c r="BX9"/>
  <c r="BW9"/>
  <c r="BS9"/>
  <c r="BR9"/>
  <c r="BQ9"/>
  <c r="BP9"/>
  <c r="BZ8"/>
  <c r="BY8"/>
  <c r="BX8"/>
  <c r="BW8"/>
  <c r="BS8"/>
  <c r="BR8"/>
  <c r="BQ8"/>
  <c r="BP8"/>
  <c r="BZ7"/>
  <c r="BY7"/>
  <c r="BX7"/>
  <c r="BW7"/>
  <c r="BS7"/>
  <c r="BR7"/>
  <c r="BQ7"/>
  <c r="BP7"/>
  <c r="BZ6"/>
  <c r="BY6"/>
  <c r="BX6"/>
  <c r="BW6"/>
  <c r="BS6"/>
  <c r="BR6"/>
  <c r="BQ6"/>
  <c r="BP6"/>
  <c r="BZ5"/>
  <c r="BY5"/>
  <c r="BX5"/>
  <c r="BW5"/>
  <c r="BR5"/>
  <c r="BQ5"/>
  <c r="BP5"/>
  <c r="BG6"/>
  <c r="BH6"/>
  <c r="BI6"/>
  <c r="BG7"/>
  <c r="BH7"/>
  <c r="BI7"/>
  <c r="BG8"/>
  <c r="BH8"/>
  <c r="BI8"/>
  <c r="BG9"/>
  <c r="BH9"/>
  <c r="BI9"/>
  <c r="BG10"/>
  <c r="BH10"/>
  <c r="BI10"/>
  <c r="BG11"/>
  <c r="BH11"/>
  <c r="BI11"/>
  <c r="BG12"/>
  <c r="BH12"/>
  <c r="BI12"/>
  <c r="BG13"/>
  <c r="BH13"/>
  <c r="BI13"/>
  <c r="BG14"/>
  <c r="BH14"/>
  <c r="BI14"/>
  <c r="BG15"/>
  <c r="BH15"/>
  <c r="BI15"/>
  <c r="BG16"/>
  <c r="BH16"/>
  <c r="BI16"/>
  <c r="BG17"/>
  <c r="BH17"/>
  <c r="BI17"/>
  <c r="BG18"/>
  <c r="BH18"/>
  <c r="BI18"/>
  <c r="BG19"/>
  <c r="BH19"/>
  <c r="BI19"/>
  <c r="BG20"/>
  <c r="BH20"/>
  <c r="BI20"/>
  <c r="BG21"/>
  <c r="BH21"/>
  <c r="BI21"/>
  <c r="BG22"/>
  <c r="BH22"/>
  <c r="BI22"/>
  <c r="BG23"/>
  <c r="BH23"/>
  <c r="BI23"/>
  <c r="BG24"/>
  <c r="BH24"/>
  <c r="BI24"/>
  <c r="BG25"/>
  <c r="BH25"/>
  <c r="BI25"/>
  <c r="BG26"/>
  <c r="BH26"/>
  <c r="BI26"/>
  <c r="BG27"/>
  <c r="BH27"/>
  <c r="BI27"/>
  <c r="BG28"/>
  <c r="BH28"/>
  <c r="BI28"/>
  <c r="BG29"/>
  <c r="BH29"/>
  <c r="BI29"/>
  <c r="BG30"/>
  <c r="BH30"/>
  <c r="BI30"/>
  <c r="BG31"/>
  <c r="BH31"/>
  <c r="BI31"/>
  <c r="BG32"/>
  <c r="BH32"/>
  <c r="BI32"/>
  <c r="BG33"/>
  <c r="BH33"/>
  <c r="BI33"/>
  <c r="BG34"/>
  <c r="BH34"/>
  <c r="BI34"/>
  <c r="BG35"/>
  <c r="BH35"/>
  <c r="BI35"/>
  <c r="BG36"/>
  <c r="BH36"/>
  <c r="BI36"/>
  <c r="BG37"/>
  <c r="BH37"/>
  <c r="BI37"/>
  <c r="BG38"/>
  <c r="BH38"/>
  <c r="BI38"/>
  <c r="BG39"/>
  <c r="BH39"/>
  <c r="BI39"/>
  <c r="BG40"/>
  <c r="BH40"/>
  <c r="BI40"/>
  <c r="BG41"/>
  <c r="BH41"/>
  <c r="BI41"/>
  <c r="BG42"/>
  <c r="BH42"/>
  <c r="BI42"/>
  <c r="BG43"/>
  <c r="BH43"/>
  <c r="BI43"/>
  <c r="BG44"/>
  <c r="BH44"/>
  <c r="BI44"/>
  <c r="BG45"/>
  <c r="BH45"/>
  <c r="BI45"/>
  <c r="BG46"/>
  <c r="BH46"/>
  <c r="BI46"/>
  <c r="BG47"/>
  <c r="BH47"/>
  <c r="BI47"/>
  <c r="BG48"/>
  <c r="BH48"/>
  <c r="BI48"/>
  <c r="BG49"/>
  <c r="BH49"/>
  <c r="BI49"/>
  <c r="BG50"/>
  <c r="BH50"/>
  <c r="BI50"/>
  <c r="BG51"/>
  <c r="BH51"/>
  <c r="BI51"/>
  <c r="BG52"/>
  <c r="BH52"/>
  <c r="BI52"/>
  <c r="BG53"/>
  <c r="BH53"/>
  <c r="BI53"/>
  <c r="BG54"/>
  <c r="BH54"/>
  <c r="BI54"/>
  <c r="BG55"/>
  <c r="BH55"/>
  <c r="BI55"/>
  <c r="BG56"/>
  <c r="BH56"/>
  <c r="BI56"/>
  <c r="BG57"/>
  <c r="BH57"/>
  <c r="BI57"/>
  <c r="BG58"/>
  <c r="BH58"/>
  <c r="BI58"/>
  <c r="BG59"/>
  <c r="BH59"/>
  <c r="BI59"/>
  <c r="BG60"/>
  <c r="BH60"/>
  <c r="BI60"/>
  <c r="BG61"/>
  <c r="BH61"/>
  <c r="BI61"/>
  <c r="BG62"/>
  <c r="BH62"/>
  <c r="BI62"/>
  <c r="BG63"/>
  <c r="BH63"/>
  <c r="BI63"/>
  <c r="BG64"/>
  <c r="BH64"/>
  <c r="BI64"/>
  <c r="BG65"/>
  <c r="BH65"/>
  <c r="BI65"/>
  <c r="BG66"/>
  <c r="BH66"/>
  <c r="BI66"/>
  <c r="BG67"/>
  <c r="BH67"/>
  <c r="BI67"/>
  <c r="BG68"/>
  <c r="BH68"/>
  <c r="BI68"/>
  <c r="BG69"/>
  <c r="BH69"/>
  <c r="BI69"/>
  <c r="BG70"/>
  <c r="BH70"/>
  <c r="BI70"/>
  <c r="BG71"/>
  <c r="BH71"/>
  <c r="BI71"/>
  <c r="BG72"/>
  <c r="BH72"/>
  <c r="BI72"/>
  <c r="BG73"/>
  <c r="BH73"/>
  <c r="BI73"/>
  <c r="BG74"/>
  <c r="BH74"/>
  <c r="BI74"/>
  <c r="BG75"/>
  <c r="BH75"/>
  <c r="BI75"/>
  <c r="BG76"/>
  <c r="BH76"/>
  <c r="BI76"/>
  <c r="BG77"/>
  <c r="BH77"/>
  <c r="BI77"/>
  <c r="BG78"/>
  <c r="BH78"/>
  <c r="BI78"/>
  <c r="BG79"/>
  <c r="BH79"/>
  <c r="BI79"/>
  <c r="BG80"/>
  <c r="BH80"/>
  <c r="BI80"/>
  <c r="BG81"/>
  <c r="BH81"/>
  <c r="BI81"/>
  <c r="BG82"/>
  <c r="BH82"/>
  <c r="BI82"/>
  <c r="BG83"/>
  <c r="BH83"/>
  <c r="BI83"/>
  <c r="BG84"/>
  <c r="BH84"/>
  <c r="BI84"/>
  <c r="BG85"/>
  <c r="BH85"/>
  <c r="BI85"/>
  <c r="BI5"/>
  <c r="BG5"/>
  <c r="BH5"/>
  <c r="BF5"/>
  <c r="BM85"/>
  <c r="BL85"/>
  <c r="BK85"/>
  <c r="BJ85"/>
  <c r="BF85"/>
  <c r="BE85"/>
  <c r="BD85"/>
  <c r="BC85"/>
  <c r="BM84"/>
  <c r="BL84"/>
  <c r="BK84"/>
  <c r="BJ84"/>
  <c r="BF84"/>
  <c r="BE84"/>
  <c r="BD84"/>
  <c r="BC84"/>
  <c r="BM83"/>
  <c r="BL83"/>
  <c r="BK83"/>
  <c r="BJ83"/>
  <c r="BF83"/>
  <c r="BE83"/>
  <c r="BD83"/>
  <c r="BC83"/>
  <c r="BM82"/>
  <c r="BL82"/>
  <c r="BK82"/>
  <c r="BJ82"/>
  <c r="BF82"/>
  <c r="BE82"/>
  <c r="BD82"/>
  <c r="BC82"/>
  <c r="BM81"/>
  <c r="BL81"/>
  <c r="BK81"/>
  <c r="BJ81"/>
  <c r="BF81"/>
  <c r="BE81"/>
  <c r="BD81"/>
  <c r="BC81"/>
  <c r="BM80"/>
  <c r="BL80"/>
  <c r="BK80"/>
  <c r="BJ80"/>
  <c r="BF80"/>
  <c r="BE80"/>
  <c r="BD80"/>
  <c r="BC80"/>
  <c r="BM79"/>
  <c r="BL79"/>
  <c r="BK79"/>
  <c r="BJ79"/>
  <c r="BF79"/>
  <c r="BE79"/>
  <c r="BD79"/>
  <c r="BC79"/>
  <c r="BM78"/>
  <c r="BL78"/>
  <c r="BK78"/>
  <c r="BJ78"/>
  <c r="BF78"/>
  <c r="BE78"/>
  <c r="BD78"/>
  <c r="BC78"/>
  <c r="BM77"/>
  <c r="BL77"/>
  <c r="BK77"/>
  <c r="BJ77"/>
  <c r="BF77"/>
  <c r="BE77"/>
  <c r="BD77"/>
  <c r="BC77"/>
  <c r="BM76"/>
  <c r="BL76"/>
  <c r="BK76"/>
  <c r="BJ76"/>
  <c r="BF76"/>
  <c r="BE76"/>
  <c r="BD76"/>
  <c r="BC76"/>
  <c r="BM75"/>
  <c r="BL75"/>
  <c r="BK75"/>
  <c r="BJ75"/>
  <c r="BF75"/>
  <c r="BE75"/>
  <c r="BD75"/>
  <c r="BC75"/>
  <c r="BM74"/>
  <c r="BL74"/>
  <c r="BK74"/>
  <c r="BJ74"/>
  <c r="BF74"/>
  <c r="BE74"/>
  <c r="BD74"/>
  <c r="BC74"/>
  <c r="BM73"/>
  <c r="BL73"/>
  <c r="BK73"/>
  <c r="BJ73"/>
  <c r="BF73"/>
  <c r="BE73"/>
  <c r="BD73"/>
  <c r="BC73"/>
  <c r="BM72"/>
  <c r="BL72"/>
  <c r="BK72"/>
  <c r="BJ72"/>
  <c r="BF72"/>
  <c r="BE72"/>
  <c r="BD72"/>
  <c r="BC72"/>
  <c r="BM71"/>
  <c r="BL71"/>
  <c r="BK71"/>
  <c r="BJ71"/>
  <c r="BF71"/>
  <c r="BE71"/>
  <c r="BD71"/>
  <c r="BC71"/>
  <c r="BM70"/>
  <c r="BL70"/>
  <c r="BK70"/>
  <c r="BJ70"/>
  <c r="BF70"/>
  <c r="BE70"/>
  <c r="BD70"/>
  <c r="BC70"/>
  <c r="BM69"/>
  <c r="BL69"/>
  <c r="BK69"/>
  <c r="BJ69"/>
  <c r="BF69"/>
  <c r="BE69"/>
  <c r="BD69"/>
  <c r="BC69"/>
  <c r="BM68"/>
  <c r="BL68"/>
  <c r="BK68"/>
  <c r="BJ68"/>
  <c r="BF68"/>
  <c r="BE68"/>
  <c r="BD68"/>
  <c r="BC68"/>
  <c r="BM67"/>
  <c r="BL67"/>
  <c r="BK67"/>
  <c r="BJ67"/>
  <c r="BF67"/>
  <c r="BE67"/>
  <c r="BD67"/>
  <c r="BC67"/>
  <c r="BM66"/>
  <c r="BL66"/>
  <c r="BK66"/>
  <c r="BJ66"/>
  <c r="BF66"/>
  <c r="BE66"/>
  <c r="BD66"/>
  <c r="BC66"/>
  <c r="BM65"/>
  <c r="BL65"/>
  <c r="BK65"/>
  <c r="BJ65"/>
  <c r="BF65"/>
  <c r="BE65"/>
  <c r="BD65"/>
  <c r="BC65"/>
  <c r="BM64"/>
  <c r="BL64"/>
  <c r="BK64"/>
  <c r="BJ64"/>
  <c r="BF64"/>
  <c r="BE64"/>
  <c r="BD64"/>
  <c r="BC64"/>
  <c r="BM63"/>
  <c r="BL63"/>
  <c r="BK63"/>
  <c r="BJ63"/>
  <c r="BF63"/>
  <c r="BE63"/>
  <c r="BD63"/>
  <c r="BC63"/>
  <c r="BM62"/>
  <c r="BL62"/>
  <c r="BK62"/>
  <c r="BJ62"/>
  <c r="BF62"/>
  <c r="BE62"/>
  <c r="BD62"/>
  <c r="BC62"/>
  <c r="BM61"/>
  <c r="BL61"/>
  <c r="BK61"/>
  <c r="BJ61"/>
  <c r="BF61"/>
  <c r="BE61"/>
  <c r="BD61"/>
  <c r="BC61"/>
  <c r="BM60"/>
  <c r="BL60"/>
  <c r="BK60"/>
  <c r="BJ60"/>
  <c r="BF60"/>
  <c r="BE60"/>
  <c r="BD60"/>
  <c r="BC60"/>
  <c r="BM59"/>
  <c r="BL59"/>
  <c r="BK59"/>
  <c r="BJ59"/>
  <c r="BF59"/>
  <c r="BE59"/>
  <c r="BD59"/>
  <c r="BC59"/>
  <c r="BM58"/>
  <c r="BL58"/>
  <c r="BK58"/>
  <c r="BJ58"/>
  <c r="BF58"/>
  <c r="BE58"/>
  <c r="BD58"/>
  <c r="BC58"/>
  <c r="BM57"/>
  <c r="BL57"/>
  <c r="BK57"/>
  <c r="BJ57"/>
  <c r="BF57"/>
  <c r="BE57"/>
  <c r="BD57"/>
  <c r="BC57"/>
  <c r="BM56"/>
  <c r="BL56"/>
  <c r="BK56"/>
  <c r="BJ56"/>
  <c r="BF56"/>
  <c r="BE56"/>
  <c r="BD56"/>
  <c r="BC56"/>
  <c r="BM55"/>
  <c r="BL55"/>
  <c r="BK55"/>
  <c r="BJ55"/>
  <c r="BF55"/>
  <c r="BE55"/>
  <c r="BD55"/>
  <c r="BC55"/>
  <c r="BM54"/>
  <c r="BL54"/>
  <c r="BK54"/>
  <c r="BJ54"/>
  <c r="BF54"/>
  <c r="BE54"/>
  <c r="BD54"/>
  <c r="BC54"/>
  <c r="BM53"/>
  <c r="BL53"/>
  <c r="BK53"/>
  <c r="BJ53"/>
  <c r="BF53"/>
  <c r="BE53"/>
  <c r="BD53"/>
  <c r="BC53"/>
  <c r="BM52"/>
  <c r="BL52"/>
  <c r="BK52"/>
  <c r="BJ52"/>
  <c r="BF52"/>
  <c r="BE52"/>
  <c r="BD52"/>
  <c r="BC52"/>
  <c r="BM51"/>
  <c r="BL51"/>
  <c r="BK51"/>
  <c r="BJ51"/>
  <c r="BF51"/>
  <c r="BE51"/>
  <c r="BD51"/>
  <c r="BC51"/>
  <c r="BM50"/>
  <c r="BL50"/>
  <c r="BK50"/>
  <c r="BJ50"/>
  <c r="BF50"/>
  <c r="BE50"/>
  <c r="BD50"/>
  <c r="BC50"/>
  <c r="BM49"/>
  <c r="BL49"/>
  <c r="BK49"/>
  <c r="BJ49"/>
  <c r="BF49"/>
  <c r="BE49"/>
  <c r="BD49"/>
  <c r="BC49"/>
  <c r="BM48"/>
  <c r="BL48"/>
  <c r="BK48"/>
  <c r="BJ48"/>
  <c r="BF48"/>
  <c r="BE48"/>
  <c r="BD48"/>
  <c r="BC48"/>
  <c r="BM47"/>
  <c r="BL47"/>
  <c r="BK47"/>
  <c r="BJ47"/>
  <c r="BF47"/>
  <c r="BE47"/>
  <c r="BD47"/>
  <c r="BC47"/>
  <c r="BM46"/>
  <c r="BL46"/>
  <c r="BK46"/>
  <c r="BJ46"/>
  <c r="BF46"/>
  <c r="BE46"/>
  <c r="BD46"/>
  <c r="BC46"/>
  <c r="BM45"/>
  <c r="BL45"/>
  <c r="BK45"/>
  <c r="BJ45"/>
  <c r="BF45"/>
  <c r="BE45"/>
  <c r="BD45"/>
  <c r="BC45"/>
  <c r="BM44"/>
  <c r="BL44"/>
  <c r="BK44"/>
  <c r="BJ44"/>
  <c r="BF44"/>
  <c r="BE44"/>
  <c r="BD44"/>
  <c r="BC44"/>
  <c r="BM43"/>
  <c r="BL43"/>
  <c r="BK43"/>
  <c r="BJ43"/>
  <c r="BF43"/>
  <c r="BE43"/>
  <c r="BD43"/>
  <c r="BC43"/>
  <c r="BM42"/>
  <c r="BL42"/>
  <c r="BK42"/>
  <c r="BJ42"/>
  <c r="BF42"/>
  <c r="BE42"/>
  <c r="BD42"/>
  <c r="BC42"/>
  <c r="BM41"/>
  <c r="BL41"/>
  <c r="BK41"/>
  <c r="BJ41"/>
  <c r="BF41"/>
  <c r="BE41"/>
  <c r="BD41"/>
  <c r="BC41"/>
  <c r="BM40"/>
  <c r="BL40"/>
  <c r="BK40"/>
  <c r="BJ40"/>
  <c r="BF40"/>
  <c r="BE40"/>
  <c r="BD40"/>
  <c r="BC40"/>
  <c r="BM39"/>
  <c r="BL39"/>
  <c r="BK39"/>
  <c r="BJ39"/>
  <c r="BF39"/>
  <c r="BE39"/>
  <c r="BD39"/>
  <c r="BC39"/>
  <c r="BM38"/>
  <c r="BL38"/>
  <c r="BK38"/>
  <c r="BJ38"/>
  <c r="BF38"/>
  <c r="BE38"/>
  <c r="BD38"/>
  <c r="BC38"/>
  <c r="BM37"/>
  <c r="BL37"/>
  <c r="BK37"/>
  <c r="BJ37"/>
  <c r="BF37"/>
  <c r="BE37"/>
  <c r="BD37"/>
  <c r="BC37"/>
  <c r="BM36"/>
  <c r="BL36"/>
  <c r="BK36"/>
  <c r="BJ36"/>
  <c r="BF36"/>
  <c r="BE36"/>
  <c r="BD36"/>
  <c r="BC36"/>
  <c r="BM35"/>
  <c r="BL35"/>
  <c r="BK35"/>
  <c r="BJ35"/>
  <c r="BF35"/>
  <c r="BE35"/>
  <c r="BD35"/>
  <c r="BC35"/>
  <c r="BM34"/>
  <c r="BL34"/>
  <c r="BK34"/>
  <c r="BJ34"/>
  <c r="BF34"/>
  <c r="BE34"/>
  <c r="BD34"/>
  <c r="BC34"/>
  <c r="BM33"/>
  <c r="BL33"/>
  <c r="BK33"/>
  <c r="BJ33"/>
  <c r="BF33"/>
  <c r="BE33"/>
  <c r="BD33"/>
  <c r="BC33"/>
  <c r="BM32"/>
  <c r="BL32"/>
  <c r="BK32"/>
  <c r="BJ32"/>
  <c r="BF32"/>
  <c r="BE32"/>
  <c r="BD32"/>
  <c r="BC32"/>
  <c r="BM31"/>
  <c r="BL31"/>
  <c r="BK31"/>
  <c r="BJ31"/>
  <c r="BF31"/>
  <c r="BE31"/>
  <c r="BD31"/>
  <c r="BC31"/>
  <c r="BM30"/>
  <c r="BL30"/>
  <c r="BK30"/>
  <c r="BJ30"/>
  <c r="BF30"/>
  <c r="BE30"/>
  <c r="BD30"/>
  <c r="BC30"/>
  <c r="BM29"/>
  <c r="BL29"/>
  <c r="BK29"/>
  <c r="BJ29"/>
  <c r="BF29"/>
  <c r="BE29"/>
  <c r="BD29"/>
  <c r="BC29"/>
  <c r="BM28"/>
  <c r="BL28"/>
  <c r="BK28"/>
  <c r="BJ28"/>
  <c r="BF28"/>
  <c r="BE28"/>
  <c r="BD28"/>
  <c r="BC28"/>
  <c r="BM27"/>
  <c r="BL27"/>
  <c r="BK27"/>
  <c r="BJ27"/>
  <c r="BF27"/>
  <c r="BE27"/>
  <c r="BD27"/>
  <c r="BC27"/>
  <c r="BM26"/>
  <c r="BL26"/>
  <c r="BK26"/>
  <c r="BJ26"/>
  <c r="BF26"/>
  <c r="BE26"/>
  <c r="BD26"/>
  <c r="BC26"/>
  <c r="BM25"/>
  <c r="BL25"/>
  <c r="BK25"/>
  <c r="BJ25"/>
  <c r="BF25"/>
  <c r="BE25"/>
  <c r="BD25"/>
  <c r="BC25"/>
  <c r="BM24"/>
  <c r="BL24"/>
  <c r="BK24"/>
  <c r="BJ24"/>
  <c r="BF24"/>
  <c r="BE24"/>
  <c r="BD24"/>
  <c r="BC24"/>
  <c r="BM23"/>
  <c r="BL23"/>
  <c r="BK23"/>
  <c r="BJ23"/>
  <c r="BF23"/>
  <c r="BE23"/>
  <c r="BD23"/>
  <c r="BC23"/>
  <c r="BM22"/>
  <c r="BL22"/>
  <c r="BK22"/>
  <c r="BJ22"/>
  <c r="BF22"/>
  <c r="BE22"/>
  <c r="BD22"/>
  <c r="BC22"/>
  <c r="BM21"/>
  <c r="BL21"/>
  <c r="BK21"/>
  <c r="BJ21"/>
  <c r="BF21"/>
  <c r="BE21"/>
  <c r="BD21"/>
  <c r="BC21"/>
  <c r="BM20"/>
  <c r="BL20"/>
  <c r="BK20"/>
  <c r="BJ20"/>
  <c r="BF20"/>
  <c r="BE20"/>
  <c r="BD20"/>
  <c r="BC20"/>
  <c r="BM19"/>
  <c r="BL19"/>
  <c r="BK19"/>
  <c r="BJ19"/>
  <c r="BF19"/>
  <c r="BE19"/>
  <c r="BD19"/>
  <c r="BC19"/>
  <c r="BM18"/>
  <c r="BL18"/>
  <c r="BK18"/>
  <c r="BJ18"/>
  <c r="BF18"/>
  <c r="BE18"/>
  <c r="BD18"/>
  <c r="BC18"/>
  <c r="BM17"/>
  <c r="BL17"/>
  <c r="BK17"/>
  <c r="BJ17"/>
  <c r="BF17"/>
  <c r="BE17"/>
  <c r="BD17"/>
  <c r="BC17"/>
  <c r="BM16"/>
  <c r="BL16"/>
  <c r="BK16"/>
  <c r="BJ16"/>
  <c r="BF16"/>
  <c r="BE16"/>
  <c r="BD16"/>
  <c r="BC16"/>
  <c r="BM15"/>
  <c r="BL15"/>
  <c r="BK15"/>
  <c r="BJ15"/>
  <c r="BF15"/>
  <c r="BE15"/>
  <c r="BD15"/>
  <c r="BC15"/>
  <c r="BM14"/>
  <c r="BL14"/>
  <c r="BK14"/>
  <c r="BJ14"/>
  <c r="BF14"/>
  <c r="BE14"/>
  <c r="BD14"/>
  <c r="BC14"/>
  <c r="BM13"/>
  <c r="BL13"/>
  <c r="BK13"/>
  <c r="BJ13"/>
  <c r="BF13"/>
  <c r="BE13"/>
  <c r="BD13"/>
  <c r="BC13"/>
  <c r="BM12"/>
  <c r="BL12"/>
  <c r="BK12"/>
  <c r="BJ12"/>
  <c r="BF12"/>
  <c r="BE12"/>
  <c r="BD12"/>
  <c r="BC12"/>
  <c r="BM11"/>
  <c r="BL11"/>
  <c r="BK11"/>
  <c r="BJ11"/>
  <c r="BF11"/>
  <c r="BE11"/>
  <c r="BD11"/>
  <c r="BC11"/>
  <c r="BM10"/>
  <c r="BL10"/>
  <c r="BK10"/>
  <c r="BJ10"/>
  <c r="BF10"/>
  <c r="BE10"/>
  <c r="BD10"/>
  <c r="BC10"/>
  <c r="BM9"/>
  <c r="BL9"/>
  <c r="BK9"/>
  <c r="BJ9"/>
  <c r="BF9"/>
  <c r="BE9"/>
  <c r="BD9"/>
  <c r="BC9"/>
  <c r="BM8"/>
  <c r="BL8"/>
  <c r="BK8"/>
  <c r="BJ8"/>
  <c r="BF8"/>
  <c r="BE8"/>
  <c r="BD8"/>
  <c r="BC8"/>
  <c r="BM7"/>
  <c r="BL7"/>
  <c r="BK7"/>
  <c r="BJ7"/>
  <c r="BF7"/>
  <c r="BE7"/>
  <c r="BD7"/>
  <c r="BC7"/>
  <c r="BM6"/>
  <c r="BL6"/>
  <c r="BK6"/>
  <c r="BJ6"/>
  <c r="BF6"/>
  <c r="BE6"/>
  <c r="BD6"/>
  <c r="BC6"/>
  <c r="BM5"/>
  <c r="BL5"/>
  <c r="BK5"/>
  <c r="BJ5"/>
  <c r="BE5"/>
  <c r="BD5"/>
  <c r="BC5"/>
  <c r="AT6"/>
  <c r="AU6"/>
  <c r="AV6"/>
  <c r="AT7"/>
  <c r="AU7"/>
  <c r="AV7"/>
  <c r="AT8"/>
  <c r="AU8"/>
  <c r="AV8"/>
  <c r="AT9"/>
  <c r="AU9"/>
  <c r="AV9"/>
  <c r="AT10"/>
  <c r="AU10"/>
  <c r="AV10"/>
  <c r="AT11"/>
  <c r="AU11"/>
  <c r="AV11"/>
  <c r="AT12"/>
  <c r="AU12"/>
  <c r="AV12"/>
  <c r="AT13"/>
  <c r="AU13"/>
  <c r="AV13"/>
  <c r="AT14"/>
  <c r="AU14"/>
  <c r="AV14"/>
  <c r="AT15"/>
  <c r="AU15"/>
  <c r="AV15"/>
  <c r="AT16"/>
  <c r="AU16"/>
  <c r="AV16"/>
  <c r="AT17"/>
  <c r="AU17"/>
  <c r="AV17"/>
  <c r="AT18"/>
  <c r="AU18"/>
  <c r="AV18"/>
  <c r="AT19"/>
  <c r="AU19"/>
  <c r="AV19"/>
  <c r="AT20"/>
  <c r="AU20"/>
  <c r="AV20"/>
  <c r="AT21"/>
  <c r="AU21"/>
  <c r="AV21"/>
  <c r="AT22"/>
  <c r="AU22"/>
  <c r="AV22"/>
  <c r="AT23"/>
  <c r="AU23"/>
  <c r="AV23"/>
  <c r="AT24"/>
  <c r="AU24"/>
  <c r="AV24"/>
  <c r="AT25"/>
  <c r="AU25"/>
  <c r="AV25"/>
  <c r="AT26"/>
  <c r="AU26"/>
  <c r="AV26"/>
  <c r="AT27"/>
  <c r="AU27"/>
  <c r="AV27"/>
  <c r="AT28"/>
  <c r="AU28"/>
  <c r="AV28"/>
  <c r="AT29"/>
  <c r="AU29"/>
  <c r="AV29"/>
  <c r="AT30"/>
  <c r="AU30"/>
  <c r="AV30"/>
  <c r="AT31"/>
  <c r="AU31"/>
  <c r="AV31"/>
  <c r="AT32"/>
  <c r="AU32"/>
  <c r="AV32"/>
  <c r="AT33"/>
  <c r="AU33"/>
  <c r="AV33"/>
  <c r="AT34"/>
  <c r="AU34"/>
  <c r="AV34"/>
  <c r="AT35"/>
  <c r="AU35"/>
  <c r="AV35"/>
  <c r="AT36"/>
  <c r="AU36"/>
  <c r="AV36"/>
  <c r="AT37"/>
  <c r="AU37"/>
  <c r="AV37"/>
  <c r="AT38"/>
  <c r="AU38"/>
  <c r="AV38"/>
  <c r="AT39"/>
  <c r="AU39"/>
  <c r="AV39"/>
  <c r="AT40"/>
  <c r="AU40"/>
  <c r="AV40"/>
  <c r="AT41"/>
  <c r="AU41"/>
  <c r="AV41"/>
  <c r="AT42"/>
  <c r="AU42"/>
  <c r="AV42"/>
  <c r="AT43"/>
  <c r="AU43"/>
  <c r="AV43"/>
  <c r="AT44"/>
  <c r="AU44"/>
  <c r="AV44"/>
  <c r="AT45"/>
  <c r="AU45"/>
  <c r="AV45"/>
  <c r="AT46"/>
  <c r="AU46"/>
  <c r="AV46"/>
  <c r="AT47"/>
  <c r="AU47"/>
  <c r="AV47"/>
  <c r="AT48"/>
  <c r="AU48"/>
  <c r="AV48"/>
  <c r="AT49"/>
  <c r="AU49"/>
  <c r="AV49"/>
  <c r="AT50"/>
  <c r="AU50"/>
  <c r="AV50"/>
  <c r="AT51"/>
  <c r="AU51"/>
  <c r="AV51"/>
  <c r="AT52"/>
  <c r="AU52"/>
  <c r="AV52"/>
  <c r="AT53"/>
  <c r="AU53"/>
  <c r="AV53"/>
  <c r="AT54"/>
  <c r="AU54"/>
  <c r="AV54"/>
  <c r="AT55"/>
  <c r="AU55"/>
  <c r="AV55"/>
  <c r="AT56"/>
  <c r="AU56"/>
  <c r="AV56"/>
  <c r="AT57"/>
  <c r="AU57"/>
  <c r="AV57"/>
  <c r="AT58"/>
  <c r="AU58"/>
  <c r="AV58"/>
  <c r="AT59"/>
  <c r="AU59"/>
  <c r="AV59"/>
  <c r="AT60"/>
  <c r="AU60"/>
  <c r="AV60"/>
  <c r="AT61"/>
  <c r="AU61"/>
  <c r="AV61"/>
  <c r="AT62"/>
  <c r="AU62"/>
  <c r="AV62"/>
  <c r="AT63"/>
  <c r="AU63"/>
  <c r="AV63"/>
  <c r="AT64"/>
  <c r="AU64"/>
  <c r="AV64"/>
  <c r="AT65"/>
  <c r="AU65"/>
  <c r="AV65"/>
  <c r="AT66"/>
  <c r="AU66"/>
  <c r="AV66"/>
  <c r="AT67"/>
  <c r="AU67"/>
  <c r="AV67"/>
  <c r="AT68"/>
  <c r="AU68"/>
  <c r="AV68"/>
  <c r="AT69"/>
  <c r="AU69"/>
  <c r="AV69"/>
  <c r="AT70"/>
  <c r="AU70"/>
  <c r="AV70"/>
  <c r="AT71"/>
  <c r="AU71"/>
  <c r="AV71"/>
  <c r="AT72"/>
  <c r="AU72"/>
  <c r="AV72"/>
  <c r="AT73"/>
  <c r="AU73"/>
  <c r="AV73"/>
  <c r="AT74"/>
  <c r="AU74"/>
  <c r="AV74"/>
  <c r="AT75"/>
  <c r="AU75"/>
  <c r="AV75"/>
  <c r="AT76"/>
  <c r="AU76"/>
  <c r="AV76"/>
  <c r="AT77"/>
  <c r="AU77"/>
  <c r="AV77"/>
  <c r="AT78"/>
  <c r="AU78"/>
  <c r="AV78"/>
  <c r="AT79"/>
  <c r="AU79"/>
  <c r="AV79"/>
  <c r="AT80"/>
  <c r="AU80"/>
  <c r="AV80"/>
  <c r="AT81"/>
  <c r="AU81"/>
  <c r="AV81"/>
  <c r="AT82"/>
  <c r="AU82"/>
  <c r="AV82"/>
  <c r="AT83"/>
  <c r="AU83"/>
  <c r="AV83"/>
  <c r="AT84"/>
  <c r="AU84"/>
  <c r="AV84"/>
  <c r="AT85"/>
  <c r="AU85"/>
  <c r="AV85"/>
  <c r="AV5"/>
  <c r="AT5"/>
  <c r="AU5"/>
  <c r="AS5"/>
  <c r="AZ85"/>
  <c r="AY85"/>
  <c r="AX85"/>
  <c r="AW85"/>
  <c r="AS85"/>
  <c r="AR85"/>
  <c r="AQ85"/>
  <c r="AP85"/>
  <c r="AZ84"/>
  <c r="AY84"/>
  <c r="AX84"/>
  <c r="AW84"/>
  <c r="AS84"/>
  <c r="AR84"/>
  <c r="AQ84"/>
  <c r="AP84"/>
  <c r="AZ83"/>
  <c r="AY83"/>
  <c r="AX83"/>
  <c r="AW83"/>
  <c r="AS83"/>
  <c r="AR83"/>
  <c r="AQ83"/>
  <c r="AP83"/>
  <c r="AZ82"/>
  <c r="AY82"/>
  <c r="AX82"/>
  <c r="AW82"/>
  <c r="AS82"/>
  <c r="AR82"/>
  <c r="AQ82"/>
  <c r="AP82"/>
  <c r="AZ81"/>
  <c r="AY81"/>
  <c r="AX81"/>
  <c r="AW81"/>
  <c r="AS81"/>
  <c r="AR81"/>
  <c r="AQ81"/>
  <c r="AP81"/>
  <c r="AZ80"/>
  <c r="AY80"/>
  <c r="AX80"/>
  <c r="AW80"/>
  <c r="AS80"/>
  <c r="AR80"/>
  <c r="AQ80"/>
  <c r="AP80"/>
  <c r="AZ79"/>
  <c r="AY79"/>
  <c r="AX79"/>
  <c r="AW79"/>
  <c r="AS79"/>
  <c r="AR79"/>
  <c r="AQ79"/>
  <c r="AP79"/>
  <c r="AZ78"/>
  <c r="AY78"/>
  <c r="AX78"/>
  <c r="AW78"/>
  <c r="AS78"/>
  <c r="AR78"/>
  <c r="AQ78"/>
  <c r="AP78"/>
  <c r="AZ77"/>
  <c r="AY77"/>
  <c r="AX77"/>
  <c r="AW77"/>
  <c r="AS77"/>
  <c r="AR77"/>
  <c r="AQ77"/>
  <c r="AP77"/>
  <c r="AZ76"/>
  <c r="AY76"/>
  <c r="AX76"/>
  <c r="AW76"/>
  <c r="AS76"/>
  <c r="AR76"/>
  <c r="AQ76"/>
  <c r="AP76"/>
  <c r="AZ75"/>
  <c r="AY75"/>
  <c r="AX75"/>
  <c r="AW75"/>
  <c r="AS75"/>
  <c r="AR75"/>
  <c r="AQ75"/>
  <c r="AP75"/>
  <c r="AZ74"/>
  <c r="AY74"/>
  <c r="AX74"/>
  <c r="AW74"/>
  <c r="AS74"/>
  <c r="AR74"/>
  <c r="AQ74"/>
  <c r="AP74"/>
  <c r="AZ73"/>
  <c r="AY73"/>
  <c r="AX73"/>
  <c r="AW73"/>
  <c r="AS73"/>
  <c r="AR73"/>
  <c r="AQ73"/>
  <c r="AP73"/>
  <c r="AZ72"/>
  <c r="AY72"/>
  <c r="AX72"/>
  <c r="AW72"/>
  <c r="AS72"/>
  <c r="AR72"/>
  <c r="AQ72"/>
  <c r="AP72"/>
  <c r="AZ71"/>
  <c r="AY71"/>
  <c r="AX71"/>
  <c r="AW71"/>
  <c r="AS71"/>
  <c r="AR71"/>
  <c r="AQ71"/>
  <c r="AP71"/>
  <c r="AZ70"/>
  <c r="AY70"/>
  <c r="AX70"/>
  <c r="AW70"/>
  <c r="AS70"/>
  <c r="AR70"/>
  <c r="AQ70"/>
  <c r="AP70"/>
  <c r="AZ69"/>
  <c r="AY69"/>
  <c r="AX69"/>
  <c r="AW69"/>
  <c r="AS69"/>
  <c r="AR69"/>
  <c r="AQ69"/>
  <c r="AP69"/>
  <c r="AZ68"/>
  <c r="AY68"/>
  <c r="AX68"/>
  <c r="AW68"/>
  <c r="AS68"/>
  <c r="AR68"/>
  <c r="AQ68"/>
  <c r="AP68"/>
  <c r="AZ67"/>
  <c r="AY67"/>
  <c r="AX67"/>
  <c r="AW67"/>
  <c r="AS67"/>
  <c r="AR67"/>
  <c r="AQ67"/>
  <c r="AP67"/>
  <c r="AZ66"/>
  <c r="AY66"/>
  <c r="AX66"/>
  <c r="AW66"/>
  <c r="AS66"/>
  <c r="AR66"/>
  <c r="AQ66"/>
  <c r="AP66"/>
  <c r="AZ65"/>
  <c r="AY65"/>
  <c r="AX65"/>
  <c r="AW65"/>
  <c r="AS65"/>
  <c r="AR65"/>
  <c r="AQ65"/>
  <c r="AP65"/>
  <c r="AZ64"/>
  <c r="AY64"/>
  <c r="AX64"/>
  <c r="AW64"/>
  <c r="AS64"/>
  <c r="AR64"/>
  <c r="AQ64"/>
  <c r="AP64"/>
  <c r="AZ63"/>
  <c r="AY63"/>
  <c r="AX63"/>
  <c r="AW63"/>
  <c r="AS63"/>
  <c r="AR63"/>
  <c r="AQ63"/>
  <c r="AP63"/>
  <c r="AZ62"/>
  <c r="AY62"/>
  <c r="AX62"/>
  <c r="AW62"/>
  <c r="AS62"/>
  <c r="AR62"/>
  <c r="AQ62"/>
  <c r="AP62"/>
  <c r="AZ61"/>
  <c r="AY61"/>
  <c r="AX61"/>
  <c r="AW61"/>
  <c r="AS61"/>
  <c r="AR61"/>
  <c r="AQ61"/>
  <c r="AP61"/>
  <c r="AZ60"/>
  <c r="AY60"/>
  <c r="AX60"/>
  <c r="AW60"/>
  <c r="AS60"/>
  <c r="AR60"/>
  <c r="AQ60"/>
  <c r="AP60"/>
  <c r="AZ59"/>
  <c r="AY59"/>
  <c r="AX59"/>
  <c r="AW59"/>
  <c r="AS59"/>
  <c r="AR59"/>
  <c r="AQ59"/>
  <c r="AP59"/>
  <c r="AZ58"/>
  <c r="AY58"/>
  <c r="AX58"/>
  <c r="AW58"/>
  <c r="AS58"/>
  <c r="AR58"/>
  <c r="AQ58"/>
  <c r="AP58"/>
  <c r="AZ57"/>
  <c r="AY57"/>
  <c r="AX57"/>
  <c r="AW57"/>
  <c r="AS57"/>
  <c r="AR57"/>
  <c r="AQ57"/>
  <c r="AP57"/>
  <c r="AZ56"/>
  <c r="AY56"/>
  <c r="AX56"/>
  <c r="AW56"/>
  <c r="AS56"/>
  <c r="AR56"/>
  <c r="AQ56"/>
  <c r="AP56"/>
  <c r="AZ55"/>
  <c r="AY55"/>
  <c r="AX55"/>
  <c r="AW55"/>
  <c r="AS55"/>
  <c r="AR55"/>
  <c r="AQ55"/>
  <c r="AP55"/>
  <c r="AZ54"/>
  <c r="AY54"/>
  <c r="AX54"/>
  <c r="AW54"/>
  <c r="AS54"/>
  <c r="AR54"/>
  <c r="AQ54"/>
  <c r="AP54"/>
  <c r="AZ53"/>
  <c r="AY53"/>
  <c r="AX53"/>
  <c r="AW53"/>
  <c r="AS53"/>
  <c r="AR53"/>
  <c r="AQ53"/>
  <c r="AP53"/>
  <c r="AZ52"/>
  <c r="AY52"/>
  <c r="AX52"/>
  <c r="AW52"/>
  <c r="AS52"/>
  <c r="AR52"/>
  <c r="AQ52"/>
  <c r="AP52"/>
  <c r="AZ51"/>
  <c r="AY51"/>
  <c r="AX51"/>
  <c r="AW51"/>
  <c r="AS51"/>
  <c r="AR51"/>
  <c r="AQ51"/>
  <c r="AP51"/>
  <c r="AZ50"/>
  <c r="AY50"/>
  <c r="AX50"/>
  <c r="AW50"/>
  <c r="AS50"/>
  <c r="AR50"/>
  <c r="AQ50"/>
  <c r="AP50"/>
  <c r="AZ49"/>
  <c r="AY49"/>
  <c r="AX49"/>
  <c r="AW49"/>
  <c r="AS49"/>
  <c r="AR49"/>
  <c r="AQ49"/>
  <c r="AP49"/>
  <c r="AZ48"/>
  <c r="AY48"/>
  <c r="AX48"/>
  <c r="AW48"/>
  <c r="AS48"/>
  <c r="AR48"/>
  <c r="AQ48"/>
  <c r="AP48"/>
  <c r="AZ47"/>
  <c r="AY47"/>
  <c r="AX47"/>
  <c r="AW47"/>
  <c r="AS47"/>
  <c r="AR47"/>
  <c r="AQ47"/>
  <c r="AP47"/>
  <c r="AZ46"/>
  <c r="AY46"/>
  <c r="AX46"/>
  <c r="AW46"/>
  <c r="AS46"/>
  <c r="AR46"/>
  <c r="AQ46"/>
  <c r="AP46"/>
  <c r="AZ45"/>
  <c r="AY45"/>
  <c r="AX45"/>
  <c r="AW45"/>
  <c r="AS45"/>
  <c r="AR45"/>
  <c r="AQ45"/>
  <c r="AP45"/>
  <c r="AZ44"/>
  <c r="AY44"/>
  <c r="AX44"/>
  <c r="AW44"/>
  <c r="AS44"/>
  <c r="AR44"/>
  <c r="AQ44"/>
  <c r="AP44"/>
  <c r="AZ43"/>
  <c r="AY43"/>
  <c r="AX43"/>
  <c r="AW43"/>
  <c r="AS43"/>
  <c r="AR43"/>
  <c r="AQ43"/>
  <c r="AP43"/>
  <c r="AZ42"/>
  <c r="AY42"/>
  <c r="AX42"/>
  <c r="AW42"/>
  <c r="AS42"/>
  <c r="AR42"/>
  <c r="AQ42"/>
  <c r="AP42"/>
  <c r="AZ41"/>
  <c r="AY41"/>
  <c r="AX41"/>
  <c r="AW41"/>
  <c r="AS41"/>
  <c r="AR41"/>
  <c r="AQ41"/>
  <c r="AP41"/>
  <c r="AZ40"/>
  <c r="AY40"/>
  <c r="AX40"/>
  <c r="AW40"/>
  <c r="AS40"/>
  <c r="AR40"/>
  <c r="AQ40"/>
  <c r="AP40"/>
  <c r="AZ39"/>
  <c r="AY39"/>
  <c r="AX39"/>
  <c r="AW39"/>
  <c r="AS39"/>
  <c r="AR39"/>
  <c r="AQ39"/>
  <c r="AP39"/>
  <c r="AZ38"/>
  <c r="AY38"/>
  <c r="AX38"/>
  <c r="AW38"/>
  <c r="AS38"/>
  <c r="AR38"/>
  <c r="AQ38"/>
  <c r="AP38"/>
  <c r="AZ37"/>
  <c r="AY37"/>
  <c r="AX37"/>
  <c r="AW37"/>
  <c r="AS37"/>
  <c r="AR37"/>
  <c r="AQ37"/>
  <c r="AP37"/>
  <c r="AZ36"/>
  <c r="AY36"/>
  <c r="AX36"/>
  <c r="AW36"/>
  <c r="AS36"/>
  <c r="AR36"/>
  <c r="AQ36"/>
  <c r="AP36"/>
  <c r="AZ35"/>
  <c r="AY35"/>
  <c r="AX35"/>
  <c r="AW35"/>
  <c r="AS35"/>
  <c r="AR35"/>
  <c r="AQ35"/>
  <c r="AP35"/>
  <c r="AZ34"/>
  <c r="AY34"/>
  <c r="AX34"/>
  <c r="AW34"/>
  <c r="AS34"/>
  <c r="AR34"/>
  <c r="AQ34"/>
  <c r="AP34"/>
  <c r="AZ33"/>
  <c r="AY33"/>
  <c r="AX33"/>
  <c r="AW33"/>
  <c r="AS33"/>
  <c r="AR33"/>
  <c r="AQ33"/>
  <c r="AP33"/>
  <c r="AZ32"/>
  <c r="AY32"/>
  <c r="AX32"/>
  <c r="AW32"/>
  <c r="AS32"/>
  <c r="AR32"/>
  <c r="AQ32"/>
  <c r="AP32"/>
  <c r="AZ31"/>
  <c r="AY31"/>
  <c r="AX31"/>
  <c r="AW31"/>
  <c r="AS31"/>
  <c r="AR31"/>
  <c r="AQ31"/>
  <c r="AP31"/>
  <c r="AZ30"/>
  <c r="AY30"/>
  <c r="AX30"/>
  <c r="AW30"/>
  <c r="AS30"/>
  <c r="AR30"/>
  <c r="AQ30"/>
  <c r="AP30"/>
  <c r="AZ29"/>
  <c r="AY29"/>
  <c r="AX29"/>
  <c r="AW29"/>
  <c r="AS29"/>
  <c r="AR29"/>
  <c r="AQ29"/>
  <c r="AP29"/>
  <c r="AZ28"/>
  <c r="AY28"/>
  <c r="AX28"/>
  <c r="AW28"/>
  <c r="AS28"/>
  <c r="AR28"/>
  <c r="AQ28"/>
  <c r="AP28"/>
  <c r="AZ27"/>
  <c r="AY27"/>
  <c r="AX27"/>
  <c r="AW27"/>
  <c r="AS27"/>
  <c r="AR27"/>
  <c r="AQ27"/>
  <c r="AP27"/>
  <c r="AZ26"/>
  <c r="AY26"/>
  <c r="AX26"/>
  <c r="AW26"/>
  <c r="AS26"/>
  <c r="AR26"/>
  <c r="AQ26"/>
  <c r="AP26"/>
  <c r="AZ25"/>
  <c r="AY25"/>
  <c r="AX25"/>
  <c r="AW25"/>
  <c r="AS25"/>
  <c r="AR25"/>
  <c r="AQ25"/>
  <c r="AP25"/>
  <c r="AZ24"/>
  <c r="AY24"/>
  <c r="AX24"/>
  <c r="AW24"/>
  <c r="AS24"/>
  <c r="AR24"/>
  <c r="AQ24"/>
  <c r="AP24"/>
  <c r="AZ23"/>
  <c r="AY23"/>
  <c r="AX23"/>
  <c r="AW23"/>
  <c r="AS23"/>
  <c r="AR23"/>
  <c r="AQ23"/>
  <c r="AP23"/>
  <c r="AZ22"/>
  <c r="AY22"/>
  <c r="AX22"/>
  <c r="AW22"/>
  <c r="AS22"/>
  <c r="AR22"/>
  <c r="AQ22"/>
  <c r="AP22"/>
  <c r="AZ21"/>
  <c r="AY21"/>
  <c r="AX21"/>
  <c r="AW21"/>
  <c r="AS21"/>
  <c r="AR21"/>
  <c r="AQ21"/>
  <c r="AP21"/>
  <c r="AZ20"/>
  <c r="AY20"/>
  <c r="AX20"/>
  <c r="AW20"/>
  <c r="AS20"/>
  <c r="AR20"/>
  <c r="AQ20"/>
  <c r="AP20"/>
  <c r="AZ19"/>
  <c r="AY19"/>
  <c r="AX19"/>
  <c r="AW19"/>
  <c r="AS19"/>
  <c r="AR19"/>
  <c r="AQ19"/>
  <c r="AP19"/>
  <c r="AZ18"/>
  <c r="AY18"/>
  <c r="AX18"/>
  <c r="AW18"/>
  <c r="AS18"/>
  <c r="AR18"/>
  <c r="AQ18"/>
  <c r="AP18"/>
  <c r="AZ17"/>
  <c r="AY17"/>
  <c r="AX17"/>
  <c r="AW17"/>
  <c r="AS17"/>
  <c r="AR17"/>
  <c r="AQ17"/>
  <c r="AP17"/>
  <c r="AZ16"/>
  <c r="AY16"/>
  <c r="AX16"/>
  <c r="AW16"/>
  <c r="AS16"/>
  <c r="AR16"/>
  <c r="AQ16"/>
  <c r="AP16"/>
  <c r="AZ15"/>
  <c r="AY15"/>
  <c r="AX15"/>
  <c r="AW15"/>
  <c r="AS15"/>
  <c r="AR15"/>
  <c r="AQ15"/>
  <c r="AP15"/>
  <c r="AZ14"/>
  <c r="AY14"/>
  <c r="AX14"/>
  <c r="AW14"/>
  <c r="AS14"/>
  <c r="AR14"/>
  <c r="AQ14"/>
  <c r="AP14"/>
  <c r="AZ13"/>
  <c r="AY13"/>
  <c r="AX13"/>
  <c r="AW13"/>
  <c r="AS13"/>
  <c r="AR13"/>
  <c r="AQ13"/>
  <c r="AP13"/>
  <c r="AZ12"/>
  <c r="AY12"/>
  <c r="AX12"/>
  <c r="AW12"/>
  <c r="AS12"/>
  <c r="AR12"/>
  <c r="AQ12"/>
  <c r="AP12"/>
  <c r="AZ11"/>
  <c r="AY11"/>
  <c r="AX11"/>
  <c r="AW11"/>
  <c r="AS11"/>
  <c r="AR11"/>
  <c r="AQ11"/>
  <c r="AP11"/>
  <c r="AZ10"/>
  <c r="AY10"/>
  <c r="AX10"/>
  <c r="AW10"/>
  <c r="AS10"/>
  <c r="AR10"/>
  <c r="AQ10"/>
  <c r="AP10"/>
  <c r="AZ9"/>
  <c r="AY9"/>
  <c r="AX9"/>
  <c r="AW9"/>
  <c r="AS9"/>
  <c r="AR9"/>
  <c r="AQ9"/>
  <c r="AP9"/>
  <c r="AZ8"/>
  <c r="AY8"/>
  <c r="AX8"/>
  <c r="AW8"/>
  <c r="AS8"/>
  <c r="AR8"/>
  <c r="AQ8"/>
  <c r="AP8"/>
  <c r="AZ7"/>
  <c r="AY7"/>
  <c r="AX7"/>
  <c r="AW7"/>
  <c r="AS7"/>
  <c r="AR7"/>
  <c r="AQ7"/>
  <c r="AP7"/>
  <c r="AZ6"/>
  <c r="AY6"/>
  <c r="AX6"/>
  <c r="AW6"/>
  <c r="AS6"/>
  <c r="AR6"/>
  <c r="AQ6"/>
  <c r="AP6"/>
  <c r="AZ5"/>
  <c r="AY5"/>
  <c r="AX5"/>
  <c r="AW5"/>
  <c r="AR5"/>
  <c r="AQ5"/>
  <c r="AP5"/>
  <c r="AG6"/>
  <c r="AH6"/>
  <c r="AI6"/>
  <c r="AG7"/>
  <c r="AH7"/>
  <c r="AI7"/>
  <c r="AG8"/>
  <c r="AH8"/>
  <c r="AI8"/>
  <c r="AG9"/>
  <c r="AH9"/>
  <c r="AI9"/>
  <c r="AG10"/>
  <c r="AH10"/>
  <c r="AI10"/>
  <c r="AG11"/>
  <c r="AH11"/>
  <c r="AI11"/>
  <c r="AG12"/>
  <c r="AH12"/>
  <c r="AI12"/>
  <c r="AG13"/>
  <c r="AH13"/>
  <c r="AI13"/>
  <c r="AG14"/>
  <c r="AH14"/>
  <c r="AI14"/>
  <c r="AG15"/>
  <c r="AH15"/>
  <c r="AI15"/>
  <c r="AG16"/>
  <c r="AH16"/>
  <c r="AI16"/>
  <c r="AG17"/>
  <c r="AH17"/>
  <c r="AI17"/>
  <c r="AG18"/>
  <c r="AH18"/>
  <c r="AI18"/>
  <c r="AG19"/>
  <c r="AH19"/>
  <c r="AI19"/>
  <c r="AG20"/>
  <c r="AH20"/>
  <c r="AI20"/>
  <c r="AG21"/>
  <c r="AH21"/>
  <c r="AI21"/>
  <c r="AG22"/>
  <c r="AH22"/>
  <c r="AI22"/>
  <c r="AG23"/>
  <c r="AH23"/>
  <c r="AI23"/>
  <c r="AG24"/>
  <c r="AH24"/>
  <c r="AI24"/>
  <c r="AG25"/>
  <c r="AH25"/>
  <c r="AI25"/>
  <c r="AG26"/>
  <c r="AH26"/>
  <c r="AI26"/>
  <c r="AG27"/>
  <c r="AH27"/>
  <c r="AI27"/>
  <c r="AG28"/>
  <c r="AH28"/>
  <c r="AI28"/>
  <c r="AG29"/>
  <c r="AH29"/>
  <c r="AI29"/>
  <c r="AG30"/>
  <c r="AH30"/>
  <c r="AI30"/>
  <c r="AG31"/>
  <c r="AH31"/>
  <c r="AI31"/>
  <c r="AG32"/>
  <c r="AH32"/>
  <c r="AI32"/>
  <c r="AG33"/>
  <c r="AH33"/>
  <c r="AI33"/>
  <c r="AG34"/>
  <c r="AH34"/>
  <c r="AI34"/>
  <c r="AG35"/>
  <c r="AH35"/>
  <c r="AI35"/>
  <c r="AG36"/>
  <c r="AH36"/>
  <c r="AI36"/>
  <c r="AG37"/>
  <c r="AH37"/>
  <c r="AI37"/>
  <c r="AG38"/>
  <c r="AH38"/>
  <c r="AI38"/>
  <c r="AG39"/>
  <c r="AH39"/>
  <c r="AI39"/>
  <c r="AG40"/>
  <c r="AH40"/>
  <c r="AI40"/>
  <c r="AG41"/>
  <c r="AH41"/>
  <c r="AI41"/>
  <c r="AG42"/>
  <c r="AH42"/>
  <c r="AI42"/>
  <c r="AG43"/>
  <c r="AH43"/>
  <c r="AI43"/>
  <c r="AG44"/>
  <c r="AH44"/>
  <c r="AI44"/>
  <c r="AG45"/>
  <c r="AH45"/>
  <c r="AI45"/>
  <c r="AG46"/>
  <c r="AH46"/>
  <c r="AI46"/>
  <c r="AG47"/>
  <c r="AH47"/>
  <c r="AI47"/>
  <c r="AG48"/>
  <c r="AH48"/>
  <c r="AI48"/>
  <c r="AG49"/>
  <c r="AH49"/>
  <c r="AI49"/>
  <c r="AG50"/>
  <c r="AH50"/>
  <c r="AI50"/>
  <c r="AG51"/>
  <c r="AH51"/>
  <c r="AI51"/>
  <c r="AG52"/>
  <c r="AH52"/>
  <c r="AI52"/>
  <c r="AG53"/>
  <c r="AH53"/>
  <c r="AI53"/>
  <c r="AG54"/>
  <c r="AH54"/>
  <c r="AI54"/>
  <c r="AG55"/>
  <c r="AH55"/>
  <c r="AI55"/>
  <c r="AG56"/>
  <c r="AH56"/>
  <c r="AI56"/>
  <c r="AG57"/>
  <c r="AH57"/>
  <c r="AI57"/>
  <c r="AG58"/>
  <c r="AH58"/>
  <c r="AI58"/>
  <c r="AG59"/>
  <c r="AH59"/>
  <c r="AI59"/>
  <c r="AG60"/>
  <c r="AH60"/>
  <c r="AI60"/>
  <c r="AG61"/>
  <c r="AH61"/>
  <c r="AI61"/>
  <c r="AG62"/>
  <c r="AH62"/>
  <c r="AI62"/>
  <c r="AG63"/>
  <c r="AH63"/>
  <c r="AI63"/>
  <c r="AG64"/>
  <c r="AH64"/>
  <c r="AI64"/>
  <c r="AG65"/>
  <c r="AH65"/>
  <c r="AI65"/>
  <c r="AG66"/>
  <c r="AH66"/>
  <c r="AI66"/>
  <c r="AG67"/>
  <c r="AH67"/>
  <c r="AI67"/>
  <c r="AG68"/>
  <c r="AH68"/>
  <c r="AI68"/>
  <c r="AG69"/>
  <c r="AH69"/>
  <c r="AI69"/>
  <c r="AG70"/>
  <c r="AH70"/>
  <c r="AI70"/>
  <c r="AI5"/>
  <c r="AG5"/>
  <c r="AH5"/>
  <c r="AF5"/>
  <c r="AM70"/>
  <c r="AL70"/>
  <c r="AK70"/>
  <c r="AJ70"/>
  <c r="AF70"/>
  <c r="AE70"/>
  <c r="AD70"/>
  <c r="AC70"/>
  <c r="AM69"/>
  <c r="AL69"/>
  <c r="AK69"/>
  <c r="AJ69"/>
  <c r="AF69"/>
  <c r="AE69"/>
  <c r="AD69"/>
  <c r="AC69"/>
  <c r="AM68"/>
  <c r="AL68"/>
  <c r="AK68"/>
  <c r="AJ68"/>
  <c r="AF68"/>
  <c r="AE68"/>
  <c r="AD68"/>
  <c r="AC68"/>
  <c r="AM67"/>
  <c r="AL67"/>
  <c r="AK67"/>
  <c r="AJ67"/>
  <c r="AF67"/>
  <c r="AE67"/>
  <c r="AD67"/>
  <c r="AC67"/>
  <c r="AM66"/>
  <c r="AL66"/>
  <c r="AK66"/>
  <c r="AJ66"/>
  <c r="AF66"/>
  <c r="AE66"/>
  <c r="AD66"/>
  <c r="AC66"/>
  <c r="AM65"/>
  <c r="AL65"/>
  <c r="AK65"/>
  <c r="AJ65"/>
  <c r="AF65"/>
  <c r="AE65"/>
  <c r="AD65"/>
  <c r="AC65"/>
  <c r="AM64"/>
  <c r="AL64"/>
  <c r="AK64"/>
  <c r="AJ64"/>
  <c r="AF64"/>
  <c r="AE64"/>
  <c r="AD64"/>
  <c r="AC64"/>
  <c r="AM63"/>
  <c r="AL63"/>
  <c r="AK63"/>
  <c r="AJ63"/>
  <c r="AF63"/>
  <c r="AE63"/>
  <c r="AD63"/>
  <c r="AC63"/>
  <c r="AM62"/>
  <c r="AL62"/>
  <c r="AK62"/>
  <c r="AJ62"/>
  <c r="AF62"/>
  <c r="AE62"/>
  <c r="AD62"/>
  <c r="AC62"/>
  <c r="AM61"/>
  <c r="AL61"/>
  <c r="AK61"/>
  <c r="AJ61"/>
  <c r="AF61"/>
  <c r="AE61"/>
  <c r="AD61"/>
  <c r="AC61"/>
  <c r="AM60"/>
  <c r="AL60"/>
  <c r="AK60"/>
  <c r="AJ60"/>
  <c r="AF60"/>
  <c r="AE60"/>
  <c r="AD60"/>
  <c r="AC60"/>
  <c r="AM59"/>
  <c r="AL59"/>
  <c r="AK59"/>
  <c r="AJ59"/>
  <c r="AF59"/>
  <c r="AE59"/>
  <c r="AD59"/>
  <c r="AC59"/>
  <c r="AM58"/>
  <c r="AL58"/>
  <c r="AK58"/>
  <c r="AJ58"/>
  <c r="AF58"/>
  <c r="AE58"/>
  <c r="AD58"/>
  <c r="AC58"/>
  <c r="AM57"/>
  <c r="AL57"/>
  <c r="AK57"/>
  <c r="AJ57"/>
  <c r="AF57"/>
  <c r="AE57"/>
  <c r="AD57"/>
  <c r="AC57"/>
  <c r="AM56"/>
  <c r="AL56"/>
  <c r="AK56"/>
  <c r="AJ56"/>
  <c r="AF56"/>
  <c r="AE56"/>
  <c r="AD56"/>
  <c r="AC56"/>
  <c r="AM55"/>
  <c r="AL55"/>
  <c r="AK55"/>
  <c r="AJ55"/>
  <c r="AF55"/>
  <c r="AE55"/>
  <c r="AD55"/>
  <c r="AC55"/>
  <c r="AM54"/>
  <c r="AL54"/>
  <c r="AK54"/>
  <c r="AJ54"/>
  <c r="AF54"/>
  <c r="AE54"/>
  <c r="AD54"/>
  <c r="AC54"/>
  <c r="AM53"/>
  <c r="AL53"/>
  <c r="AK53"/>
  <c r="AJ53"/>
  <c r="AF53"/>
  <c r="AE53"/>
  <c r="AD53"/>
  <c r="AC53"/>
  <c r="AM52"/>
  <c r="AL52"/>
  <c r="AK52"/>
  <c r="AJ52"/>
  <c r="AF52"/>
  <c r="AE52"/>
  <c r="AD52"/>
  <c r="AC52"/>
  <c r="AM51"/>
  <c r="AL51"/>
  <c r="AK51"/>
  <c r="AJ51"/>
  <c r="AF51"/>
  <c r="AE51"/>
  <c r="AD51"/>
  <c r="AC51"/>
  <c r="AM50"/>
  <c r="AL50"/>
  <c r="AK50"/>
  <c r="AJ50"/>
  <c r="AF50"/>
  <c r="AE50"/>
  <c r="AD50"/>
  <c r="AC50"/>
  <c r="AM49"/>
  <c r="AL49"/>
  <c r="AK49"/>
  <c r="AJ49"/>
  <c r="AF49"/>
  <c r="AE49"/>
  <c r="AD49"/>
  <c r="AC49"/>
  <c r="AM48"/>
  <c r="AL48"/>
  <c r="AK48"/>
  <c r="AJ48"/>
  <c r="AF48"/>
  <c r="AE48"/>
  <c r="AD48"/>
  <c r="AC48"/>
  <c r="AM47"/>
  <c r="AL47"/>
  <c r="AK47"/>
  <c r="AJ47"/>
  <c r="AF47"/>
  <c r="AE47"/>
  <c r="AD47"/>
  <c r="AC47"/>
  <c r="AM46"/>
  <c r="AL46"/>
  <c r="AK46"/>
  <c r="AJ46"/>
  <c r="AF46"/>
  <c r="AE46"/>
  <c r="AD46"/>
  <c r="AC46"/>
  <c r="AM45"/>
  <c r="AL45"/>
  <c r="AK45"/>
  <c r="AJ45"/>
  <c r="AF45"/>
  <c r="AE45"/>
  <c r="AD45"/>
  <c r="AC45"/>
  <c r="AM44"/>
  <c r="AL44"/>
  <c r="AK44"/>
  <c r="AJ44"/>
  <c r="AF44"/>
  <c r="AE44"/>
  <c r="AD44"/>
  <c r="AC44"/>
  <c r="AM43"/>
  <c r="AL43"/>
  <c r="AK43"/>
  <c r="AJ43"/>
  <c r="AF43"/>
  <c r="AE43"/>
  <c r="AD43"/>
  <c r="AC43"/>
  <c r="AM42"/>
  <c r="AL42"/>
  <c r="AK42"/>
  <c r="AJ42"/>
  <c r="AF42"/>
  <c r="AE42"/>
  <c r="AD42"/>
  <c r="AC42"/>
  <c r="AM41"/>
  <c r="AL41"/>
  <c r="AK41"/>
  <c r="AJ41"/>
  <c r="AF41"/>
  <c r="AE41"/>
  <c r="AD41"/>
  <c r="AC41"/>
  <c r="AM40"/>
  <c r="AL40"/>
  <c r="AK40"/>
  <c r="AJ40"/>
  <c r="AF40"/>
  <c r="AE40"/>
  <c r="AD40"/>
  <c r="AC40"/>
  <c r="AM39"/>
  <c r="AL39"/>
  <c r="AK39"/>
  <c r="AJ39"/>
  <c r="AF39"/>
  <c r="AE39"/>
  <c r="AD39"/>
  <c r="AC39"/>
  <c r="AM38"/>
  <c r="AL38"/>
  <c r="AK38"/>
  <c r="AJ38"/>
  <c r="AF38"/>
  <c r="AE38"/>
  <c r="AD38"/>
  <c r="AC38"/>
  <c r="AM37"/>
  <c r="AL37"/>
  <c r="AK37"/>
  <c r="AJ37"/>
  <c r="AF37"/>
  <c r="AE37"/>
  <c r="AD37"/>
  <c r="AC37"/>
  <c r="AM36"/>
  <c r="AL36"/>
  <c r="AK36"/>
  <c r="AJ36"/>
  <c r="AF36"/>
  <c r="AE36"/>
  <c r="AD36"/>
  <c r="AC36"/>
  <c r="AM35"/>
  <c r="AL35"/>
  <c r="AK35"/>
  <c r="AJ35"/>
  <c r="AF35"/>
  <c r="AE35"/>
  <c r="AD35"/>
  <c r="AC35"/>
  <c r="AM34"/>
  <c r="AL34"/>
  <c r="AK34"/>
  <c r="AJ34"/>
  <c r="AF34"/>
  <c r="AE34"/>
  <c r="AD34"/>
  <c r="AC34"/>
  <c r="AM33"/>
  <c r="AL33"/>
  <c r="AK33"/>
  <c r="AJ33"/>
  <c r="AF33"/>
  <c r="AE33"/>
  <c r="AD33"/>
  <c r="AC33"/>
  <c r="AM32"/>
  <c r="AL32"/>
  <c r="AK32"/>
  <c r="AJ32"/>
  <c r="AF32"/>
  <c r="AE32"/>
  <c r="AD32"/>
  <c r="AC32"/>
  <c r="AM31"/>
  <c r="AL31"/>
  <c r="AK31"/>
  <c r="AJ31"/>
  <c r="AF31"/>
  <c r="AE31"/>
  <c r="AD31"/>
  <c r="AC31"/>
  <c r="AM30"/>
  <c r="AL30"/>
  <c r="AK30"/>
  <c r="AJ30"/>
  <c r="AF30"/>
  <c r="AE30"/>
  <c r="AD30"/>
  <c r="AC30"/>
  <c r="AM29"/>
  <c r="AL29"/>
  <c r="AK29"/>
  <c r="AJ29"/>
  <c r="AF29"/>
  <c r="AE29"/>
  <c r="AD29"/>
  <c r="AC29"/>
  <c r="AM28"/>
  <c r="AL28"/>
  <c r="AK28"/>
  <c r="AJ28"/>
  <c r="AF28"/>
  <c r="AE28"/>
  <c r="AD28"/>
  <c r="AC28"/>
  <c r="AM27"/>
  <c r="AL27"/>
  <c r="AK27"/>
  <c r="AJ27"/>
  <c r="AF27"/>
  <c r="AE27"/>
  <c r="AD27"/>
  <c r="AC27"/>
  <c r="AM26"/>
  <c r="AL26"/>
  <c r="AK26"/>
  <c r="AJ26"/>
  <c r="AF26"/>
  <c r="AE26"/>
  <c r="AD26"/>
  <c r="AC26"/>
  <c r="AM25"/>
  <c r="AL25"/>
  <c r="AK25"/>
  <c r="AJ25"/>
  <c r="AF25"/>
  <c r="AE25"/>
  <c r="AD25"/>
  <c r="AC25"/>
  <c r="AM24"/>
  <c r="AL24"/>
  <c r="AK24"/>
  <c r="AJ24"/>
  <c r="AF24"/>
  <c r="AE24"/>
  <c r="AD24"/>
  <c r="AC24"/>
  <c r="AM23"/>
  <c r="AL23"/>
  <c r="AK23"/>
  <c r="AJ23"/>
  <c r="AF23"/>
  <c r="AE23"/>
  <c r="AD23"/>
  <c r="AC23"/>
  <c r="AM22"/>
  <c r="AL22"/>
  <c r="AK22"/>
  <c r="AJ22"/>
  <c r="AF22"/>
  <c r="AE22"/>
  <c r="AD22"/>
  <c r="AC22"/>
  <c r="AM21"/>
  <c r="AL21"/>
  <c r="AK21"/>
  <c r="AJ21"/>
  <c r="AF21"/>
  <c r="AE21"/>
  <c r="AD21"/>
  <c r="AC21"/>
  <c r="AM20"/>
  <c r="AL20"/>
  <c r="AK20"/>
  <c r="AJ20"/>
  <c r="AF20"/>
  <c r="AE20"/>
  <c r="AD20"/>
  <c r="AC20"/>
  <c r="AM19"/>
  <c r="AL19"/>
  <c r="AK19"/>
  <c r="AJ19"/>
  <c r="AF19"/>
  <c r="AE19"/>
  <c r="AD19"/>
  <c r="AC19"/>
  <c r="AM18"/>
  <c r="AL18"/>
  <c r="AK18"/>
  <c r="AJ18"/>
  <c r="AF18"/>
  <c r="AE18"/>
  <c r="AD18"/>
  <c r="AC18"/>
  <c r="AM17"/>
  <c r="AL17"/>
  <c r="AK17"/>
  <c r="AJ17"/>
  <c r="AF17"/>
  <c r="AE17"/>
  <c r="AD17"/>
  <c r="AC17"/>
  <c r="AM16"/>
  <c r="AL16"/>
  <c r="AK16"/>
  <c r="AJ16"/>
  <c r="AF16"/>
  <c r="AE16"/>
  <c r="AD16"/>
  <c r="AC16"/>
  <c r="AM15"/>
  <c r="AL15"/>
  <c r="AK15"/>
  <c r="AJ15"/>
  <c r="AF15"/>
  <c r="AE15"/>
  <c r="AD15"/>
  <c r="AC15"/>
  <c r="AM14"/>
  <c r="AL14"/>
  <c r="AK14"/>
  <c r="AJ14"/>
  <c r="AF14"/>
  <c r="AE14"/>
  <c r="AD14"/>
  <c r="AC14"/>
  <c r="AM13"/>
  <c r="AL13"/>
  <c r="AK13"/>
  <c r="AJ13"/>
  <c r="AF13"/>
  <c r="AE13"/>
  <c r="AD13"/>
  <c r="AC13"/>
  <c r="AM12"/>
  <c r="AL12"/>
  <c r="AK12"/>
  <c r="AJ12"/>
  <c r="AF12"/>
  <c r="AE12"/>
  <c r="AD12"/>
  <c r="AC12"/>
  <c r="AM11"/>
  <c r="AL11"/>
  <c r="AK11"/>
  <c r="AJ11"/>
  <c r="AF11"/>
  <c r="AE11"/>
  <c r="AD11"/>
  <c r="AC11"/>
  <c r="AM10"/>
  <c r="AL10"/>
  <c r="AK10"/>
  <c r="AJ10"/>
  <c r="AF10"/>
  <c r="AE10"/>
  <c r="AD10"/>
  <c r="AC10"/>
  <c r="AM9"/>
  <c r="AL9"/>
  <c r="AK9"/>
  <c r="AJ9"/>
  <c r="AF9"/>
  <c r="AE9"/>
  <c r="AD9"/>
  <c r="AC9"/>
  <c r="AM8"/>
  <c r="AL8"/>
  <c r="AK8"/>
  <c r="AJ8"/>
  <c r="AF8"/>
  <c r="AE8"/>
  <c r="AD8"/>
  <c r="AC8"/>
  <c r="AM7"/>
  <c r="AL7"/>
  <c r="AK7"/>
  <c r="AJ7"/>
  <c r="AF7"/>
  <c r="AE7"/>
  <c r="AD7"/>
  <c r="AC7"/>
  <c r="AM6"/>
  <c r="AL6"/>
  <c r="AK6"/>
  <c r="AJ6"/>
  <c r="AF6"/>
  <c r="AE6"/>
  <c r="AD6"/>
  <c r="AC6"/>
  <c r="AM5"/>
  <c r="AL5"/>
  <c r="AK5"/>
  <c r="AJ5"/>
  <c r="AE5"/>
  <c r="AD5"/>
  <c r="AC5"/>
  <c r="T6"/>
  <c r="U6"/>
  <c r="V6"/>
  <c r="T7"/>
  <c r="U7"/>
  <c r="V7"/>
  <c r="T8"/>
  <c r="U8"/>
  <c r="V8"/>
  <c r="T9"/>
  <c r="U9"/>
  <c r="V9"/>
  <c r="T10"/>
  <c r="U10"/>
  <c r="V10"/>
  <c r="T11"/>
  <c r="U11"/>
  <c r="V11"/>
  <c r="T12"/>
  <c r="U12"/>
  <c r="V12"/>
  <c r="T13"/>
  <c r="U13"/>
  <c r="V13"/>
  <c r="T14"/>
  <c r="U14"/>
  <c r="V14"/>
  <c r="T15"/>
  <c r="U15"/>
  <c r="V15"/>
  <c r="T16"/>
  <c r="U16"/>
  <c r="V16"/>
  <c r="T17"/>
  <c r="U17"/>
  <c r="V17"/>
  <c r="T18"/>
  <c r="U18"/>
  <c r="V18"/>
  <c r="T19"/>
  <c r="U19"/>
  <c r="V19"/>
  <c r="T20"/>
  <c r="U20"/>
  <c r="V20"/>
  <c r="T21"/>
  <c r="U21"/>
  <c r="V21"/>
  <c r="T22"/>
  <c r="U22"/>
  <c r="V22"/>
  <c r="T23"/>
  <c r="U23"/>
  <c r="V23"/>
  <c r="T24"/>
  <c r="U24"/>
  <c r="V24"/>
  <c r="T25"/>
  <c r="U25"/>
  <c r="V25"/>
  <c r="T26"/>
  <c r="U26"/>
  <c r="V26"/>
  <c r="T27"/>
  <c r="U27"/>
  <c r="V27"/>
  <c r="T28"/>
  <c r="U28"/>
  <c r="V28"/>
  <c r="T29"/>
  <c r="U29"/>
  <c r="V29"/>
  <c r="T30"/>
  <c r="U30"/>
  <c r="V30"/>
  <c r="T31"/>
  <c r="U31"/>
  <c r="V31"/>
  <c r="T32"/>
  <c r="U32"/>
  <c r="V32"/>
  <c r="T33"/>
  <c r="U33"/>
  <c r="V33"/>
  <c r="T34"/>
  <c r="U34"/>
  <c r="V34"/>
  <c r="T35"/>
  <c r="U35"/>
  <c r="V35"/>
  <c r="T36"/>
  <c r="U36"/>
  <c r="V36"/>
  <c r="T37"/>
  <c r="U37"/>
  <c r="V37"/>
  <c r="T38"/>
  <c r="U38"/>
  <c r="V38"/>
  <c r="T39"/>
  <c r="U39"/>
  <c r="V39"/>
  <c r="T40"/>
  <c r="U40"/>
  <c r="V40"/>
  <c r="T41"/>
  <c r="U41"/>
  <c r="V41"/>
  <c r="T42"/>
  <c r="U42"/>
  <c r="V42"/>
  <c r="T43"/>
  <c r="U43"/>
  <c r="V43"/>
  <c r="T44"/>
  <c r="U44"/>
  <c r="V44"/>
  <c r="T45"/>
  <c r="U45"/>
  <c r="V45"/>
  <c r="T46"/>
  <c r="U46"/>
  <c r="V46"/>
  <c r="T47"/>
  <c r="U47"/>
  <c r="V47"/>
  <c r="T48"/>
  <c r="U48"/>
  <c r="V48"/>
  <c r="T49"/>
  <c r="U49"/>
  <c r="V49"/>
  <c r="T50"/>
  <c r="U50"/>
  <c r="V50"/>
  <c r="T51"/>
  <c r="U51"/>
  <c r="V51"/>
  <c r="T52"/>
  <c r="U52"/>
  <c r="V52"/>
  <c r="T53"/>
  <c r="U53"/>
  <c r="V53"/>
  <c r="T54"/>
  <c r="U54"/>
  <c r="V54"/>
  <c r="T55"/>
  <c r="U55"/>
  <c r="V55"/>
  <c r="T56"/>
  <c r="U56"/>
  <c r="V56"/>
  <c r="T57"/>
  <c r="U57"/>
  <c r="V57"/>
  <c r="T58"/>
  <c r="U58"/>
  <c r="V58"/>
  <c r="T59"/>
  <c r="U59"/>
  <c r="V59"/>
  <c r="T60"/>
  <c r="U60"/>
  <c r="V60"/>
  <c r="T61"/>
  <c r="U61"/>
  <c r="V61"/>
  <c r="T62"/>
  <c r="U62"/>
  <c r="V62"/>
  <c r="T63"/>
  <c r="U63"/>
  <c r="V63"/>
  <c r="T64"/>
  <c r="U64"/>
  <c r="V64"/>
  <c r="T65"/>
  <c r="U65"/>
  <c r="V65"/>
  <c r="T66"/>
  <c r="U66"/>
  <c r="V66"/>
  <c r="T67"/>
  <c r="U67"/>
  <c r="V67"/>
  <c r="T68"/>
  <c r="U68"/>
  <c r="V68"/>
  <c r="T69"/>
  <c r="U69"/>
  <c r="V69"/>
  <c r="T70"/>
  <c r="U70"/>
  <c r="V70"/>
  <c r="T71"/>
  <c r="U71"/>
  <c r="V71"/>
  <c r="T72"/>
  <c r="U72"/>
  <c r="V72"/>
  <c r="T73"/>
  <c r="U73"/>
  <c r="V73"/>
  <c r="T74"/>
  <c r="U74"/>
  <c r="V74"/>
  <c r="T75"/>
  <c r="U75"/>
  <c r="V75"/>
  <c r="T76"/>
  <c r="U76"/>
  <c r="V76"/>
  <c r="T77"/>
  <c r="U77"/>
  <c r="V77"/>
  <c r="T78"/>
  <c r="U78"/>
  <c r="V78"/>
  <c r="T79"/>
  <c r="U79"/>
  <c r="V79"/>
  <c r="T80"/>
  <c r="U80"/>
  <c r="V80"/>
  <c r="T81"/>
  <c r="U81"/>
  <c r="V81"/>
  <c r="T82"/>
  <c r="U82"/>
  <c r="V82"/>
  <c r="T83"/>
  <c r="U83"/>
  <c r="V83"/>
  <c r="T84"/>
  <c r="U84"/>
  <c r="V84"/>
  <c r="T85"/>
  <c r="U85"/>
  <c r="V85"/>
  <c r="V5"/>
  <c r="T5"/>
  <c r="U5"/>
  <c r="S5"/>
  <c r="Z85"/>
  <c r="Y85"/>
  <c r="X85"/>
  <c r="W85"/>
  <c r="S85"/>
  <c r="R85"/>
  <c r="Q85"/>
  <c r="P85"/>
  <c r="Z84"/>
  <c r="Y84"/>
  <c r="X84"/>
  <c r="W84"/>
  <c r="S84"/>
  <c r="R84"/>
  <c r="Q84"/>
  <c r="P84"/>
  <c r="Z83"/>
  <c r="Y83"/>
  <c r="X83"/>
  <c r="W83"/>
  <c r="S83"/>
  <c r="R83"/>
  <c r="Q83"/>
  <c r="P83"/>
  <c r="Z82"/>
  <c r="Y82"/>
  <c r="X82"/>
  <c r="W82"/>
  <c r="S82"/>
  <c r="R82"/>
  <c r="Q82"/>
  <c r="P82"/>
  <c r="Z81"/>
  <c r="Y81"/>
  <c r="X81"/>
  <c r="W81"/>
  <c r="S81"/>
  <c r="R81"/>
  <c r="Q81"/>
  <c r="P81"/>
  <c r="Z80"/>
  <c r="Y80"/>
  <c r="X80"/>
  <c r="W80"/>
  <c r="S80"/>
  <c r="R80"/>
  <c r="Q80"/>
  <c r="P80"/>
  <c r="Z79"/>
  <c r="Y79"/>
  <c r="X79"/>
  <c r="W79"/>
  <c r="S79"/>
  <c r="R79"/>
  <c r="Q79"/>
  <c r="P79"/>
  <c r="Z78"/>
  <c r="Y78"/>
  <c r="X78"/>
  <c r="W78"/>
  <c r="S78"/>
  <c r="R78"/>
  <c r="Q78"/>
  <c r="P78"/>
  <c r="Z77"/>
  <c r="Y77"/>
  <c r="X77"/>
  <c r="W77"/>
  <c r="S77"/>
  <c r="R77"/>
  <c r="Q77"/>
  <c r="P77"/>
  <c r="Z76"/>
  <c r="Y76"/>
  <c r="X76"/>
  <c r="W76"/>
  <c r="S76"/>
  <c r="R76"/>
  <c r="Q76"/>
  <c r="P76"/>
  <c r="Z75"/>
  <c r="Y75"/>
  <c r="X75"/>
  <c r="W75"/>
  <c r="S75"/>
  <c r="R75"/>
  <c r="Q75"/>
  <c r="P75"/>
  <c r="Z74"/>
  <c r="Y74"/>
  <c r="X74"/>
  <c r="W74"/>
  <c r="S74"/>
  <c r="R74"/>
  <c r="Q74"/>
  <c r="P74"/>
  <c r="Z73"/>
  <c r="Y73"/>
  <c r="X73"/>
  <c r="W73"/>
  <c r="S73"/>
  <c r="R73"/>
  <c r="Q73"/>
  <c r="P73"/>
  <c r="Z72"/>
  <c r="Y72"/>
  <c r="X72"/>
  <c r="W72"/>
  <c r="S72"/>
  <c r="R72"/>
  <c r="Q72"/>
  <c r="P72"/>
  <c r="Z71"/>
  <c r="Y71"/>
  <c r="X71"/>
  <c r="W71"/>
  <c r="S71"/>
  <c r="R71"/>
  <c r="Q71"/>
  <c r="P71"/>
  <c r="Z70"/>
  <c r="Y70"/>
  <c r="X70"/>
  <c r="W70"/>
  <c r="S70"/>
  <c r="R70"/>
  <c r="Q70"/>
  <c r="P70"/>
  <c r="Z69"/>
  <c r="Y69"/>
  <c r="X69"/>
  <c r="W69"/>
  <c r="S69"/>
  <c r="R69"/>
  <c r="Q69"/>
  <c r="P69"/>
  <c r="Z68"/>
  <c r="Y68"/>
  <c r="X68"/>
  <c r="W68"/>
  <c r="S68"/>
  <c r="R68"/>
  <c r="Q68"/>
  <c r="P68"/>
  <c r="Z67"/>
  <c r="Y67"/>
  <c r="X67"/>
  <c r="W67"/>
  <c r="S67"/>
  <c r="R67"/>
  <c r="Q67"/>
  <c r="P67"/>
  <c r="Z66"/>
  <c r="Y66"/>
  <c r="X66"/>
  <c r="W66"/>
  <c r="S66"/>
  <c r="R66"/>
  <c r="Q66"/>
  <c r="P66"/>
  <c r="Z65"/>
  <c r="Y65"/>
  <c r="X65"/>
  <c r="W65"/>
  <c r="S65"/>
  <c r="R65"/>
  <c r="Q65"/>
  <c r="P65"/>
  <c r="Z64"/>
  <c r="Y64"/>
  <c r="X64"/>
  <c r="W64"/>
  <c r="S64"/>
  <c r="R64"/>
  <c r="Q64"/>
  <c r="P64"/>
  <c r="Z63"/>
  <c r="Y63"/>
  <c r="X63"/>
  <c r="W63"/>
  <c r="S63"/>
  <c r="R63"/>
  <c r="Q63"/>
  <c r="P63"/>
  <c r="Z62"/>
  <c r="Y62"/>
  <c r="X62"/>
  <c r="W62"/>
  <c r="S62"/>
  <c r="R62"/>
  <c r="Q62"/>
  <c r="P62"/>
  <c r="Z61"/>
  <c r="Y61"/>
  <c r="X61"/>
  <c r="W61"/>
  <c r="S61"/>
  <c r="R61"/>
  <c r="Q61"/>
  <c r="P61"/>
  <c r="Z60"/>
  <c r="Y60"/>
  <c r="X60"/>
  <c r="W60"/>
  <c r="S60"/>
  <c r="R60"/>
  <c r="Q60"/>
  <c r="P60"/>
  <c r="Z59"/>
  <c r="Y59"/>
  <c r="X59"/>
  <c r="W59"/>
  <c r="S59"/>
  <c r="R59"/>
  <c r="Q59"/>
  <c r="P59"/>
  <c r="Z58"/>
  <c r="Y58"/>
  <c r="X58"/>
  <c r="W58"/>
  <c r="S58"/>
  <c r="R58"/>
  <c r="Q58"/>
  <c r="P58"/>
  <c r="Z57"/>
  <c r="Y57"/>
  <c r="X57"/>
  <c r="W57"/>
  <c r="S57"/>
  <c r="R57"/>
  <c r="Q57"/>
  <c r="P57"/>
  <c r="Z56"/>
  <c r="Y56"/>
  <c r="X56"/>
  <c r="W56"/>
  <c r="S56"/>
  <c r="R56"/>
  <c r="Q56"/>
  <c r="P56"/>
  <c r="Z55"/>
  <c r="Y55"/>
  <c r="X55"/>
  <c r="W55"/>
  <c r="S55"/>
  <c r="R55"/>
  <c r="Q55"/>
  <c r="P55"/>
  <c r="Z54"/>
  <c r="Y54"/>
  <c r="X54"/>
  <c r="W54"/>
  <c r="S54"/>
  <c r="R54"/>
  <c r="Q54"/>
  <c r="P54"/>
  <c r="Z53"/>
  <c r="Y53"/>
  <c r="X53"/>
  <c r="W53"/>
  <c r="S53"/>
  <c r="R53"/>
  <c r="Q53"/>
  <c r="P53"/>
  <c r="Z52"/>
  <c r="Y52"/>
  <c r="X52"/>
  <c r="W52"/>
  <c r="S52"/>
  <c r="R52"/>
  <c r="Q52"/>
  <c r="P52"/>
  <c r="Z51"/>
  <c r="Y51"/>
  <c r="X51"/>
  <c r="W51"/>
  <c r="S51"/>
  <c r="R51"/>
  <c r="Q51"/>
  <c r="P51"/>
  <c r="Z50"/>
  <c r="Y50"/>
  <c r="X50"/>
  <c r="W50"/>
  <c r="S50"/>
  <c r="R50"/>
  <c r="Q50"/>
  <c r="P50"/>
  <c r="Z49"/>
  <c r="Y49"/>
  <c r="X49"/>
  <c r="W49"/>
  <c r="S49"/>
  <c r="R49"/>
  <c r="Q49"/>
  <c r="P49"/>
  <c r="Z48"/>
  <c r="Y48"/>
  <c r="X48"/>
  <c r="W48"/>
  <c r="S48"/>
  <c r="R48"/>
  <c r="Q48"/>
  <c r="P48"/>
  <c r="Z47"/>
  <c r="Y47"/>
  <c r="X47"/>
  <c r="W47"/>
  <c r="S47"/>
  <c r="R47"/>
  <c r="Q47"/>
  <c r="P47"/>
  <c r="Z46"/>
  <c r="Y46"/>
  <c r="X46"/>
  <c r="W46"/>
  <c r="S46"/>
  <c r="R46"/>
  <c r="Q46"/>
  <c r="P46"/>
  <c r="Z45"/>
  <c r="Y45"/>
  <c r="X45"/>
  <c r="W45"/>
  <c r="S45"/>
  <c r="R45"/>
  <c r="Q45"/>
  <c r="P45"/>
  <c r="Z44"/>
  <c r="Y44"/>
  <c r="X44"/>
  <c r="W44"/>
  <c r="S44"/>
  <c r="R44"/>
  <c r="Q44"/>
  <c r="P44"/>
  <c r="Z43"/>
  <c r="Y43"/>
  <c r="X43"/>
  <c r="W43"/>
  <c r="S43"/>
  <c r="R43"/>
  <c r="Q43"/>
  <c r="P43"/>
  <c r="Z42"/>
  <c r="Y42"/>
  <c r="X42"/>
  <c r="W42"/>
  <c r="S42"/>
  <c r="R42"/>
  <c r="Q42"/>
  <c r="P42"/>
  <c r="Z41"/>
  <c r="Y41"/>
  <c r="X41"/>
  <c r="W41"/>
  <c r="S41"/>
  <c r="R41"/>
  <c r="Q41"/>
  <c r="P41"/>
  <c r="Z40"/>
  <c r="Y40"/>
  <c r="X40"/>
  <c r="W40"/>
  <c r="S40"/>
  <c r="R40"/>
  <c r="Q40"/>
  <c r="P40"/>
  <c r="Z39"/>
  <c r="Y39"/>
  <c r="X39"/>
  <c r="W39"/>
  <c r="S39"/>
  <c r="R39"/>
  <c r="Q39"/>
  <c r="P39"/>
  <c r="Z38"/>
  <c r="Y38"/>
  <c r="X38"/>
  <c r="W38"/>
  <c r="S38"/>
  <c r="R38"/>
  <c r="Q38"/>
  <c r="P38"/>
  <c r="Z37"/>
  <c r="Y37"/>
  <c r="X37"/>
  <c r="W37"/>
  <c r="S37"/>
  <c r="R37"/>
  <c r="Q37"/>
  <c r="P37"/>
  <c r="Z36"/>
  <c r="Y36"/>
  <c r="X36"/>
  <c r="W36"/>
  <c r="S36"/>
  <c r="R36"/>
  <c r="Q36"/>
  <c r="P36"/>
  <c r="Z35"/>
  <c r="Y35"/>
  <c r="X35"/>
  <c r="W35"/>
  <c r="S35"/>
  <c r="R35"/>
  <c r="Q35"/>
  <c r="P35"/>
  <c r="Z34"/>
  <c r="Y34"/>
  <c r="X34"/>
  <c r="W34"/>
  <c r="S34"/>
  <c r="R34"/>
  <c r="Q34"/>
  <c r="P34"/>
  <c r="Z33"/>
  <c r="Y33"/>
  <c r="X33"/>
  <c r="W33"/>
  <c r="S33"/>
  <c r="R33"/>
  <c r="Q33"/>
  <c r="P33"/>
  <c r="Z32"/>
  <c r="Y32"/>
  <c r="X32"/>
  <c r="W32"/>
  <c r="S32"/>
  <c r="R32"/>
  <c r="Q32"/>
  <c r="P32"/>
  <c r="Z31"/>
  <c r="Y31"/>
  <c r="X31"/>
  <c r="W31"/>
  <c r="S31"/>
  <c r="R31"/>
  <c r="Q31"/>
  <c r="P31"/>
  <c r="Z30"/>
  <c r="Y30"/>
  <c r="X30"/>
  <c r="W30"/>
  <c r="S30"/>
  <c r="R30"/>
  <c r="Q30"/>
  <c r="P30"/>
  <c r="Z29"/>
  <c r="Y29"/>
  <c r="X29"/>
  <c r="W29"/>
  <c r="S29"/>
  <c r="R29"/>
  <c r="Q29"/>
  <c r="P29"/>
  <c r="Z28"/>
  <c r="Y28"/>
  <c r="X28"/>
  <c r="W28"/>
  <c r="S28"/>
  <c r="R28"/>
  <c r="Q28"/>
  <c r="P28"/>
  <c r="Z27"/>
  <c r="Y27"/>
  <c r="X27"/>
  <c r="W27"/>
  <c r="S27"/>
  <c r="R27"/>
  <c r="Q27"/>
  <c r="P27"/>
  <c r="Z26"/>
  <c r="Y26"/>
  <c r="X26"/>
  <c r="W26"/>
  <c r="S26"/>
  <c r="R26"/>
  <c r="Q26"/>
  <c r="P26"/>
  <c r="Z25"/>
  <c r="Y25"/>
  <c r="X25"/>
  <c r="W25"/>
  <c r="S25"/>
  <c r="R25"/>
  <c r="Q25"/>
  <c r="P25"/>
  <c r="Z24"/>
  <c r="Y24"/>
  <c r="X24"/>
  <c r="W24"/>
  <c r="S24"/>
  <c r="R24"/>
  <c r="Q24"/>
  <c r="P24"/>
  <c r="Z23"/>
  <c r="Y23"/>
  <c r="X23"/>
  <c r="W23"/>
  <c r="S23"/>
  <c r="R23"/>
  <c r="Q23"/>
  <c r="P23"/>
  <c r="Z22"/>
  <c r="Y22"/>
  <c r="X22"/>
  <c r="W22"/>
  <c r="S22"/>
  <c r="R22"/>
  <c r="Q22"/>
  <c r="P22"/>
  <c r="Z21"/>
  <c r="Y21"/>
  <c r="X21"/>
  <c r="W21"/>
  <c r="S21"/>
  <c r="R21"/>
  <c r="Q21"/>
  <c r="P21"/>
  <c r="Z20"/>
  <c r="Y20"/>
  <c r="X20"/>
  <c r="W20"/>
  <c r="S20"/>
  <c r="R20"/>
  <c r="Q20"/>
  <c r="P20"/>
  <c r="Z19"/>
  <c r="Y19"/>
  <c r="X19"/>
  <c r="W19"/>
  <c r="S19"/>
  <c r="R19"/>
  <c r="Q19"/>
  <c r="P19"/>
  <c r="Z18"/>
  <c r="Y18"/>
  <c r="X18"/>
  <c r="W18"/>
  <c r="S18"/>
  <c r="R18"/>
  <c r="Q18"/>
  <c r="P18"/>
  <c r="Z17"/>
  <c r="Y17"/>
  <c r="X17"/>
  <c r="W17"/>
  <c r="S17"/>
  <c r="R17"/>
  <c r="Q17"/>
  <c r="P17"/>
  <c r="Z16"/>
  <c r="Y16"/>
  <c r="X16"/>
  <c r="W16"/>
  <c r="S16"/>
  <c r="R16"/>
  <c r="Q16"/>
  <c r="P16"/>
  <c r="Z15"/>
  <c r="Y15"/>
  <c r="X15"/>
  <c r="W15"/>
  <c r="S15"/>
  <c r="R15"/>
  <c r="Q15"/>
  <c r="P15"/>
  <c r="Z14"/>
  <c r="Y14"/>
  <c r="X14"/>
  <c r="W14"/>
  <c r="S14"/>
  <c r="R14"/>
  <c r="Q14"/>
  <c r="P14"/>
  <c r="Z13"/>
  <c r="Y13"/>
  <c r="X13"/>
  <c r="W13"/>
  <c r="S13"/>
  <c r="R13"/>
  <c r="Q13"/>
  <c r="P13"/>
  <c r="Z12"/>
  <c r="Y12"/>
  <c r="X12"/>
  <c r="W12"/>
  <c r="S12"/>
  <c r="R12"/>
  <c r="Q12"/>
  <c r="P12"/>
  <c r="Z11"/>
  <c r="Y11"/>
  <c r="X11"/>
  <c r="W11"/>
  <c r="S11"/>
  <c r="R11"/>
  <c r="Q11"/>
  <c r="P11"/>
  <c r="Z10"/>
  <c r="Y10"/>
  <c r="X10"/>
  <c r="W10"/>
  <c r="S10"/>
  <c r="R10"/>
  <c r="Q10"/>
  <c r="P10"/>
  <c r="Z9"/>
  <c r="Y9"/>
  <c r="X9"/>
  <c r="W9"/>
  <c r="S9"/>
  <c r="R9"/>
  <c r="Q9"/>
  <c r="P9"/>
  <c r="Z8"/>
  <c r="Y8"/>
  <c r="X8"/>
  <c r="W8"/>
  <c r="S8"/>
  <c r="R8"/>
  <c r="Q8"/>
  <c r="P8"/>
  <c r="Z7"/>
  <c r="Y7"/>
  <c r="X7"/>
  <c r="W7"/>
  <c r="S7"/>
  <c r="R7"/>
  <c r="Q7"/>
  <c r="P7"/>
  <c r="Z6"/>
  <c r="Y6"/>
  <c r="X6"/>
  <c r="W6"/>
  <c r="S6"/>
  <c r="R6"/>
  <c r="Q6"/>
  <c r="P6"/>
  <c r="Z5"/>
  <c r="Y5"/>
  <c r="X5"/>
  <c r="W5"/>
  <c r="R5"/>
  <c r="Q5"/>
  <c r="P5"/>
  <c r="G6" l="1"/>
  <c r="H6"/>
  <c r="I6"/>
  <c r="G7"/>
  <c r="H7"/>
  <c r="I7"/>
  <c r="G8"/>
  <c r="H8"/>
  <c r="I8"/>
  <c r="G9"/>
  <c r="H9"/>
  <c r="I9"/>
  <c r="G10"/>
  <c r="H10"/>
  <c r="I10"/>
  <c r="G11"/>
  <c r="H11"/>
  <c r="I11"/>
  <c r="G12"/>
  <c r="H12"/>
  <c r="I12"/>
  <c r="G13"/>
  <c r="H13"/>
  <c r="I13"/>
  <c r="G14"/>
  <c r="H14"/>
  <c r="I14"/>
  <c r="G15"/>
  <c r="H15"/>
  <c r="I15"/>
  <c r="G16"/>
  <c r="H16"/>
  <c r="I16"/>
  <c r="G17"/>
  <c r="H17"/>
  <c r="I17"/>
  <c r="G18"/>
  <c r="H18"/>
  <c r="I18"/>
  <c r="G19"/>
  <c r="H19"/>
  <c r="I19"/>
  <c r="G20"/>
  <c r="H20"/>
  <c r="I20"/>
  <c r="G21"/>
  <c r="H21"/>
  <c r="I21"/>
  <c r="G22"/>
  <c r="H22"/>
  <c r="I22"/>
  <c r="G23"/>
  <c r="H23"/>
  <c r="I23"/>
  <c r="G24"/>
  <c r="H24"/>
  <c r="I24"/>
  <c r="G25"/>
  <c r="H25"/>
  <c r="I25"/>
  <c r="G26"/>
  <c r="H26"/>
  <c r="I26"/>
  <c r="G27"/>
  <c r="H27"/>
  <c r="I27"/>
  <c r="G28"/>
  <c r="H28"/>
  <c r="I28"/>
  <c r="G29"/>
  <c r="H29"/>
  <c r="I29"/>
  <c r="G30"/>
  <c r="H30"/>
  <c r="I30"/>
  <c r="G31"/>
  <c r="H31"/>
  <c r="I31"/>
  <c r="G32"/>
  <c r="H32"/>
  <c r="I32"/>
  <c r="G33"/>
  <c r="H33"/>
  <c r="I33"/>
  <c r="G34"/>
  <c r="H34"/>
  <c r="I34"/>
  <c r="G35"/>
  <c r="H35"/>
  <c r="I35"/>
  <c r="G36"/>
  <c r="H36"/>
  <c r="I36"/>
  <c r="G37"/>
  <c r="H37"/>
  <c r="I37"/>
  <c r="G38"/>
  <c r="H38"/>
  <c r="I38"/>
  <c r="G39"/>
  <c r="H39"/>
  <c r="I39"/>
  <c r="G40"/>
  <c r="H40"/>
  <c r="I40"/>
  <c r="G41"/>
  <c r="H41"/>
  <c r="I41"/>
  <c r="G42"/>
  <c r="H42"/>
  <c r="I42"/>
  <c r="G43"/>
  <c r="H43"/>
  <c r="I43"/>
  <c r="G44"/>
  <c r="H44"/>
  <c r="I44"/>
  <c r="G45"/>
  <c r="H45"/>
  <c r="I45"/>
  <c r="G46"/>
  <c r="H46"/>
  <c r="I46"/>
  <c r="G47"/>
  <c r="H47"/>
  <c r="I47"/>
  <c r="G48"/>
  <c r="H48"/>
  <c r="I48"/>
  <c r="G49"/>
  <c r="H49"/>
  <c r="I49"/>
  <c r="G50"/>
  <c r="H50"/>
  <c r="I50"/>
  <c r="G51"/>
  <c r="H51"/>
  <c r="I51"/>
  <c r="G52"/>
  <c r="H52"/>
  <c r="I52"/>
  <c r="G53"/>
  <c r="H53"/>
  <c r="I53"/>
  <c r="G54"/>
  <c r="H54"/>
  <c r="I54"/>
  <c r="G55"/>
  <c r="H55"/>
  <c r="I55"/>
  <c r="G56"/>
  <c r="H56"/>
  <c r="I56"/>
  <c r="G57"/>
  <c r="H57"/>
  <c r="I57"/>
  <c r="G58"/>
  <c r="H58"/>
  <c r="I58"/>
  <c r="G59"/>
  <c r="H59"/>
  <c r="I59"/>
  <c r="G60"/>
  <c r="H60"/>
  <c r="I60"/>
  <c r="G61"/>
  <c r="H61"/>
  <c r="I61"/>
  <c r="G62"/>
  <c r="H62"/>
  <c r="I62"/>
  <c r="G63"/>
  <c r="H63"/>
  <c r="I63"/>
  <c r="G64"/>
  <c r="H64"/>
  <c r="I64"/>
  <c r="G65"/>
  <c r="H65"/>
  <c r="I65"/>
  <c r="G66"/>
  <c r="H66"/>
  <c r="I66"/>
  <c r="G67"/>
  <c r="H67"/>
  <c r="I67"/>
  <c r="G68"/>
  <c r="H68"/>
  <c r="I68"/>
  <c r="G69"/>
  <c r="H69"/>
  <c r="I69"/>
  <c r="G70"/>
  <c r="H70"/>
  <c r="I70"/>
  <c r="G71"/>
  <c r="H71"/>
  <c r="I71"/>
  <c r="G72"/>
  <c r="H72"/>
  <c r="I72"/>
  <c r="G73"/>
  <c r="H73"/>
  <c r="I73"/>
  <c r="G74"/>
  <c r="H74"/>
  <c r="I74"/>
  <c r="G75"/>
  <c r="H75"/>
  <c r="I75"/>
  <c r="G76"/>
  <c r="H76"/>
  <c r="I76"/>
  <c r="G77"/>
  <c r="H77"/>
  <c r="I77"/>
  <c r="G78"/>
  <c r="H78"/>
  <c r="I78"/>
  <c r="G79"/>
  <c r="H79"/>
  <c r="I79"/>
  <c r="G80"/>
  <c r="H80"/>
  <c r="I80"/>
  <c r="G81"/>
  <c r="H81"/>
  <c r="I81"/>
  <c r="G82"/>
  <c r="H82"/>
  <c r="I82"/>
  <c r="G83"/>
  <c r="H83"/>
  <c r="I83"/>
  <c r="G84"/>
  <c r="H84"/>
  <c r="I84"/>
  <c r="G85"/>
  <c r="H85"/>
  <c r="I85"/>
  <c r="I5"/>
  <c r="G5"/>
  <c r="H5"/>
  <c r="F5"/>
  <c r="M85"/>
  <c r="L85"/>
  <c r="K85"/>
  <c r="J85"/>
  <c r="F85"/>
  <c r="E85"/>
  <c r="D85"/>
  <c r="C85"/>
  <c r="M84"/>
  <c r="L84"/>
  <c r="K84"/>
  <c r="J84"/>
  <c r="F84"/>
  <c r="E84"/>
  <c r="D84"/>
  <c r="C84"/>
  <c r="M83"/>
  <c r="L83"/>
  <c r="K83"/>
  <c r="J83"/>
  <c r="F83"/>
  <c r="E83"/>
  <c r="D83"/>
  <c r="C83"/>
  <c r="M82"/>
  <c r="L82"/>
  <c r="K82"/>
  <c r="J82"/>
  <c r="F82"/>
  <c r="E82"/>
  <c r="D82"/>
  <c r="C82"/>
  <c r="M81"/>
  <c r="L81"/>
  <c r="K81"/>
  <c r="J81"/>
  <c r="F81"/>
  <c r="E81"/>
  <c r="D81"/>
  <c r="C81"/>
  <c r="M80"/>
  <c r="L80"/>
  <c r="K80"/>
  <c r="J80"/>
  <c r="F80"/>
  <c r="E80"/>
  <c r="D80"/>
  <c r="C80"/>
  <c r="M79"/>
  <c r="L79"/>
  <c r="K79"/>
  <c r="J79"/>
  <c r="F79"/>
  <c r="E79"/>
  <c r="D79"/>
  <c r="C79"/>
  <c r="M78"/>
  <c r="L78"/>
  <c r="K78"/>
  <c r="J78"/>
  <c r="F78"/>
  <c r="E78"/>
  <c r="D78"/>
  <c r="C78"/>
  <c r="M77"/>
  <c r="L77"/>
  <c r="K77"/>
  <c r="J77"/>
  <c r="F77"/>
  <c r="E77"/>
  <c r="D77"/>
  <c r="C77"/>
  <c r="M76"/>
  <c r="L76"/>
  <c r="K76"/>
  <c r="J76"/>
  <c r="F76"/>
  <c r="E76"/>
  <c r="D76"/>
  <c r="C76"/>
  <c r="M75"/>
  <c r="L75"/>
  <c r="K75"/>
  <c r="J75"/>
  <c r="F75"/>
  <c r="E75"/>
  <c r="D75"/>
  <c r="C75"/>
  <c r="M74"/>
  <c r="L74"/>
  <c r="K74"/>
  <c r="J74"/>
  <c r="F74"/>
  <c r="E74"/>
  <c r="D74"/>
  <c r="C74"/>
  <c r="M73"/>
  <c r="L73"/>
  <c r="K73"/>
  <c r="J73"/>
  <c r="F73"/>
  <c r="E73"/>
  <c r="D73"/>
  <c r="C73"/>
  <c r="M72"/>
  <c r="L72"/>
  <c r="K72"/>
  <c r="J72"/>
  <c r="F72"/>
  <c r="E72"/>
  <c r="D72"/>
  <c r="C72"/>
  <c r="M71"/>
  <c r="L71"/>
  <c r="K71"/>
  <c r="J71"/>
  <c r="F71"/>
  <c r="E71"/>
  <c r="D71"/>
  <c r="C71"/>
  <c r="M70"/>
  <c r="L70"/>
  <c r="K70"/>
  <c r="J70"/>
  <c r="F70"/>
  <c r="E70"/>
  <c r="D70"/>
  <c r="C70"/>
  <c r="M69"/>
  <c r="L69"/>
  <c r="K69"/>
  <c r="J69"/>
  <c r="F69"/>
  <c r="E69"/>
  <c r="D69"/>
  <c r="C69"/>
  <c r="M68"/>
  <c r="L68"/>
  <c r="K68"/>
  <c r="J68"/>
  <c r="F68"/>
  <c r="E68"/>
  <c r="D68"/>
  <c r="C68"/>
  <c r="M67"/>
  <c r="L67"/>
  <c r="K67"/>
  <c r="J67"/>
  <c r="F67"/>
  <c r="E67"/>
  <c r="D67"/>
  <c r="C67"/>
  <c r="M66"/>
  <c r="L66"/>
  <c r="K66"/>
  <c r="J66"/>
  <c r="F66"/>
  <c r="E66"/>
  <c r="D66"/>
  <c r="C66"/>
  <c r="M65"/>
  <c r="L65"/>
  <c r="K65"/>
  <c r="J65"/>
  <c r="F65"/>
  <c r="E65"/>
  <c r="D65"/>
  <c r="C65"/>
  <c r="M64"/>
  <c r="L64"/>
  <c r="K64"/>
  <c r="J64"/>
  <c r="F64"/>
  <c r="E64"/>
  <c r="D64"/>
  <c r="C64"/>
  <c r="M63"/>
  <c r="L63"/>
  <c r="K63"/>
  <c r="J63"/>
  <c r="F63"/>
  <c r="E63"/>
  <c r="D63"/>
  <c r="C63"/>
  <c r="M62"/>
  <c r="L62"/>
  <c r="K62"/>
  <c r="J62"/>
  <c r="F62"/>
  <c r="E62"/>
  <c r="D62"/>
  <c r="C62"/>
  <c r="M61"/>
  <c r="L61"/>
  <c r="K61"/>
  <c r="J61"/>
  <c r="F61"/>
  <c r="E61"/>
  <c r="D61"/>
  <c r="C61"/>
  <c r="M60"/>
  <c r="L60"/>
  <c r="K60"/>
  <c r="J60"/>
  <c r="F60"/>
  <c r="E60"/>
  <c r="D60"/>
  <c r="C60"/>
  <c r="M59"/>
  <c r="L59"/>
  <c r="K59"/>
  <c r="J59"/>
  <c r="F59"/>
  <c r="E59"/>
  <c r="D59"/>
  <c r="C59"/>
  <c r="M58"/>
  <c r="L58"/>
  <c r="K58"/>
  <c r="J58"/>
  <c r="F58"/>
  <c r="E58"/>
  <c r="D58"/>
  <c r="C58"/>
  <c r="M57"/>
  <c r="L57"/>
  <c r="K57"/>
  <c r="J57"/>
  <c r="F57"/>
  <c r="E57"/>
  <c r="D57"/>
  <c r="C57"/>
  <c r="M56"/>
  <c r="L56"/>
  <c r="K56"/>
  <c r="J56"/>
  <c r="F56"/>
  <c r="E56"/>
  <c r="D56"/>
  <c r="C56"/>
  <c r="M55"/>
  <c r="L55"/>
  <c r="K55"/>
  <c r="J55"/>
  <c r="F55"/>
  <c r="E55"/>
  <c r="D55"/>
  <c r="C55"/>
  <c r="M54"/>
  <c r="L54"/>
  <c r="K54"/>
  <c r="J54"/>
  <c r="F54"/>
  <c r="E54"/>
  <c r="D54"/>
  <c r="C54"/>
  <c r="M53"/>
  <c r="L53"/>
  <c r="K53"/>
  <c r="J53"/>
  <c r="F53"/>
  <c r="E53"/>
  <c r="D53"/>
  <c r="C53"/>
  <c r="M52"/>
  <c r="L52"/>
  <c r="K52"/>
  <c r="J52"/>
  <c r="F52"/>
  <c r="E52"/>
  <c r="D52"/>
  <c r="C52"/>
  <c r="M51"/>
  <c r="L51"/>
  <c r="K51"/>
  <c r="J51"/>
  <c r="F51"/>
  <c r="E51"/>
  <c r="D51"/>
  <c r="C51"/>
  <c r="M50"/>
  <c r="L50"/>
  <c r="K50"/>
  <c r="J50"/>
  <c r="F50"/>
  <c r="E50"/>
  <c r="D50"/>
  <c r="C50"/>
  <c r="M49"/>
  <c r="L49"/>
  <c r="K49"/>
  <c r="J49"/>
  <c r="F49"/>
  <c r="E49"/>
  <c r="D49"/>
  <c r="C49"/>
  <c r="M48"/>
  <c r="L48"/>
  <c r="K48"/>
  <c r="J48"/>
  <c r="F48"/>
  <c r="E48"/>
  <c r="D48"/>
  <c r="C48"/>
  <c r="M47"/>
  <c r="L47"/>
  <c r="K47"/>
  <c r="J47"/>
  <c r="F47"/>
  <c r="E47"/>
  <c r="D47"/>
  <c r="C47"/>
  <c r="M46"/>
  <c r="L46"/>
  <c r="K46"/>
  <c r="J46"/>
  <c r="F46"/>
  <c r="E46"/>
  <c r="D46"/>
  <c r="C46"/>
  <c r="M45"/>
  <c r="L45"/>
  <c r="K45"/>
  <c r="J45"/>
  <c r="F45"/>
  <c r="E45"/>
  <c r="D45"/>
  <c r="C45"/>
  <c r="M44"/>
  <c r="L44"/>
  <c r="K44"/>
  <c r="J44"/>
  <c r="F44"/>
  <c r="E44"/>
  <c r="D44"/>
  <c r="C44"/>
  <c r="M43"/>
  <c r="L43"/>
  <c r="K43"/>
  <c r="J43"/>
  <c r="F43"/>
  <c r="E43"/>
  <c r="D43"/>
  <c r="C43"/>
  <c r="M42"/>
  <c r="L42"/>
  <c r="K42"/>
  <c r="J42"/>
  <c r="F42"/>
  <c r="E42"/>
  <c r="D42"/>
  <c r="C42"/>
  <c r="M41"/>
  <c r="L41"/>
  <c r="K41"/>
  <c r="J41"/>
  <c r="F41"/>
  <c r="E41"/>
  <c r="D41"/>
  <c r="C41"/>
  <c r="M40"/>
  <c r="L40"/>
  <c r="K40"/>
  <c r="J40"/>
  <c r="F40"/>
  <c r="E40"/>
  <c r="D40"/>
  <c r="C40"/>
  <c r="M39"/>
  <c r="L39"/>
  <c r="K39"/>
  <c r="J39"/>
  <c r="F39"/>
  <c r="E39"/>
  <c r="D39"/>
  <c r="C39"/>
  <c r="M38"/>
  <c r="L38"/>
  <c r="K38"/>
  <c r="J38"/>
  <c r="F38"/>
  <c r="E38"/>
  <c r="D38"/>
  <c r="C38"/>
  <c r="M37"/>
  <c r="L37"/>
  <c r="K37"/>
  <c r="J37"/>
  <c r="F37"/>
  <c r="E37"/>
  <c r="D37"/>
  <c r="C37"/>
  <c r="M36"/>
  <c r="L36"/>
  <c r="K36"/>
  <c r="J36"/>
  <c r="F36"/>
  <c r="E36"/>
  <c r="D36"/>
  <c r="C36"/>
  <c r="M35"/>
  <c r="L35"/>
  <c r="K35"/>
  <c r="J35"/>
  <c r="F35"/>
  <c r="E35"/>
  <c r="D35"/>
  <c r="C35"/>
  <c r="M34"/>
  <c r="L34"/>
  <c r="K34"/>
  <c r="J34"/>
  <c r="F34"/>
  <c r="E34"/>
  <c r="D34"/>
  <c r="C34"/>
  <c r="M33"/>
  <c r="L33"/>
  <c r="K33"/>
  <c r="J33"/>
  <c r="F33"/>
  <c r="E33"/>
  <c r="D33"/>
  <c r="C33"/>
  <c r="M32"/>
  <c r="L32"/>
  <c r="K32"/>
  <c r="J32"/>
  <c r="F32"/>
  <c r="E32"/>
  <c r="D32"/>
  <c r="C32"/>
  <c r="M31"/>
  <c r="L31"/>
  <c r="K31"/>
  <c r="J31"/>
  <c r="F31"/>
  <c r="E31"/>
  <c r="D31"/>
  <c r="C31"/>
  <c r="M30"/>
  <c r="L30"/>
  <c r="K30"/>
  <c r="J30"/>
  <c r="F30"/>
  <c r="E30"/>
  <c r="D30"/>
  <c r="C30"/>
  <c r="M29"/>
  <c r="L29"/>
  <c r="K29"/>
  <c r="J29"/>
  <c r="F29"/>
  <c r="E29"/>
  <c r="D29"/>
  <c r="C29"/>
  <c r="M28"/>
  <c r="L28"/>
  <c r="K28"/>
  <c r="J28"/>
  <c r="F28"/>
  <c r="E28"/>
  <c r="D28"/>
  <c r="C28"/>
  <c r="M27"/>
  <c r="L27"/>
  <c r="K27"/>
  <c r="J27"/>
  <c r="F27"/>
  <c r="E27"/>
  <c r="D27"/>
  <c r="C27"/>
  <c r="M26"/>
  <c r="L26"/>
  <c r="K26"/>
  <c r="J26"/>
  <c r="F26"/>
  <c r="E26"/>
  <c r="D26"/>
  <c r="C26"/>
  <c r="M25"/>
  <c r="L25"/>
  <c r="K25"/>
  <c r="J25"/>
  <c r="F25"/>
  <c r="E25"/>
  <c r="D25"/>
  <c r="C25"/>
  <c r="M24"/>
  <c r="L24"/>
  <c r="K24"/>
  <c r="J24"/>
  <c r="F24"/>
  <c r="E24"/>
  <c r="D24"/>
  <c r="C24"/>
  <c r="M23"/>
  <c r="L23"/>
  <c r="K23"/>
  <c r="J23"/>
  <c r="F23"/>
  <c r="E23"/>
  <c r="D23"/>
  <c r="C23"/>
  <c r="M22"/>
  <c r="L22"/>
  <c r="K22"/>
  <c r="J22"/>
  <c r="F22"/>
  <c r="E22"/>
  <c r="D22"/>
  <c r="C22"/>
  <c r="M21"/>
  <c r="L21"/>
  <c r="K21"/>
  <c r="J21"/>
  <c r="F21"/>
  <c r="E21"/>
  <c r="D21"/>
  <c r="C21"/>
  <c r="M20"/>
  <c r="L20"/>
  <c r="K20"/>
  <c r="J20"/>
  <c r="F20"/>
  <c r="E20"/>
  <c r="D20"/>
  <c r="C20"/>
  <c r="M19"/>
  <c r="L19"/>
  <c r="K19"/>
  <c r="J19"/>
  <c r="F19"/>
  <c r="E19"/>
  <c r="D19"/>
  <c r="C19"/>
  <c r="M18"/>
  <c r="L18"/>
  <c r="K18"/>
  <c r="J18"/>
  <c r="F18"/>
  <c r="E18"/>
  <c r="D18"/>
  <c r="C18"/>
  <c r="M17"/>
  <c r="L17"/>
  <c r="K17"/>
  <c r="J17"/>
  <c r="F17"/>
  <c r="E17"/>
  <c r="D17"/>
  <c r="C17"/>
  <c r="M16"/>
  <c r="L16"/>
  <c r="K16"/>
  <c r="J16"/>
  <c r="F16"/>
  <c r="E16"/>
  <c r="D16"/>
  <c r="C16"/>
  <c r="M15"/>
  <c r="L15"/>
  <c r="K15"/>
  <c r="J15"/>
  <c r="F15"/>
  <c r="E15"/>
  <c r="D15"/>
  <c r="C15"/>
  <c r="M14"/>
  <c r="L14"/>
  <c r="K14"/>
  <c r="J14"/>
  <c r="F14"/>
  <c r="E14"/>
  <c r="D14"/>
  <c r="C14"/>
  <c r="M13"/>
  <c r="L13"/>
  <c r="K13"/>
  <c r="J13"/>
  <c r="F13"/>
  <c r="E13"/>
  <c r="D13"/>
  <c r="C13"/>
  <c r="M12"/>
  <c r="L12"/>
  <c r="K12"/>
  <c r="J12"/>
  <c r="F12"/>
  <c r="E12"/>
  <c r="D12"/>
  <c r="C12"/>
  <c r="M11"/>
  <c r="L11"/>
  <c r="K11"/>
  <c r="J11"/>
  <c r="F11"/>
  <c r="E11"/>
  <c r="D11"/>
  <c r="C11"/>
  <c r="M10"/>
  <c r="L10"/>
  <c r="K10"/>
  <c r="J10"/>
  <c r="F10"/>
  <c r="E10"/>
  <c r="D10"/>
  <c r="C10"/>
  <c r="M9"/>
  <c r="L9"/>
  <c r="K9"/>
  <c r="J9"/>
  <c r="F9"/>
  <c r="E9"/>
  <c r="D9"/>
  <c r="C9"/>
  <c r="M8"/>
  <c r="L8"/>
  <c r="K8"/>
  <c r="J8"/>
  <c r="F8"/>
  <c r="E8"/>
  <c r="D8"/>
  <c r="C8"/>
  <c r="M7"/>
  <c r="L7"/>
  <c r="K7"/>
  <c r="J7"/>
  <c r="F7"/>
  <c r="E7"/>
  <c r="D7"/>
  <c r="C7"/>
  <c r="M6"/>
  <c r="L6"/>
  <c r="K6"/>
  <c r="J6"/>
  <c r="F6"/>
  <c r="E6"/>
  <c r="D6"/>
  <c r="C6"/>
  <c r="M5"/>
  <c r="L5"/>
  <c r="K5"/>
  <c r="J5"/>
  <c r="E5"/>
  <c r="D5"/>
  <c r="C5"/>
</calcChain>
</file>

<file path=xl/sharedStrings.xml><?xml version="1.0" encoding="utf-8"?>
<sst xmlns="http://schemas.openxmlformats.org/spreadsheetml/2006/main" count="7887" uniqueCount="809">
  <si>
    <t>Method A</t>
  </si>
  <si>
    <t>Method B</t>
  </si>
  <si>
    <t>AP_SCOR_Radial</t>
  </si>
  <si>
    <t>3.5313 to 4.1752</t>
  </si>
  <si>
    <t>&lt;1.0E-14</t>
  </si>
  <si>
    <t>-7.8705 to -6.7699</t>
  </si>
  <si>
    <t>14.4764 to 15.5771</t>
  </si>
  <si>
    <t>Regression Equation</t>
  </si>
  <si>
    <t>SE</t>
  </si>
  <si>
    <t>3.9493 to 4.8972</t>
  </si>
  <si>
    <t>-0.1670 to -0.04015</t>
  </si>
  <si>
    <t>AP_MOG</t>
  </si>
  <si>
    <t>y=4.4233-0.1036x  </t>
  </si>
  <si>
    <t>AP_SCOR_Carotid</t>
  </si>
  <si>
    <t>9.9974 to 11.1868</t>
  </si>
  <si>
    <t>-10.3687 to -8.3353</t>
  </si>
  <si>
    <t>29.5195 to 31.5529</t>
  </si>
  <si>
    <t>12.0923 to 13.0248</t>
  </si>
  <si>
    <t>-0.9627 to -0.8423</t>
  </si>
  <si>
    <t>5.6082 to 6.2685</t>
  </si>
  <si>
    <t>-9.9801 to -8.8514</t>
  </si>
  <si>
    <t>20.7281 to 21.8568</t>
  </si>
  <si>
    <t>6.9059 to 7.4030</t>
  </si>
  <si>
    <t>-0.6430 to -0.5870</t>
  </si>
  <si>
    <t>AIx_MOG</t>
  </si>
  <si>
    <t>AIx_SCOR_Radial</t>
  </si>
  <si>
    <t>AIx_SCOR_Carotid</t>
  </si>
  <si>
    <t>AIx@75_MOG</t>
  </si>
  <si>
    <t>AIx@75_SCOR_Radial</t>
  </si>
  <si>
    <t>8.0778 to 9.6878</t>
  </si>
  <si>
    <t>-20.2460 to -17.4938</t>
  </si>
  <si>
    <t>35.2594 to 38.0116</t>
  </si>
  <si>
    <t>12.5556 to 15.0950</t>
  </si>
  <si>
    <t>-0.4200 to -0.2780</t>
  </si>
  <si>
    <t>Pf_SCOR_Radial</t>
  </si>
  <si>
    <t>Pb_SCOR_Radial</t>
  </si>
  <si>
    <t>AIx@75_SCOR_Carotid</t>
  </si>
  <si>
    <t>Pf_SCOR_Carotid</t>
  </si>
  <si>
    <t>Pb_SCOR_Carotid</t>
  </si>
  <si>
    <t>25.6344 to 27.9606</t>
  </si>
  <si>
    <t>-14.0058 to -10.0290</t>
  </si>
  <si>
    <t>63.6240 to 67.6008</t>
  </si>
  <si>
    <t>30.0227 to 32.1275</t>
  </si>
  <si>
    <t>-0.8957 to -0.7462</t>
  </si>
  <si>
    <t>y=12.5586-0.9025x  </t>
  </si>
  <si>
    <t>y=7.1545-0.6150x  </t>
  </si>
  <si>
    <t>y=13.8253-0.3490x  </t>
  </si>
  <si>
    <t>y=31.0751-0.8209x  </t>
  </si>
  <si>
    <t>15.2804 to 16.5332</t>
  </si>
  <si>
    <t>-14.0926 to -11.9511</t>
  </si>
  <si>
    <t>43.7647 to 45.9061</t>
  </si>
  <si>
    <t>17.0183 to 18.1558</t>
  </si>
  <si>
    <t>-0.4571 to -0.3897</t>
  </si>
  <si>
    <r>
      <t>y=</t>
    </r>
    <r>
      <rPr>
        <sz val="9"/>
        <rFont val="Arial"/>
        <family val="2"/>
      </rPr>
      <t>17.5870-0.4234x  </t>
    </r>
  </si>
  <si>
    <t>Pf_MOG</t>
  </si>
  <si>
    <t>-5.8812 to -4.7630</t>
  </si>
  <si>
    <t>-25.5536 to -23.6420</t>
  </si>
  <si>
    <t>12.9978 to 14.9094</t>
  </si>
  <si>
    <t>1.4162 to 5.6393</t>
  </si>
  <si>
    <t>-0.4133 to -0.2584</t>
  </si>
  <si>
    <r>
      <t>y=</t>
    </r>
    <r>
      <rPr>
        <sz val="9"/>
        <rFont val="Arial"/>
        <family val="2"/>
      </rPr>
      <t>3.5277-0.3358x  </t>
    </r>
  </si>
  <si>
    <t>-18.6296 to -16.8174</t>
  </si>
  <si>
    <t>-47.2086 to -44.1106</t>
  </si>
  <si>
    <t>8.6635 to 11.7616</t>
  </si>
  <si>
    <t>9.0242 to 14.9917</t>
  </si>
  <si>
    <t>-0.9976 to -0.8211</t>
  </si>
  <si>
    <r>
      <t>y=</t>
    </r>
    <r>
      <rPr>
        <sz val="9"/>
        <rFont val="Arial"/>
        <family val="2"/>
      </rPr>
      <t>12.0079-0.9093x  </t>
    </r>
  </si>
  <si>
    <t>-11.0362 to -10.0417</t>
  </si>
  <si>
    <t>-32.7575 to -31.0575</t>
  </si>
  <si>
    <t>9.9797 to 11.6796</t>
  </si>
  <si>
    <t>5.0267 to 8.2698</t>
  </si>
  <si>
    <t>-0.5442 to -0.4537</t>
  </si>
  <si>
    <r>
      <t>y=</t>
    </r>
    <r>
      <rPr>
        <sz val="9"/>
        <rFont val="Arial"/>
        <family val="2"/>
      </rPr>
      <t>6.6483-0.4989x  </t>
    </r>
  </si>
  <si>
    <t>Augmentation Pressure (AP; mmHg)</t>
  </si>
  <si>
    <t>Forward pressure (Pf; mmHg)</t>
  </si>
  <si>
    <t>Pb_MOG</t>
  </si>
  <si>
    <t>-0.4141 to 0.1880</t>
  </si>
  <si>
    <t>-11.0073 to -9.9780</t>
  </si>
  <si>
    <t>9.7519 to 10.7812</t>
  </si>
  <si>
    <t>-3.1812 to -1.0529</t>
  </si>
  <si>
    <t>0.06866 to 0.2113</t>
  </si>
  <si>
    <r>
      <t>y=</t>
    </r>
    <r>
      <rPr>
        <sz val="9"/>
        <rFont val="Arial"/>
        <family val="2"/>
      </rPr>
      <t>-2.1171+0.1400x  </t>
    </r>
  </si>
  <si>
    <t>-4.0199 to -3.1443</t>
  </si>
  <si>
    <t>-17.8213 to -16.3244</t>
  </si>
  <si>
    <t>9.1602 to 10.6571</t>
  </si>
  <si>
    <t>1.2264 to 4.1011</t>
  </si>
  <si>
    <t>-0.4673 to -0.2988</t>
  </si>
  <si>
    <r>
      <t>y=</t>
    </r>
    <r>
      <rPr>
        <sz val="9"/>
        <rFont val="Arial"/>
        <family val="2"/>
      </rPr>
      <t>2.6637-0.3830x  </t>
    </r>
  </si>
  <si>
    <t>-3.2152 to -2.7739</t>
  </si>
  <si>
    <t>-12.8489 to -12.0946</t>
  </si>
  <si>
    <t>6.1054 to 6.8598</t>
  </si>
  <si>
    <t>1.5513 to 2.8770</t>
  </si>
  <si>
    <t>-0.3380 to -0.2651</t>
  </si>
  <si>
    <r>
      <t>y=</t>
    </r>
    <r>
      <rPr>
        <sz val="9"/>
        <rFont val="Arial"/>
        <family val="2"/>
      </rPr>
      <t>2.2141-0.3015x  </t>
    </r>
  </si>
  <si>
    <t>Backward pressure (Pb; mmHg)</t>
  </si>
  <si>
    <t>RM_MOG</t>
  </si>
  <si>
    <t>RM_SCOR_Radial</t>
  </si>
  <si>
    <t>0.07152 to 0.08857</t>
  </si>
  <si>
    <t>-0.2284 to -0.1992</t>
  </si>
  <si>
    <t>0.3593 to 0.3885</t>
  </si>
  <si>
    <t>0.4344 to 0.5106</t>
  </si>
  <si>
    <t>-0.7684 to -0.6348</t>
  </si>
  <si>
    <r>
      <t>y=</t>
    </r>
    <r>
      <rPr>
        <sz val="9"/>
        <rFont val="Arial"/>
        <family val="2"/>
      </rPr>
      <t>0.4725-0.7016x  </t>
    </r>
  </si>
  <si>
    <t>RM_SCOR_Carotid</t>
  </si>
  <si>
    <t>0.1381 to 0.1580</t>
  </si>
  <si>
    <t>-0.1748 to -0.1408</t>
  </si>
  <si>
    <t>0.4369 to 0.4708</t>
  </si>
  <si>
    <t>0.5280 to 0.6055</t>
  </si>
  <si>
    <t>-0.8562 to -0.7141</t>
  </si>
  <si>
    <r>
      <t>y=</t>
    </r>
    <r>
      <rPr>
        <sz val="9"/>
        <rFont val="Arial"/>
        <family val="2"/>
      </rPr>
      <t>0.5667-0.7852x  </t>
    </r>
  </si>
  <si>
    <t>0.05585 to 0.06837</t>
  </si>
  <si>
    <t>-0.2174 to -0.1960</t>
  </si>
  <si>
    <t>0.3203 to 0.3417</t>
  </si>
  <si>
    <t>0.08401 to 0.1265</t>
  </si>
  <si>
    <t>-0.1194 to -0.04298</t>
  </si>
  <si>
    <r>
      <t>y=</t>
    </r>
    <r>
      <rPr>
        <sz val="9"/>
        <rFont val="Arial"/>
        <family val="2"/>
      </rPr>
      <t>0.1052-0.08118x  </t>
    </r>
  </si>
  <si>
    <t>0.03400 to 0.04115</t>
  </si>
  <si>
    <t>-0.09178 to -0.07955</t>
  </si>
  <si>
    <t>0.1547 to 0.1669</t>
  </si>
  <si>
    <t>0.2632 to 0.3123</t>
  </si>
  <si>
    <t>-0.7764 to -0.6386</t>
  </si>
  <si>
    <r>
      <t>y=</t>
    </r>
    <r>
      <rPr>
        <sz val="9"/>
        <rFont val="Arial"/>
        <family val="2"/>
      </rPr>
      <t>0.2878-0.7075x  </t>
    </r>
  </si>
  <si>
    <t>0.06536 to 0.07435</t>
  </si>
  <si>
    <t>-0.07627 to -0.06090</t>
  </si>
  <si>
    <t>0.2006 to 0.2160</t>
  </si>
  <si>
    <t>0.3525 to 0.4003</t>
  </si>
  <si>
    <t>-0.9695 to -0.8304</t>
  </si>
  <si>
    <r>
      <t>y=</t>
    </r>
    <r>
      <rPr>
        <sz val="9"/>
        <rFont val="Arial"/>
        <family val="2"/>
      </rPr>
      <t>0.3764-0.8999x  </t>
    </r>
  </si>
  <si>
    <t>0.02610 to 0.03157</t>
  </si>
  <si>
    <t>-0.09351 to -0.08414</t>
  </si>
  <si>
    <t>0.1418 to 0.1512</t>
  </si>
  <si>
    <t>0.08228 to 0.1093</t>
  </si>
  <si>
    <t>-0.2372 to -0.1589</t>
  </si>
  <si>
    <r>
      <t>y=</t>
    </r>
    <r>
      <rPr>
        <sz val="9"/>
        <rFont val="Arial"/>
        <family val="2"/>
      </rPr>
      <t>0.09578-0.1980x  </t>
    </r>
  </si>
  <si>
    <t>Reflection Magnitude (RM)</t>
  </si>
  <si>
    <t>95% C.I. Lower Limit, Mean error</t>
  </si>
  <si>
    <t>95% C.I., Upper Limit, Mean Error</t>
  </si>
  <si>
    <t>Mean Error, 95% C.I.</t>
  </si>
  <si>
    <r>
      <t>P (H</t>
    </r>
    <r>
      <rPr>
        <vertAlign val="subscript"/>
        <sz val="10"/>
        <rFont val="Times New Roman"/>
        <family val="1"/>
      </rPr>
      <t>0</t>
    </r>
    <r>
      <rPr>
        <sz val="10"/>
        <rFont val="Times New Roman"/>
        <family val="1"/>
      </rPr>
      <t>: Mean Error=0)</t>
    </r>
  </si>
  <si>
    <t>Lower limit, Mean Error</t>
  </si>
  <si>
    <t>Upper limit, Mean Error</t>
  </si>
  <si>
    <t>Intercept, Coefficient</t>
  </si>
  <si>
    <t>Intercept, SE</t>
  </si>
  <si>
    <t>Intercept, p value</t>
  </si>
  <si>
    <t>Slope, Coefficient</t>
  </si>
  <si>
    <t>Slope, SE</t>
  </si>
  <si>
    <t>Slope, P value</t>
  </si>
  <si>
    <t>Intercept, 95% C.I.</t>
  </si>
  <si>
    <t>Slope, 95% C.I.</t>
  </si>
  <si>
    <t>AIx@75 (%)</t>
  </si>
  <si>
    <t>r</t>
  </si>
  <si>
    <t>p value</t>
  </si>
  <si>
    <t>Atherosclerotic plaque presence (1: Yes; 0: No)</t>
  </si>
  <si>
    <t>RM</t>
  </si>
  <si>
    <t>Model</t>
  </si>
  <si>
    <t>R</t>
  </si>
  <si>
    <t>p</t>
  </si>
  <si>
    <r>
      <t>R</t>
    </r>
    <r>
      <rPr>
        <vertAlign val="superscript"/>
        <sz val="10"/>
        <color theme="1"/>
        <rFont val="Calibri"/>
        <family val="2"/>
        <scheme val="minor"/>
      </rPr>
      <t>2</t>
    </r>
  </si>
  <si>
    <t>β</t>
  </si>
  <si>
    <t>β SE</t>
  </si>
  <si>
    <t>Constant</t>
  </si>
  <si>
    <t>Sex (1: Female; 0: Male)</t>
  </si>
  <si>
    <t>Age (years)</t>
  </si>
  <si>
    <t>Sex*Age</t>
  </si>
  <si>
    <t>Body Height (m)</t>
  </si>
  <si>
    <t xml:space="preserve">    Model summary (Y: Waveform-derived variable; X: Sex; W: Age; Covariate: Body Height)</t>
  </si>
  <si>
    <r>
      <t>R</t>
    </r>
    <r>
      <rPr>
        <vertAlign val="superscript"/>
        <sz val="10"/>
        <color indexed="8"/>
        <rFont val="Calibri"/>
        <family val="2"/>
        <scheme val="minor"/>
      </rPr>
      <t>2</t>
    </r>
  </si>
  <si>
    <t>Effect</t>
  </si>
  <si>
    <t>Lower Limit 95% C.I.</t>
  </si>
  <si>
    <t>Upper Limit 95% C.I.</t>
  </si>
  <si>
    <t>˂0.0001</t>
  </si>
  <si>
    <t>β Lower Limit 95% C.I.</t>
  </si>
  <si>
    <t>β Upper Limit 95% C.I.</t>
  </si>
  <si>
    <t>Conditional effect of focal predictor at values of the moderator (Age):</t>
  </si>
  <si>
    <t>------</t>
  </si>
  <si>
    <t>MOG</t>
  </si>
  <si>
    <t>SCOR_Radial</t>
  </si>
  <si>
    <t>SCOR_Carotid</t>
  </si>
  <si>
    <t>Sex</t>
  </si>
  <si>
    <t>Age</t>
  </si>
  <si>
    <t>Yes</t>
  </si>
  <si>
    <t>No</t>
  </si>
  <si>
    <t>No (p=0.063)</t>
  </si>
  <si>
    <r>
      <t>Yes (p</t>
    </r>
    <r>
      <rPr>
        <sz val="10"/>
        <color rgb="FFFF0000"/>
        <rFont val="Calibri"/>
        <family val="2"/>
      </rPr>
      <t>≤</t>
    </r>
    <r>
      <rPr>
        <sz val="8"/>
        <color rgb="FFFF0000"/>
        <rFont val="Calibri"/>
        <family val="2"/>
      </rPr>
      <t>0.05</t>
    </r>
    <r>
      <rPr>
        <sz val="10"/>
        <color rgb="FFFF0000"/>
        <rFont val="Calibri"/>
        <family val="2"/>
        <scheme val="minor"/>
      </rPr>
      <t xml:space="preserve"> for age </t>
    </r>
    <r>
      <rPr>
        <sz val="10"/>
        <color rgb="FFFF0000"/>
        <rFont val="Calibri"/>
        <family val="2"/>
      </rPr>
      <t>≥</t>
    </r>
    <r>
      <rPr>
        <sz val="8"/>
        <color rgb="FFFF0000"/>
        <rFont val="Calibri"/>
        <family val="2"/>
      </rPr>
      <t xml:space="preserve"> 12.9 y)</t>
    </r>
  </si>
  <si>
    <r>
      <t>Yes (p</t>
    </r>
    <r>
      <rPr>
        <sz val="10"/>
        <color rgb="FFFF0000"/>
        <rFont val="Calibri"/>
        <family val="2"/>
      </rPr>
      <t>≤</t>
    </r>
    <r>
      <rPr>
        <sz val="8"/>
        <color rgb="FFFF0000"/>
        <rFont val="Calibri"/>
        <family val="2"/>
      </rPr>
      <t>0.05</t>
    </r>
    <r>
      <rPr>
        <sz val="10"/>
        <color rgb="FFFF0000"/>
        <rFont val="Calibri"/>
        <family val="2"/>
        <scheme val="minor"/>
      </rPr>
      <t xml:space="preserve"> for age </t>
    </r>
    <r>
      <rPr>
        <sz val="10"/>
        <color rgb="FFFF0000"/>
        <rFont val="Calibri"/>
        <family val="2"/>
      </rPr>
      <t>≥</t>
    </r>
    <r>
      <rPr>
        <sz val="8"/>
        <color rgb="FFFF0000"/>
        <rFont val="Calibri"/>
        <family val="2"/>
      </rPr>
      <t xml:space="preserve"> 9.5 y)</t>
    </r>
  </si>
  <si>
    <r>
      <t>Yes (p</t>
    </r>
    <r>
      <rPr>
        <sz val="10"/>
        <color rgb="FFFF0000"/>
        <rFont val="Calibri"/>
        <family val="2"/>
      </rPr>
      <t>≤</t>
    </r>
    <r>
      <rPr>
        <sz val="8"/>
        <color rgb="FFFF0000"/>
        <rFont val="Calibri"/>
        <family val="2"/>
      </rPr>
      <t>0.05</t>
    </r>
    <r>
      <rPr>
        <sz val="10"/>
        <color rgb="FFFF0000"/>
        <rFont val="Calibri"/>
        <family val="2"/>
        <scheme val="minor"/>
      </rPr>
      <t xml:space="preserve"> for age </t>
    </r>
    <r>
      <rPr>
        <sz val="10"/>
        <color rgb="FFFF0000"/>
        <rFont val="Calibri"/>
        <family val="2"/>
      </rPr>
      <t>≥</t>
    </r>
    <r>
      <rPr>
        <sz val="8"/>
        <color rgb="FFFF0000"/>
        <rFont val="Calibri"/>
        <family val="2"/>
      </rPr>
      <t xml:space="preserve"> 7.8 y)</t>
    </r>
  </si>
  <si>
    <r>
      <t>Yes (p</t>
    </r>
    <r>
      <rPr>
        <sz val="10"/>
        <color rgb="FFFF0000"/>
        <rFont val="Calibri"/>
        <family val="2"/>
      </rPr>
      <t>≤</t>
    </r>
    <r>
      <rPr>
        <sz val="8"/>
        <color rgb="FFFF0000"/>
        <rFont val="Calibri"/>
        <family val="2"/>
      </rPr>
      <t>0.05</t>
    </r>
    <r>
      <rPr>
        <sz val="10"/>
        <color rgb="FFFF0000"/>
        <rFont val="Calibri"/>
        <family val="2"/>
        <scheme val="minor"/>
      </rPr>
      <t xml:space="preserve"> for age </t>
    </r>
    <r>
      <rPr>
        <sz val="10"/>
        <color rgb="FFFF0000"/>
        <rFont val="Calibri"/>
        <family val="2"/>
      </rPr>
      <t>≥</t>
    </r>
    <r>
      <rPr>
        <sz val="8"/>
        <color rgb="FFFF0000"/>
        <rFont val="Calibri"/>
        <family val="2"/>
      </rPr>
      <t xml:space="preserve"> 13.5 y)</t>
    </r>
  </si>
  <si>
    <r>
      <t>Yes (p</t>
    </r>
    <r>
      <rPr>
        <sz val="10"/>
        <color rgb="FFFF0000"/>
        <rFont val="Calibri"/>
        <family val="2"/>
      </rPr>
      <t>≤</t>
    </r>
    <r>
      <rPr>
        <sz val="8"/>
        <color rgb="FFFF0000"/>
        <rFont val="Calibri"/>
        <family val="2"/>
      </rPr>
      <t>0.05</t>
    </r>
    <r>
      <rPr>
        <sz val="10"/>
        <color rgb="FFFF0000"/>
        <rFont val="Calibri"/>
        <family val="2"/>
        <scheme val="minor"/>
      </rPr>
      <t xml:space="preserve"> for age </t>
    </r>
    <r>
      <rPr>
        <sz val="10"/>
        <color rgb="FFFF0000"/>
        <rFont val="Calibri"/>
        <family val="2"/>
      </rPr>
      <t>≥</t>
    </r>
    <r>
      <rPr>
        <sz val="8"/>
        <color rgb="FFFF0000"/>
        <rFont val="Calibri"/>
        <family val="2"/>
      </rPr>
      <t xml:space="preserve"> 12.6 y)</t>
    </r>
  </si>
  <si>
    <r>
      <t>Yes (p</t>
    </r>
    <r>
      <rPr>
        <sz val="10"/>
        <color rgb="FFFF0000"/>
        <rFont val="Calibri"/>
        <family val="2"/>
      </rPr>
      <t>≤</t>
    </r>
    <r>
      <rPr>
        <sz val="8"/>
        <color rgb="FFFF0000"/>
        <rFont val="Calibri"/>
        <family val="2"/>
      </rPr>
      <t>0.05</t>
    </r>
    <r>
      <rPr>
        <sz val="10"/>
        <color rgb="FFFF0000"/>
        <rFont val="Calibri"/>
        <family val="2"/>
        <scheme val="minor"/>
      </rPr>
      <t xml:space="preserve"> for age </t>
    </r>
    <r>
      <rPr>
        <sz val="10"/>
        <color rgb="FFFF0000"/>
        <rFont val="Calibri"/>
        <family val="2"/>
      </rPr>
      <t>≥</t>
    </r>
    <r>
      <rPr>
        <sz val="8"/>
        <color rgb="FFFF0000"/>
        <rFont val="Calibri"/>
        <family val="2"/>
      </rPr>
      <t xml:space="preserve"> 2.8 y)</t>
    </r>
  </si>
  <si>
    <r>
      <t>Yes (p</t>
    </r>
    <r>
      <rPr>
        <sz val="10"/>
        <color rgb="FFFF0000"/>
        <rFont val="Calibri"/>
        <family val="2"/>
      </rPr>
      <t>≤</t>
    </r>
    <r>
      <rPr>
        <sz val="8"/>
        <color rgb="FFFF0000"/>
        <rFont val="Calibri"/>
        <family val="2"/>
      </rPr>
      <t>0.05</t>
    </r>
    <r>
      <rPr>
        <sz val="10"/>
        <color rgb="FFFF0000"/>
        <rFont val="Calibri"/>
        <family val="2"/>
        <scheme val="minor"/>
      </rPr>
      <t xml:space="preserve"> for age </t>
    </r>
    <r>
      <rPr>
        <sz val="10"/>
        <color rgb="FFFF0000"/>
        <rFont val="Calibri"/>
        <family val="2"/>
      </rPr>
      <t>≥</t>
    </r>
    <r>
      <rPr>
        <sz val="8"/>
        <color rgb="FFFF0000"/>
        <rFont val="Calibri"/>
        <family val="2"/>
      </rPr>
      <t xml:space="preserve"> 7.0 y)</t>
    </r>
  </si>
  <si>
    <r>
      <t>Yes (p</t>
    </r>
    <r>
      <rPr>
        <sz val="10"/>
        <color rgb="FFFF0000"/>
        <rFont val="Calibri"/>
        <family val="2"/>
      </rPr>
      <t>≤</t>
    </r>
    <r>
      <rPr>
        <sz val="8"/>
        <color rgb="FFFF0000"/>
        <rFont val="Calibri"/>
        <family val="2"/>
      </rPr>
      <t>0.05</t>
    </r>
    <r>
      <rPr>
        <sz val="10"/>
        <color rgb="FFFF0000"/>
        <rFont val="Calibri"/>
        <family val="2"/>
        <scheme val="minor"/>
      </rPr>
      <t xml:space="preserve"> for age </t>
    </r>
    <r>
      <rPr>
        <sz val="10"/>
        <color rgb="FFFF0000"/>
        <rFont val="Calibri"/>
        <family val="2"/>
      </rPr>
      <t>≥</t>
    </r>
    <r>
      <rPr>
        <sz val="8"/>
        <color rgb="FFFF0000"/>
        <rFont val="Calibri"/>
        <family val="2"/>
      </rPr>
      <t xml:space="preserve"> 17.1 y)</t>
    </r>
  </si>
  <si>
    <r>
      <t>Yes (p</t>
    </r>
    <r>
      <rPr>
        <sz val="10"/>
        <color rgb="FFFF0000"/>
        <rFont val="Calibri"/>
        <family val="2"/>
      </rPr>
      <t>≤</t>
    </r>
    <r>
      <rPr>
        <sz val="8"/>
        <color rgb="FFFF0000"/>
        <rFont val="Calibri"/>
        <family val="2"/>
      </rPr>
      <t>0.05</t>
    </r>
    <r>
      <rPr>
        <sz val="10"/>
        <color rgb="FFFF0000"/>
        <rFont val="Calibri"/>
        <family val="2"/>
        <scheme val="minor"/>
      </rPr>
      <t xml:space="preserve"> for age </t>
    </r>
    <r>
      <rPr>
        <sz val="10"/>
        <color rgb="FFFF0000"/>
        <rFont val="Calibri"/>
        <family val="2"/>
      </rPr>
      <t>≥</t>
    </r>
    <r>
      <rPr>
        <sz val="8"/>
        <color rgb="FFFF0000"/>
        <rFont val="Calibri"/>
        <family val="2"/>
      </rPr>
      <t xml:space="preserve"> 17.2 y)</t>
    </r>
  </si>
  <si>
    <t xml:space="preserve">    Model summary (Y: Waveform-derived variable; X: Sex; W: Body Height; Covariate: Age)</t>
  </si>
  <si>
    <t>Sex*Body Height</t>
  </si>
  <si>
    <t>Conditional effect of focal predictor at values of the moderator (Body Height):</t>
  </si>
  <si>
    <t>No (p=0.093)</t>
  </si>
  <si>
    <t>Yes (p=0.050)</t>
  </si>
  <si>
    <r>
      <t>Yes (p</t>
    </r>
    <r>
      <rPr>
        <sz val="10"/>
        <color rgb="FFFF0000"/>
        <rFont val="Calibri"/>
        <family val="2"/>
      </rPr>
      <t>≤</t>
    </r>
    <r>
      <rPr>
        <sz val="8"/>
        <color rgb="FFFF0000"/>
        <rFont val="Calibri"/>
        <family val="2"/>
      </rPr>
      <t>0.05</t>
    </r>
    <r>
      <rPr>
        <sz val="10"/>
        <color rgb="FFFF0000"/>
        <rFont val="Calibri"/>
        <family val="2"/>
        <scheme val="minor"/>
      </rPr>
      <t xml:space="preserve"> for BH </t>
    </r>
    <r>
      <rPr>
        <sz val="10"/>
        <color rgb="FFFF0000"/>
        <rFont val="Calibri"/>
        <family val="2"/>
      </rPr>
      <t>≥</t>
    </r>
    <r>
      <rPr>
        <sz val="8"/>
        <color rgb="FFFF0000"/>
        <rFont val="Calibri"/>
        <family val="2"/>
      </rPr>
      <t xml:space="preserve"> 1.36 m)</t>
    </r>
  </si>
  <si>
    <r>
      <t>Yes (p</t>
    </r>
    <r>
      <rPr>
        <sz val="10"/>
        <color rgb="FFFF0000"/>
        <rFont val="Calibri"/>
        <family val="2"/>
      </rPr>
      <t>≤</t>
    </r>
    <r>
      <rPr>
        <sz val="8"/>
        <color rgb="FFFF0000"/>
        <rFont val="Calibri"/>
        <family val="2"/>
      </rPr>
      <t>0.05</t>
    </r>
    <r>
      <rPr>
        <sz val="10"/>
        <color rgb="FFFF0000"/>
        <rFont val="Calibri"/>
        <family val="2"/>
        <scheme val="minor"/>
      </rPr>
      <t xml:space="preserve"> for BH </t>
    </r>
    <r>
      <rPr>
        <sz val="10"/>
        <color rgb="FFFF0000"/>
        <rFont val="Calibri"/>
        <family val="2"/>
      </rPr>
      <t>≤</t>
    </r>
    <r>
      <rPr>
        <sz val="8"/>
        <color rgb="FFFF0000"/>
        <rFont val="Calibri"/>
        <family val="2"/>
      </rPr>
      <t xml:space="preserve"> 1.37 m)</t>
    </r>
  </si>
  <si>
    <t>No (p=0.085)</t>
  </si>
  <si>
    <r>
      <t>Yes (p</t>
    </r>
    <r>
      <rPr>
        <sz val="10"/>
        <color rgb="FFFF0000"/>
        <rFont val="Calibri"/>
        <family val="2"/>
      </rPr>
      <t>≤</t>
    </r>
    <r>
      <rPr>
        <sz val="8"/>
        <color rgb="FFFF0000"/>
        <rFont val="Calibri"/>
        <family val="2"/>
      </rPr>
      <t>0.05</t>
    </r>
    <r>
      <rPr>
        <sz val="10"/>
        <color rgb="FFFF0000"/>
        <rFont val="Calibri"/>
        <family val="2"/>
        <scheme val="minor"/>
      </rPr>
      <t xml:space="preserve"> for BH </t>
    </r>
    <r>
      <rPr>
        <sz val="10"/>
        <color rgb="FFFF0000"/>
        <rFont val="Calibri"/>
        <family val="2"/>
      </rPr>
      <t>≥</t>
    </r>
    <r>
      <rPr>
        <sz val="8"/>
        <color rgb="FFFF0000"/>
        <rFont val="Calibri"/>
        <family val="2"/>
      </rPr>
      <t xml:space="preserve"> 1.24 m)</t>
    </r>
  </si>
  <si>
    <r>
      <t>Yes (p</t>
    </r>
    <r>
      <rPr>
        <sz val="10"/>
        <color rgb="FFFF0000"/>
        <rFont val="Calibri"/>
        <family val="2"/>
      </rPr>
      <t>≤</t>
    </r>
    <r>
      <rPr>
        <sz val="8"/>
        <color rgb="FFFF0000"/>
        <rFont val="Calibri"/>
        <family val="2"/>
      </rPr>
      <t>0.05</t>
    </r>
    <r>
      <rPr>
        <sz val="10"/>
        <color rgb="FFFF0000"/>
        <rFont val="Calibri"/>
        <family val="2"/>
        <scheme val="minor"/>
      </rPr>
      <t xml:space="preserve"> for BH </t>
    </r>
    <r>
      <rPr>
        <sz val="10"/>
        <color rgb="FFFF0000"/>
        <rFont val="Calibri"/>
        <family val="2"/>
      </rPr>
      <t>≥</t>
    </r>
    <r>
      <rPr>
        <sz val="8"/>
        <color rgb="FFFF0000"/>
        <rFont val="Calibri"/>
        <family val="2"/>
      </rPr>
      <t xml:space="preserve"> 1.25 m)</t>
    </r>
  </si>
  <si>
    <t>No (p=0.072)</t>
  </si>
  <si>
    <r>
      <t>Yes (p</t>
    </r>
    <r>
      <rPr>
        <sz val="10"/>
        <color rgb="FFFF0000"/>
        <rFont val="Calibri"/>
        <family val="2"/>
      </rPr>
      <t>≤</t>
    </r>
    <r>
      <rPr>
        <sz val="8"/>
        <color rgb="FFFF0000"/>
        <rFont val="Calibri"/>
        <family val="2"/>
      </rPr>
      <t>0.05</t>
    </r>
    <r>
      <rPr>
        <sz val="10"/>
        <color rgb="FFFF0000"/>
        <rFont val="Calibri"/>
        <family val="2"/>
        <scheme val="minor"/>
      </rPr>
      <t xml:space="preserve"> for BH </t>
    </r>
    <r>
      <rPr>
        <sz val="10"/>
        <color rgb="FFFF0000"/>
        <rFont val="Calibri"/>
        <family val="2"/>
      </rPr>
      <t>≤</t>
    </r>
    <r>
      <rPr>
        <sz val="9"/>
        <color rgb="FFFF0000"/>
        <rFont val="Calibri"/>
        <family val="2"/>
      </rPr>
      <t xml:space="preserve"> 1.</t>
    </r>
    <r>
      <rPr>
        <sz val="8"/>
        <color rgb="FFFF0000"/>
        <rFont val="Calibri"/>
        <family val="2"/>
      </rPr>
      <t>72 m)</t>
    </r>
  </si>
  <si>
    <t>Mean value: equation</t>
  </si>
  <si>
    <t>Standard Deviation: equation</t>
  </si>
  <si>
    <t>All</t>
  </si>
  <si>
    <t>Female</t>
  </si>
  <si>
    <t>Male</t>
  </si>
  <si>
    <t>Table S12. Age-related mean and standard deviation equations: mathematical model summary</t>
  </si>
  <si>
    <t>Age [years]</t>
  </si>
  <si>
    <t>1 th</t>
  </si>
  <si>
    <t>2.5 th</t>
  </si>
  <si>
    <t>5 th</t>
  </si>
  <si>
    <t>10 th</t>
  </si>
  <si>
    <t>25 th</t>
  </si>
  <si>
    <t>50 th</t>
  </si>
  <si>
    <t>75 th</t>
  </si>
  <si>
    <t>90 th</t>
  </si>
  <si>
    <t>95 th</t>
  </si>
  <si>
    <t>97.5 th</t>
  </si>
  <si>
    <t>99 th</t>
  </si>
  <si>
    <r>
      <t>AP_MOG_mmHg</t>
    </r>
    <r>
      <rPr>
        <vertAlign val="superscript"/>
        <sz val="10"/>
        <rFont val="Calibri"/>
        <family val="2"/>
        <scheme val="minor"/>
      </rPr>
      <t>-0.184</t>
    </r>
  </si>
  <si>
    <r>
      <t>0.7734 + 0.08899 Log(Age) - 0.03336 Age</t>
    </r>
    <r>
      <rPr>
        <vertAlign val="superscript"/>
        <sz val="10"/>
        <rFont val="Calibri"/>
        <family val="2"/>
        <scheme val="minor"/>
      </rPr>
      <t>0.5</t>
    </r>
  </si>
  <si>
    <r>
      <t>0.03958 + 0.04030 Log(Age) - 0.004023 Age</t>
    </r>
    <r>
      <rPr>
        <vertAlign val="superscript"/>
        <sz val="10"/>
        <rFont val="Calibri"/>
        <family val="2"/>
        <scheme val="minor"/>
      </rPr>
      <t>0.5</t>
    </r>
  </si>
  <si>
    <r>
      <t>AP_MOG_mmHg</t>
    </r>
    <r>
      <rPr>
        <vertAlign val="superscript"/>
        <sz val="10"/>
        <rFont val="Calibri"/>
        <family val="2"/>
        <scheme val="minor"/>
      </rPr>
      <t>-0.403</t>
    </r>
  </si>
  <si>
    <r>
      <t>0.5058 + 0.2269 Log(Age) - 0.06437 Age</t>
    </r>
    <r>
      <rPr>
        <vertAlign val="superscript"/>
        <sz val="10"/>
        <rFont val="Calibri"/>
        <family val="2"/>
        <scheme val="minor"/>
      </rPr>
      <t>0.5</t>
    </r>
  </si>
  <si>
    <r>
      <t>0.07164 - 0.007415 Log(Age) + 0.005338 Age</t>
    </r>
    <r>
      <rPr>
        <vertAlign val="superscript"/>
        <sz val="10"/>
        <rFont val="Calibri"/>
        <family val="2"/>
        <scheme val="minor"/>
      </rPr>
      <t>0.5</t>
    </r>
  </si>
  <si>
    <r>
      <t>AP_MOG_mmHg</t>
    </r>
    <r>
      <rPr>
        <vertAlign val="superscript"/>
        <sz val="10"/>
        <rFont val="Calibri"/>
        <family val="2"/>
        <scheme val="minor"/>
      </rPr>
      <t>-0.225</t>
    </r>
  </si>
  <si>
    <r>
      <t>0.7873 + 0.00004834 Log(Age) - 0.01978 Age</t>
    </r>
    <r>
      <rPr>
        <vertAlign val="superscript"/>
        <sz val="10"/>
        <rFont val="Calibri"/>
        <family val="2"/>
        <scheme val="minor"/>
      </rPr>
      <t>0.5</t>
    </r>
  </si>
  <si>
    <r>
      <t>0.03323 + 0.1249 Log(Age) - 0.02063 Age</t>
    </r>
    <r>
      <rPr>
        <vertAlign val="superscript"/>
        <sz val="10"/>
        <rFont val="Calibri"/>
        <family val="2"/>
        <scheme val="minor"/>
      </rPr>
      <t>0.5</t>
    </r>
  </si>
  <si>
    <t>Table S15. AP_MOG age-related reference intervals: Females</t>
  </si>
  <si>
    <t>Table S16. AP_MOG age-related reference intervals: Males</t>
  </si>
  <si>
    <t>Table S18. AIx_MOG age-related reference intervals: Females</t>
  </si>
  <si>
    <t>Table S14. AP_MOG age-related reference intervals: All (Females and Males)</t>
  </si>
  <si>
    <t>Table S17. AIx_MOG age-related reference intervals: All (Females and Males)</t>
  </si>
  <si>
    <t>Table S19. AIx_MOG age-related reference intervals: Males</t>
  </si>
  <si>
    <r>
      <t>Table S21. AIx</t>
    </r>
    <r>
      <rPr>
        <b/>
        <sz val="11"/>
        <color theme="0"/>
        <rFont val="Calibri"/>
        <family val="2"/>
      </rPr>
      <t>@</t>
    </r>
    <r>
      <rPr>
        <b/>
        <sz val="11"/>
        <color theme="0"/>
        <rFont val="Calibri"/>
        <family val="2"/>
        <scheme val="minor"/>
      </rPr>
      <t>75_MOG age-related reference intervals: Females</t>
    </r>
  </si>
  <si>
    <t>Table S22. AIx@75_MOG age-related reference intervals: Males</t>
  </si>
  <si>
    <t>Table S23. Pf_MOG age-related reference intervals: All (Females and Males)</t>
  </si>
  <si>
    <t>Table S24. Pf_MOG age-related reference intervals: Females</t>
  </si>
  <si>
    <t>Table S25. Pf_MOG age-related reference intervals: Males</t>
  </si>
  <si>
    <t>Table S26. Pb_MOG age-related reference intervals: All (Females and Males)</t>
  </si>
  <si>
    <t>Table S27. Pb_MOG age-related reference intervals: Females</t>
  </si>
  <si>
    <t>Table S28. Pb_MOG age-related reference intervals: Males</t>
  </si>
  <si>
    <r>
      <t>(AIx_MOG + 7.001)</t>
    </r>
    <r>
      <rPr>
        <vertAlign val="superscript"/>
        <sz val="10"/>
        <rFont val="Calibri"/>
        <family val="2"/>
        <scheme val="minor"/>
      </rPr>
      <t>0.475</t>
    </r>
  </si>
  <si>
    <r>
      <t>5.8365 - 4.4957 Log(Age) + 0.9552 Age</t>
    </r>
    <r>
      <rPr>
        <vertAlign val="superscript"/>
        <sz val="10"/>
        <rFont val="Calibri"/>
        <family val="2"/>
        <scheme val="minor"/>
      </rPr>
      <t>0.5</t>
    </r>
  </si>
  <si>
    <r>
      <t>0.6685 - 0.8179 Log(Age) + 0.2351 Age</t>
    </r>
    <r>
      <rPr>
        <vertAlign val="superscript"/>
        <sz val="10"/>
        <rFont val="Calibri"/>
        <family val="2"/>
        <scheme val="minor"/>
      </rPr>
      <t>0.5</t>
    </r>
  </si>
  <si>
    <r>
      <t>(AIx_MOG + 7.001)</t>
    </r>
    <r>
      <rPr>
        <vertAlign val="superscript"/>
        <sz val="10"/>
        <rFont val="Calibri"/>
        <family val="2"/>
        <scheme val="minor"/>
      </rPr>
      <t>0.587</t>
    </r>
  </si>
  <si>
    <r>
      <t>9.1296 - 8.2865 Log(Age) + 1.7929 Age</t>
    </r>
    <r>
      <rPr>
        <vertAlign val="superscript"/>
        <sz val="10"/>
        <rFont val="Calibri"/>
        <family val="2"/>
        <scheme val="minor"/>
      </rPr>
      <t>0.5</t>
    </r>
  </si>
  <si>
    <r>
      <t>1.3248 - 2.1744 Log(Age) + 0.5514 Age</t>
    </r>
    <r>
      <rPr>
        <vertAlign val="superscript"/>
        <sz val="10"/>
        <rFont val="Calibri"/>
        <family val="2"/>
        <scheme val="minor"/>
      </rPr>
      <t>0.5</t>
    </r>
  </si>
  <si>
    <r>
      <t>AIx_MOG</t>
    </r>
    <r>
      <rPr>
        <vertAlign val="superscript"/>
        <sz val="10"/>
        <rFont val="Calibri"/>
        <family val="2"/>
        <scheme val="minor"/>
      </rPr>
      <t>0.148</t>
    </r>
  </si>
  <si>
    <r>
      <t>1.7016 - 0.7152 Log(Age) + 0.1470 Age</t>
    </r>
    <r>
      <rPr>
        <vertAlign val="superscript"/>
        <sz val="10"/>
        <rFont val="Calibri"/>
        <family val="2"/>
        <scheme val="minor"/>
      </rPr>
      <t>0.5</t>
    </r>
  </si>
  <si>
    <r>
      <t>0.06342 + 0.04313 Log(Age) - 0.001182 Age</t>
    </r>
    <r>
      <rPr>
        <vertAlign val="superscript"/>
        <sz val="10"/>
        <rFont val="Calibri"/>
        <family val="2"/>
        <scheme val="minor"/>
      </rPr>
      <t>0.5</t>
    </r>
  </si>
  <si>
    <r>
      <t>(AIx@75_MOG + 7.001)</t>
    </r>
    <r>
      <rPr>
        <vertAlign val="superscript"/>
        <sz val="10"/>
        <rFont val="Calibri"/>
        <family val="2"/>
        <scheme val="minor"/>
      </rPr>
      <t>0.709</t>
    </r>
  </si>
  <si>
    <r>
      <t>21.8986 - 26.9039 Log(Age) + 4.6651 Age</t>
    </r>
    <r>
      <rPr>
        <vertAlign val="superscript"/>
        <sz val="10"/>
        <rFont val="Calibri"/>
        <family val="2"/>
        <scheme val="minor"/>
      </rPr>
      <t>0.5</t>
    </r>
  </si>
  <si>
    <r>
      <t>1.8875 + 0.5122 Log(Age) + 0.06849 Age</t>
    </r>
    <r>
      <rPr>
        <vertAlign val="superscript"/>
        <sz val="10"/>
        <rFont val="Calibri"/>
        <family val="2"/>
        <scheme val="minor"/>
      </rPr>
      <t>0.5</t>
    </r>
  </si>
  <si>
    <r>
      <t>(AIx@75_MOG + 6.001)</t>
    </r>
    <r>
      <rPr>
        <vertAlign val="superscript"/>
        <sz val="10"/>
        <rFont val="Calibri"/>
        <family val="2"/>
        <scheme val="minor"/>
      </rPr>
      <t>0.697</t>
    </r>
  </si>
  <si>
    <r>
      <t>20.1821 - 22.1737 Log(Age) + 3.8441 Age</t>
    </r>
    <r>
      <rPr>
        <vertAlign val="superscript"/>
        <sz val="10"/>
        <rFont val="Calibri"/>
        <family val="2"/>
        <scheme val="minor"/>
      </rPr>
      <t>0.5</t>
    </r>
  </si>
  <si>
    <r>
      <t>2.2921 - 0.7588 Log(Age) + 0.2170 Age</t>
    </r>
    <r>
      <rPr>
        <vertAlign val="superscript"/>
        <sz val="10"/>
        <rFont val="Calibri"/>
        <family val="2"/>
        <scheme val="minor"/>
      </rPr>
      <t>0.5</t>
    </r>
  </si>
  <si>
    <r>
      <t>(AIx@75_MOG + 7.001)</t>
    </r>
    <r>
      <rPr>
        <vertAlign val="superscript"/>
        <sz val="10"/>
        <rFont val="Calibri"/>
        <family val="2"/>
        <scheme val="minor"/>
      </rPr>
      <t>0.608</t>
    </r>
  </si>
  <si>
    <r>
      <t>15.0574 - 19.4567 Log(Age) + 3.3690 Age</t>
    </r>
    <r>
      <rPr>
        <vertAlign val="superscript"/>
        <sz val="10"/>
        <rFont val="Calibri"/>
        <family val="2"/>
        <scheme val="minor"/>
      </rPr>
      <t>0.5</t>
    </r>
  </si>
  <si>
    <r>
      <t>1.0390 + 0.3420 Log(Age) + 0.04782 Age</t>
    </r>
    <r>
      <rPr>
        <vertAlign val="superscript"/>
        <sz val="10"/>
        <rFont val="Calibri"/>
        <family val="2"/>
        <scheme val="minor"/>
      </rPr>
      <t>0.5</t>
    </r>
  </si>
  <si>
    <r>
      <t>Pf_MOG_mmHg</t>
    </r>
    <r>
      <rPr>
        <vertAlign val="superscript"/>
        <sz val="10"/>
        <rFont val="Calibri"/>
        <family val="2"/>
        <scheme val="minor"/>
      </rPr>
      <t>-0.663</t>
    </r>
  </si>
  <si>
    <r>
      <t>Pf_MOG_mmHg</t>
    </r>
    <r>
      <rPr>
        <vertAlign val="superscript"/>
        <sz val="10"/>
        <rFont val="Calibri"/>
        <family val="2"/>
        <scheme val="minor"/>
      </rPr>
      <t>-0.608</t>
    </r>
  </si>
  <si>
    <r>
      <t>Pf_MOG_mmHg</t>
    </r>
    <r>
      <rPr>
        <vertAlign val="superscript"/>
        <sz val="10"/>
        <rFont val="Calibri"/>
        <family val="2"/>
        <scheme val="minor"/>
      </rPr>
      <t>-0.417</t>
    </r>
  </si>
  <si>
    <r>
      <t>Pb_MOG_mmHg</t>
    </r>
    <r>
      <rPr>
        <vertAlign val="superscript"/>
        <sz val="10"/>
        <rFont val="Calibri"/>
        <family val="2"/>
        <scheme val="minor"/>
      </rPr>
      <t>-0.251</t>
    </r>
  </si>
  <si>
    <r>
      <t>Pb_MOG_mmHg</t>
    </r>
    <r>
      <rPr>
        <vertAlign val="superscript"/>
        <sz val="10"/>
        <rFont val="Calibri"/>
        <family val="2"/>
        <scheme val="minor"/>
      </rPr>
      <t>-0.115</t>
    </r>
  </si>
  <si>
    <r>
      <t>Pb_MOG_mmHg</t>
    </r>
    <r>
      <rPr>
        <vertAlign val="superscript"/>
        <sz val="10"/>
        <rFont val="Calibri"/>
        <family val="2"/>
        <scheme val="minor"/>
      </rPr>
      <t>-0.128</t>
    </r>
  </si>
  <si>
    <r>
      <t>RM_MOG</t>
    </r>
    <r>
      <rPr>
        <vertAlign val="superscript"/>
        <sz val="10"/>
        <rFont val="Calibri"/>
        <family val="2"/>
        <scheme val="minor"/>
      </rPr>
      <t>2.06</t>
    </r>
  </si>
  <si>
    <r>
      <t>0.2336 - 0.08673 Log(Age) + 0.04902 Age</t>
    </r>
    <r>
      <rPr>
        <vertAlign val="superscript"/>
        <sz val="10"/>
        <rFont val="Calibri"/>
        <family val="2"/>
        <scheme val="minor"/>
      </rPr>
      <t>0.5</t>
    </r>
  </si>
  <si>
    <r>
      <t>0.08643 - 0.007001 Log(Age) + 0.002228 Age</t>
    </r>
    <r>
      <rPr>
        <vertAlign val="superscript"/>
        <sz val="10"/>
        <rFont val="Calibri"/>
        <family val="2"/>
        <scheme val="minor"/>
      </rPr>
      <t>0.5</t>
    </r>
  </si>
  <si>
    <r>
      <t>(AP_SCOR_Radial + 21.001)</t>
    </r>
    <r>
      <rPr>
        <vertAlign val="superscript"/>
        <sz val="10"/>
        <rFont val="Calibri"/>
        <family val="2"/>
        <scheme val="minor"/>
      </rPr>
      <t>0.824</t>
    </r>
  </si>
  <si>
    <r>
      <t>16.0973 - 14.1496 Log(Age) + 3.3141 Age</t>
    </r>
    <r>
      <rPr>
        <vertAlign val="superscript"/>
        <sz val="10"/>
        <rFont val="Calibri"/>
        <family val="2"/>
        <scheme val="minor"/>
      </rPr>
      <t>0.5</t>
    </r>
  </si>
  <si>
    <r>
      <t>0.06454 + 2.8497 Log(Age) - 0.4186 Age</t>
    </r>
    <r>
      <rPr>
        <vertAlign val="superscript"/>
        <sz val="10"/>
        <rFont val="Calibri"/>
        <family val="2"/>
        <scheme val="minor"/>
      </rPr>
      <t>0.5</t>
    </r>
  </si>
  <si>
    <t>Table S29. RM_MOG age-related reference intervals: All (Females and Males)</t>
  </si>
  <si>
    <t>Table S30. RM_MOG age-related reference intervals: Females</t>
  </si>
  <si>
    <t>Table S31. RM_MOG age-related reference intervals: Males</t>
  </si>
  <si>
    <t>Table S35. AP_SCOR_Radial age-related reference intervals: All (Females and Males)</t>
  </si>
  <si>
    <t>Table S36. AP_SCOR_Radial age-related reference intervals: Females</t>
  </si>
  <si>
    <t>Table S37. AP_SCOR_Radial age-related reference intervals: Males</t>
  </si>
  <si>
    <t>Table S38. AIx_SCOR_Radial age-related reference intervals: All (Females and Males)</t>
  </si>
  <si>
    <t>Table S39. AIx_SCOR_Radial age-related reference intervals: Females</t>
  </si>
  <si>
    <t>Table S40. AIx_SCOR_Radial age-related reference intervals: Males</t>
  </si>
  <si>
    <t>Table S41. Aix@75_SCOR_Radial age-related reference intervals: All (Females and Males)</t>
  </si>
  <si>
    <t>Table S43. AIx@75_SCOR_Radial age-related reference intervals: Males</t>
  </si>
  <si>
    <t>Radial Artery Applanation Tonometry (SCOR device)</t>
  </si>
  <si>
    <t>Carotid Artery Applanation Tonometry (SCOR device)</t>
  </si>
  <si>
    <t>Brachial Artery Oscillometry / Plethysmography (MOG device)</t>
  </si>
  <si>
    <t>Table S44. Pf_SCOR_Radial age-related reference intervals: All (Females and Males)</t>
  </si>
  <si>
    <t>Table S45. Pf_SCOR_Radial age-related reference intervals: Females</t>
  </si>
  <si>
    <t>Table S46. Pf_SCOR_Radial age-related reference intervals: Males</t>
  </si>
  <si>
    <t>Group</t>
  </si>
  <si>
    <t>Table S47. Pb_SCOR_Radial age-related reference intervals: All (Females and Males)</t>
  </si>
  <si>
    <t>Table S48. Pb_SCOR_Radial age-related reference intervals: Females</t>
  </si>
  <si>
    <t>Table S49. Pb_SCOR_Radial age-related reference intervals: Males</t>
  </si>
  <si>
    <t>Table S50. RM_SCOR_Radial age-related reference intervals: All (Females and Males)</t>
  </si>
  <si>
    <t>Table S51. RM_SCOR_Radial age-related reference intervals: Females</t>
  </si>
  <si>
    <t>Table S52. RM_SCOR_Radial age-related reference intervals: Males</t>
  </si>
  <si>
    <t>Table S56. AP_SCOR_Carotid age-related reference intervals: All (Females and Males)</t>
  </si>
  <si>
    <t>Table S57. AP_SCOR_Carotid age-related reference intervals: Females</t>
  </si>
  <si>
    <t>Table S58. AP_SCOR_Carotid age-related reference intervals: Males</t>
  </si>
  <si>
    <t>Table S59. AIx_SCOR_Carotid age-related reference intervals: All (Females and Males)</t>
  </si>
  <si>
    <t>Table S60. AIx_SCOR_Carotid age-related reference intervals: Females</t>
  </si>
  <si>
    <t>Table S61. AIx_SCOR_Carotid age-related reference intervals: Males</t>
  </si>
  <si>
    <t>Table S63. AIx@75_SCOR_Carotid age-related reference intervals: Females</t>
  </si>
  <si>
    <t>Table S62. AIx@75_SCOR_Carotid age-related reference intervals: All (Females and Males)</t>
  </si>
  <si>
    <t>Table S64. AIx@75_SCOR_Carotid age-related reference intervals: Males</t>
  </si>
  <si>
    <t>Table S65. Pf_SCOR_Carotid age-related reference intervals: All (Females and Males)</t>
  </si>
  <si>
    <t>Table S66. Pf_SCOR_Carotid age-related reference intervals: Females</t>
  </si>
  <si>
    <t>Table S67. Pf_SCOR_Carotid age-related reference intervals: Males</t>
  </si>
  <si>
    <t>Table S68. Pb_SCOR_Carotid age-related reference intervals: All (Females and Males)</t>
  </si>
  <si>
    <t>Table S69. Pb_SCOR_Carotid age-related reference intervals: Females</t>
  </si>
  <si>
    <t>Table S70. Pb_SCOR_Carotid age-related reference intervals: Males</t>
  </si>
  <si>
    <t>Table S71. RM_SCOR_Carotid age-related reference intervals: All (Females and Males)</t>
  </si>
  <si>
    <t>Table S72. RM_SCOR_Carotid age-related reference intervals: Females</t>
  </si>
  <si>
    <t>Table S73. RM_SCOR_Carotid age-related reference intervals: Males</t>
  </si>
  <si>
    <t>Table S77. AP_MOG body height-related reference intervals: All (Females and Males)</t>
  </si>
  <si>
    <t>Table S78. AP_MOG body height-related reference intervals: Females</t>
  </si>
  <si>
    <t>Table S79. AP_MOG body height-related reference intervals: Males</t>
  </si>
  <si>
    <t>Body Height [m]</t>
  </si>
  <si>
    <t>Table S80. AIx_MOG body height-related reference intervals: All (Females and Males)</t>
  </si>
  <si>
    <t>Table S81. AIx_MOG body height-related reference intervals: Females</t>
  </si>
  <si>
    <t>Table S82. AIx_MOG body height-related reference intervals: Males</t>
  </si>
  <si>
    <t>Table S85. AIx@75_MOG body height-related reference intervals: Males</t>
  </si>
  <si>
    <t>Table S84. AIx@75_MOG body height-related reference intervals: Females</t>
  </si>
  <si>
    <t>Table S83. AIx@75_MOG body height-related reference intervals: All (Females and Males)</t>
  </si>
  <si>
    <t>Table S86. Pf_MOG body height-related reference intervals: All (Females and Males)</t>
  </si>
  <si>
    <t>Table S87. Pf_MOG body height-related reference intervals: Females</t>
  </si>
  <si>
    <t>Table S88. Pf_MOG body height-related reference intervals: Males</t>
  </si>
  <si>
    <t>Table S89. Pb_MOG body height-related reference intervals: All (Females and Males)</t>
  </si>
  <si>
    <t>Table S90. Pb_MOG body height-related reference intervals: Females</t>
  </si>
  <si>
    <t>Table S91. Pb_MOG body height-related reference intervals: Males</t>
  </si>
  <si>
    <t>Table S92. RM_MOG body height-related reference intervals: All (Females and Males)</t>
  </si>
  <si>
    <t>Table S93. RM_MOG body height-related reference intervals: Females</t>
  </si>
  <si>
    <t>Table S94. RM_MOG body height-related reference intervals: Males</t>
  </si>
  <si>
    <t>Table S100. AP_SCOR_Radial body height-related reference intervals: Males</t>
  </si>
  <si>
    <t>Table S98. AP_SCOR_Radial body height-related reference intervals: All (Females and Males)</t>
  </si>
  <si>
    <t>Table S99. AP_SCOR_Radial body height-related reference intervals: Females</t>
  </si>
  <si>
    <t>Table S101. AIx_SCOR_Radial body height-related reference intervals: All (Females and Males)</t>
  </si>
  <si>
    <t>Table S102. AIx_SCOR_Radial body height-related reference intervals: Females</t>
  </si>
  <si>
    <t>Table S103. AIx_SCOR_Radial body height-related reference intervals: Males</t>
  </si>
  <si>
    <t>Table S104. AIx@75_SCOR_Radial body height-related reference intervals: All (Females and Males)</t>
  </si>
  <si>
    <t>Table S105. AIx@75_SCOR_Radial body height-related reference intervals: Females</t>
  </si>
  <si>
    <t>Table S106. AIx@75_SCOR_Radial body height-related reference intervals: Males</t>
  </si>
  <si>
    <t>Table S107. Pf_SCOR_Radial body height-related reference intervals: All (Females and Males)</t>
  </si>
  <si>
    <t>Table S108. Pf_SCOR_Radial body height-related reference intervals: Females</t>
  </si>
  <si>
    <t>Table S109. Pf_SCOR_Radial body height-related reference intervals: Males</t>
  </si>
  <si>
    <t>Table S110. Pb_SCOR_Radial body height-related reference intervals: All (Females and Males)</t>
  </si>
  <si>
    <t>Table S111. Pb_SCOR_Radial body height-related reference intervals: Females</t>
  </si>
  <si>
    <t>Table S112. Pb_SCOR_Radial body height-related reference intervals: Males</t>
  </si>
  <si>
    <t>Table S113. RM_SCOR_Radial body height-related reference intervals: All (Females and Males)</t>
  </si>
  <si>
    <t>Table S114. RM_SCOR_Radial body height-related reference intervals: Females</t>
  </si>
  <si>
    <t>Table S115. RM_SCOR_Radial body height-related reference intervals: Males</t>
  </si>
  <si>
    <t>Table S116. RI_SCOR_Radial body height-related reference intervals: All (Females and Males)</t>
  </si>
  <si>
    <t>Table S117. RI_SCOR_Radial body height-related reference intervals: Females</t>
  </si>
  <si>
    <t>Table S118. RI_SCOR_Radial body height-related reference intervals: Males</t>
  </si>
  <si>
    <t>Table S119. AP_SCOR_Carotid body height-related reference intervals: All (Females and Males)</t>
  </si>
  <si>
    <t>Table S120. AP_SCOR_Carotid body height-related reference intervals: Females</t>
  </si>
  <si>
    <t>Table S121. AP_SCOR_Carotid body height-related reference intervals: Males</t>
  </si>
  <si>
    <t>Table S122. AIx_SCOR_Carotid body height-related reference intervals: All (Females and Males)</t>
  </si>
  <si>
    <t>Table S123. AIx_SCOR_Carotid body height-related reference intervals: Females</t>
  </si>
  <si>
    <t>Table S124. AIx_SCOR_Carotid body height-related reference intervals: Males</t>
  </si>
  <si>
    <t>Table S125. AIx@75_SCOR_Carotid body height-related reference intervals: All (Females and Males)</t>
  </si>
  <si>
    <t>Table S127. AIx@75_SCOR_Carotid body height-related reference intervals: Males</t>
  </si>
  <si>
    <t>Table S126. AIx@75_SCOR_Carotid body height-related reference intervals: Females</t>
  </si>
  <si>
    <t>Table S128. Pf_SCOR_Carotid body height-related reference intervals: All (Females and Males)</t>
  </si>
  <si>
    <t>Table S129. Pf_SCOR_Carotid body height-related reference intervals: Females</t>
  </si>
  <si>
    <t>Table S130. Pf_SCOR_Carotid body height-related reference intervals: Males</t>
  </si>
  <si>
    <t>Table S131. Pb_SCOR_Carotid body height-related reference intervals: All (Females and Males)</t>
  </si>
  <si>
    <t>Table S132. Pb_SCOR_Carotid body height-related reference intervals: Females</t>
  </si>
  <si>
    <t>Table S133. Pb_SCOR_Carotid body height-related reference intervals: Males</t>
  </si>
  <si>
    <t>Table S134. RM_SCOR_Carotid body height-related reference intervals: All (Females and Males)</t>
  </si>
  <si>
    <t>Table S136. RM_SCOR_Carotid body height-related reference intervals: Males</t>
  </si>
  <si>
    <t>Table S135. RM_SCOR_Carotid body height-related reference intervals: Females</t>
  </si>
  <si>
    <t>Table S137. RI_SCOR_Carotid body height-related reference intervals: All (Females and Males)</t>
  </si>
  <si>
    <t>Table S138. RI_SCOR_Carotid body height-related reference intervals: Females</t>
  </si>
  <si>
    <t>Table S139. RI_SCOR_Carotid body height-related reference intervals: Males</t>
  </si>
  <si>
    <t>SD</t>
  </si>
  <si>
    <t>Concordance correlation coefficient</t>
  </si>
  <si>
    <t>95% Confidence interval</t>
  </si>
  <si>
    <t>Pearson ρ (precision)</t>
  </si>
  <si>
    <t>Bland - Altman</t>
  </si>
  <si>
    <r>
      <t>Bias correction factor C</t>
    </r>
    <r>
      <rPr>
        <vertAlign val="subscript"/>
        <sz val="8"/>
        <color theme="1"/>
        <rFont val="Arial"/>
        <family val="2"/>
      </rPr>
      <t>b</t>
    </r>
    <r>
      <rPr>
        <sz val="8"/>
        <color theme="1"/>
        <rFont val="Arial"/>
        <family val="2"/>
      </rPr>
      <t xml:space="preserve"> (accuracy)</t>
    </r>
  </si>
  <si>
    <t>Concordance Correlation Coefficient</t>
  </si>
  <si>
    <t>Mean Error (Method A - Method B)</t>
  </si>
  <si>
    <t>0.3855 to 0.4623</t>
  </si>
  <si>
    <t>0.1871 to 0.2403</t>
  </si>
  <si>
    <t>0.5320 to 0.5716</t>
  </si>
  <si>
    <t>0.2908 to 0.3712</t>
  </si>
  <si>
    <t>0.09456 to 0.1380</t>
  </si>
  <si>
    <t>0.4546 to 0.4989</t>
  </si>
  <si>
    <t>0.2424 to 0.3283</t>
  </si>
  <si>
    <t>0.05795 to 0.1056</t>
  </si>
  <si>
    <t>0.3410 to 0.3925</t>
  </si>
  <si>
    <t>0.3835 to 0.4755</t>
  </si>
  <si>
    <t>0.2547 to 0.3502</t>
  </si>
  <si>
    <t>0.5940 to 0.6422</t>
  </si>
  <si>
    <t>0.2683 to 0.3446</t>
  </si>
  <si>
    <t>0.1989 to 0.2647</t>
  </si>
  <si>
    <t>0.6341 to 0.6828</t>
  </si>
  <si>
    <t>0.2380 to 0.3130</t>
  </si>
  <si>
    <t>0.1713 to 0.2315</t>
  </si>
  <si>
    <t>0.6027 to 0.6533</t>
  </si>
  <si>
    <t>All (n=3619)</t>
  </si>
  <si>
    <t>Variable</t>
  </si>
  <si>
    <t>MV</t>
  </si>
  <si>
    <t>Min</t>
  </si>
  <si>
    <t>p25th</t>
  </si>
  <si>
    <t>p50th</t>
  </si>
  <si>
    <t>p75th</t>
  </si>
  <si>
    <t>Max</t>
  </si>
  <si>
    <t>Body weight [Kg.]</t>
  </si>
  <si>
    <t>Body height [m]</t>
  </si>
  <si>
    <t>z-BMI [SD]</t>
  </si>
  <si>
    <t>Triglycerides [mg/dl]</t>
  </si>
  <si>
    <t>Glicaemia [mg/dl]</t>
  </si>
  <si>
    <t>Total Cholesterol ≥240 mg/dl [%]</t>
  </si>
  <si>
    <t>HDL Cholesterol &lt;40 mg/dl  [%]</t>
  </si>
  <si>
    <t>Glicamia ≥ 126 mg/dl  [%]</t>
  </si>
  <si>
    <t>Current Smoke [%]</t>
  </si>
  <si>
    <t>Hypertension [%]</t>
  </si>
  <si>
    <t>Diabetes [%]</t>
  </si>
  <si>
    <t>History of CVD [%]</t>
  </si>
  <si>
    <t>Obesity [%</t>
  </si>
  <si>
    <t>Familiar history premature CVD [%]</t>
  </si>
  <si>
    <t>Antihypertensive drugs</t>
  </si>
  <si>
    <t>Antihyperlipidemic agent [%]</t>
  </si>
  <si>
    <t>Antidiabetic agents [%]</t>
  </si>
  <si>
    <t>Atherosclerotic plaques (%)</t>
  </si>
  <si>
    <t>Male (n=1869)</t>
  </si>
  <si>
    <t>Female (n=1750)</t>
  </si>
  <si>
    <t>Male (n=824)</t>
  </si>
  <si>
    <t>Female (n=864)</t>
  </si>
  <si>
    <t>All (n=1688)</t>
  </si>
  <si>
    <t>Reference Intervals (n=1688)</t>
  </si>
  <si>
    <t>baSBP [mmHg]</t>
  </si>
  <si>
    <t>baMBP [mmHg]</t>
  </si>
  <si>
    <t>baDBP [mmHg]</t>
  </si>
  <si>
    <t>aoSBP [mmHg]</t>
  </si>
  <si>
    <t>aoDBP [mmHg]</t>
  </si>
  <si>
    <t>AP [mmHg]</t>
  </si>
  <si>
    <t>AIx [%]</t>
  </si>
  <si>
    <t>AIx@75 [%]</t>
  </si>
  <si>
    <t>Pf [mmHg]</t>
  </si>
  <si>
    <t>Pb [mmHg]</t>
  </si>
  <si>
    <r>
      <t>BMI [Kg./m</t>
    </r>
    <r>
      <rPr>
        <vertAlign val="superscript"/>
        <sz val="10"/>
        <rFont val="Calibri"/>
        <family val="2"/>
        <scheme val="minor"/>
      </rPr>
      <t>2</t>
    </r>
    <r>
      <rPr>
        <sz val="10"/>
        <rFont val="Calibri"/>
        <family val="2"/>
        <scheme val="minor"/>
      </rPr>
      <t>]</t>
    </r>
  </si>
  <si>
    <t>Total Cholesterol [mg/dl]</t>
  </si>
  <si>
    <t>HDL Cholesterol [mg/dl]</t>
  </si>
  <si>
    <t>LDL Cholesterol [mg/dl]</t>
  </si>
  <si>
    <t>MV: mean value. SD: standard deviation. Min. and Max.: minimal and maximal value. p25th, p50th (median) and p75th: 25, 50 and 75 percentiles. BMI: body mass index. baSBP, baDBP: brachial artery systolic and diastolic blood pressure. CVD: cardiovascular disease.</t>
  </si>
  <si>
    <t>HR [beats/minute]</t>
  </si>
  <si>
    <t>AP (mmHg)</t>
  </si>
  <si>
    <t>AIx (%)</t>
  </si>
  <si>
    <t>Pf (mmHg)</t>
  </si>
  <si>
    <t>Pb (mmHg)</t>
  </si>
  <si>
    <t>BH</t>
  </si>
  <si>
    <t>Sex*BH</t>
  </si>
  <si>
    <t>Table S8. Multiple linear regression models between (i) wave-derived indexes and (ii) sex, age and body height (including interaction analysis: Sex*BH) and Johnson-Neyman significance regions: Mobil-O-Graph (brachial oscillometry)-derived indexes</t>
  </si>
  <si>
    <t>Table S6. Multiple linear regression models between (i) wave-derived indexes and (ii) sex, age and body height (including interaction analysis: Sex*Age) and Johnson-Neyman significance regions: ShpygmoCor (radial artery applanation tonometry)-derived indexes</t>
  </si>
  <si>
    <t>Table S7. Multiple linear regression models between (i) wave-derived indexes and (ii) sex, age and body height (including interaction analysis: Sex*Age) and Johnson-Neyman significance regions: ShpygmoCor (carotid artery applanation tonometry)-derived indexes</t>
  </si>
  <si>
    <t>Table S9. Multiple linear regression models between (i) wave-derived indexes and (ii) sex, age and body height (including interaction analysis: Sex*BH) and Johnson-Neyman significance regions: ShpygmoCor (radial artery applanation tonometry)-derived indexes</t>
  </si>
  <si>
    <t>Table S10. Multiple linear regression models between (i) wave-derived indexes and (ii) sex, age and body height (including interaction analysis: Sex*BH) and Johnson-Neyman significance regions: ShpygmoCor (carotid artery applanation tonometry)-derived indexes</t>
  </si>
  <si>
    <t>Table S11. Summary of associatons models between (i) wave-derived indexes and (ii) sex, age and/or body height (including interaction analysis: Sex*Age; Sex*BH) and Johnson-Neyman significance regions</t>
  </si>
  <si>
    <t>Log(Pf_MOG_mmHg)</t>
  </si>
  <si>
    <t>AP_MOG (mmHg)</t>
  </si>
  <si>
    <t>AIx_MOG (%)</t>
  </si>
  <si>
    <t>AIx@75_MOG (%)</t>
  </si>
  <si>
    <t>Pf_MOG (mmHg)</t>
  </si>
  <si>
    <t>Pb_MOG (mmHg)</t>
  </si>
  <si>
    <t>AP_SCOR_Radial (mmHg)</t>
  </si>
  <si>
    <t>AIx_SCOR_Radial (%)</t>
  </si>
  <si>
    <t>AIx@75_SCOR_Radial (%)</t>
  </si>
  <si>
    <t>Pf_SCOR_Radial (mmHg)</t>
  </si>
  <si>
    <t>Pb_SCOR_Radial (mmHg)</t>
  </si>
  <si>
    <t>AP_SCOR_Carotid (mmHg)</t>
  </si>
  <si>
    <t>AIx_SCOR_Carotid (%)</t>
  </si>
  <si>
    <t>AIx@75_SCOR_Carotid (%)</t>
  </si>
  <si>
    <t>Pf_SCOR_Carotid (mmHg)</t>
  </si>
  <si>
    <t>Pb_SCOR_Carotid (mmHg)</t>
  </si>
  <si>
    <t>Log(Pf_SCOR_Carotid)</t>
  </si>
  <si>
    <t>Log(Pb_MOG)</t>
  </si>
  <si>
    <t>Log(Pb_SCOR_Radial)</t>
  </si>
  <si>
    <r>
      <t>1.0519+2.3404Log(Age)-0.7488Age</t>
    </r>
    <r>
      <rPr>
        <vertAlign val="superscript"/>
        <sz val="10"/>
        <rFont val="Calibri"/>
        <family val="2"/>
        <scheme val="minor"/>
      </rPr>
      <t>0.5</t>
    </r>
    <r>
      <rPr>
        <sz val="10"/>
        <rFont val="Calibri"/>
        <family val="2"/>
        <scheme val="minor"/>
      </rPr>
      <t>+0.03243Age</t>
    </r>
  </si>
  <si>
    <r>
      <t>0.03985 + 0.3871 Log(Age) - 0.1137 Age</t>
    </r>
    <r>
      <rPr>
        <vertAlign val="superscript"/>
        <sz val="10"/>
        <rFont val="Calibri"/>
        <family val="2"/>
        <scheme val="minor"/>
      </rPr>
      <t>0.5</t>
    </r>
    <r>
      <rPr>
        <sz val="10"/>
        <rFont val="Calibri"/>
        <family val="2"/>
        <scheme val="minor"/>
      </rPr>
      <t xml:space="preserve"> + 0.004188 Age</t>
    </r>
  </si>
  <si>
    <r>
      <t>1.2056+2.5795*Log(Age)-0.9185Age</t>
    </r>
    <r>
      <rPr>
        <vertAlign val="superscript"/>
        <sz val="10"/>
        <rFont val="Calibri"/>
        <family val="2"/>
        <scheme val="minor"/>
      </rPr>
      <t>0.5</t>
    </r>
    <r>
      <rPr>
        <sz val="10"/>
        <rFont val="Calibri"/>
        <family val="2"/>
        <scheme val="minor"/>
      </rPr>
      <t>+0.04433Age</t>
    </r>
  </si>
  <si>
    <r>
      <t>0.1195 + 0.3505 Log(Age) - 0.1443 Age</t>
    </r>
    <r>
      <rPr>
        <vertAlign val="superscript"/>
        <sz val="10"/>
        <rFont val="Calibri"/>
        <family val="2"/>
        <scheme val="minor"/>
      </rPr>
      <t>0.5</t>
    </r>
    <r>
      <rPr>
        <sz val="10"/>
        <rFont val="Calibri"/>
        <family val="2"/>
        <scheme val="minor"/>
      </rPr>
      <t xml:space="preserve"> + 0.007873 Age</t>
    </r>
  </si>
  <si>
    <r>
      <t>0.7038 + 1.9746 Log(Age) - 0.5845 Age</t>
    </r>
    <r>
      <rPr>
        <vertAlign val="superscript"/>
        <sz val="10"/>
        <rFont val="Calibri"/>
        <family val="2"/>
        <scheme val="minor"/>
      </rPr>
      <t>0.5</t>
    </r>
    <r>
      <rPr>
        <sz val="10"/>
        <rFont val="Calibri"/>
        <family val="2"/>
        <scheme val="minor"/>
      </rPr>
      <t xml:space="preserve"> + 0.02507 Age</t>
    </r>
  </si>
  <si>
    <r>
      <t>0.04438 + 0.5017 Log(Age) - 0.1472 Age</t>
    </r>
    <r>
      <rPr>
        <vertAlign val="superscript"/>
        <sz val="10"/>
        <rFont val="Calibri"/>
        <family val="2"/>
        <scheme val="minor"/>
      </rPr>
      <t>0.5</t>
    </r>
    <r>
      <rPr>
        <sz val="10"/>
        <rFont val="Calibri"/>
        <family val="2"/>
        <scheme val="minor"/>
      </rPr>
      <t xml:space="preserve"> + 0.004992 Age</t>
    </r>
  </si>
  <si>
    <r>
      <t>0.8383 + 1.6643 Log(Age) - 0.5450 Age</t>
    </r>
    <r>
      <rPr>
        <vertAlign val="superscript"/>
        <sz val="10"/>
        <rFont val="Calibri"/>
        <family val="2"/>
        <scheme val="minor"/>
      </rPr>
      <t>0.5</t>
    </r>
    <r>
      <rPr>
        <sz val="10"/>
        <rFont val="Calibri"/>
        <family val="2"/>
        <scheme val="minor"/>
      </rPr>
      <t xml:space="preserve"> + 0.02664 Age</t>
    </r>
  </si>
  <si>
    <r>
      <t>0.09596 + 0.4745 Log(Age) - 0.1649 Age</t>
    </r>
    <r>
      <rPr>
        <vertAlign val="superscript"/>
        <sz val="10"/>
        <rFont val="Calibri"/>
        <family val="2"/>
        <scheme val="minor"/>
      </rPr>
      <t>0.5</t>
    </r>
    <r>
      <rPr>
        <sz val="10"/>
        <rFont val="Calibri"/>
        <family val="2"/>
        <scheme val="minor"/>
      </rPr>
      <t xml:space="preserve"> + 0.007115 Age</t>
    </r>
  </si>
  <si>
    <r>
      <t>RM_MOG</t>
    </r>
    <r>
      <rPr>
        <vertAlign val="superscript"/>
        <sz val="10"/>
        <rFont val="Calibri"/>
        <family val="2"/>
        <scheme val="minor"/>
      </rPr>
      <t>2.04</t>
    </r>
  </si>
  <si>
    <r>
      <t>0.2602 - 0.1514 Log(Age) + 0.06096 Age</t>
    </r>
    <r>
      <rPr>
        <vertAlign val="superscript"/>
        <sz val="10"/>
        <rFont val="Calibri"/>
        <family val="2"/>
        <scheme val="minor"/>
      </rPr>
      <t>0.5</t>
    </r>
  </si>
  <si>
    <r>
      <t>0.06321 + 0.03795 Log(Age) - 0.004616 Age</t>
    </r>
    <r>
      <rPr>
        <vertAlign val="superscript"/>
        <sz val="10"/>
        <rFont val="Calibri"/>
        <family val="2"/>
        <scheme val="minor"/>
      </rPr>
      <t>0.5</t>
    </r>
  </si>
  <si>
    <r>
      <t>RM_MOG</t>
    </r>
    <r>
      <rPr>
        <vertAlign val="superscript"/>
        <sz val="10"/>
        <rFont val="Calibri"/>
        <family val="2"/>
        <scheme val="minor"/>
      </rPr>
      <t>2.08</t>
    </r>
  </si>
  <si>
    <r>
      <t>0.2075 - 0.01892 Log(Age) + 0.03606 Age</t>
    </r>
    <r>
      <rPr>
        <vertAlign val="superscript"/>
        <sz val="10"/>
        <rFont val="Calibri"/>
        <family val="2"/>
        <scheme val="minor"/>
      </rPr>
      <t>0.5</t>
    </r>
  </si>
  <si>
    <r>
      <t>0.1108 - 0.05495 Log(Age) + 0.009716 Age</t>
    </r>
    <r>
      <rPr>
        <vertAlign val="superscript"/>
        <sz val="10"/>
        <rFont val="Calibri"/>
        <family val="2"/>
        <scheme val="minor"/>
      </rPr>
      <t>0.5</t>
    </r>
  </si>
  <si>
    <r>
      <t>0.01835 - 0.007283 Log(Age) + 0.004300 Age</t>
    </r>
    <r>
      <rPr>
        <vertAlign val="superscript"/>
        <sz val="10"/>
        <rFont val="Calibri"/>
        <family val="2"/>
        <scheme val="minor"/>
      </rPr>
      <t>0.5</t>
    </r>
  </si>
  <si>
    <r>
      <t>0.007951 - 0.0004786 Log(Age) + 0.0001312 Age</t>
    </r>
    <r>
      <rPr>
        <vertAlign val="superscript"/>
        <sz val="10"/>
        <rFont val="Calibri"/>
        <family val="2"/>
        <scheme val="minor"/>
      </rPr>
      <t>0.</t>
    </r>
  </si>
  <si>
    <r>
      <t>0.02132 - 0.01340 Log(Age) + 0.005507 Age</t>
    </r>
    <r>
      <rPr>
        <vertAlign val="superscript"/>
        <sz val="10"/>
        <rFont val="Calibri"/>
        <family val="2"/>
        <scheme val="minor"/>
      </rPr>
      <t>0.5</t>
    </r>
  </si>
  <si>
    <r>
      <t>0.006005 + 0.003721 Log(Age) - 0.0005046 Age</t>
    </r>
    <r>
      <rPr>
        <vertAlign val="superscript"/>
        <sz val="10"/>
        <rFont val="Calibri"/>
        <family val="2"/>
        <scheme val="minor"/>
      </rPr>
      <t>0.5</t>
    </r>
  </si>
  <si>
    <r>
      <t>0.01556 - 0.001236 Log(Age) + 0.003070 Age</t>
    </r>
    <r>
      <rPr>
        <vertAlign val="superscript"/>
        <sz val="10"/>
        <rFont val="Calibri"/>
        <family val="2"/>
        <scheme val="minor"/>
      </rPr>
      <t>0.5</t>
    </r>
  </si>
  <si>
    <r>
      <t>0.009868 - 0.004684 Log(Age) + 0.0007846 Age</t>
    </r>
    <r>
      <rPr>
        <vertAlign val="superscript"/>
        <sz val="10"/>
        <rFont val="Calibri"/>
        <family val="2"/>
        <scheme val="minor"/>
      </rPr>
      <t>0.5</t>
    </r>
  </si>
  <si>
    <r>
      <t>(AP_SCOR_Radial + 12.001)</t>
    </r>
    <r>
      <rPr>
        <vertAlign val="superscript"/>
        <sz val="10"/>
        <rFont val="Calibri"/>
        <family val="2"/>
        <scheme val="minor"/>
      </rPr>
      <t>0.682</t>
    </r>
  </si>
  <si>
    <r>
      <t>7.7529 - 8.7820 Log(Age) + 2.1060 Age</t>
    </r>
    <r>
      <rPr>
        <vertAlign val="superscript"/>
        <sz val="10"/>
        <rFont val="Calibri"/>
        <family val="2"/>
        <scheme val="minor"/>
      </rPr>
      <t>0.5</t>
    </r>
  </si>
  <si>
    <r>
      <t>0.1917 + 1.3041 Log(Age) - 0.1794 Age</t>
    </r>
    <r>
      <rPr>
        <vertAlign val="superscript"/>
        <sz val="10"/>
        <rFont val="Calibri"/>
        <family val="2"/>
        <scheme val="minor"/>
      </rPr>
      <t>0.5</t>
    </r>
  </si>
  <si>
    <r>
      <t>(AP_SCOR_Radial + 21.001)</t>
    </r>
    <r>
      <rPr>
        <vertAlign val="superscript"/>
        <sz val="10"/>
        <rFont val="Calibri"/>
        <family val="2"/>
        <scheme val="minor"/>
      </rPr>
      <t>1.06</t>
    </r>
  </si>
  <si>
    <r>
      <t>36.4179 - 39.8894 Log(Age) + 9.0125 Age</t>
    </r>
    <r>
      <rPr>
        <vertAlign val="superscript"/>
        <sz val="10"/>
        <rFont val="Calibri"/>
        <family val="2"/>
        <scheme val="minor"/>
      </rPr>
      <t>0.5</t>
    </r>
  </si>
  <si>
    <r>
      <t>-0.5232 + 11.0744 Log(Age) - 1.8988 Age</t>
    </r>
    <r>
      <rPr>
        <vertAlign val="superscript"/>
        <sz val="10"/>
        <rFont val="Calibri"/>
        <family val="2"/>
        <scheme val="minor"/>
      </rPr>
      <t>0.5</t>
    </r>
  </si>
  <si>
    <r>
      <t>(AIx_SCOR_Radial + 36.001)</t>
    </r>
    <r>
      <rPr>
        <vertAlign val="superscript"/>
        <sz val="10"/>
        <rFont val="Calibri"/>
        <family val="2"/>
        <scheme val="minor"/>
      </rPr>
      <t>0.795</t>
    </r>
  </si>
  <si>
    <r>
      <t>28.7971 - 34.6753 Log(Age) + 7.6723 Age</t>
    </r>
    <r>
      <rPr>
        <vertAlign val="superscript"/>
        <sz val="10"/>
        <rFont val="Calibri"/>
        <family val="2"/>
        <scheme val="minor"/>
      </rPr>
      <t>0.5</t>
    </r>
  </si>
  <si>
    <r>
      <t>2.7888 + 3.3371 Log(Age) - 0.6369 Age</t>
    </r>
    <r>
      <rPr>
        <vertAlign val="superscript"/>
        <sz val="10"/>
        <rFont val="Calibri"/>
        <family val="2"/>
        <scheme val="minor"/>
      </rPr>
      <t>0.5</t>
    </r>
  </si>
  <si>
    <r>
      <t>(AIx_SCOR_Radial + 31.001)</t>
    </r>
    <r>
      <rPr>
        <vertAlign val="superscript"/>
        <sz val="10"/>
        <rFont val="Calibri"/>
        <family val="2"/>
        <scheme val="minor"/>
      </rPr>
      <t>0.771</t>
    </r>
  </si>
  <si>
    <r>
      <t>24.9152 - 32.9562 Log(Age) + 7.4670 Age</t>
    </r>
    <r>
      <rPr>
        <vertAlign val="superscript"/>
        <sz val="10"/>
        <rFont val="Calibri"/>
        <family val="2"/>
        <scheme val="minor"/>
      </rPr>
      <t>0.5</t>
    </r>
  </si>
  <si>
    <r>
      <t>2.8724 + 2.0740 Log(Age) - 0.4048 Age</t>
    </r>
    <r>
      <rPr>
        <vertAlign val="superscript"/>
        <sz val="10"/>
        <rFont val="Calibri"/>
        <family val="2"/>
        <scheme val="minor"/>
      </rPr>
      <t>0.5</t>
    </r>
  </si>
  <si>
    <r>
      <t>(AIx_SCOR_Radial + 36.001)</t>
    </r>
    <r>
      <rPr>
        <vertAlign val="superscript"/>
        <sz val="10"/>
        <rFont val="Calibri"/>
        <family val="2"/>
        <scheme val="minor"/>
      </rPr>
      <t>0.877</t>
    </r>
  </si>
  <si>
    <r>
      <t>40.4681 - 51.3523 Log(Age) + 11.0352 Age</t>
    </r>
    <r>
      <rPr>
        <vertAlign val="superscript"/>
        <sz val="10"/>
        <rFont val="Calibri"/>
        <family val="2"/>
        <scheme val="minor"/>
      </rPr>
      <t>0.5</t>
    </r>
  </si>
  <si>
    <r>
      <t>3.9848 + 6.8333 Log(Age) - 1.4799 Age</t>
    </r>
    <r>
      <rPr>
        <vertAlign val="superscript"/>
        <sz val="10"/>
        <rFont val="Calibri"/>
        <family val="2"/>
        <scheme val="minor"/>
      </rPr>
      <t>0.5</t>
    </r>
  </si>
  <si>
    <r>
      <t>(AIx@75_SCOR_Radial + 37.001)</t>
    </r>
    <r>
      <rPr>
        <vertAlign val="superscript"/>
        <sz val="10"/>
        <rFont val="Calibri"/>
        <family val="2"/>
        <scheme val="minor"/>
      </rPr>
      <t>0.968</t>
    </r>
  </si>
  <si>
    <r>
      <t>77.6593 - 105.8856 Log(Age) + 20.9018 Age</t>
    </r>
    <r>
      <rPr>
        <vertAlign val="superscript"/>
        <sz val="10"/>
        <rFont val="Calibri"/>
        <family val="2"/>
        <scheme val="minor"/>
      </rPr>
      <t>0.5</t>
    </r>
  </si>
  <si>
    <r>
      <t>6.5769 + 7.8784 Log(Age) - 1.4038 Age</t>
    </r>
    <r>
      <rPr>
        <vertAlign val="superscript"/>
        <sz val="10"/>
        <rFont val="Calibri"/>
        <family val="2"/>
        <scheme val="minor"/>
      </rPr>
      <t>0.</t>
    </r>
  </si>
  <si>
    <r>
      <t>(AIx@75_SCOR_Radial + 28.001)</t>
    </r>
    <r>
      <rPr>
        <vertAlign val="superscript"/>
        <sz val="10"/>
        <rFont val="Calibri"/>
        <family val="2"/>
        <scheme val="minor"/>
      </rPr>
      <t>0.956</t>
    </r>
  </si>
  <si>
    <r>
      <t>67.5373 - 103.1702 Log(Age) + 20.9350 Age</t>
    </r>
    <r>
      <rPr>
        <vertAlign val="superscript"/>
        <sz val="10"/>
        <rFont val="Calibri"/>
        <family val="2"/>
        <scheme val="minor"/>
      </rPr>
      <t>0.5</t>
    </r>
  </si>
  <si>
    <r>
      <t>6.1707 + 10.2330 Log(Age) - 2.1191 Age</t>
    </r>
    <r>
      <rPr>
        <vertAlign val="superscript"/>
        <sz val="10"/>
        <rFont val="Calibri"/>
        <family val="2"/>
        <scheme val="minor"/>
      </rPr>
      <t>0.5</t>
    </r>
  </si>
  <si>
    <r>
      <t>(AIx@75_SCOR_Radial + 37.001)</t>
    </r>
    <r>
      <rPr>
        <vertAlign val="superscript"/>
        <sz val="10"/>
        <rFont val="Calibri"/>
        <family val="2"/>
        <scheme val="minor"/>
      </rPr>
      <t>0.995</t>
    </r>
  </si>
  <si>
    <r>
      <t>87.2328 - 120.0661 Log(Age) + 22.9353 Age</t>
    </r>
    <r>
      <rPr>
        <vertAlign val="superscript"/>
        <sz val="10"/>
        <rFont val="Calibri"/>
        <family val="2"/>
        <scheme val="minor"/>
      </rPr>
      <t>0.5</t>
    </r>
  </si>
  <si>
    <r>
      <t>8.6464 + 5.2711 Log(Age) - 1.0505 Age</t>
    </r>
    <r>
      <rPr>
        <vertAlign val="superscript"/>
        <sz val="10"/>
        <rFont val="Calibri"/>
        <family val="2"/>
        <scheme val="minor"/>
      </rPr>
      <t>0.5</t>
    </r>
  </si>
  <si>
    <r>
      <t>Pf_SCOR_Radial</t>
    </r>
    <r>
      <rPr>
        <vertAlign val="superscript"/>
        <sz val="10"/>
        <rFont val="Calibri"/>
        <family val="2"/>
        <scheme val="minor"/>
      </rPr>
      <t>0.038</t>
    </r>
  </si>
  <si>
    <r>
      <t>1.0829 + 0.1110 Log(Age) - 0.01944 Age</t>
    </r>
    <r>
      <rPr>
        <vertAlign val="superscript"/>
        <sz val="10"/>
        <rFont val="Calibri"/>
        <family val="2"/>
        <scheme val="minor"/>
      </rPr>
      <t>0.5</t>
    </r>
  </si>
  <si>
    <r>
      <t>0.009985 + 0.004372 Log(Age) - 0.0007232 Age</t>
    </r>
    <r>
      <rPr>
        <vertAlign val="superscript"/>
        <sz val="10"/>
        <rFont val="Calibri"/>
        <family val="2"/>
        <scheme val="minor"/>
      </rPr>
      <t>0.5</t>
    </r>
  </si>
  <si>
    <r>
      <t>Pf_SCOR_Radial</t>
    </r>
    <r>
      <rPr>
        <vertAlign val="superscript"/>
        <sz val="10"/>
        <rFont val="Calibri"/>
        <family val="2"/>
        <scheme val="minor"/>
      </rPr>
      <t>-0.037</t>
    </r>
  </si>
  <si>
    <r>
      <t>0.9205 - 0.07777 Log(Age) + 0.01416 Age</t>
    </r>
    <r>
      <rPr>
        <vertAlign val="superscript"/>
        <sz val="10"/>
        <rFont val="Calibri"/>
        <family val="2"/>
        <scheme val="minor"/>
      </rPr>
      <t>0.5</t>
    </r>
  </si>
  <si>
    <r>
      <t>0.01217 - 0.006264 Log(Age) + 0.001104 Age</t>
    </r>
    <r>
      <rPr>
        <vertAlign val="superscript"/>
        <sz val="10"/>
        <rFont val="Calibri"/>
        <family val="2"/>
        <scheme val="minor"/>
      </rPr>
      <t>0.5</t>
    </r>
  </si>
  <si>
    <r>
      <t>Pf_SCOR_Radial</t>
    </r>
    <r>
      <rPr>
        <vertAlign val="superscript"/>
        <sz val="10"/>
        <rFont val="Calibri"/>
        <family val="2"/>
        <scheme val="minor"/>
      </rPr>
      <t>0.151</t>
    </r>
  </si>
  <si>
    <r>
      <t>0.8877 + 1.3449 Log(Age) - 0.4338 Age</t>
    </r>
    <r>
      <rPr>
        <vertAlign val="superscript"/>
        <sz val="10"/>
        <rFont val="Calibri"/>
        <family val="2"/>
        <scheme val="minor"/>
      </rPr>
      <t>0.5</t>
    </r>
    <r>
      <rPr>
        <sz val="10"/>
        <rFont val="Calibri"/>
        <family val="2"/>
        <scheme val="minor"/>
      </rPr>
      <t xml:space="preserve"> + 0.02169 Age</t>
    </r>
  </si>
  <si>
    <r>
      <t>0.08843 + 0.05836 Log(Age) - 0.01507 Age</t>
    </r>
    <r>
      <rPr>
        <vertAlign val="superscript"/>
        <sz val="10"/>
        <rFont val="Calibri"/>
        <family val="2"/>
        <scheme val="minor"/>
      </rPr>
      <t>0.5</t>
    </r>
    <r>
      <rPr>
        <sz val="10"/>
        <rFont val="Calibri"/>
        <family val="2"/>
        <scheme val="minor"/>
      </rPr>
      <t xml:space="preserve"> + 0.0003664 Age</t>
    </r>
  </si>
  <si>
    <r>
      <t>Pb_SCOR_Radial</t>
    </r>
    <r>
      <rPr>
        <vertAlign val="superscript"/>
        <sz val="10"/>
        <rFont val="Calibri"/>
        <family val="2"/>
        <scheme val="minor"/>
      </rPr>
      <t>0.189</t>
    </r>
  </si>
  <si>
    <r>
      <t>Pb_SCOR_Radial</t>
    </r>
    <r>
      <rPr>
        <vertAlign val="superscript"/>
        <sz val="10"/>
        <rFont val="Calibri"/>
        <family val="2"/>
        <scheme val="minor"/>
      </rPr>
      <t>0.063</t>
    </r>
  </si>
  <si>
    <r>
      <t>Pb_SCOR_Radial</t>
    </r>
    <r>
      <rPr>
        <vertAlign val="superscript"/>
        <sz val="10"/>
        <rFont val="Calibri"/>
        <family val="2"/>
        <scheme val="minor"/>
      </rPr>
      <t>0.327</t>
    </r>
  </si>
  <si>
    <r>
      <t>RM_SCOR_Radial</t>
    </r>
    <r>
      <rPr>
        <vertAlign val="superscript"/>
        <sz val="10"/>
        <rFont val="Calibri"/>
        <family val="2"/>
        <scheme val="minor"/>
      </rPr>
      <t>-0.154</t>
    </r>
  </si>
  <si>
    <r>
      <t>1.0360 + 0.3219 Log(Age) - 0.07019 Age</t>
    </r>
    <r>
      <rPr>
        <vertAlign val="superscript"/>
        <sz val="10"/>
        <rFont val="Calibri"/>
        <family val="2"/>
        <scheme val="minor"/>
      </rPr>
      <t>0.5</t>
    </r>
  </si>
  <si>
    <r>
      <t>0.01789 + 0.03196 Log(Age) - 0.004222 Age</t>
    </r>
    <r>
      <rPr>
        <vertAlign val="superscript"/>
        <sz val="10"/>
        <rFont val="Calibri"/>
        <family val="2"/>
        <scheme val="minor"/>
      </rPr>
      <t>0.5</t>
    </r>
  </si>
  <si>
    <r>
      <t>RM_SCOR_Radial</t>
    </r>
    <r>
      <rPr>
        <vertAlign val="superscript"/>
        <sz val="10"/>
        <rFont val="Calibri"/>
        <family val="2"/>
        <scheme val="minor"/>
      </rPr>
      <t>-0.215</t>
    </r>
  </si>
  <si>
    <r>
      <t>1.0499 + 0.4853 Log(Age) - 0.1093 Age</t>
    </r>
    <r>
      <rPr>
        <vertAlign val="superscript"/>
        <sz val="10"/>
        <rFont val="Calibri"/>
        <family val="2"/>
        <scheme val="minor"/>
      </rPr>
      <t>0.5</t>
    </r>
  </si>
  <si>
    <r>
      <t>0.03647 + 0.01363 Log(Age) + 0.00004042 Age</t>
    </r>
    <r>
      <rPr>
        <vertAlign val="superscript"/>
        <sz val="10"/>
        <rFont val="Calibri"/>
        <family val="2"/>
        <scheme val="minor"/>
      </rPr>
      <t>0.5</t>
    </r>
  </si>
  <si>
    <r>
      <t>RM_SCOR_Radial</t>
    </r>
    <r>
      <rPr>
        <vertAlign val="superscript"/>
        <sz val="10"/>
        <rFont val="Calibri"/>
        <family val="2"/>
        <scheme val="minor"/>
      </rPr>
      <t>-0.013</t>
    </r>
  </si>
  <si>
    <r>
      <t>1.0027 + 0.02528 Log(Age) - 0.005313 Age</t>
    </r>
    <r>
      <rPr>
        <vertAlign val="superscript"/>
        <sz val="10"/>
        <rFont val="Calibri"/>
        <family val="2"/>
        <scheme val="minor"/>
      </rPr>
      <t>0.5</t>
    </r>
  </si>
  <si>
    <r>
      <t>0.001149 + 0.003739 Log(Age) - 0.0006446 Age</t>
    </r>
    <r>
      <rPr>
        <vertAlign val="superscript"/>
        <sz val="10"/>
        <rFont val="Calibri"/>
        <family val="2"/>
        <scheme val="minor"/>
      </rPr>
      <t>0.5</t>
    </r>
  </si>
  <si>
    <r>
      <t>0.8139 - 0.2375 Log(Age) + 0.05177 Age</t>
    </r>
    <r>
      <rPr>
        <vertAlign val="superscript"/>
        <sz val="10"/>
        <rFont val="Calibri"/>
        <family val="2"/>
        <scheme val="minor"/>
      </rPr>
      <t>0.5</t>
    </r>
  </si>
  <si>
    <r>
      <t>0.01329 + 0.02423 Log(Age) - 0.003299 Age</t>
    </r>
    <r>
      <rPr>
        <vertAlign val="superscript"/>
        <sz val="10"/>
        <rFont val="Calibri"/>
        <family val="2"/>
        <scheme val="minor"/>
      </rPr>
      <t>0.5</t>
    </r>
  </si>
  <si>
    <r>
      <t>0.8681 - 0.1842 Log(Age) + 0.04148 Age</t>
    </r>
    <r>
      <rPr>
        <vertAlign val="superscript"/>
        <sz val="10"/>
        <rFont val="Calibri"/>
        <family val="2"/>
        <scheme val="minor"/>
      </rPr>
      <t>0.5</t>
    </r>
  </si>
  <si>
    <r>
      <t>0.01398 + 0.005635 Log(Age) - 0.0001256 Age</t>
    </r>
    <r>
      <rPr>
        <vertAlign val="superscript"/>
        <sz val="10"/>
        <rFont val="Calibri"/>
        <family val="2"/>
        <scheme val="minor"/>
      </rPr>
      <t>0.5</t>
    </r>
  </si>
  <si>
    <r>
      <t>0.7055 - 0.3443 Log(Age) + 0.07231 Age</t>
    </r>
    <r>
      <rPr>
        <vertAlign val="superscript"/>
        <sz val="10"/>
        <rFont val="Calibri"/>
        <family val="2"/>
        <scheme val="minor"/>
      </rPr>
      <t>0.5</t>
    </r>
  </si>
  <si>
    <r>
      <t>0.01551 + 0.05237 Log(Age) - 0.009130 Age</t>
    </r>
    <r>
      <rPr>
        <vertAlign val="superscript"/>
        <sz val="10"/>
        <rFont val="Calibri"/>
        <family val="2"/>
        <scheme val="minor"/>
      </rPr>
      <t>0.5</t>
    </r>
  </si>
  <si>
    <r>
      <t>(AP_SCOR_Carotid + 64.001)</t>
    </r>
    <r>
      <rPr>
        <vertAlign val="superscript"/>
        <sz val="10"/>
        <rFont val="Calibri"/>
        <family val="2"/>
        <scheme val="minor"/>
      </rPr>
      <t>1.42</t>
    </r>
  </si>
  <si>
    <r>
      <t>393.2809 - 388.0236 Log(Age) + 92.6191 Age</t>
    </r>
    <r>
      <rPr>
        <vertAlign val="superscript"/>
        <sz val="10"/>
        <rFont val="Calibri"/>
        <family val="2"/>
        <scheme val="minor"/>
      </rPr>
      <t>0.5</t>
    </r>
  </si>
  <si>
    <r>
      <t>-2.5923 + 102.9272 Log(Age) - 15.1048 Age</t>
    </r>
    <r>
      <rPr>
        <vertAlign val="superscript"/>
        <sz val="10"/>
        <rFont val="Calibri"/>
        <family val="2"/>
        <scheme val="minor"/>
      </rPr>
      <t>0.5</t>
    </r>
  </si>
  <si>
    <r>
      <t>(AP_SCOR_Carotid + 34.001)</t>
    </r>
    <r>
      <rPr>
        <vertAlign val="superscript"/>
        <sz val="10"/>
        <rFont val="Calibri"/>
        <family val="2"/>
        <scheme val="minor"/>
      </rPr>
      <t>1.02</t>
    </r>
  </si>
  <si>
    <r>
      <t>40.0113 - 52.6609 Log(Age) + 12.8761 Age</t>
    </r>
    <r>
      <rPr>
        <vertAlign val="superscript"/>
        <sz val="10"/>
        <rFont val="Calibri"/>
        <family val="2"/>
        <scheme val="minor"/>
      </rPr>
      <t>0.5</t>
    </r>
  </si>
  <si>
    <r>
      <t>0.5615 + 13.2035 Log(Age) - 2.0868 Age</t>
    </r>
    <r>
      <rPr>
        <vertAlign val="superscript"/>
        <sz val="10"/>
        <rFont val="Calibri"/>
        <family val="2"/>
        <scheme val="minor"/>
      </rPr>
      <t>0.5</t>
    </r>
  </si>
  <si>
    <r>
      <t>(AP_SCOR_Carotid + 64.001)</t>
    </r>
    <r>
      <rPr>
        <vertAlign val="superscript"/>
        <sz val="10"/>
        <rFont val="Calibri"/>
        <family val="2"/>
        <scheme val="minor"/>
      </rPr>
      <t>1.64</t>
    </r>
  </si>
  <si>
    <r>
      <t>976.4405 - 1061.7920 Log(Age) + 249.1877 Age</t>
    </r>
    <r>
      <rPr>
        <vertAlign val="superscript"/>
        <sz val="10"/>
        <rFont val="Calibri"/>
        <family val="2"/>
        <scheme val="minor"/>
      </rPr>
      <t>0.5</t>
    </r>
  </si>
  <si>
    <r>
      <t>-14.9967 + 318.9083 Log(Age) - 49.2517 Age</t>
    </r>
    <r>
      <rPr>
        <vertAlign val="superscript"/>
        <sz val="10"/>
        <rFont val="Calibri"/>
        <family val="2"/>
        <scheme val="minor"/>
      </rPr>
      <t>0.5</t>
    </r>
  </si>
  <si>
    <r>
      <t>(AIx_SCOR_Carotid + 55.001)</t>
    </r>
    <r>
      <rPr>
        <vertAlign val="superscript"/>
        <sz val="10"/>
        <rFont val="Calibri"/>
        <family val="2"/>
        <scheme val="minor"/>
      </rPr>
      <t>0.585</t>
    </r>
  </si>
  <si>
    <r>
      <t>9.7223 - 9.9109 Log(Age) + 2.5489 Age</t>
    </r>
    <r>
      <rPr>
        <vertAlign val="superscript"/>
        <sz val="10"/>
        <rFont val="Calibri"/>
        <family val="2"/>
        <scheme val="minor"/>
      </rPr>
      <t>0.5</t>
    </r>
  </si>
  <si>
    <r>
      <t>0.5113 + 3.2109 Log(Age) - 0.5788 Age</t>
    </r>
    <r>
      <rPr>
        <vertAlign val="superscript"/>
        <sz val="10"/>
        <rFont val="Calibri"/>
        <family val="2"/>
        <scheme val="minor"/>
      </rPr>
      <t>0.5</t>
    </r>
  </si>
  <si>
    <r>
      <t>(AIx_SCOR_Carotid + 49.001)</t>
    </r>
    <r>
      <rPr>
        <vertAlign val="superscript"/>
        <sz val="10"/>
        <rFont val="Calibri"/>
        <family val="2"/>
        <scheme val="minor"/>
      </rPr>
      <t>0.583</t>
    </r>
  </si>
  <si>
    <r>
      <t>9.3004 - 10.9802 Log(Age) + 2.8315 Age</t>
    </r>
    <r>
      <rPr>
        <vertAlign val="superscript"/>
        <sz val="10"/>
        <rFont val="Calibri"/>
        <family val="2"/>
        <scheme val="minor"/>
      </rPr>
      <t>0.5</t>
    </r>
  </si>
  <si>
    <r>
      <t>0.6146 + 3.4234 Log(Age) - 0.6463 Age</t>
    </r>
    <r>
      <rPr>
        <vertAlign val="superscript"/>
        <sz val="10"/>
        <rFont val="Calibri"/>
        <family val="2"/>
        <scheme val="minor"/>
      </rPr>
      <t>0.5</t>
    </r>
  </si>
  <si>
    <r>
      <t>(AIx_SCOR_Carotid + 55.001)</t>
    </r>
    <r>
      <rPr>
        <vertAlign val="superscript"/>
        <sz val="10"/>
        <rFont val="Calibri"/>
        <family val="2"/>
        <scheme val="minor"/>
      </rPr>
      <t>0.665</t>
    </r>
  </si>
  <si>
    <r>
      <t>12.4127 - 13.3992 Log(Age) + 3.5061 Age</t>
    </r>
    <r>
      <rPr>
        <vertAlign val="superscript"/>
        <sz val="10"/>
        <rFont val="Calibri"/>
        <family val="2"/>
        <scheme val="minor"/>
      </rPr>
      <t>0.5</t>
    </r>
  </si>
  <si>
    <r>
      <t>0.6773 + 4.8666 Log(Age) - 0.8599 Age</t>
    </r>
    <r>
      <rPr>
        <vertAlign val="superscript"/>
        <sz val="10"/>
        <rFont val="Calibri"/>
        <family val="2"/>
        <scheme val="minor"/>
      </rPr>
      <t>0.5</t>
    </r>
  </si>
  <si>
    <r>
      <t>(AIx@75_SCOR_Carotid + 56.001)</t>
    </r>
    <r>
      <rPr>
        <vertAlign val="superscript"/>
        <sz val="10"/>
        <rFont val="Calibri"/>
        <family val="2"/>
        <scheme val="minor"/>
      </rPr>
      <t>0.763</t>
    </r>
  </si>
  <si>
    <r>
      <t>26.7932 - 35.7420 Log(Age) + 7.8502 Age</t>
    </r>
    <r>
      <rPr>
        <vertAlign val="superscript"/>
        <sz val="10"/>
        <rFont val="Calibri"/>
        <family val="2"/>
        <scheme val="minor"/>
      </rPr>
      <t>0.5</t>
    </r>
  </si>
  <si>
    <r>
      <t>0.4348 + 8.6675 Log(Age) - 1.4377 Age</t>
    </r>
    <r>
      <rPr>
        <vertAlign val="superscript"/>
        <sz val="10"/>
        <rFont val="Calibri"/>
        <family val="2"/>
        <scheme val="minor"/>
      </rPr>
      <t>0.5</t>
    </r>
  </si>
  <si>
    <r>
      <t>(AIx@75_SCOR_Carotid + 52.001)</t>
    </r>
    <r>
      <rPr>
        <vertAlign val="superscript"/>
        <sz val="10"/>
        <rFont val="Calibri"/>
        <family val="2"/>
        <scheme val="minor"/>
      </rPr>
      <t>0.783</t>
    </r>
  </si>
  <si>
    <r>
      <t>28.8016 - 41.7853 Log(Age) + 9.3490 Age</t>
    </r>
    <r>
      <rPr>
        <vertAlign val="superscript"/>
        <sz val="10"/>
        <rFont val="Calibri"/>
        <family val="2"/>
        <scheme val="minor"/>
      </rPr>
      <t>0.5</t>
    </r>
  </si>
  <si>
    <r>
      <t>0.9893 + 10.3899 Log(Age) - 1.9337 Age</t>
    </r>
    <r>
      <rPr>
        <vertAlign val="superscript"/>
        <sz val="10"/>
        <rFont val="Calibri"/>
        <family val="2"/>
        <scheme val="minor"/>
      </rPr>
      <t>0.5</t>
    </r>
  </si>
  <si>
    <r>
      <t>(AIx@75_SCOR_Carotid + 56.001)</t>
    </r>
    <r>
      <rPr>
        <vertAlign val="superscript"/>
        <sz val="10"/>
        <rFont val="Calibri"/>
        <family val="2"/>
        <scheme val="minor"/>
      </rPr>
      <t>0.809</t>
    </r>
  </si>
  <si>
    <r>
      <t>30.6103 - 40.5435 Log(Age) + 8.8236 Age</t>
    </r>
    <r>
      <rPr>
        <vertAlign val="superscript"/>
        <sz val="10"/>
        <rFont val="Calibri"/>
        <family val="2"/>
        <scheme val="minor"/>
      </rPr>
      <t>0.5</t>
    </r>
  </si>
  <si>
    <r>
      <t>-0.1681 + 11.4047 Log(Age) - 1.8331 Age</t>
    </r>
    <r>
      <rPr>
        <vertAlign val="superscript"/>
        <sz val="10"/>
        <rFont val="Calibri"/>
        <family val="2"/>
        <scheme val="minor"/>
      </rPr>
      <t>0.5</t>
    </r>
  </si>
  <si>
    <r>
      <t>1.3147 + 2.2303 Log(Age) - 0.7062 Age</t>
    </r>
    <r>
      <rPr>
        <vertAlign val="superscript"/>
        <sz val="10"/>
        <rFont val="Calibri"/>
        <family val="2"/>
        <scheme val="minor"/>
      </rPr>
      <t>0.5</t>
    </r>
    <r>
      <rPr>
        <sz val="10"/>
        <rFont val="Calibri"/>
        <family val="2"/>
        <scheme val="minor"/>
      </rPr>
      <t xml:space="preserve"> + 0.02873 Age</t>
    </r>
  </si>
  <si>
    <r>
      <t>0.08095 - 0.1591 Log(Age) + 0.08254 Age</t>
    </r>
    <r>
      <rPr>
        <vertAlign val="superscript"/>
        <sz val="10"/>
        <rFont val="Calibri"/>
        <family val="2"/>
        <scheme val="minor"/>
      </rPr>
      <t>0.5</t>
    </r>
    <r>
      <rPr>
        <sz val="10"/>
        <rFont val="Calibri"/>
        <family val="2"/>
        <scheme val="minor"/>
      </rPr>
      <t xml:space="preserve"> - 0.005286 Age</t>
    </r>
  </si>
  <si>
    <r>
      <t>Pf_SCOR_Carotid</t>
    </r>
    <r>
      <rPr>
        <vertAlign val="superscript"/>
        <sz val="10"/>
        <rFont val="Calibri"/>
        <family val="2"/>
        <scheme val="minor"/>
      </rPr>
      <t>0.08</t>
    </r>
  </si>
  <si>
    <r>
      <t>1.3757 + 2.9694 Log(Age) - 1.0091 Age</t>
    </r>
    <r>
      <rPr>
        <vertAlign val="superscript"/>
        <sz val="10"/>
        <rFont val="Calibri"/>
        <family val="2"/>
        <scheme val="minor"/>
      </rPr>
      <t>0.5</t>
    </r>
    <r>
      <rPr>
        <sz val="10"/>
        <rFont val="Calibri"/>
        <family val="2"/>
        <scheme val="minor"/>
      </rPr>
      <t xml:space="preserve"> + 0.04410 Age</t>
    </r>
  </si>
  <si>
    <r>
      <t>0.009536 - 0.5847 Log(Age) + 0.2697 Age</t>
    </r>
    <r>
      <rPr>
        <vertAlign val="superscript"/>
        <sz val="10"/>
        <rFont val="Calibri"/>
        <family val="2"/>
        <scheme val="minor"/>
      </rPr>
      <t>0.5</t>
    </r>
    <r>
      <rPr>
        <sz val="10"/>
        <rFont val="Calibri"/>
        <family val="2"/>
        <scheme val="minor"/>
      </rPr>
      <t xml:space="preserve"> - 0.01563 Age</t>
    </r>
  </si>
  <si>
    <r>
      <t>Pf_SCOR_Carotid</t>
    </r>
    <r>
      <rPr>
        <vertAlign val="superscript"/>
        <sz val="10"/>
        <rFont val="Calibri"/>
        <family val="2"/>
        <scheme val="minor"/>
      </rPr>
      <t>0.038</t>
    </r>
  </si>
  <si>
    <r>
      <t>1.2692 + 2.0139 Log(Age) - 0.6015 Age</t>
    </r>
    <r>
      <rPr>
        <vertAlign val="superscript"/>
        <sz val="10"/>
        <rFont val="Calibri"/>
        <family val="2"/>
        <scheme val="minor"/>
      </rPr>
      <t>0.5</t>
    </r>
    <r>
      <rPr>
        <sz val="10"/>
        <rFont val="Calibri"/>
        <family val="2"/>
        <scheme val="minor"/>
      </rPr>
      <t xml:space="preserve"> + 0.02287 Age</t>
    </r>
  </si>
  <si>
    <r>
      <t>0.1364 + 0.2383 Log(Age) - 0.08859 Age</t>
    </r>
    <r>
      <rPr>
        <vertAlign val="superscript"/>
        <sz val="10"/>
        <rFont val="Calibri"/>
        <family val="2"/>
        <scheme val="minor"/>
      </rPr>
      <t>0.5</t>
    </r>
    <r>
      <rPr>
        <sz val="10"/>
        <rFont val="Calibri"/>
        <family val="2"/>
        <scheme val="minor"/>
      </rPr>
      <t xml:space="preserve"> + 0.003968 Age</t>
    </r>
  </si>
  <si>
    <r>
      <t>Pf_SCOR_Carotid</t>
    </r>
    <r>
      <rPr>
        <vertAlign val="superscript"/>
        <sz val="10"/>
        <rFont val="Calibri"/>
        <family val="2"/>
        <scheme val="minor"/>
      </rPr>
      <t>0.101</t>
    </r>
  </si>
  <si>
    <r>
      <t>Pb_SCOR_Carotid</t>
    </r>
    <r>
      <rPr>
        <vertAlign val="superscript"/>
        <sz val="10"/>
        <rFont val="Calibri"/>
        <family val="2"/>
        <scheme val="minor"/>
      </rPr>
      <t>0.15</t>
    </r>
  </si>
  <si>
    <r>
      <t>Pb_SCOR_Carotid</t>
    </r>
    <r>
      <rPr>
        <vertAlign val="superscript"/>
        <sz val="10"/>
        <rFont val="Calibri"/>
        <family val="2"/>
        <scheme val="minor"/>
      </rPr>
      <t>0.046</t>
    </r>
  </si>
  <si>
    <r>
      <t>Pb_SCOR_Carotid</t>
    </r>
    <r>
      <rPr>
        <vertAlign val="superscript"/>
        <sz val="10"/>
        <rFont val="Calibri"/>
        <family val="2"/>
        <scheme val="minor"/>
      </rPr>
      <t>0.242</t>
    </r>
  </si>
  <si>
    <r>
      <t>RM_SCOR_Carotid</t>
    </r>
    <r>
      <rPr>
        <vertAlign val="superscript"/>
        <sz val="10"/>
        <rFont val="Calibri"/>
        <family val="2"/>
        <scheme val="minor"/>
      </rPr>
      <t>0.271</t>
    </r>
  </si>
  <si>
    <r>
      <t>0.7953 - 0.2588 Log(Age) + 0.06872 Age</t>
    </r>
    <r>
      <rPr>
        <vertAlign val="superscript"/>
        <sz val="10"/>
        <rFont val="Calibri"/>
        <family val="2"/>
        <scheme val="minor"/>
      </rPr>
      <t>0.5</t>
    </r>
  </si>
  <si>
    <r>
      <t>0.04468 + 0.01642 Log(Age) - 0.001290 Age</t>
    </r>
    <r>
      <rPr>
        <vertAlign val="superscript"/>
        <sz val="10"/>
        <rFont val="Calibri"/>
        <family val="2"/>
        <scheme val="minor"/>
      </rPr>
      <t>0.5</t>
    </r>
  </si>
  <si>
    <r>
      <t>RM_SCOR_Carotid</t>
    </r>
    <r>
      <rPr>
        <vertAlign val="superscript"/>
        <sz val="10"/>
        <rFont val="Calibri"/>
        <family val="2"/>
        <scheme val="minor"/>
      </rPr>
      <t>0.141</t>
    </r>
  </si>
  <si>
    <r>
      <t>0.8967 - 0.1805 Log(Age) + 0.04725 Age</t>
    </r>
    <r>
      <rPr>
        <vertAlign val="superscript"/>
        <sz val="10"/>
        <rFont val="Calibri"/>
        <family val="2"/>
        <scheme val="minor"/>
      </rPr>
      <t>0.5</t>
    </r>
  </si>
  <si>
    <r>
      <t>0.02140 + 0.02835 Log(Age) - 0.005093 Age</t>
    </r>
    <r>
      <rPr>
        <vertAlign val="superscript"/>
        <sz val="10"/>
        <rFont val="Calibri"/>
        <family val="2"/>
        <scheme val="minor"/>
      </rPr>
      <t>0.5</t>
    </r>
  </si>
  <si>
    <r>
      <t>RM_SCOR_Carotid</t>
    </r>
    <r>
      <rPr>
        <vertAlign val="superscript"/>
        <sz val="10"/>
        <rFont val="Calibri"/>
        <family val="2"/>
        <scheme val="minor"/>
      </rPr>
      <t>0.484</t>
    </r>
  </si>
  <si>
    <r>
      <t>0.6343 - 0.2848 Log(Age) + 0.07951 Age</t>
    </r>
    <r>
      <rPr>
        <vertAlign val="superscript"/>
        <sz val="10"/>
        <rFont val="Calibri"/>
        <family val="2"/>
        <scheme val="minor"/>
      </rPr>
      <t>0.5</t>
    </r>
  </si>
  <si>
    <r>
      <t>0.06659 + 0.01429 Log(Age) + 0.0001523 Age</t>
    </r>
    <r>
      <rPr>
        <vertAlign val="superscript"/>
        <sz val="10"/>
        <rFont val="Calibri"/>
        <family val="2"/>
        <scheme val="minor"/>
      </rPr>
      <t>0.5</t>
    </r>
  </si>
  <si>
    <r>
      <t>0.3929 - 0.2494 Log(Age) + 0.06634 Age</t>
    </r>
    <r>
      <rPr>
        <vertAlign val="superscript"/>
        <sz val="10"/>
        <rFont val="Calibri"/>
        <family val="2"/>
        <scheme val="minor"/>
      </rPr>
      <t>0.5</t>
    </r>
  </si>
  <si>
    <r>
      <t>0.04304 + 0.01972 Log(Age) - 0.002175 Age</t>
    </r>
    <r>
      <rPr>
        <vertAlign val="superscript"/>
        <sz val="10"/>
        <rFont val="Calibri"/>
        <family val="2"/>
        <scheme val="minor"/>
      </rPr>
      <t>0.5</t>
    </r>
  </si>
  <si>
    <r>
      <t>0.4948 - 0.2863 Log(Age) + 0.07510 Age</t>
    </r>
    <r>
      <rPr>
        <vertAlign val="superscript"/>
        <sz val="10"/>
        <rFont val="Calibri"/>
        <family val="2"/>
        <scheme val="minor"/>
      </rPr>
      <t>0.5</t>
    </r>
  </si>
  <si>
    <r>
      <t>0.03428 + 0.04848 Log(Age) - 0.008952 Age</t>
    </r>
    <r>
      <rPr>
        <vertAlign val="superscript"/>
        <sz val="10"/>
        <rFont val="Calibri"/>
        <family val="2"/>
        <scheme val="minor"/>
      </rPr>
      <t>0.5</t>
    </r>
  </si>
  <si>
    <r>
      <t>0.2664 - 0.1799 Log(Age) + 0.05033 Age</t>
    </r>
    <r>
      <rPr>
        <vertAlign val="superscript"/>
        <sz val="10"/>
        <rFont val="Calibri"/>
        <family val="2"/>
        <scheme val="minor"/>
      </rPr>
      <t>0.5</t>
    </r>
  </si>
  <si>
    <r>
      <t>0.04205 + 0.01292 Log(Age) - 0.0008348 Age</t>
    </r>
    <r>
      <rPr>
        <vertAlign val="superscript"/>
        <sz val="10"/>
        <rFont val="Calibri"/>
        <family val="2"/>
        <scheme val="minor"/>
      </rPr>
      <t>0.5</t>
    </r>
  </si>
  <si>
    <r>
      <t>0.9391 + 1.4351 Log(Age) - 0.4946 Age</t>
    </r>
    <r>
      <rPr>
        <vertAlign val="superscript"/>
        <sz val="10"/>
        <rFont val="Calibri"/>
        <family val="2"/>
        <scheme val="minor"/>
      </rPr>
      <t>0.5</t>
    </r>
    <r>
      <rPr>
        <sz val="10"/>
        <rFont val="Calibri"/>
        <family val="2"/>
        <scheme val="minor"/>
      </rPr>
      <t xml:space="preserve"> + 0.02597 Age</t>
    </r>
  </si>
  <si>
    <r>
      <t>0.06333 + 0.09156 Log(Age) - 0.01918 Age</t>
    </r>
    <r>
      <rPr>
        <vertAlign val="superscript"/>
        <sz val="10"/>
        <rFont val="Calibri"/>
        <family val="2"/>
        <scheme val="minor"/>
      </rPr>
      <t>0.5</t>
    </r>
    <r>
      <rPr>
        <sz val="10"/>
        <rFont val="Calibri"/>
        <family val="2"/>
        <scheme val="minor"/>
      </rPr>
      <t xml:space="preserve"> + 0.0003125 Age</t>
    </r>
  </si>
  <si>
    <r>
      <t>0.7917 + 1.1324 Log(Age) - 0.3055 Age</t>
    </r>
    <r>
      <rPr>
        <vertAlign val="superscript"/>
        <sz val="10"/>
        <rFont val="Calibri"/>
        <family val="2"/>
        <scheme val="minor"/>
      </rPr>
      <t>0.5</t>
    </r>
    <r>
      <rPr>
        <sz val="10"/>
        <rFont val="Calibri"/>
        <family val="2"/>
        <scheme val="minor"/>
      </rPr>
      <t xml:space="preserve"> + 0.01290 Age</t>
    </r>
  </si>
  <si>
    <r>
      <t>0.1450 + 0.2304 Log(Age) - 0.1026 Age</t>
    </r>
    <r>
      <rPr>
        <vertAlign val="superscript"/>
        <sz val="10"/>
        <rFont val="Calibri"/>
        <family val="2"/>
        <scheme val="minor"/>
      </rPr>
      <t>0.5</t>
    </r>
    <r>
      <rPr>
        <sz val="10"/>
        <rFont val="Calibri"/>
        <family val="2"/>
        <scheme val="minor"/>
      </rPr>
      <t xml:space="preserve"> + 0.005707 Age</t>
    </r>
  </si>
  <si>
    <t>Log(Pb_SCOR_Carotid)</t>
  </si>
  <si>
    <r>
      <t>0.8775 + 1.0083 Log(Age) - 0.2810 Age</t>
    </r>
    <r>
      <rPr>
        <vertAlign val="superscript"/>
        <sz val="10"/>
        <rFont val="Calibri"/>
        <family val="2"/>
        <scheme val="minor"/>
      </rPr>
      <t>0.5</t>
    </r>
    <r>
      <rPr>
        <sz val="10"/>
        <rFont val="Calibri"/>
        <family val="2"/>
        <scheme val="minor"/>
      </rPr>
      <t xml:space="preserve"> + 0.01341 Age</t>
    </r>
  </si>
  <si>
    <r>
      <t>0.09822 - 0.1123 Log(Age) + 0.05081 Age</t>
    </r>
    <r>
      <rPr>
        <vertAlign val="superscript"/>
        <sz val="10"/>
        <rFont val="Calibri"/>
        <family val="2"/>
        <scheme val="minor"/>
      </rPr>
      <t>0.5</t>
    </r>
    <r>
      <rPr>
        <sz val="10"/>
        <rFont val="Calibri"/>
        <family val="2"/>
        <scheme val="minor"/>
      </rPr>
      <t xml:space="preserve"> - 0.002880 Age</t>
    </r>
  </si>
  <si>
    <r>
      <t>0.9580 + 1.1945 Log(Age) - 0.3876 Age</t>
    </r>
    <r>
      <rPr>
        <vertAlign val="superscript"/>
        <sz val="10"/>
        <rFont val="Calibri"/>
        <family val="2"/>
        <scheme val="minor"/>
      </rPr>
      <t>0.5</t>
    </r>
    <r>
      <rPr>
        <sz val="10"/>
        <rFont val="Calibri"/>
        <family val="2"/>
        <scheme val="minor"/>
      </rPr>
      <t xml:space="preserve"> + 0.02039 Age</t>
    </r>
  </si>
  <si>
    <r>
      <t>0.06749 - 0.3896 Log(Age) + 0.1669 Age</t>
    </r>
    <r>
      <rPr>
        <vertAlign val="superscript"/>
        <sz val="10"/>
        <rFont val="Calibri"/>
        <family val="2"/>
        <scheme val="minor"/>
      </rPr>
      <t>0.5</t>
    </r>
    <r>
      <rPr>
        <sz val="10"/>
        <rFont val="Calibri"/>
        <family val="2"/>
        <scheme val="minor"/>
      </rPr>
      <t xml:space="preserve"> - 0.009007 Age</t>
    </r>
  </si>
  <si>
    <r>
      <t>0.7966 + 0.9560 Log(Age) - 0.2224 Age</t>
    </r>
    <r>
      <rPr>
        <vertAlign val="superscript"/>
        <sz val="10"/>
        <rFont val="Calibri"/>
        <family val="2"/>
        <scheme val="minor"/>
      </rPr>
      <t>0.5</t>
    </r>
    <r>
      <rPr>
        <sz val="10"/>
        <rFont val="Calibri"/>
        <family val="2"/>
        <scheme val="minor"/>
      </rPr>
      <t xml:space="preserve"> + 0.008555 Age</t>
    </r>
  </si>
  <si>
    <r>
      <t>0.1393 + 0.2261 Log(Age) - 0.09361 Age</t>
    </r>
    <r>
      <rPr>
        <vertAlign val="superscript"/>
        <sz val="10"/>
        <rFont val="Calibri"/>
        <family val="2"/>
        <scheme val="minor"/>
      </rPr>
      <t>0.5</t>
    </r>
    <r>
      <rPr>
        <sz val="10"/>
        <rFont val="Calibri"/>
        <family val="2"/>
        <scheme val="minor"/>
      </rPr>
      <t xml:space="preserve"> + 0.005008 Age</t>
    </r>
  </si>
  <si>
    <r>
      <t>1.6830 + 1.0845 Log(BH) - 0.9222 BH</t>
    </r>
    <r>
      <rPr>
        <vertAlign val="superscript"/>
        <sz val="10"/>
        <rFont val="Calibri"/>
        <family val="2"/>
        <scheme val="minor"/>
      </rPr>
      <t>0.5</t>
    </r>
  </si>
  <si>
    <r>
      <t>3.9189 + 4.3908 Log(BH) - 3.4104 BH</t>
    </r>
    <r>
      <rPr>
        <vertAlign val="superscript"/>
        <sz val="10"/>
        <rFont val="Calibri"/>
        <family val="2"/>
        <scheme val="minor"/>
      </rPr>
      <t>0.5</t>
    </r>
  </si>
  <si>
    <r>
      <t>1.7684 + 1.1595 Log(BH) - 1.0275 BH</t>
    </r>
    <r>
      <rPr>
        <vertAlign val="superscript"/>
        <sz val="10"/>
        <rFont val="Calibri"/>
        <family val="2"/>
        <scheme val="minor"/>
      </rPr>
      <t>0.5</t>
    </r>
  </si>
  <si>
    <r>
      <t>2.0261 - 5.6065 Log(BH) + 2.7839 BH</t>
    </r>
    <r>
      <rPr>
        <vertAlign val="superscript"/>
        <sz val="10"/>
        <rFont val="Calibri"/>
        <family val="2"/>
        <scheme val="minor"/>
      </rPr>
      <t>0.5</t>
    </r>
  </si>
  <si>
    <r>
      <t>´-45.2192 - 73.3155 Log(BH) + 52.8231 BH</t>
    </r>
    <r>
      <rPr>
        <vertAlign val="superscript"/>
        <sz val="10"/>
        <rFont val="Calibri"/>
        <family val="2"/>
        <scheme val="minor"/>
      </rPr>
      <t>0.5</t>
    </r>
  </si>
  <si>
    <r>
      <t>0.2684 - 2.0662 Log(BH) + 1.2683 BH</t>
    </r>
    <r>
      <rPr>
        <vertAlign val="superscript"/>
        <sz val="10"/>
        <rFont val="Calibri"/>
        <family val="2"/>
        <scheme val="minor"/>
      </rPr>
      <t>0.5</t>
    </r>
  </si>
  <si>
    <r>
      <t>47.3538 + 19.9666 Log(BH) - 33.8261 BH</t>
    </r>
    <r>
      <rPr>
        <vertAlign val="superscript"/>
        <sz val="10"/>
        <rFont val="Calibri"/>
        <family val="2"/>
        <scheme val="minor"/>
      </rPr>
      <t>0.5</t>
    </r>
  </si>
  <si>
    <r>
      <t>13.3064 - 20.5808 Log(BH) - 0.02044 BH</t>
    </r>
    <r>
      <rPr>
        <vertAlign val="superscript"/>
        <sz val="10"/>
        <rFont val="Calibri"/>
        <family val="2"/>
        <scheme val="minor"/>
      </rPr>
      <t>0.5</t>
    </r>
  </si>
  <si>
    <r>
      <t>´-45.0855 - 91.5328 Log(BH) + 54.7133 BH</t>
    </r>
    <r>
      <rPr>
        <vertAlign val="superscript"/>
        <sz val="10"/>
        <rFont val="Calibri"/>
        <family val="2"/>
        <scheme val="minor"/>
      </rPr>
      <t>0.5</t>
    </r>
  </si>
  <si>
    <r>
      <t>0.3130 - 0.003265 Log(BH) - 0.1490 BH</t>
    </r>
    <r>
      <rPr>
        <vertAlign val="superscript"/>
        <sz val="10"/>
        <rFont val="Calibri"/>
        <family val="2"/>
        <scheme val="minor"/>
      </rPr>
      <t>0.5</t>
    </r>
  </si>
  <si>
    <r>
      <t>´-0.4918 - 1.0974 Log(BH) + 0.6871 BH</t>
    </r>
    <r>
      <rPr>
        <vertAlign val="superscript"/>
        <sz val="10"/>
        <rFont val="Calibri"/>
        <family val="2"/>
        <scheme val="minor"/>
      </rPr>
      <t>0.5</t>
    </r>
  </si>
  <si>
    <r>
      <t>´-0.2846 - 1.1418 Log(BH) + 0.6135 BH</t>
    </r>
    <r>
      <rPr>
        <vertAlign val="superscript"/>
        <sz val="10"/>
        <rFont val="Calibri"/>
        <family val="2"/>
        <scheme val="minor"/>
      </rPr>
      <t>0.5</t>
    </r>
  </si>
  <si>
    <r>
      <t>1.7547 + 1.1912 Log(BH) - 1.1680 BH</t>
    </r>
    <r>
      <rPr>
        <vertAlign val="superscript"/>
        <sz val="10"/>
        <rFont val="Calibri"/>
        <family val="2"/>
        <scheme val="minor"/>
      </rPr>
      <t>0.5</t>
    </r>
  </si>
  <si>
    <r>
      <t>1.0650 + 0.1751 Log(BH) - 0.2802 BH</t>
    </r>
    <r>
      <rPr>
        <vertAlign val="superscript"/>
        <sz val="10"/>
        <rFont val="Calibri"/>
        <family val="2"/>
        <scheme val="minor"/>
      </rPr>
      <t>0.5</t>
    </r>
  </si>
  <si>
    <r>
      <t>0.8705 - 0.1619 Log(BH) - 0.1016 BH</t>
    </r>
    <r>
      <rPr>
        <vertAlign val="superscript"/>
        <sz val="10"/>
        <rFont val="Calibri"/>
        <family val="2"/>
        <scheme val="minor"/>
      </rPr>
      <t>0.5</t>
    </r>
  </si>
  <si>
    <r>
      <t>´-2.3371 - 3.2112 Log(BH) + 2.6323 BH</t>
    </r>
    <r>
      <rPr>
        <vertAlign val="superscript"/>
        <sz val="10"/>
        <rFont val="Calibri"/>
        <family val="2"/>
        <scheme val="minor"/>
      </rPr>
      <t>0.5</t>
    </r>
  </si>
  <si>
    <r>
      <t>´-5.1035 - 6.8764 Log(BH) + 5.4186 BH</t>
    </r>
    <r>
      <rPr>
        <vertAlign val="superscript"/>
        <sz val="10"/>
        <rFont val="Calibri"/>
        <family val="2"/>
        <scheme val="minor"/>
      </rPr>
      <t>0.5</t>
    </r>
  </si>
  <si>
    <r>
      <t>´-1.7733 - 2.4570 Log(BH) + 2.0600 BH</t>
    </r>
    <r>
      <rPr>
        <vertAlign val="superscript"/>
        <sz val="10"/>
        <rFont val="Calibri"/>
        <family val="2"/>
        <scheme val="minor"/>
      </rPr>
      <t>0.5</t>
    </r>
  </si>
  <si>
    <r>
      <t>´-0.2120 - 0.2877 Log(BH) + 0.2360 BH</t>
    </r>
    <r>
      <rPr>
        <vertAlign val="superscript"/>
        <sz val="10"/>
        <rFont val="Calibri"/>
        <family val="2"/>
        <scheme val="minor"/>
      </rPr>
      <t>0.5</t>
    </r>
  </si>
  <si>
    <r>
      <t>´-0.4779 - 0.6402 Log(BH) + 0.5044 BH</t>
    </r>
    <r>
      <rPr>
        <vertAlign val="superscript"/>
        <sz val="10"/>
        <rFont val="Calibri"/>
        <family val="2"/>
        <scheme val="minor"/>
      </rPr>
      <t>0.5</t>
    </r>
  </si>
  <si>
    <r>
      <t>´-0.1567 - 0.2136 Log(BH) + 0.1793 BH</t>
    </r>
    <r>
      <rPr>
        <vertAlign val="superscript"/>
        <sz val="10"/>
        <rFont val="Calibri"/>
        <family val="2"/>
        <scheme val="minor"/>
      </rPr>
      <t>0.5</t>
    </r>
  </si>
  <si>
    <r>
      <t>´-1.8126 - 2.4239 Log(BH) + 1.8831 BH</t>
    </r>
    <r>
      <rPr>
        <vertAlign val="superscript"/>
        <sz val="10"/>
        <rFont val="Calibri"/>
        <family val="2"/>
        <scheme val="minor"/>
      </rPr>
      <t>0.5</t>
    </r>
  </si>
  <si>
    <r>
      <t>0.09736 + 0.1505 Log(BH) - 0.02470 BH</t>
    </r>
    <r>
      <rPr>
        <vertAlign val="superscript"/>
        <sz val="10"/>
        <rFont val="Calibri"/>
        <family val="2"/>
        <scheme val="minor"/>
      </rPr>
      <t>0.5</t>
    </r>
  </si>
  <si>
    <r>
      <t>´-1.6988 - 2.2966 Log(BH) + 1.7886 BH</t>
    </r>
    <r>
      <rPr>
        <vertAlign val="superscript"/>
        <sz val="10"/>
        <rFont val="Calibri"/>
        <family val="2"/>
        <scheme val="minor"/>
      </rPr>
      <t>0.5</t>
    </r>
  </si>
  <si>
    <r>
      <t>´-5.3567 - 6.9511 Log(BH) + 5.9355 BH</t>
    </r>
    <r>
      <rPr>
        <vertAlign val="superscript"/>
        <sz val="10"/>
        <rFont val="Calibri"/>
        <family val="2"/>
        <scheme val="minor"/>
      </rPr>
      <t>0.5</t>
    </r>
  </si>
  <si>
    <r>
      <t>0.4074 + 1.6814 Log(BH) + 0.4150 BH</t>
    </r>
    <r>
      <rPr>
        <vertAlign val="superscript"/>
        <sz val="10"/>
        <rFont val="Calibri"/>
        <family val="2"/>
        <scheme val="minor"/>
      </rPr>
      <t>0.5</t>
    </r>
  </si>
  <si>
    <r>
      <t>´-2.0896 - 2.8085 Log(BH) + 2.1932 BH</t>
    </r>
    <r>
      <rPr>
        <vertAlign val="superscript"/>
        <sz val="10"/>
        <rFont val="Calibri"/>
        <family val="2"/>
        <scheme val="minor"/>
      </rPr>
      <t>0.5</t>
    </r>
  </si>
  <si>
    <r>
      <t>48.6705 + 67.8393 Log(BH) - 47.0970 BH</t>
    </r>
    <r>
      <rPr>
        <vertAlign val="superscript"/>
        <sz val="10"/>
        <rFont val="Calibri"/>
        <family val="2"/>
        <scheme val="minor"/>
      </rPr>
      <t>0.5</t>
    </r>
  </si>
  <si>
    <r>
      <t>42.1620 + 57.9932 Log(BH) - 40.6636 BH</t>
    </r>
    <r>
      <rPr>
        <vertAlign val="superscript"/>
        <sz val="10"/>
        <rFont val="Calibri"/>
        <family val="2"/>
        <scheme val="minor"/>
      </rPr>
      <t>0.5</t>
    </r>
  </si>
  <si>
    <r>
      <t>18.0254 + 25.9992 Log(BH) - 17.0370 BH</t>
    </r>
    <r>
      <rPr>
        <vertAlign val="superscript"/>
        <sz val="10"/>
        <rFont val="Calibri"/>
        <family val="2"/>
        <scheme val="minor"/>
      </rPr>
      <t>0.5</t>
    </r>
  </si>
  <si>
    <r>
      <t>0.1260 + 0.1553 Log(BH) - 0.1086 BH</t>
    </r>
    <r>
      <rPr>
        <vertAlign val="superscript"/>
        <sz val="10"/>
        <rFont val="Calibri"/>
        <family val="2"/>
        <scheme val="minor"/>
      </rPr>
      <t>0.5</t>
    </r>
  </si>
  <si>
    <r>
      <t>0.3954 + 0.4972 Log(BH) - 0.3779 BH</t>
    </r>
    <r>
      <rPr>
        <vertAlign val="superscript"/>
        <sz val="10"/>
        <rFont val="Calibri"/>
        <family val="2"/>
        <scheme val="minor"/>
      </rPr>
      <t>0.5</t>
    </r>
  </si>
  <si>
    <r>
      <t>0.5099 + 0.7022 Log(BH) - 0.4927 BH</t>
    </r>
    <r>
      <rPr>
        <vertAlign val="superscript"/>
        <sz val="10"/>
        <rFont val="Calibri"/>
        <family val="2"/>
        <scheme val="minor"/>
      </rPr>
      <t>0.5</t>
    </r>
  </si>
  <si>
    <r>
      <t>0.5181 + 0.6867 Log(BH) - 0.4900 BH</t>
    </r>
    <r>
      <rPr>
        <vertAlign val="superscript"/>
        <sz val="10"/>
        <rFont val="Calibri"/>
        <family val="2"/>
        <scheme val="minor"/>
      </rPr>
      <t>0.5</t>
    </r>
  </si>
  <si>
    <r>
      <t>0.7259 + 0.9565 Log(BH) - 0.7106 BH</t>
    </r>
    <r>
      <rPr>
        <vertAlign val="superscript"/>
        <sz val="10"/>
        <rFont val="Calibri"/>
        <family val="2"/>
        <scheme val="minor"/>
      </rPr>
      <t>0.5</t>
    </r>
  </si>
  <si>
    <r>
      <t>0.4652 + 0.6419 Log(BH) - 0.4486 BH</t>
    </r>
    <r>
      <rPr>
        <vertAlign val="superscript"/>
        <sz val="10"/>
        <rFont val="Calibri"/>
        <family val="2"/>
        <scheme val="minor"/>
      </rPr>
      <t>0.5</t>
    </r>
  </si>
  <si>
    <r>
      <t>2.0487 + 2.7939 Log(BH) - 1.9880 BH</t>
    </r>
    <r>
      <rPr>
        <vertAlign val="superscript"/>
        <sz val="10"/>
        <rFont val="Calibri"/>
        <family val="2"/>
        <scheme val="minor"/>
      </rPr>
      <t>0.5</t>
    </r>
  </si>
  <si>
    <r>
      <t>2.0100 + 2.7695 Log(BH) - 1.9536 BH</t>
    </r>
    <r>
      <rPr>
        <vertAlign val="superscript"/>
        <sz val="10"/>
        <rFont val="Calibri"/>
        <family val="2"/>
        <scheme val="minor"/>
      </rPr>
      <t>0.5</t>
    </r>
  </si>
  <si>
    <r>
      <t>1.7153 + 2.2952 Log(BH) - 1.6457 BH</t>
    </r>
    <r>
      <rPr>
        <vertAlign val="superscript"/>
        <sz val="10"/>
        <rFont val="Calibri"/>
        <family val="2"/>
        <scheme val="minor"/>
      </rPr>
      <t>0.5</t>
    </r>
  </si>
  <si>
    <r>
      <t>0.1857 + 0.2525 Log(BH) - 0.1801 BH</t>
    </r>
    <r>
      <rPr>
        <vertAlign val="superscript"/>
        <sz val="10"/>
        <rFont val="Calibri"/>
        <family val="2"/>
        <scheme val="minor"/>
      </rPr>
      <t>0.5</t>
    </r>
  </si>
  <si>
    <r>
      <t>0.1883 + 0.2588 Log(BH) - 0.1830 BH</t>
    </r>
    <r>
      <rPr>
        <vertAlign val="superscript"/>
        <sz val="10"/>
        <rFont val="Calibri"/>
        <family val="2"/>
        <scheme val="minor"/>
      </rPr>
      <t>0.5</t>
    </r>
  </si>
  <si>
    <r>
      <t>0.1524 + 0.2034 Log(BH) - 0.1462 BH</t>
    </r>
    <r>
      <rPr>
        <vertAlign val="superscript"/>
        <sz val="10"/>
        <rFont val="Calibri"/>
        <family val="2"/>
        <scheme val="minor"/>
      </rPr>
      <t>0.5</t>
    </r>
  </si>
  <si>
    <t>13.5451 - 0.1522 BH</t>
  </si>
  <si>
    <t>6.4392 - 0.1507 BH</t>
  </si>
  <si>
    <r>
      <t>´-127.1614 - 214.8059 Log(BH) + 156.2618 BH</t>
    </r>
    <r>
      <rPr>
        <vertAlign val="superscript"/>
        <sz val="10"/>
        <rFont val="Calibri"/>
        <family val="2"/>
        <scheme val="minor"/>
      </rPr>
      <t>0.5</t>
    </r>
  </si>
  <si>
    <t>10.5467 - 44.6743 Log(BH) + 11.3967 BH</t>
  </si>
  <si>
    <t>20.8491 - 2.4212 BH</t>
  </si>
  <si>
    <t>30.1156 - 2.5138 BH</t>
  </si>
  <si>
    <r>
      <t>19.2945 + 83.0335 BH</t>
    </r>
    <r>
      <rPr>
        <vertAlign val="superscript"/>
        <sz val="10"/>
        <rFont val="Calibri"/>
        <family val="2"/>
        <scheme val="minor"/>
      </rPr>
      <t>0.5</t>
    </r>
    <r>
      <rPr>
        <sz val="10"/>
        <rFont val="Calibri"/>
        <family val="2"/>
        <scheme val="minor"/>
      </rPr>
      <t xml:space="preserve"> - 53.5952 BH</t>
    </r>
  </si>
  <si>
    <r>
      <t>423.4145 - 625.2416 BH</t>
    </r>
    <r>
      <rPr>
        <vertAlign val="superscript"/>
        <sz val="10"/>
        <rFont val="Calibri"/>
        <family val="2"/>
        <scheme val="minor"/>
      </rPr>
      <t>0.5</t>
    </r>
    <r>
      <rPr>
        <sz val="10"/>
        <rFont val="Calibri"/>
        <family val="2"/>
        <scheme val="minor"/>
      </rPr>
      <t xml:space="preserve"> + 248.5543 BH</t>
    </r>
  </si>
  <si>
    <r>
      <t>398.2180 - 549.6975 BH</t>
    </r>
    <r>
      <rPr>
        <vertAlign val="superscript"/>
        <sz val="10"/>
        <rFont val="Calibri"/>
        <family val="2"/>
        <scheme val="minor"/>
      </rPr>
      <t>0.5</t>
    </r>
    <r>
      <rPr>
        <sz val="10"/>
        <rFont val="Calibri"/>
        <family val="2"/>
        <scheme val="minor"/>
      </rPr>
      <t xml:space="preserve"> + 209.5578 BH</t>
    </r>
  </si>
  <si>
    <t>1.1530 + 0.2294 Log(BH) - 0.03924 BH</t>
  </si>
  <si>
    <t>0.7510 - 0.5499 Log(BH) + 0.1533 BH</t>
  </si>
  <si>
    <t>2.0047 + 2.1859 Log(BH) - 0.4792 BH</t>
  </si>
  <si>
    <t>1.6454 + 0.9995 Log(BH) - 0.1300 BH</t>
  </si>
  <si>
    <t>1.2856 + 0.5662 Log(BH) - 0.1393 BH</t>
  </si>
  <si>
    <t>2.3828 + 2.5961 Log(BH) - 0.3390 BH</t>
  </si>
  <si>
    <t>1.1340 + 0.1771 Log(BH) - 0.02831 BH</t>
  </si>
  <si>
    <t>1.1089 + 0.03867 BH</t>
  </si>
  <si>
    <t>1.0073 + 0.001865 BH</t>
  </si>
  <si>
    <t>0.5854 - 0.2203 Log(BH) + 0.04134 BH</t>
  </si>
  <si>
    <t>0.8458 - 0.01478 BH</t>
  </si>
  <si>
    <t>0.6423 - 0.02558 BH</t>
  </si>
  <si>
    <t>´-1.3596 + 2.2920 BH</t>
  </si>
  <si>
    <t>´-1.2783 + 1.7513 BH</t>
  </si>
  <si>
    <r>
      <t>9.4626 + 27.7089 Log(BH) - 7.2873 BH</t>
    </r>
    <r>
      <rPr>
        <vertAlign val="superscript"/>
        <sz val="10"/>
        <rFont val="Calibri"/>
        <family val="2"/>
        <scheme val="minor"/>
      </rPr>
      <t>0.5</t>
    </r>
  </si>
  <si>
    <t>9.1991 + 26.4644 Log(BH) - 5.8753 BH</t>
  </si>
  <si>
    <t>´-0.1983 + 3.2714 BH</t>
  </si>
  <si>
    <t>1.8923 + 3.2756 BH</t>
  </si>
  <si>
    <r>
      <t>´-147.2613 + 256.8455 BH</t>
    </r>
    <r>
      <rPr>
        <vertAlign val="superscript"/>
        <sz val="10"/>
        <rFont val="Calibri"/>
        <family val="2"/>
        <scheme val="minor"/>
      </rPr>
      <t>0.5</t>
    </r>
    <r>
      <rPr>
        <sz val="10"/>
        <rFont val="Calibri"/>
        <family val="2"/>
        <scheme val="minor"/>
      </rPr>
      <t xml:space="preserve"> - 103.1733 BH</t>
    </r>
  </si>
  <si>
    <r>
      <t>´-137.4493 + 237.9713 BH</t>
    </r>
    <r>
      <rPr>
        <vertAlign val="superscript"/>
        <sz val="10"/>
        <rFont val="Calibri"/>
        <family val="2"/>
        <scheme val="minor"/>
      </rPr>
      <t>0.5</t>
    </r>
    <r>
      <rPr>
        <sz val="10"/>
        <rFont val="Calibri"/>
        <family val="2"/>
        <scheme val="minor"/>
      </rPr>
      <t xml:space="preserve"> - 94.5481 BH</t>
    </r>
  </si>
  <si>
    <r>
      <t>´-148.1696 + 253.4987 BH</t>
    </r>
    <r>
      <rPr>
        <vertAlign val="superscript"/>
        <sz val="10"/>
        <rFont val="Calibri"/>
        <family val="2"/>
        <scheme val="minor"/>
      </rPr>
      <t>0.5</t>
    </r>
    <r>
      <rPr>
        <sz val="10"/>
        <rFont val="Calibri"/>
        <family val="2"/>
        <scheme val="minor"/>
      </rPr>
      <t xml:space="preserve"> - 99.5937 BH</t>
    </r>
  </si>
  <si>
    <t>0.04244 + 0.1143 Log(BH) - 0.03313 BH</t>
  </si>
  <si>
    <t>0.02550 + 0.05269 Log(BH) - 0.01679 BH</t>
  </si>
  <si>
    <t>0.3589 + 1.1216 Log(BH) - 0.3212 BH</t>
  </si>
  <si>
    <t>0.1916 + 0.4815 Log(BH) - 0.1323 BH</t>
  </si>
  <si>
    <t>0.05042 + 0.1354 Log(BH) - 0.03701 BH</t>
  </si>
  <si>
    <t>0.4720 + 1.1477 Log(BH) - 0.3202 BH</t>
  </si>
  <si>
    <t>0.04448 + 0.1472 Log(BH) - 0.01666 BH</t>
  </si>
  <si>
    <t>´-0.01870 + 0.05753 BH</t>
  </si>
  <si>
    <t>0.00006709 + 0.002100 BH</t>
  </si>
  <si>
    <t>0.04252 + 0.1365 Log(BH) - 0.01300 BH</t>
  </si>
  <si>
    <t>´-0.006851 + 0.02175 BH</t>
  </si>
  <si>
    <t>0.001159 + 0.02853 BH</t>
  </si>
  <si>
    <t>307.9127 + 12.1605 BH</t>
  </si>
  <si>
    <t>31.0192 + 0.7353 BH</t>
  </si>
  <si>
    <t>687.4310 + 57.0418 BH</t>
  </si>
  <si>
    <t>6.9356 + 0.9307 BH</t>
  </si>
  <si>
    <t>7.5429 + 2.5287 BH</t>
  </si>
  <si>
    <t>6.7745 - 45.2934 Log(BH) + 12.3759 BH</t>
  </si>
  <si>
    <t>´-36.5188 - 190.1965 Log(BH) + 58.5768 BH</t>
  </si>
  <si>
    <t>´-37.7714 - 203.2702 Log(BH) + 61.2526 BH</t>
  </si>
  <si>
    <t>´1.3887 + 0.4351 Log(BH) - 0.08386 BH</t>
  </si>
  <si>
    <t>1.2275 + 0.3588 Log(BH) - 0.09507 BH</t>
  </si>
  <si>
    <t>1.6691 + 1.1182 Log(BH) - 0.2738 BH</t>
  </si>
  <si>
    <t>1.4364 + 0.5454 Log(BH) - 0.01875 BH</t>
  </si>
  <si>
    <t>1.0726 - 0.02926 Log(BH) + 0.04379 BH</t>
  </si>
  <si>
    <t>2.0902 + 2.3001 Log(BH) - 0.3721 BH</t>
  </si>
  <si>
    <t>0.5343 - 0.6241 Log(BH) + 0.2355 BH</t>
  </si>
  <si>
    <t>0.7123 - 0.4237 Log(BH) + 0.1638 BH</t>
  </si>
  <si>
    <t>0.1695 - 1.1637 Log(BH) + 0.4395 BH</t>
  </si>
  <si>
    <t>0.1344 - 0.6236 Log(BH) + 0.2344 BH</t>
  </si>
  <si>
    <t>0.1831 - 0.7329 Log(BH) + 0.2801 BH</t>
  </si>
  <si>
    <t>´-0.03293 - 0.7537 Log(BH) + 0.2838 BH</t>
  </si>
  <si>
    <t>´-35.8750 + 69.3685 BH</t>
  </si>
  <si>
    <t>´-8.3328 + 12.3709 BH</t>
  </si>
  <si>
    <t>´-72.8453 + 166.3766 BH</t>
  </si>
  <si>
    <t>´-0.8851 + 2.3434 BH</t>
  </si>
  <si>
    <t>´-0.1960 + 2.2798 BH</t>
  </si>
  <si>
    <t>´17.2184 + 60.3488 Log(BH) - 14.5537 BH</t>
  </si>
  <si>
    <t>20.7585 + 74.8381 Log(BH) - 17.7356 BH</t>
  </si>
  <si>
    <t>´-10.6858 - 28.8363 Log(BH) + 14.4660 BH</t>
  </si>
  <si>
    <t>0.09976 + 0.2594 Log(BH) - 0.07345 BH</t>
  </si>
  <si>
    <t>0.007400 + 0.006940 Log(BH) + 0.003664 BH</t>
  </si>
  <si>
    <t>0.1134 + 0.2669 Log(BH) - 0.07621 BH</t>
  </si>
  <si>
    <t>0.09414 + 0.1470 Log(BH) - 0.03599 BH</t>
  </si>
  <si>
    <t>0.02279 + 0.03299 Log(BH) - 0.008516 BH</t>
  </si>
  <si>
    <t>0.3803 + 1.0854 Log(BH) - 0.2898 BH</t>
  </si>
  <si>
    <t>0.2229 + 0.6833 Log(BH) - 0.1800 BH</t>
  </si>
  <si>
    <t>0.1105 + 0.3524 Log(BH) - 0.08549 BH</t>
  </si>
  <si>
    <t>´-0.09876 - 0.4418 Log(BH) + 0.1777 BH</t>
  </si>
  <si>
    <t>0.2082 + 0.6336 Log(BH) - 0.1657 BH</t>
  </si>
  <si>
    <t>0.1708 + 0.5408 Log(BH) - 0.1299 BH</t>
  </si>
  <si>
    <t>´-0.06267 - 0.2826 Log(BH) + 0.1134 BH</t>
  </si>
  <si>
    <t>Table S13. Body height (m)-related mean and standard deviation equations: mathematical model summary</t>
  </si>
  <si>
    <r>
      <t>0.1738 + 1.2469 Log(Age) - 0.03242 Age + 0.0002080 Age</t>
    </r>
    <r>
      <rPr>
        <vertAlign val="superscript"/>
        <sz val="10"/>
        <rFont val="Calibri"/>
        <family val="2"/>
        <scheme val="minor"/>
      </rPr>
      <t>2</t>
    </r>
  </si>
  <si>
    <r>
      <t>-0.1114 + 0.3854 Log(Age) - 0.01546 Age + 0.0001284 Age</t>
    </r>
    <r>
      <rPr>
        <vertAlign val="superscript"/>
        <sz val="10"/>
        <rFont val="Calibri"/>
        <family val="2"/>
        <scheme val="minor"/>
      </rPr>
      <t>2</t>
    </r>
  </si>
  <si>
    <r>
      <t>0.4738 + 1.2547 Log(Age) - 0.03725 Age + 0.0002481 Age</t>
    </r>
    <r>
      <rPr>
        <vertAlign val="superscript"/>
        <sz val="10"/>
        <rFont val="Calibri"/>
        <family val="2"/>
        <scheme val="minor"/>
      </rPr>
      <t>2</t>
    </r>
  </si>
  <si>
    <r>
      <t>-0.08573 + 0.3290 Log(Age) - 0.01407 Age + 0.0001264 Age</t>
    </r>
    <r>
      <rPr>
        <vertAlign val="superscript"/>
        <sz val="10"/>
        <rFont val="Calibri"/>
        <family val="2"/>
        <scheme val="minor"/>
      </rPr>
      <t>2</t>
    </r>
  </si>
  <si>
    <t>Log(Pf_SCOR_Radial)</t>
  </si>
  <si>
    <r>
      <t>0.6040 + 1.1227 Log(Age) - 0.02853 Age + 0.0001483 Age</t>
    </r>
    <r>
      <rPr>
        <vertAlign val="superscript"/>
        <sz val="10"/>
        <rFont val="Calibri"/>
        <family val="2"/>
        <scheme val="minor"/>
      </rPr>
      <t>2</t>
    </r>
  </si>
  <si>
    <r>
      <t>0.02476 + 0.1598 Log(Age) - 0.007296 Age + 0.00006194 Age</t>
    </r>
    <r>
      <rPr>
        <vertAlign val="superscript"/>
        <sz val="10"/>
        <rFont val="Calibri"/>
        <family val="2"/>
        <scheme val="minor"/>
      </rPr>
      <t>2</t>
    </r>
  </si>
  <si>
    <t>´-5.3001 - 41.8971 Log(BH) + 14.1293 BH</t>
  </si>
  <si>
    <t>6.3617 + 22.0519 Log(BH) - 5.2060 BH</t>
  </si>
  <si>
    <t>Table S2. Central and peripheral blood pressure and central waveform-derived indexes</t>
  </si>
  <si>
    <t>Brachial Artery Oscillometry (Mobil-O-Graph device)</t>
  </si>
  <si>
    <t>Radial Artery Applanation Tonometry (SphygmoCor device)</t>
  </si>
  <si>
    <t>Carotid Artery Applanation Tonometry (SphygmoCor device)</t>
  </si>
  <si>
    <t>Table S3. Association between atherosclerotic plaque presence and central blood pressure waveform-derived indexes (Partial correlations; age- and sex-adjusted)</t>
  </si>
  <si>
    <t>Brachial Artery Oscillometry (MOG device)</t>
  </si>
  <si>
    <t>Rix</t>
  </si>
  <si>
    <t>RIx</t>
  </si>
  <si>
    <t>AP: Augmentation Pressure. AIx: Augmentation Index. AIx@75: Augmentation Index adjusted by heart rate equal 75 beats/minute. Pf: forward pressure. Pb: backward pressure. RM and RIx: reflection magnitude and index, respectively. r: Pearson coeffcient. MOG: Mobil-O-Graph device. SCOR: SphygmoCor device.</t>
  </si>
  <si>
    <t>RIx_MOG</t>
  </si>
  <si>
    <t>RIx_SCOR_Radial</t>
  </si>
  <si>
    <t>RIx_SCOR_Carotid</t>
  </si>
  <si>
    <t>Table S4. Agreement between central waveform derived indexes obtained using applanation tonometry (carotid and radial) and oscillometry/plethismography (brachial): Bland-Altman analysis (y: Method A - Method B; x: Mean of both Methods)</t>
  </si>
  <si>
    <t>Reflection Index (RIx)</t>
  </si>
  <si>
    <t>Augmentation index (AIx@75 (%))</t>
  </si>
  <si>
    <t>SE: standard error. C.I.: confidence interval. MOG: Mobil-O-Graph device. SCOR: SphygmoCor device.</t>
  </si>
  <si>
    <t>Table S5. Multiple linear regression models between (i) vave-derived indexes and (ii) sex, age and body height (including interaction analysis: Sex*Age) and Johnson-Neyman significance regions: Mobil-O-Graph (brachial oscillometry)-derived indexes</t>
  </si>
  <si>
    <r>
      <t>RIx_SCOR_Carotid</t>
    </r>
    <r>
      <rPr>
        <vertAlign val="superscript"/>
        <sz val="10"/>
        <rFont val="Calibri"/>
        <family val="2"/>
        <scheme val="minor"/>
      </rPr>
      <t>0.775</t>
    </r>
  </si>
  <si>
    <r>
      <t>RIx_SCOR_Carotid</t>
    </r>
    <r>
      <rPr>
        <vertAlign val="superscript"/>
        <sz val="10"/>
        <rFont val="Calibri"/>
        <family val="2"/>
        <scheme val="minor"/>
      </rPr>
      <t>0.608</t>
    </r>
  </si>
  <si>
    <r>
      <t>RIx_SCOR_Carotid</t>
    </r>
    <r>
      <rPr>
        <vertAlign val="superscript"/>
        <sz val="10"/>
        <rFont val="Calibri"/>
        <family val="2"/>
        <scheme val="minor"/>
      </rPr>
      <t>1.04</t>
    </r>
  </si>
  <si>
    <r>
      <t>RIx_SCOR_Radial</t>
    </r>
    <r>
      <rPr>
        <vertAlign val="superscript"/>
        <sz val="10"/>
        <rFont val="Calibri"/>
        <family val="2"/>
        <scheme val="minor"/>
      </rPr>
      <t>0.253</t>
    </r>
  </si>
  <si>
    <r>
      <t>RIx_SCOR_Radial</t>
    </r>
    <r>
      <rPr>
        <vertAlign val="superscript"/>
        <sz val="10"/>
        <rFont val="Calibri"/>
        <family val="2"/>
        <scheme val="minor"/>
      </rPr>
      <t>0.174</t>
    </r>
  </si>
  <si>
    <r>
      <t>RIx_SCOR_Radial</t>
    </r>
    <r>
      <rPr>
        <vertAlign val="superscript"/>
        <sz val="10"/>
        <rFont val="Calibri"/>
        <family val="2"/>
        <scheme val="minor"/>
      </rPr>
      <t>0.437</t>
    </r>
  </si>
  <si>
    <r>
      <t>RIx_MOG</t>
    </r>
    <r>
      <rPr>
        <vertAlign val="superscript"/>
        <sz val="10"/>
        <rFont val="Calibri"/>
        <family val="2"/>
        <scheme val="minor"/>
      </rPr>
      <t>3.61</t>
    </r>
  </si>
  <si>
    <r>
      <t>RIx_MOG</t>
    </r>
    <r>
      <rPr>
        <vertAlign val="superscript"/>
        <sz val="10"/>
        <rFont val="Calibri"/>
        <family val="2"/>
        <scheme val="minor"/>
      </rPr>
      <t>3.57</t>
    </r>
  </si>
  <si>
    <r>
      <t>RIx_MOG</t>
    </r>
    <r>
      <rPr>
        <vertAlign val="superscript"/>
        <sz val="10"/>
        <rFont val="Calibri"/>
        <family val="2"/>
        <scheme val="minor"/>
      </rPr>
      <t>3.65</t>
    </r>
  </si>
  <si>
    <t>Waveform-derived index (Dependent variable)</t>
  </si>
  <si>
    <t>AP: Augmentation Pressure. AIx: Augmentation Index. AIx@75: Augmentation Index adjusted by heart rate equal 75 beats/minute. Pf: forward pressure. Pb: backward pressure. RM and RIx: reflection magnitude and index, respectively. r: Pearson coeffcient. MOG: Mobil-O-Graph device. SCOR: SphygmoCor device. Age in years.</t>
  </si>
  <si>
    <t>AP: Augmentation Pressure. AIx: Augmentation Index. AIx@75: Augmentation Index adjusted by heart rate equal 75 beats/minute. Pf: forward pressure. Pb: backward pressure. RM and RIx: reflection magnitude and index, respectively. BH: body height (m). r: Pearson coeffcient. MOG: Mobil-O-Graph device. SCOR: SphygmoCor device.</t>
  </si>
  <si>
    <t>Table S20. AIx@75_MOG age-related reference intervals: All (Females and Males)</t>
  </si>
  <si>
    <t>Table S32. RIx_MOG age-related reference intervals: All (Females and Males)</t>
  </si>
  <si>
    <t>Table S33. RIx_MOG age-related reference intervals: Females</t>
  </si>
  <si>
    <t>Table S34. RIx_MOG age-related reference intervals: Males</t>
  </si>
  <si>
    <t>Table S42. AIx@75_SCOR_Radial age-related reference intervals: Females</t>
  </si>
  <si>
    <t>Table S53. RIx_SCOR_Radial age-related reference intervals: All (Females and Males)</t>
  </si>
  <si>
    <t>Table S54. RIx_SCOR_Radial age-related reference intervals: Females</t>
  </si>
  <si>
    <t>Table S55. RIx_SCOR_Radial age-related reference intervals: Males</t>
  </si>
  <si>
    <t>Table S74. RIx_SCOR_Carotid age-related reference intervals: All (Females and Males)</t>
  </si>
  <si>
    <t>Table S75. RIx_SCOR_Carotid age-related reference intervals: Females</t>
  </si>
  <si>
    <t>Table S76. RIx_SCOR_Carotid age-related reference intervals: Males</t>
  </si>
  <si>
    <t>Table S95. RIx_MOG body height-related reference intervals: All (Females and Males)</t>
  </si>
  <si>
    <t>Table S96. RIx_MOG body height-related reference intervals: Females</t>
  </si>
  <si>
    <t>Table S97. RIx_MOG body height-related reference intervals: Males</t>
  </si>
  <si>
    <t xml:space="preserve">MV: mean value. SD: standard deviation. Min. and Max.: minimal and maximal value. p25th, p50th (median) and p75th: 25, 50 and 75 percentiles. BMI: body mass index. HR: heart rate. baSBP, baDBP, baMBP: brachial artery systolic, diastolic and mean blood pressure.  aoSBP, aoDBP: central aortic systolic and diastolic blood pressure. CVD: cardiovascular disease. AP: Augmentation Pressure. AIx: Augmentation Index. AIx@75: Augmentation Index adjusted by heart rate equal 75 beats/minute. Pf: forward pressure. Pb: backward pressure. RM and RIx: reflection magnitude and index, respectively. </t>
  </si>
  <si>
    <t>1 (0-9 y)</t>
  </si>
  <si>
    <t>2 (10-19 y)</t>
  </si>
  <si>
    <t>3 (20-29 y)</t>
  </si>
  <si>
    <t>4 (30-39 y)</t>
  </si>
  <si>
    <t>5 (40-49 y)</t>
  </si>
  <si>
    <t>6 (50-59 y)</t>
  </si>
  <si>
    <t>7 (60 - 69 y)</t>
  </si>
  <si>
    <t>8 (70 - 79 y)</t>
  </si>
  <si>
    <t>9 (80 -89 y)</t>
  </si>
  <si>
    <t>----</t>
  </si>
  <si>
    <t>Table S1, part A. Subjects demographic, anthropometric and clinical characteristics</t>
  </si>
  <si>
    <t>Table S1, part B. Subjects demographic, anthropometric and clinical characteristics</t>
  </si>
</sst>
</file>

<file path=xl/styles.xml><?xml version="1.0" encoding="utf-8"?>
<styleSheet xmlns="http://schemas.openxmlformats.org/spreadsheetml/2006/main">
  <numFmts count="8">
    <numFmt numFmtId="164" formatCode="###0.000"/>
    <numFmt numFmtId="165" formatCode="0.0"/>
    <numFmt numFmtId="166" formatCode="0.000"/>
    <numFmt numFmtId="167" formatCode="0.0000"/>
    <numFmt numFmtId="168" formatCode="###0.0"/>
    <numFmt numFmtId="169" formatCode="###0.00"/>
    <numFmt numFmtId="170" formatCode="###0"/>
    <numFmt numFmtId="171" formatCode="###0.0%"/>
  </numFmts>
  <fonts count="57">
    <font>
      <sz val="11"/>
      <color theme="1"/>
      <name val="Calibri"/>
      <family val="2"/>
      <scheme val="minor"/>
    </font>
    <font>
      <sz val="9"/>
      <name val="Arial"/>
      <family val="2"/>
    </font>
    <font>
      <sz val="10"/>
      <name val="Times New Roman"/>
      <family val="1"/>
    </font>
    <font>
      <b/>
      <sz val="10"/>
      <color theme="0"/>
      <name val="Times New Roman"/>
      <family val="1"/>
    </font>
    <font>
      <b/>
      <sz val="10"/>
      <name val="Times New Roman"/>
      <family val="1"/>
    </font>
    <font>
      <vertAlign val="subscript"/>
      <sz val="10"/>
      <name val="Times New Roman"/>
      <family val="1"/>
    </font>
    <font>
      <b/>
      <sz val="10"/>
      <color rgb="FFFF0000"/>
      <name val="Times New Roman"/>
      <family val="1"/>
    </font>
    <font>
      <sz val="10"/>
      <color theme="1"/>
      <name val="Times New Roman"/>
      <family val="1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u/>
      <sz val="11"/>
      <color theme="10"/>
      <name val="Calibri"/>
      <family val="2"/>
    </font>
    <font>
      <sz val="10"/>
      <name val="Arial"/>
      <family val="2"/>
    </font>
    <font>
      <b/>
      <sz val="11"/>
      <color indexed="60"/>
      <name val="Arial Bold"/>
    </font>
    <font>
      <sz val="9"/>
      <color indexed="62"/>
      <name val="Arial"/>
      <family val="2"/>
    </font>
    <font>
      <b/>
      <sz val="9"/>
      <color theme="0"/>
      <name val="Arial"/>
      <family val="2"/>
    </font>
    <font>
      <sz val="11"/>
      <color indexed="8"/>
      <name val="Courier New"/>
      <family val="3"/>
    </font>
    <font>
      <sz val="10"/>
      <name val="Calibri"/>
      <family val="2"/>
      <scheme val="minor"/>
    </font>
    <font>
      <sz val="11"/>
      <color indexed="8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vertAlign val="superscript"/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1"/>
      <color theme="0"/>
      <name val="Calibri"/>
      <family val="2"/>
    </font>
    <font>
      <vertAlign val="superscript"/>
      <sz val="10"/>
      <color indexed="8"/>
      <name val="Calibri"/>
      <family val="2"/>
      <scheme val="minor"/>
    </font>
    <font>
      <sz val="11"/>
      <color rgb="FFFF0000"/>
      <name val="Courier New"/>
      <family val="3"/>
    </font>
    <font>
      <b/>
      <sz val="10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sz val="10"/>
      <color rgb="FFFF0000"/>
      <name val="Calibri"/>
      <family val="2"/>
    </font>
    <font>
      <sz val="8"/>
      <color rgb="FFFF0000"/>
      <name val="Calibri"/>
      <family val="2"/>
    </font>
    <font>
      <b/>
      <u/>
      <sz val="10"/>
      <color indexed="8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b/>
      <u/>
      <sz val="10"/>
      <name val="Calibri"/>
      <family val="2"/>
      <scheme val="minor"/>
    </font>
    <font>
      <sz val="9"/>
      <color rgb="FFFF0000"/>
      <name val="Calibri"/>
      <family val="2"/>
    </font>
    <font>
      <vertAlign val="superscript"/>
      <sz val="10"/>
      <name val="Calibri"/>
      <family val="2"/>
      <scheme val="minor"/>
    </font>
    <font>
      <b/>
      <sz val="9"/>
      <name val="Arial"/>
      <family val="2"/>
    </font>
    <font>
      <b/>
      <sz val="11"/>
      <color theme="0"/>
      <name val="Arial Bold"/>
    </font>
    <font>
      <sz val="1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000080"/>
      <name val="Arial"/>
      <family val="2"/>
    </font>
    <font>
      <vertAlign val="subscript"/>
      <sz val="8"/>
      <color theme="1"/>
      <name val="Arial"/>
      <family val="2"/>
    </font>
    <font>
      <sz val="10"/>
      <name val="Arial"/>
      <family val="2"/>
    </font>
    <font>
      <sz val="9"/>
      <color rgb="FFFF0000"/>
      <name val="Calibri"/>
      <family val="2"/>
      <scheme val="minor"/>
    </font>
    <font>
      <sz val="9"/>
      <color indexed="60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2"/>
      <color theme="1"/>
      <name val="Times New Roman"/>
      <family val="1"/>
    </font>
    <font>
      <b/>
      <sz val="10"/>
      <color rgb="FF000000"/>
      <name val="Calibri"/>
      <family val="2"/>
    </font>
    <font>
      <b/>
      <sz val="10"/>
      <color rgb="FFFFFFFF"/>
      <name val="Calibri"/>
      <family val="2"/>
    </font>
    <font>
      <b/>
      <sz val="9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0000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E0E0E0"/>
      </left>
      <right/>
      <top/>
      <bottom/>
      <diagonal/>
    </border>
    <border>
      <left style="thin">
        <color rgb="FFE0E0E0"/>
      </left>
      <right style="thin">
        <color rgb="FFE0E0E0"/>
      </right>
      <top/>
      <bottom/>
      <diagonal/>
    </border>
    <border>
      <left/>
      <right style="thin">
        <color rgb="FFE0E0E0"/>
      </right>
      <top/>
      <bottom/>
      <diagonal/>
    </border>
  </borders>
  <cellStyleXfs count="13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48" fillId="0" borderId="0"/>
  </cellStyleXfs>
  <cellXfs count="340">
    <xf numFmtId="0" fontId="0" fillId="0" borderId="0" xfId="0"/>
    <xf numFmtId="0" fontId="2" fillId="2" borderId="0" xfId="0" applyFont="1" applyFill="1" applyBorder="1" applyAlignment="1">
      <alignment vertical="top" wrapText="1"/>
    </xf>
    <xf numFmtId="0" fontId="2" fillId="4" borderId="0" xfId="0" applyFont="1" applyFill="1" applyBorder="1" applyAlignment="1">
      <alignment horizontal="center" vertical="top" wrapText="1"/>
    </xf>
    <xf numFmtId="0" fontId="2" fillId="2" borderId="0" xfId="0" applyFont="1" applyFill="1" applyBorder="1" applyAlignment="1">
      <alignment horizontal="center" vertical="top" wrapText="1"/>
    </xf>
    <xf numFmtId="0" fontId="4" fillId="2" borderId="0" xfId="0" applyFont="1" applyFill="1" applyBorder="1" applyAlignment="1">
      <alignment vertical="top" wrapText="1"/>
    </xf>
    <xf numFmtId="0" fontId="4" fillId="2" borderId="0" xfId="0" applyFont="1" applyFill="1" applyBorder="1" applyAlignment="1">
      <alignment horizontal="center" vertical="top" wrapText="1"/>
    </xf>
    <xf numFmtId="0" fontId="2" fillId="2" borderId="0" xfId="0" applyFont="1" applyFill="1" applyBorder="1" applyAlignment="1">
      <alignment wrapText="1"/>
    </xf>
    <xf numFmtId="0" fontId="2" fillId="4" borderId="0" xfId="0" applyFont="1" applyFill="1" applyBorder="1" applyAlignment="1">
      <alignment horizontal="center" wrapText="1"/>
    </xf>
    <xf numFmtId="0" fontId="2" fillId="2" borderId="0" xfId="0" applyFont="1" applyFill="1" applyBorder="1" applyAlignment="1">
      <alignment horizontal="center" wrapText="1"/>
    </xf>
    <xf numFmtId="0" fontId="6" fillId="4" borderId="0" xfId="0" applyFont="1" applyFill="1" applyBorder="1" applyAlignment="1">
      <alignment horizontal="center" vertical="top" wrapText="1"/>
    </xf>
    <xf numFmtId="0" fontId="6" fillId="2" borderId="0" xfId="0" applyFont="1" applyFill="1" applyBorder="1" applyAlignment="1">
      <alignment horizontal="center" vertical="top" wrapText="1"/>
    </xf>
    <xf numFmtId="0" fontId="7" fillId="0" borderId="0" xfId="0" applyFont="1"/>
    <xf numFmtId="0" fontId="7" fillId="0" borderId="0" xfId="0" applyFont="1" applyAlignment="1">
      <alignment horizontal="center"/>
    </xf>
    <xf numFmtId="0" fontId="7" fillId="2" borderId="0" xfId="0" applyFont="1" applyFill="1"/>
    <xf numFmtId="0" fontId="7" fillId="2" borderId="0" xfId="0" applyFont="1" applyFill="1" applyAlignment="1">
      <alignment horizontal="center"/>
    </xf>
    <xf numFmtId="0" fontId="4" fillId="2" borderId="0" xfId="0" applyFont="1" applyFill="1" applyBorder="1" applyAlignment="1"/>
    <xf numFmtId="0" fontId="2" fillId="3" borderId="0" xfId="0" applyFont="1" applyFill="1" applyBorder="1"/>
    <xf numFmtId="0" fontId="2" fillId="2" borderId="1" xfId="0" applyFont="1" applyFill="1" applyBorder="1" applyAlignment="1">
      <alignment vertical="top" wrapText="1"/>
    </xf>
    <xf numFmtId="0" fontId="6" fillId="4" borderId="1" xfId="0" applyFont="1" applyFill="1" applyBorder="1" applyAlignment="1">
      <alignment horizontal="center" vertical="top" wrapText="1"/>
    </xf>
    <xf numFmtId="0" fontId="6" fillId="2" borderId="1" xfId="0" applyFont="1" applyFill="1" applyBorder="1" applyAlignment="1">
      <alignment horizontal="center" vertical="top" wrapText="1"/>
    </xf>
    <xf numFmtId="0" fontId="0" fillId="0" borderId="0" xfId="0" applyFill="1" applyBorder="1"/>
    <xf numFmtId="0" fontId="0" fillId="2" borderId="0" xfId="0" applyFill="1" applyBorder="1"/>
    <xf numFmtId="0" fontId="14" fillId="2" borderId="0" xfId="2" applyFont="1" applyFill="1" applyBorder="1" applyAlignment="1">
      <alignment horizontal="left" wrapText="1"/>
    </xf>
    <xf numFmtId="0" fontId="13" fillId="2" borderId="0" xfId="2" applyFont="1" applyFill="1" applyBorder="1" applyAlignment="1">
      <alignment horizontal="left" vertical="center" wrapText="1"/>
    </xf>
    <xf numFmtId="0" fontId="14" fillId="2" borderId="1" xfId="2" applyFont="1" applyFill="1" applyBorder="1" applyAlignment="1">
      <alignment horizontal="left" wrapText="1"/>
    </xf>
    <xf numFmtId="0" fontId="0" fillId="0" borderId="0" xfId="0" applyAlignment="1">
      <alignment horizontal="center"/>
    </xf>
    <xf numFmtId="0" fontId="0" fillId="0" borderId="0" xfId="0" applyFont="1"/>
    <xf numFmtId="0" fontId="20" fillId="0" borderId="0" xfId="0" applyFont="1"/>
    <xf numFmtId="0" fontId="20" fillId="2" borderId="0" xfId="0" applyFont="1" applyFill="1"/>
    <xf numFmtId="0" fontId="21" fillId="2" borderId="0" xfId="3" applyFont="1" applyFill="1" applyBorder="1" applyAlignment="1"/>
    <xf numFmtId="0" fontId="21" fillId="2" borderId="0" xfId="3" applyFont="1" applyFill="1" applyBorder="1" applyAlignment="1">
      <alignment horizontal="center"/>
    </xf>
    <xf numFmtId="0" fontId="20" fillId="2" borderId="0" xfId="0" applyFont="1" applyFill="1" applyAlignment="1">
      <alignment horizontal="center"/>
    </xf>
    <xf numFmtId="0" fontId="21" fillId="2" borderId="0" xfId="3" applyFont="1" applyFill="1" applyBorder="1" applyAlignment="1">
      <alignment horizontal="left"/>
    </xf>
    <xf numFmtId="0" fontId="21" fillId="2" borderId="1" xfId="3" applyFont="1" applyFill="1" applyBorder="1" applyAlignment="1">
      <alignment horizontal="center"/>
    </xf>
    <xf numFmtId="0" fontId="20" fillId="2" borderId="1" xfId="0" applyFont="1" applyFill="1" applyBorder="1" applyAlignment="1">
      <alignment horizontal="center"/>
    </xf>
    <xf numFmtId="0" fontId="21" fillId="2" borderId="1" xfId="3" applyFont="1" applyFill="1" applyBorder="1" applyAlignment="1">
      <alignment horizontal="left"/>
    </xf>
    <xf numFmtId="0" fontId="25" fillId="2" borderId="0" xfId="0" applyFont="1" applyFill="1" applyAlignment="1">
      <alignment horizontal="center"/>
    </xf>
    <xf numFmtId="166" fontId="25" fillId="2" borderId="0" xfId="0" applyNumberFormat="1" applyFont="1" applyFill="1" applyAlignment="1">
      <alignment horizontal="center"/>
    </xf>
    <xf numFmtId="166" fontId="20" fillId="2" borderId="0" xfId="0" applyNumberFormat="1" applyFont="1" applyFill="1" applyAlignment="1">
      <alignment horizontal="center"/>
    </xf>
    <xf numFmtId="0" fontId="25" fillId="2" borderId="0" xfId="3" applyFont="1" applyFill="1" applyBorder="1" applyAlignment="1">
      <alignment horizontal="left"/>
    </xf>
    <xf numFmtId="0" fontId="17" fillId="2" borderId="0" xfId="3" applyFont="1" applyFill="1" applyBorder="1" applyAlignment="1">
      <alignment horizontal="left"/>
    </xf>
    <xf numFmtId="166" fontId="17" fillId="2" borderId="0" xfId="0" applyNumberFormat="1" applyFont="1" applyFill="1" applyAlignment="1">
      <alignment horizontal="center"/>
    </xf>
    <xf numFmtId="0" fontId="25" fillId="2" borderId="1" xfId="3" applyFont="1" applyFill="1" applyBorder="1" applyAlignment="1">
      <alignment horizontal="left"/>
    </xf>
    <xf numFmtId="0" fontId="20" fillId="2" borderId="1" xfId="0" applyFont="1" applyFill="1" applyBorder="1"/>
    <xf numFmtId="166" fontId="25" fillId="2" borderId="1" xfId="0" applyNumberFormat="1" applyFont="1" applyFill="1" applyBorder="1" applyAlignment="1">
      <alignment horizontal="center"/>
    </xf>
    <xf numFmtId="0" fontId="17" fillId="2" borderId="0" xfId="3" applyFont="1" applyFill="1"/>
    <xf numFmtId="166" fontId="20" fillId="2" borderId="1" xfId="0" applyNumberFormat="1" applyFont="1" applyFill="1" applyBorder="1" applyAlignment="1">
      <alignment horizontal="center"/>
    </xf>
    <xf numFmtId="0" fontId="17" fillId="2" borderId="1" xfId="3" applyFont="1" applyFill="1" applyBorder="1" applyAlignment="1">
      <alignment horizontal="left"/>
    </xf>
    <xf numFmtId="0" fontId="28" fillId="3" borderId="0" xfId="0" applyFont="1" applyFill="1" applyAlignment="1">
      <alignment horizontal="center"/>
    </xf>
    <xf numFmtId="166" fontId="21" fillId="2" borderId="0" xfId="3" applyNumberFormat="1" applyFont="1" applyFill="1" applyBorder="1" applyAlignment="1">
      <alignment horizontal="center"/>
    </xf>
    <xf numFmtId="166" fontId="20" fillId="0" borderId="0" xfId="0" applyNumberFormat="1" applyFont="1" applyAlignment="1">
      <alignment horizontal="center"/>
    </xf>
    <xf numFmtId="2" fontId="21" fillId="2" borderId="0" xfId="3" applyNumberFormat="1" applyFont="1" applyFill="1" applyBorder="1" applyAlignment="1">
      <alignment horizontal="center"/>
    </xf>
    <xf numFmtId="2" fontId="25" fillId="2" borderId="0" xfId="3" applyNumberFormat="1" applyFont="1" applyFill="1" applyBorder="1" applyAlignment="1">
      <alignment horizontal="center"/>
    </xf>
    <xf numFmtId="0" fontId="17" fillId="2" borderId="1" xfId="3" applyFont="1" applyFill="1" applyBorder="1" applyAlignment="1">
      <alignment horizontal="center"/>
    </xf>
    <xf numFmtId="166" fontId="20" fillId="2" borderId="0" xfId="0" applyNumberFormat="1" applyFont="1" applyFill="1" applyBorder="1" applyAlignment="1">
      <alignment horizontal="center"/>
    </xf>
    <xf numFmtId="0" fontId="21" fillId="2" borderId="0" xfId="3" quotePrefix="1" applyFont="1" applyFill="1" applyBorder="1" applyAlignment="1">
      <alignment horizontal="center"/>
    </xf>
    <xf numFmtId="166" fontId="20" fillId="2" borderId="2" xfId="0" applyNumberFormat="1" applyFont="1" applyFill="1" applyBorder="1" applyAlignment="1">
      <alignment horizontal="center"/>
    </xf>
    <xf numFmtId="166" fontId="25" fillId="2" borderId="0" xfId="0" applyNumberFormat="1" applyFont="1" applyFill="1" applyBorder="1" applyAlignment="1">
      <alignment horizontal="center"/>
    </xf>
    <xf numFmtId="166" fontId="33" fillId="2" borderId="0" xfId="0" applyNumberFormat="1" applyFont="1" applyFill="1" applyAlignment="1">
      <alignment horizontal="center"/>
    </xf>
    <xf numFmtId="0" fontId="20" fillId="2" borderId="0" xfId="0" applyFont="1" applyFill="1" applyBorder="1" applyAlignment="1">
      <alignment horizontal="center"/>
    </xf>
    <xf numFmtId="165" fontId="16" fillId="2" borderId="0" xfId="3" applyNumberFormat="1" applyFont="1" applyFill="1" applyBorder="1" applyAlignment="1">
      <alignment horizontal="center"/>
    </xf>
    <xf numFmtId="0" fontId="21" fillId="2" borderId="2" xfId="3" quotePrefix="1" applyFont="1" applyFill="1" applyBorder="1" applyAlignment="1">
      <alignment horizontal="center"/>
    </xf>
    <xf numFmtId="0" fontId="21" fillId="2" borderId="1" xfId="3" quotePrefix="1" applyFont="1" applyFill="1" applyBorder="1" applyAlignment="1">
      <alignment horizontal="center"/>
    </xf>
    <xf numFmtId="166" fontId="25" fillId="2" borderId="0" xfId="3" applyNumberFormat="1" applyFont="1" applyFill="1" applyBorder="1" applyAlignment="1">
      <alignment horizontal="center"/>
    </xf>
    <xf numFmtId="166" fontId="25" fillId="2" borderId="1" xfId="3" applyNumberFormat="1" applyFont="1" applyFill="1" applyBorder="1" applyAlignment="1">
      <alignment horizontal="center"/>
    </xf>
    <xf numFmtId="165" fontId="21" fillId="2" borderId="0" xfId="3" applyNumberFormat="1" applyFont="1" applyFill="1" applyBorder="1" applyAlignment="1">
      <alignment horizontal="center"/>
    </xf>
    <xf numFmtId="165" fontId="25" fillId="2" borderId="0" xfId="3" applyNumberFormat="1" applyFont="1" applyFill="1" applyBorder="1" applyAlignment="1">
      <alignment horizontal="center"/>
    </xf>
    <xf numFmtId="165" fontId="25" fillId="2" borderId="1" xfId="3" applyNumberFormat="1" applyFont="1" applyFill="1" applyBorder="1" applyAlignment="1">
      <alignment horizontal="center"/>
    </xf>
    <xf numFmtId="165" fontId="31" fillId="2" borderId="0" xfId="3" applyNumberFormat="1" applyFont="1" applyFill="1" applyBorder="1" applyAlignment="1">
      <alignment horizontal="center"/>
    </xf>
    <xf numFmtId="165" fontId="31" fillId="2" borderId="1" xfId="3" applyNumberFormat="1" applyFont="1" applyFill="1" applyBorder="1" applyAlignment="1">
      <alignment horizontal="center"/>
    </xf>
    <xf numFmtId="0" fontId="22" fillId="3" borderId="0" xfId="0" applyFont="1" applyFill="1"/>
    <xf numFmtId="0" fontId="23" fillId="2" borderId="0" xfId="0" applyFont="1" applyFill="1"/>
    <xf numFmtId="0" fontId="22" fillId="3" borderId="0" xfId="0" applyFont="1" applyFill="1" applyAlignment="1">
      <alignment horizontal="center"/>
    </xf>
    <xf numFmtId="0" fontId="25" fillId="2" borderId="1" xfId="0" applyFont="1" applyFill="1" applyBorder="1" applyAlignment="1">
      <alignment horizontal="center"/>
    </xf>
    <xf numFmtId="0" fontId="23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167" fontId="21" fillId="2" borderId="0" xfId="3" applyNumberFormat="1" applyFont="1" applyFill="1" applyBorder="1" applyAlignment="1">
      <alignment horizontal="center"/>
    </xf>
    <xf numFmtId="166" fontId="21" fillId="2" borderId="2" xfId="3" applyNumberFormat="1" applyFont="1" applyFill="1" applyBorder="1" applyAlignment="1">
      <alignment horizontal="center"/>
    </xf>
    <xf numFmtId="166" fontId="21" fillId="2" borderId="1" xfId="3" applyNumberFormat="1" applyFont="1" applyFill="1" applyBorder="1" applyAlignment="1">
      <alignment horizontal="center"/>
    </xf>
    <xf numFmtId="166" fontId="24" fillId="2" borderId="0" xfId="3" applyNumberFormat="1" applyFont="1" applyFill="1" applyBorder="1" applyAlignment="1">
      <alignment horizontal="center"/>
    </xf>
    <xf numFmtId="166" fontId="36" fillId="2" borderId="0" xfId="3" applyNumberFormat="1" applyFont="1" applyFill="1" applyBorder="1" applyAlignment="1">
      <alignment horizontal="center"/>
    </xf>
    <xf numFmtId="0" fontId="0" fillId="2" borderId="0" xfId="0" applyFont="1" applyFill="1" applyAlignment="1">
      <alignment horizontal="center"/>
    </xf>
    <xf numFmtId="2" fontId="18" fillId="2" borderId="0" xfId="4" applyNumberFormat="1" applyFont="1" applyFill="1" applyBorder="1" applyAlignment="1">
      <alignment horizontal="center"/>
    </xf>
    <xf numFmtId="166" fontId="0" fillId="2" borderId="0" xfId="0" applyNumberFormat="1" applyFont="1" applyFill="1" applyAlignment="1">
      <alignment horizontal="center"/>
    </xf>
    <xf numFmtId="166" fontId="10" fillId="2" borderId="0" xfId="0" applyNumberFormat="1" applyFont="1" applyFill="1" applyAlignment="1">
      <alignment horizontal="center"/>
    </xf>
    <xf numFmtId="166" fontId="17" fillId="2" borderId="0" xfId="3" applyNumberFormat="1" applyFont="1" applyFill="1" applyBorder="1" applyAlignment="1">
      <alignment horizontal="center"/>
    </xf>
    <xf numFmtId="0" fontId="0" fillId="2" borderId="0" xfId="0" applyFont="1" applyFill="1"/>
    <xf numFmtId="166" fontId="8" fillId="2" borderId="0" xfId="0" applyNumberFormat="1" applyFont="1" applyFill="1" applyAlignment="1">
      <alignment horizontal="center"/>
    </xf>
    <xf numFmtId="2" fontId="10" fillId="2" borderId="0" xfId="4" applyNumberFormat="1" applyFont="1" applyFill="1" applyBorder="1" applyAlignment="1">
      <alignment horizontal="center"/>
    </xf>
    <xf numFmtId="166" fontId="32" fillId="2" borderId="0" xfId="3" applyNumberFormat="1" applyFont="1" applyFill="1" applyBorder="1" applyAlignment="1">
      <alignment horizontal="center"/>
    </xf>
    <xf numFmtId="2" fontId="17" fillId="2" borderId="0" xfId="3" applyNumberFormat="1" applyFont="1" applyFill="1" applyBorder="1" applyAlignment="1">
      <alignment horizontal="center"/>
    </xf>
    <xf numFmtId="166" fontId="17" fillId="2" borderId="1" xfId="3" applyNumberFormat="1" applyFont="1" applyFill="1" applyBorder="1" applyAlignment="1">
      <alignment horizontal="center"/>
    </xf>
    <xf numFmtId="166" fontId="37" fillId="2" borderId="0" xfId="3" applyNumberFormat="1" applyFont="1" applyFill="1" applyBorder="1" applyAlignment="1">
      <alignment horizontal="center"/>
    </xf>
    <xf numFmtId="166" fontId="17" fillId="2" borderId="0" xfId="3" applyNumberFormat="1" applyFont="1" applyFill="1" applyBorder="1" applyAlignment="1"/>
    <xf numFmtId="166" fontId="25" fillId="2" borderId="0" xfId="3" applyNumberFormat="1" applyFont="1" applyFill="1" applyBorder="1" applyAlignment="1"/>
    <xf numFmtId="166" fontId="17" fillId="2" borderId="2" xfId="3" applyNumberFormat="1" applyFont="1" applyFill="1" applyBorder="1" applyAlignment="1">
      <alignment horizontal="center"/>
    </xf>
    <xf numFmtId="166" fontId="38" fillId="2" borderId="0" xfId="3" applyNumberFormat="1" applyFont="1" applyFill="1" applyBorder="1" applyAlignment="1">
      <alignment horizontal="center"/>
    </xf>
    <xf numFmtId="2" fontId="31" fillId="2" borderId="0" xfId="4" applyNumberFormat="1" applyFont="1" applyFill="1" applyBorder="1" applyAlignment="1">
      <alignment horizontal="center"/>
    </xf>
    <xf numFmtId="2" fontId="16" fillId="2" borderId="0" xfId="4" applyNumberFormat="1" applyFont="1" applyFill="1" applyBorder="1" applyAlignment="1">
      <alignment horizontal="center"/>
    </xf>
    <xf numFmtId="167" fontId="25" fillId="2" borderId="0" xfId="3" applyNumberFormat="1" applyFont="1" applyFill="1" applyBorder="1" applyAlignment="1">
      <alignment horizontal="center"/>
    </xf>
    <xf numFmtId="2" fontId="21" fillId="2" borderId="2" xfId="3" applyNumberFormat="1" applyFont="1" applyFill="1" applyBorder="1" applyAlignment="1">
      <alignment horizontal="center"/>
    </xf>
    <xf numFmtId="0" fontId="23" fillId="4" borderId="0" xfId="0" applyFont="1" applyFill="1" applyAlignment="1">
      <alignment horizontal="center"/>
    </xf>
    <xf numFmtId="0" fontId="20" fillId="4" borderId="1" xfId="0" applyFont="1" applyFill="1" applyBorder="1"/>
    <xf numFmtId="0" fontId="23" fillId="4" borderId="0" xfId="0" applyFont="1" applyFill="1"/>
    <xf numFmtId="0" fontId="25" fillId="4" borderId="0" xfId="0" applyFont="1" applyFill="1" applyAlignment="1">
      <alignment horizontal="center"/>
    </xf>
    <xf numFmtId="0" fontId="20" fillId="4" borderId="0" xfId="0" applyFont="1" applyFill="1" applyAlignment="1">
      <alignment horizontal="center"/>
    </xf>
    <xf numFmtId="0" fontId="17" fillId="4" borderId="0" xfId="0" applyFont="1" applyFill="1" applyAlignment="1">
      <alignment horizontal="center"/>
    </xf>
    <xf numFmtId="0" fontId="20" fillId="4" borderId="1" xfId="0" applyFont="1" applyFill="1" applyBorder="1" applyAlignment="1">
      <alignment horizontal="center"/>
    </xf>
    <xf numFmtId="0" fontId="25" fillId="4" borderId="1" xfId="0" applyFont="1" applyFill="1" applyBorder="1" applyAlignment="1">
      <alignment horizontal="center"/>
    </xf>
    <xf numFmtId="0" fontId="17" fillId="2" borderId="0" xfId="0" applyFont="1" applyFill="1" applyAlignment="1">
      <alignment vertical="center"/>
    </xf>
    <xf numFmtId="0" fontId="17" fillId="2" borderId="0" xfId="0" applyFont="1" applyFill="1" applyBorder="1" applyAlignment="1">
      <alignment vertical="center"/>
    </xf>
    <xf numFmtId="0" fontId="19" fillId="2" borderId="0" xfId="0" applyFont="1" applyFill="1" applyAlignment="1">
      <alignment horizontal="center" vertical="top" wrapText="1"/>
    </xf>
    <xf numFmtId="0" fontId="0" fillId="0" borderId="0" xfId="0" applyFont="1" applyAlignment="1">
      <alignment horizontal="center"/>
    </xf>
    <xf numFmtId="0" fontId="0" fillId="2" borderId="1" xfId="0" applyFont="1" applyFill="1" applyBorder="1" applyAlignment="1">
      <alignment horizontal="center"/>
    </xf>
    <xf numFmtId="166" fontId="0" fillId="2" borderId="1" xfId="0" applyNumberFormat="1" applyFont="1" applyFill="1" applyBorder="1" applyAlignment="1">
      <alignment horizontal="center"/>
    </xf>
    <xf numFmtId="166" fontId="10" fillId="2" borderId="1" xfId="0" applyNumberFormat="1" applyFont="1" applyFill="1" applyBorder="1" applyAlignment="1">
      <alignment horizontal="center"/>
    </xf>
    <xf numFmtId="0" fontId="17" fillId="2" borderId="0" xfId="0" applyFont="1" applyFill="1" applyBorder="1" applyAlignment="1">
      <alignment horizontal="left" vertical="top" wrapText="1"/>
    </xf>
    <xf numFmtId="0" fontId="17" fillId="2" borderId="0" xfId="0" applyFont="1" applyFill="1" applyBorder="1" applyAlignment="1">
      <alignment horizontal="left"/>
    </xf>
    <xf numFmtId="0" fontId="17" fillId="2" borderId="0" xfId="0" applyFont="1" applyFill="1" applyBorder="1" applyAlignment="1">
      <alignment horizontal="left" wrapText="1"/>
    </xf>
    <xf numFmtId="0" fontId="17" fillId="2" borderId="1" xfId="0" applyFont="1" applyFill="1" applyBorder="1" applyAlignment="1">
      <alignment horizontal="left"/>
    </xf>
    <xf numFmtId="0" fontId="17" fillId="2" borderId="1" xfId="0" applyFont="1" applyFill="1" applyBorder="1" applyAlignment="1">
      <alignment vertical="center"/>
    </xf>
    <xf numFmtId="0" fontId="17" fillId="2" borderId="1" xfId="0" applyFont="1" applyFill="1" applyBorder="1" applyAlignment="1">
      <alignment horizontal="left" wrapText="1"/>
    </xf>
    <xf numFmtId="0" fontId="0" fillId="2" borderId="0" xfId="0" applyFont="1" applyFill="1" applyBorder="1" applyAlignment="1">
      <alignment horizontal="center"/>
    </xf>
    <xf numFmtId="0" fontId="17" fillId="2" borderId="2" xfId="0" applyFont="1" applyFill="1" applyBorder="1" applyAlignment="1">
      <alignment horizontal="left"/>
    </xf>
    <xf numFmtId="0" fontId="17" fillId="2" borderId="2" xfId="0" applyFont="1" applyFill="1" applyBorder="1" applyAlignment="1">
      <alignment vertical="center"/>
    </xf>
    <xf numFmtId="0" fontId="17" fillId="2" borderId="2" xfId="0" applyFont="1" applyFill="1" applyBorder="1" applyAlignment="1">
      <alignment horizontal="left" wrapText="1"/>
    </xf>
    <xf numFmtId="166" fontId="0" fillId="2" borderId="0" xfId="0" applyNumberFormat="1" applyFont="1" applyFill="1" applyBorder="1" applyAlignment="1">
      <alignment horizontal="center"/>
    </xf>
    <xf numFmtId="166" fontId="10" fillId="2" borderId="0" xfId="0" applyNumberFormat="1" applyFont="1" applyFill="1" applyBorder="1" applyAlignment="1">
      <alignment horizontal="center"/>
    </xf>
    <xf numFmtId="0" fontId="28" fillId="2" borderId="0" xfId="0" applyFont="1" applyFill="1" applyAlignment="1">
      <alignment horizontal="left" vertical="center"/>
    </xf>
    <xf numFmtId="0" fontId="17" fillId="2" borderId="0" xfId="0" applyFont="1" applyFill="1" applyBorder="1" applyAlignment="1">
      <alignment vertical="top" wrapText="1"/>
    </xf>
    <xf numFmtId="0" fontId="17" fillId="2" borderId="1" xfId="0" applyFont="1" applyFill="1" applyBorder="1" applyAlignment="1">
      <alignment vertical="top" wrapText="1"/>
    </xf>
    <xf numFmtId="0" fontId="17" fillId="2" borderId="2" xfId="0" applyFont="1" applyFill="1" applyBorder="1" applyAlignment="1">
      <alignment vertical="top" wrapText="1"/>
    </xf>
    <xf numFmtId="0" fontId="17" fillId="2" borderId="0" xfId="0" applyFont="1" applyFill="1" applyBorder="1"/>
    <xf numFmtId="2" fontId="0" fillId="2" borderId="0" xfId="0" applyNumberFormat="1" applyFont="1" applyFill="1" applyAlignment="1">
      <alignment horizontal="center"/>
    </xf>
    <xf numFmtId="2" fontId="10" fillId="2" borderId="0" xfId="0" applyNumberFormat="1" applyFont="1" applyFill="1" applyAlignment="1">
      <alignment horizontal="center"/>
    </xf>
    <xf numFmtId="2" fontId="0" fillId="2" borderId="1" xfId="0" applyNumberFormat="1" applyFont="1" applyFill="1" applyBorder="1" applyAlignment="1">
      <alignment horizontal="center"/>
    </xf>
    <xf numFmtId="2" fontId="10" fillId="2" borderId="1" xfId="0" applyNumberFormat="1" applyFont="1" applyFill="1" applyBorder="1" applyAlignment="1">
      <alignment horizontal="center"/>
    </xf>
    <xf numFmtId="166" fontId="0" fillId="2" borderId="0" xfId="0" applyNumberFormat="1" applyFill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166" fontId="0" fillId="2" borderId="0" xfId="0" applyNumberFormat="1" applyFill="1" applyBorder="1" applyAlignment="1">
      <alignment horizontal="center"/>
    </xf>
    <xf numFmtId="0" fontId="0" fillId="2" borderId="0" xfId="0" applyFont="1" applyFill="1" applyAlignment="1">
      <alignment horizontal="left"/>
    </xf>
    <xf numFmtId="0" fontId="0" fillId="0" borderId="0" xfId="0" applyFont="1" applyAlignment="1">
      <alignment horizontal="left"/>
    </xf>
    <xf numFmtId="0" fontId="0" fillId="0" borderId="0" xfId="0" applyFont="1" applyBorder="1" applyAlignment="1">
      <alignment horizontal="center"/>
    </xf>
    <xf numFmtId="0" fontId="0" fillId="2" borderId="2" xfId="0" applyFont="1" applyFill="1" applyBorder="1" applyAlignment="1">
      <alignment horizontal="center"/>
    </xf>
    <xf numFmtId="166" fontId="0" fillId="2" borderId="2" xfId="0" applyNumberFormat="1" applyFont="1" applyFill="1" applyBorder="1" applyAlignment="1">
      <alignment horizontal="center"/>
    </xf>
    <xf numFmtId="166" fontId="10" fillId="2" borderId="2" xfId="0" applyNumberFormat="1" applyFont="1" applyFill="1" applyBorder="1" applyAlignment="1">
      <alignment horizontal="center"/>
    </xf>
    <xf numFmtId="0" fontId="28" fillId="3" borderId="0" xfId="0" applyFont="1" applyFill="1" applyAlignment="1">
      <alignment horizontal="center"/>
    </xf>
    <xf numFmtId="0" fontId="20" fillId="0" borderId="0" xfId="0" applyFont="1" applyAlignment="1">
      <alignment horizontal="center"/>
    </xf>
    <xf numFmtId="2" fontId="0" fillId="2" borderId="0" xfId="0" applyNumberFormat="1" applyFont="1" applyFill="1" applyBorder="1" applyAlignment="1">
      <alignment horizontal="center"/>
    </xf>
    <xf numFmtId="2" fontId="10" fillId="2" borderId="0" xfId="0" applyNumberFormat="1" applyFont="1" applyFill="1" applyBorder="1" applyAlignment="1">
      <alignment horizontal="center"/>
    </xf>
    <xf numFmtId="2" fontId="0" fillId="2" borderId="0" xfId="0" applyNumberFormat="1" applyFill="1" applyAlignment="1">
      <alignment horizontal="center"/>
    </xf>
    <xf numFmtId="2" fontId="0" fillId="2" borderId="1" xfId="0" applyNumberFormat="1" applyFill="1" applyBorder="1" applyAlignment="1">
      <alignment horizontal="center"/>
    </xf>
    <xf numFmtId="164" fontId="1" fillId="2" borderId="0" xfId="2" applyNumberFormat="1" applyFont="1" applyFill="1" applyBorder="1" applyAlignment="1">
      <alignment horizontal="center" vertical="top"/>
    </xf>
    <xf numFmtId="164" fontId="1" fillId="2" borderId="1" xfId="2" applyNumberFormat="1" applyFont="1" applyFill="1" applyBorder="1" applyAlignment="1">
      <alignment horizontal="center" vertical="top"/>
    </xf>
    <xf numFmtId="164" fontId="1" fillId="4" borderId="0" xfId="2" applyNumberFormat="1" applyFont="1" applyFill="1" applyBorder="1" applyAlignment="1">
      <alignment horizontal="center" vertical="top"/>
    </xf>
    <xf numFmtId="164" fontId="1" fillId="4" borderId="1" xfId="2" applyNumberFormat="1" applyFont="1" applyFill="1" applyBorder="1" applyAlignment="1">
      <alignment horizontal="center" vertical="top"/>
    </xf>
    <xf numFmtId="0" fontId="1" fillId="2" borderId="0" xfId="2" applyFont="1" applyFill="1" applyBorder="1" applyAlignment="1">
      <alignment horizontal="left" vertical="top" wrapText="1"/>
    </xf>
    <xf numFmtId="0" fontId="1" fillId="2" borderId="1" xfId="2" applyFont="1" applyFill="1" applyBorder="1" applyAlignment="1">
      <alignment horizontal="left" vertical="top" wrapText="1"/>
    </xf>
    <xf numFmtId="0" fontId="41" fillId="2" borderId="1" xfId="2" applyFont="1" applyFill="1" applyBorder="1" applyAlignment="1">
      <alignment horizontal="center" wrapText="1"/>
    </xf>
    <xf numFmtId="0" fontId="41" fillId="4" borderId="1" xfId="2" applyFont="1" applyFill="1" applyBorder="1" applyAlignment="1">
      <alignment horizontal="center" wrapText="1"/>
    </xf>
    <xf numFmtId="0" fontId="28" fillId="3" borderId="0" xfId="0" applyFont="1" applyFill="1" applyAlignment="1">
      <alignment horizontal="center"/>
    </xf>
    <xf numFmtId="0" fontId="28" fillId="3" borderId="0" xfId="0" applyFont="1" applyFill="1" applyAlignment="1">
      <alignment horizontal="center"/>
    </xf>
    <xf numFmtId="0" fontId="0" fillId="2" borderId="0" xfId="0" applyFill="1"/>
    <xf numFmtId="165" fontId="0" fillId="2" borderId="0" xfId="0" applyNumberFormat="1" applyFill="1" applyAlignment="1">
      <alignment horizontal="center"/>
    </xf>
    <xf numFmtId="165" fontId="0" fillId="2" borderId="1" xfId="0" applyNumberFormat="1" applyFill="1" applyBorder="1" applyAlignment="1">
      <alignment horizontal="center"/>
    </xf>
    <xf numFmtId="165" fontId="43" fillId="2" borderId="1" xfId="0" applyNumberFormat="1" applyFont="1" applyFill="1" applyBorder="1" applyAlignment="1">
      <alignment horizontal="center"/>
    </xf>
    <xf numFmtId="2" fontId="43" fillId="2" borderId="1" xfId="0" applyNumberFormat="1" applyFont="1" applyFill="1" applyBorder="1" applyAlignment="1">
      <alignment horizontal="center"/>
    </xf>
    <xf numFmtId="0" fontId="0" fillId="2" borderId="0" xfId="0" applyFill="1" applyAlignment="1">
      <alignment horizontal="left"/>
    </xf>
    <xf numFmtId="0" fontId="0" fillId="0" borderId="0" xfId="0" applyAlignment="1">
      <alignment horizontal="left"/>
    </xf>
    <xf numFmtId="165" fontId="0" fillId="2" borderId="0" xfId="0" applyNumberFormat="1" applyFill="1" applyBorder="1" applyAlignment="1">
      <alignment horizontal="center"/>
    </xf>
    <xf numFmtId="2" fontId="0" fillId="2" borderId="0" xfId="0" applyNumberFormat="1" applyFill="1" applyBorder="1" applyAlignment="1">
      <alignment horizontal="center"/>
    </xf>
    <xf numFmtId="165" fontId="43" fillId="2" borderId="0" xfId="0" applyNumberFormat="1" applyFont="1" applyFill="1" applyBorder="1" applyAlignment="1">
      <alignment horizontal="center"/>
    </xf>
    <xf numFmtId="2" fontId="43" fillId="2" borderId="0" xfId="0" applyNumberFormat="1" applyFont="1" applyFill="1" applyBorder="1" applyAlignment="1">
      <alignment horizontal="center"/>
    </xf>
    <xf numFmtId="165" fontId="43" fillId="2" borderId="2" xfId="0" applyNumberFormat="1" applyFont="1" applyFill="1" applyBorder="1" applyAlignment="1">
      <alignment horizontal="center"/>
    </xf>
    <xf numFmtId="2" fontId="43" fillId="2" borderId="2" xfId="0" applyNumberFormat="1" applyFont="1" applyFill="1" applyBorder="1" applyAlignment="1">
      <alignment horizontal="center"/>
    </xf>
    <xf numFmtId="2" fontId="10" fillId="2" borderId="2" xfId="0" applyNumberFormat="1" applyFont="1" applyFill="1" applyBorder="1" applyAlignment="1">
      <alignment horizontal="center"/>
    </xf>
    <xf numFmtId="0" fontId="28" fillId="3" borderId="0" xfId="0" applyFont="1" applyFill="1" applyAlignment="1">
      <alignment horizontal="center"/>
    </xf>
    <xf numFmtId="0" fontId="4" fillId="5" borderId="0" xfId="0" applyFont="1" applyFill="1" applyBorder="1"/>
    <xf numFmtId="0" fontId="3" fillId="5" borderId="0" xfId="0" applyFont="1" applyFill="1" applyBorder="1" applyAlignment="1">
      <alignment horizontal="center"/>
    </xf>
    <xf numFmtId="0" fontId="45" fillId="0" borderId="0" xfId="0" applyFont="1" applyBorder="1" applyAlignment="1">
      <alignment horizontal="left" wrapText="1"/>
    </xf>
    <xf numFmtId="0" fontId="45" fillId="2" borderId="0" xfId="0" applyFont="1" applyFill="1" applyBorder="1" applyAlignment="1">
      <alignment horizontal="left" wrapText="1"/>
    </xf>
    <xf numFmtId="0" fontId="10" fillId="0" borderId="0" xfId="0" applyFont="1" applyFill="1" applyBorder="1"/>
    <xf numFmtId="0" fontId="10" fillId="2" borderId="0" xfId="0" applyFont="1" applyFill="1" applyBorder="1"/>
    <xf numFmtId="0" fontId="43" fillId="2" borderId="0" xfId="0" applyFont="1" applyFill="1" applyBorder="1" applyAlignment="1">
      <alignment horizontal="center"/>
    </xf>
    <xf numFmtId="0" fontId="0" fillId="2" borderId="0" xfId="0" applyFont="1" applyFill="1" applyBorder="1"/>
    <xf numFmtId="0" fontId="0" fillId="0" borderId="0" xfId="0" applyFont="1" applyFill="1" applyBorder="1"/>
    <xf numFmtId="0" fontId="49" fillId="2" borderId="0" xfId="12" applyFont="1" applyFill="1" applyBorder="1" applyAlignment="1">
      <alignment horizontal="center" wrapText="1"/>
    </xf>
    <xf numFmtId="0" fontId="17" fillId="0" borderId="0" xfId="12" applyFont="1" applyFill="1" applyBorder="1"/>
    <xf numFmtId="0" fontId="22" fillId="3" borderId="4" xfId="9" applyFont="1" applyFill="1" applyBorder="1" applyAlignment="1">
      <alignment horizontal="center" wrapText="1"/>
    </xf>
    <xf numFmtId="0" fontId="50" fillId="0" borderId="0" xfId="12" applyFont="1" applyFill="1" applyBorder="1" applyAlignment="1">
      <alignment horizontal="center" wrapText="1"/>
    </xf>
    <xf numFmtId="169" fontId="19" fillId="2" borderId="0" xfId="12" applyNumberFormat="1" applyFont="1" applyFill="1" applyBorder="1" applyAlignment="1">
      <alignment horizontal="center" vertical="top"/>
    </xf>
    <xf numFmtId="0" fontId="19" fillId="2" borderId="0" xfId="12" applyFont="1" applyFill="1" applyBorder="1" applyAlignment="1">
      <alignment horizontal="center" vertical="top" wrapText="1"/>
    </xf>
    <xf numFmtId="169" fontId="17" fillId="2" borderId="0" xfId="12" applyNumberFormat="1" applyFont="1" applyFill="1" applyBorder="1" applyAlignment="1">
      <alignment horizontal="center" vertical="top"/>
    </xf>
    <xf numFmtId="0" fontId="17" fillId="2" borderId="0" xfId="12" applyFont="1" applyFill="1" applyBorder="1" applyAlignment="1">
      <alignment horizontal="center" vertical="top" wrapText="1"/>
    </xf>
    <xf numFmtId="169" fontId="17" fillId="0" borderId="0" xfId="12" applyNumberFormat="1" applyFont="1" applyFill="1" applyBorder="1" applyAlignment="1">
      <alignment horizontal="right" vertical="top"/>
    </xf>
    <xf numFmtId="0" fontId="17" fillId="0" borderId="0" xfId="12" applyFont="1" applyFill="1" applyBorder="1" applyAlignment="1">
      <alignment horizontal="left" vertical="top" wrapText="1"/>
    </xf>
    <xf numFmtId="170" fontId="17" fillId="0" borderId="0" xfId="12" applyNumberFormat="1" applyFont="1" applyFill="1" applyBorder="1" applyAlignment="1">
      <alignment horizontal="right" vertical="top"/>
    </xf>
    <xf numFmtId="171" fontId="17" fillId="0" borderId="0" xfId="12" applyNumberFormat="1" applyFont="1" applyFill="1" applyBorder="1" applyAlignment="1">
      <alignment horizontal="right" vertical="top"/>
    </xf>
    <xf numFmtId="171" fontId="17" fillId="2" borderId="0" xfId="12" applyNumberFormat="1" applyFont="1" applyFill="1" applyBorder="1" applyAlignment="1">
      <alignment horizontal="center" vertical="top"/>
    </xf>
    <xf numFmtId="165" fontId="19" fillId="4" borderId="0" xfId="12" applyNumberFormat="1" applyFont="1" applyFill="1" applyBorder="1" applyAlignment="1">
      <alignment horizontal="center" vertical="top"/>
    </xf>
    <xf numFmtId="169" fontId="19" fillId="4" borderId="0" xfId="12" applyNumberFormat="1" applyFont="1" applyFill="1" applyBorder="1" applyAlignment="1">
      <alignment horizontal="center" vertical="top"/>
    </xf>
    <xf numFmtId="165" fontId="17" fillId="4" borderId="0" xfId="12" applyNumberFormat="1" applyFont="1" applyFill="1" applyBorder="1" applyAlignment="1">
      <alignment horizontal="center" vertical="top"/>
    </xf>
    <xf numFmtId="169" fontId="17" fillId="4" borderId="0" xfId="12" applyNumberFormat="1" applyFont="1" applyFill="1" applyBorder="1" applyAlignment="1">
      <alignment horizontal="center" vertical="top"/>
    </xf>
    <xf numFmtId="0" fontId="22" fillId="3" borderId="5" xfId="9" applyFont="1" applyFill="1" applyBorder="1" applyAlignment="1">
      <alignment horizontal="center" wrapText="1"/>
    </xf>
    <xf numFmtId="0" fontId="17" fillId="4" borderId="0" xfId="9" applyFont="1" applyFill="1" applyBorder="1" applyAlignment="1">
      <alignment horizontal="center" wrapText="1"/>
    </xf>
    <xf numFmtId="0" fontId="17" fillId="4" borderId="1" xfId="9" applyFont="1" applyFill="1" applyBorder="1" applyAlignment="1">
      <alignment horizontal="center" wrapText="1"/>
    </xf>
    <xf numFmtId="0" fontId="17" fillId="2" borderId="0" xfId="12" applyFont="1" applyFill="1" applyBorder="1" applyAlignment="1">
      <alignment horizontal="center"/>
    </xf>
    <xf numFmtId="0" fontId="25" fillId="2" borderId="0" xfId="12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25" fillId="2" borderId="0" xfId="12" applyFont="1" applyFill="1" applyBorder="1" applyAlignment="1">
      <alignment horizontal="center" vertical="top" wrapText="1"/>
    </xf>
    <xf numFmtId="0" fontId="0" fillId="2" borderId="0" xfId="0" applyFont="1" applyFill="1" applyBorder="1" applyAlignment="1"/>
    <xf numFmtId="0" fontId="50" fillId="2" borderId="0" xfId="12" applyFont="1" applyFill="1" applyBorder="1" applyAlignment="1">
      <alignment wrapText="1"/>
    </xf>
    <xf numFmtId="0" fontId="22" fillId="3" borderId="0" xfId="0" applyFont="1" applyFill="1" applyBorder="1" applyAlignment="1"/>
    <xf numFmtId="0" fontId="17" fillId="2" borderId="0" xfId="10" applyFont="1" applyFill="1" applyBorder="1" applyAlignment="1">
      <alignment vertical="top" wrapText="1"/>
    </xf>
    <xf numFmtId="168" fontId="17" fillId="2" borderId="0" xfId="10" applyNumberFormat="1" applyFont="1" applyFill="1" applyBorder="1" applyAlignment="1">
      <alignment vertical="top" wrapText="1"/>
    </xf>
    <xf numFmtId="0" fontId="0" fillId="0" borderId="0" xfId="0" applyFont="1" applyFill="1" applyBorder="1" applyAlignment="1"/>
    <xf numFmtId="0" fontId="17" fillId="4" borderId="0" xfId="12" applyFont="1" applyFill="1" applyBorder="1" applyAlignment="1">
      <alignment horizontal="center"/>
    </xf>
    <xf numFmtId="0" fontId="17" fillId="4" borderId="1" xfId="12" applyFont="1" applyFill="1" applyBorder="1" applyAlignment="1">
      <alignment horizontal="center"/>
    </xf>
    <xf numFmtId="0" fontId="17" fillId="2" borderId="1" xfId="12" applyFont="1" applyFill="1" applyBorder="1" applyAlignment="1">
      <alignment horizontal="center"/>
    </xf>
    <xf numFmtId="0" fontId="19" fillId="2" borderId="0" xfId="12" applyFont="1" applyFill="1" applyBorder="1" applyAlignment="1">
      <alignment vertical="top" wrapText="1"/>
    </xf>
    <xf numFmtId="0" fontId="7" fillId="2" borderId="0" xfId="0" applyFont="1" applyFill="1" applyBorder="1" applyAlignment="1">
      <alignment horizontal="center" wrapText="1"/>
    </xf>
    <xf numFmtId="0" fontId="20" fillId="2" borderId="1" xfId="0" applyFont="1" applyFill="1" applyBorder="1" applyAlignment="1">
      <alignment horizontal="center"/>
    </xf>
    <xf numFmtId="0" fontId="28" fillId="3" borderId="0" xfId="0" applyFont="1" applyFill="1" applyAlignment="1">
      <alignment horizontal="center"/>
    </xf>
    <xf numFmtId="0" fontId="20" fillId="4" borderId="0" xfId="0" applyFont="1" applyFill="1" applyBorder="1"/>
    <xf numFmtId="0" fontId="53" fillId="2" borderId="0" xfId="0" applyFont="1" applyFill="1"/>
    <xf numFmtId="0" fontId="17" fillId="2" borderId="0" xfId="0" applyFont="1" applyFill="1" applyAlignment="1">
      <alignment horizontal="center" vertical="center"/>
    </xf>
    <xf numFmtId="0" fontId="28" fillId="3" borderId="0" xfId="0" applyFont="1" applyFill="1" applyAlignment="1">
      <alignment horizontal="center" vertical="center"/>
    </xf>
    <xf numFmtId="0" fontId="20" fillId="0" borderId="0" xfId="0" applyFont="1" applyFill="1" applyBorder="1"/>
    <xf numFmtId="0" fontId="20" fillId="0" borderId="0" xfId="0" applyFont="1" applyBorder="1"/>
    <xf numFmtId="0" fontId="44" fillId="0" borderId="0" xfId="0" applyFont="1" applyBorder="1" applyAlignment="1">
      <alignment vertical="top" wrapText="1"/>
    </xf>
    <xf numFmtId="0" fontId="20" fillId="2" borderId="0" xfId="0" applyFont="1" applyFill="1" applyBorder="1"/>
    <xf numFmtId="0" fontId="20" fillId="0" borderId="0" xfId="0" applyFont="1" applyBorder="1" applyAlignment="1">
      <alignment wrapText="1"/>
    </xf>
    <xf numFmtId="0" fontId="20" fillId="0" borderId="0" xfId="0" applyFont="1" applyFill="1" applyBorder="1" applyAlignment="1">
      <alignment vertical="top" wrapText="1"/>
    </xf>
    <xf numFmtId="0" fontId="23" fillId="0" borderId="0" xfId="0" applyFont="1" applyFill="1" applyBorder="1" applyAlignment="1">
      <alignment horizontal="left" wrapText="1"/>
    </xf>
    <xf numFmtId="0" fontId="20" fillId="0" borderId="0" xfId="0" applyFont="1" applyBorder="1" applyAlignment="1">
      <alignment vertical="top" wrapText="1"/>
    </xf>
    <xf numFmtId="0" fontId="23" fillId="0" borderId="0" xfId="0" applyFont="1" applyBorder="1" applyAlignment="1">
      <alignment horizontal="left" wrapText="1"/>
    </xf>
    <xf numFmtId="0" fontId="46" fillId="0" borderId="0" xfId="0" applyFont="1" applyBorder="1" applyAlignment="1">
      <alignment horizontal="left" wrapText="1"/>
    </xf>
    <xf numFmtId="0" fontId="17" fillId="0" borderId="2" xfId="0" applyFont="1" applyBorder="1" applyAlignment="1">
      <alignment vertical="top" wrapText="1"/>
    </xf>
    <xf numFmtId="0" fontId="17" fillId="0" borderId="2" xfId="0" applyFont="1" applyBorder="1" applyAlignment="1">
      <alignment horizontal="left" wrapText="1"/>
    </xf>
    <xf numFmtId="0" fontId="19" fillId="2" borderId="1" xfId="12" applyFont="1" applyFill="1" applyBorder="1" applyAlignment="1">
      <alignment vertical="top" wrapText="1"/>
    </xf>
    <xf numFmtId="0" fontId="17" fillId="0" borderId="0" xfId="0" applyFont="1" applyFill="1" applyAlignment="1">
      <alignment vertical="center"/>
    </xf>
    <xf numFmtId="0" fontId="28" fillId="0" borderId="0" xfId="0" applyFont="1" applyFill="1" applyAlignment="1">
      <alignment horizontal="left" vertical="center"/>
    </xf>
    <xf numFmtId="0" fontId="20" fillId="0" borderId="0" xfId="0" applyFont="1" applyFill="1"/>
    <xf numFmtId="0" fontId="32" fillId="0" borderId="0" xfId="0" applyFont="1" applyFill="1" applyBorder="1" applyAlignment="1">
      <alignment horizontal="left" wrapText="1"/>
    </xf>
    <xf numFmtId="0" fontId="44" fillId="0" borderId="0" xfId="0" applyFont="1" applyFill="1" applyBorder="1" applyAlignment="1">
      <alignment vertical="top" wrapText="1"/>
    </xf>
    <xf numFmtId="0" fontId="45" fillId="0" borderId="0" xfId="0" applyFont="1" applyFill="1" applyBorder="1" applyAlignment="1">
      <alignment horizontal="left" wrapText="1"/>
    </xf>
    <xf numFmtId="0" fontId="20" fillId="2" borderId="0" xfId="0" applyFont="1" applyFill="1" applyBorder="1" applyAlignment="1">
      <alignment vertical="center" wrapText="1"/>
    </xf>
    <xf numFmtId="0" fontId="32" fillId="2" borderId="0" xfId="0" applyFont="1" applyFill="1" applyBorder="1" applyAlignment="1">
      <alignment horizontal="left" wrapText="1"/>
    </xf>
    <xf numFmtId="0" fontId="46" fillId="2" borderId="0" xfId="0" applyFont="1" applyFill="1" applyBorder="1" applyAlignment="1">
      <alignment horizontal="left" wrapText="1"/>
    </xf>
    <xf numFmtId="0" fontId="44" fillId="2" borderId="0" xfId="0" applyFont="1" applyFill="1" applyBorder="1" applyAlignment="1">
      <alignment vertical="top" wrapText="1"/>
    </xf>
    <xf numFmtId="0" fontId="17" fillId="2" borderId="0" xfId="12" applyFont="1" applyFill="1" applyBorder="1" applyAlignment="1">
      <alignment horizontal="center" vertical="top" wrapText="1"/>
    </xf>
    <xf numFmtId="0" fontId="28" fillId="3" borderId="0" xfId="0" applyFont="1" applyFill="1" applyAlignment="1">
      <alignment horizontal="center"/>
    </xf>
    <xf numFmtId="0" fontId="20" fillId="2" borderId="0" xfId="0" applyFont="1" applyFill="1" applyAlignment="1">
      <alignment horizontal="left"/>
    </xf>
    <xf numFmtId="0" fontId="17" fillId="2" borderId="0" xfId="10" applyFont="1" applyFill="1" applyBorder="1" applyAlignment="1">
      <alignment horizontal="left" vertical="top" wrapText="1"/>
    </xf>
    <xf numFmtId="2" fontId="23" fillId="4" borderId="0" xfId="0" applyNumberFormat="1" applyFont="1" applyFill="1" applyAlignment="1">
      <alignment horizontal="center"/>
    </xf>
    <xf numFmtId="2" fontId="20" fillId="4" borderId="0" xfId="0" applyNumberFormat="1" applyFont="1" applyFill="1" applyAlignment="1">
      <alignment horizontal="center"/>
    </xf>
    <xf numFmtId="0" fontId="23" fillId="4" borderId="0" xfId="0" quotePrefix="1" applyFont="1" applyFill="1" applyAlignment="1">
      <alignment horizontal="center"/>
    </xf>
    <xf numFmtId="0" fontId="20" fillId="4" borderId="0" xfId="0" quotePrefix="1" applyFont="1" applyFill="1" applyAlignment="1">
      <alignment horizontal="center"/>
    </xf>
    <xf numFmtId="0" fontId="23" fillId="2" borderId="0" xfId="0" quotePrefix="1" applyFont="1" applyFill="1" applyAlignment="1">
      <alignment horizontal="center"/>
    </xf>
    <xf numFmtId="0" fontId="20" fillId="2" borderId="0" xfId="0" quotePrefix="1" applyFont="1" applyFill="1" applyAlignment="1">
      <alignment horizontal="center"/>
    </xf>
    <xf numFmtId="165" fontId="23" fillId="4" borderId="0" xfId="0" applyNumberFormat="1" applyFont="1" applyFill="1" applyAlignment="1">
      <alignment horizontal="center"/>
    </xf>
    <xf numFmtId="165" fontId="20" fillId="4" borderId="0" xfId="0" applyNumberFormat="1" applyFont="1" applyFill="1" applyAlignment="1">
      <alignment horizontal="center"/>
    </xf>
    <xf numFmtId="165" fontId="23" fillId="2" borderId="0" xfId="0" applyNumberFormat="1" applyFont="1" applyFill="1" applyAlignment="1">
      <alignment horizontal="center"/>
    </xf>
    <xf numFmtId="165" fontId="20" fillId="2" borderId="0" xfId="0" applyNumberFormat="1" applyFont="1" applyFill="1" applyAlignment="1">
      <alignment horizontal="center"/>
    </xf>
    <xf numFmtId="165" fontId="23" fillId="2" borderId="0" xfId="0" quotePrefix="1" applyNumberFormat="1" applyFont="1" applyFill="1" applyAlignment="1">
      <alignment horizontal="center"/>
    </xf>
    <xf numFmtId="165" fontId="20" fillId="2" borderId="0" xfId="0" quotePrefix="1" applyNumberFormat="1" applyFont="1" applyFill="1" applyAlignment="1">
      <alignment horizontal="center"/>
    </xf>
    <xf numFmtId="1" fontId="23" fillId="4" borderId="0" xfId="0" applyNumberFormat="1" applyFont="1" applyFill="1" applyAlignment="1">
      <alignment horizontal="center"/>
    </xf>
    <xf numFmtId="1" fontId="20" fillId="4" borderId="0" xfId="0" applyNumberFormat="1" applyFont="1" applyFill="1" applyAlignment="1">
      <alignment horizontal="center"/>
    </xf>
    <xf numFmtId="1" fontId="23" fillId="2" borderId="0" xfId="0" applyNumberFormat="1" applyFont="1" applyFill="1" applyAlignment="1">
      <alignment horizontal="center"/>
    </xf>
    <xf numFmtId="1" fontId="20" fillId="2" borderId="0" xfId="0" applyNumberFormat="1" applyFont="1" applyFill="1" applyAlignment="1">
      <alignment horizontal="center"/>
    </xf>
    <xf numFmtId="168" fontId="17" fillId="2" borderId="0" xfId="10" applyNumberFormat="1" applyFont="1" applyFill="1" applyBorder="1" applyAlignment="1">
      <alignment horizontal="left" vertical="top" wrapText="1"/>
    </xf>
    <xf numFmtId="168" fontId="17" fillId="2" borderId="1" xfId="10" applyNumberFormat="1" applyFont="1" applyFill="1" applyBorder="1" applyAlignment="1">
      <alignment horizontal="left" vertical="top" wrapText="1"/>
    </xf>
    <xf numFmtId="0" fontId="50" fillId="2" borderId="0" xfId="12" applyFont="1" applyFill="1" applyBorder="1" applyAlignment="1">
      <alignment horizontal="center" wrapText="1"/>
    </xf>
    <xf numFmtId="169" fontId="51" fillId="2" borderId="0" xfId="12" applyNumberFormat="1" applyFont="1" applyFill="1" applyBorder="1" applyAlignment="1">
      <alignment horizontal="right" vertical="top"/>
    </xf>
    <xf numFmtId="169" fontId="17" fillId="2" borderId="0" xfId="12" applyNumberFormat="1" applyFont="1" applyFill="1" applyBorder="1" applyAlignment="1">
      <alignment horizontal="right" vertical="top"/>
    </xf>
    <xf numFmtId="0" fontId="17" fillId="2" borderId="0" xfId="12" applyFont="1" applyFill="1" applyBorder="1" applyAlignment="1">
      <alignment horizontal="left" vertical="top" wrapText="1"/>
    </xf>
    <xf numFmtId="171" fontId="17" fillId="2" borderId="0" xfId="12" applyNumberFormat="1" applyFont="1" applyFill="1" applyBorder="1" applyAlignment="1">
      <alignment horizontal="right" vertical="top"/>
    </xf>
    <xf numFmtId="170" fontId="17" fillId="2" borderId="0" xfId="12" applyNumberFormat="1" applyFont="1" applyFill="1" applyBorder="1" applyAlignment="1">
      <alignment horizontal="right" vertical="top"/>
    </xf>
    <xf numFmtId="0" fontId="17" fillId="2" borderId="0" xfId="12" applyFont="1" applyFill="1" applyBorder="1"/>
    <xf numFmtId="165" fontId="56" fillId="4" borderId="0" xfId="12" applyNumberFormat="1" applyFont="1" applyFill="1" applyBorder="1" applyAlignment="1">
      <alignment horizontal="center" vertical="top"/>
    </xf>
    <xf numFmtId="165" fontId="32" fillId="4" borderId="0" xfId="12" applyNumberFormat="1" applyFont="1" applyFill="1" applyBorder="1" applyAlignment="1">
      <alignment horizontal="center" vertical="top"/>
    </xf>
    <xf numFmtId="169" fontId="56" fillId="4" borderId="0" xfId="12" applyNumberFormat="1" applyFont="1" applyFill="1" applyBorder="1" applyAlignment="1">
      <alignment horizontal="center" vertical="top"/>
    </xf>
    <xf numFmtId="169" fontId="32" fillId="4" borderId="0" xfId="12" applyNumberFormat="1" applyFont="1" applyFill="1" applyBorder="1" applyAlignment="1">
      <alignment horizontal="center" vertical="top"/>
    </xf>
    <xf numFmtId="169" fontId="56" fillId="2" borderId="0" xfId="12" applyNumberFormat="1" applyFont="1" applyFill="1" applyBorder="1" applyAlignment="1">
      <alignment horizontal="center" vertical="top"/>
    </xf>
    <xf numFmtId="169" fontId="32" fillId="2" borderId="0" xfId="12" applyNumberFormat="1" applyFont="1" applyFill="1" applyBorder="1" applyAlignment="1">
      <alignment horizontal="center" vertical="top"/>
    </xf>
    <xf numFmtId="0" fontId="52" fillId="2" borderId="0" xfId="0" applyFont="1" applyFill="1" applyBorder="1" applyAlignment="1"/>
    <xf numFmtId="0" fontId="20" fillId="2" borderId="0" xfId="0" applyFont="1" applyFill="1" applyBorder="1" applyAlignment="1">
      <alignment wrapText="1"/>
    </xf>
    <xf numFmtId="0" fontId="20" fillId="2" borderId="2" xfId="0" applyFont="1" applyFill="1" applyBorder="1" applyAlignment="1">
      <alignment horizontal="left" wrapText="1"/>
    </xf>
    <xf numFmtId="165" fontId="17" fillId="4" borderId="0" xfId="12" applyNumberFormat="1" applyFont="1" applyFill="1" applyBorder="1" applyAlignment="1">
      <alignment horizontal="center" vertical="top" wrapText="1"/>
    </xf>
    <xf numFmtId="0" fontId="17" fillId="4" borderId="0" xfId="12" applyFont="1" applyFill="1" applyBorder="1" applyAlignment="1">
      <alignment horizontal="center" vertical="top" wrapText="1"/>
    </xf>
    <xf numFmtId="0" fontId="17" fillId="2" borderId="0" xfId="12" applyFont="1" applyFill="1" applyBorder="1" applyAlignment="1">
      <alignment horizontal="center" vertical="top" wrapText="1"/>
    </xf>
    <xf numFmtId="0" fontId="52" fillId="3" borderId="0" xfId="0" applyFont="1" applyFill="1" applyBorder="1" applyAlignment="1">
      <alignment horizontal="left"/>
    </xf>
    <xf numFmtId="0" fontId="32" fillId="4" borderId="3" xfId="8" applyFont="1" applyFill="1" applyBorder="1" applyAlignment="1">
      <alignment horizontal="center" wrapText="1"/>
    </xf>
    <xf numFmtId="0" fontId="32" fillId="4" borderId="0" xfId="8" applyFont="1" applyFill="1" applyBorder="1" applyAlignment="1">
      <alignment horizontal="center" wrapText="1"/>
    </xf>
    <xf numFmtId="0" fontId="28" fillId="3" borderId="3" xfId="8" applyFont="1" applyFill="1" applyBorder="1" applyAlignment="1">
      <alignment horizontal="center" wrapText="1"/>
    </xf>
    <xf numFmtId="0" fontId="28" fillId="3" borderId="0" xfId="8" applyFont="1" applyFill="1" applyBorder="1" applyAlignment="1">
      <alignment horizontal="center" wrapText="1"/>
    </xf>
    <xf numFmtId="0" fontId="54" fillId="4" borderId="0" xfId="0" applyFont="1" applyFill="1" applyBorder="1" applyAlignment="1">
      <alignment horizontal="center" vertical="top" wrapText="1"/>
    </xf>
    <xf numFmtId="0" fontId="55" fillId="6" borderId="0" xfId="0" applyFont="1" applyFill="1" applyBorder="1" applyAlignment="1">
      <alignment horizontal="center" vertical="top" wrapText="1"/>
    </xf>
    <xf numFmtId="0" fontId="28" fillId="3" borderId="0" xfId="0" applyFont="1" applyFill="1" applyAlignment="1">
      <alignment horizontal="center"/>
    </xf>
    <xf numFmtId="2" fontId="20" fillId="4" borderId="0" xfId="0" applyNumberFormat="1" applyFont="1" applyFill="1" applyAlignment="1">
      <alignment horizontal="center"/>
    </xf>
    <xf numFmtId="2" fontId="20" fillId="2" borderId="0" xfId="0" applyNumberFormat="1" applyFont="1" applyFill="1" applyAlignment="1">
      <alignment horizontal="center"/>
    </xf>
    <xf numFmtId="0" fontId="20" fillId="2" borderId="2" xfId="0" applyFont="1" applyFill="1" applyBorder="1" applyAlignment="1">
      <alignment wrapText="1"/>
    </xf>
    <xf numFmtId="2" fontId="20" fillId="2" borderId="1" xfId="0" applyNumberFormat="1" applyFont="1" applyFill="1" applyBorder="1" applyAlignment="1">
      <alignment horizontal="center"/>
    </xf>
    <xf numFmtId="2" fontId="20" fillId="4" borderId="1" xfId="0" applyNumberFormat="1" applyFont="1" applyFill="1" applyBorder="1" applyAlignment="1">
      <alignment horizontal="center"/>
    </xf>
    <xf numFmtId="0" fontId="15" fillId="3" borderId="0" xfId="2" applyFont="1" applyFill="1" applyBorder="1" applyAlignment="1">
      <alignment horizontal="left" wrapText="1"/>
    </xf>
    <xf numFmtId="0" fontId="15" fillId="3" borderId="0" xfId="2" applyFont="1" applyFill="1" applyBorder="1" applyAlignment="1">
      <alignment wrapText="1"/>
    </xf>
    <xf numFmtId="0" fontId="20" fillId="2" borderId="2" xfId="0" applyFont="1" applyFill="1" applyBorder="1" applyAlignment="1">
      <alignment horizontal="justify" vertical="center" wrapText="1"/>
    </xf>
    <xf numFmtId="0" fontId="20" fillId="2" borderId="0" xfId="0" applyFont="1" applyFill="1" applyBorder="1" applyAlignment="1">
      <alignment horizontal="justify" vertical="center" wrapText="1"/>
    </xf>
    <xf numFmtId="0" fontId="42" fillId="3" borderId="0" xfId="2" applyFont="1" applyFill="1" applyBorder="1" applyAlignment="1">
      <alignment horizontal="left" vertical="center" wrapText="1"/>
    </xf>
    <xf numFmtId="0" fontId="1" fillId="2" borderId="2" xfId="2" applyFont="1" applyFill="1" applyBorder="1" applyAlignment="1">
      <alignment horizontal="left" vertical="center" wrapText="1"/>
    </xf>
    <xf numFmtId="0" fontId="1" fillId="2" borderId="1" xfId="2" applyFont="1" applyFill="1" applyBorder="1" applyAlignment="1">
      <alignment horizontal="left" vertical="center" wrapText="1"/>
    </xf>
    <xf numFmtId="0" fontId="15" fillId="3" borderId="0" xfId="2" applyFont="1" applyFill="1" applyBorder="1" applyAlignment="1">
      <alignment horizontal="center" wrapText="1"/>
    </xf>
    <xf numFmtId="0" fontId="7" fillId="2" borderId="2" xfId="0" applyFont="1" applyFill="1" applyBorder="1" applyAlignment="1">
      <alignment horizontal="left"/>
    </xf>
    <xf numFmtId="0" fontId="3" fillId="3" borderId="0" xfId="0" applyFont="1" applyFill="1" applyAlignment="1">
      <alignment horizontal="left" vertical="center" wrapText="1"/>
    </xf>
    <xf numFmtId="0" fontId="3" fillId="3" borderId="0" xfId="0" applyFont="1" applyFill="1" applyBorder="1" applyAlignment="1">
      <alignment horizontal="center"/>
    </xf>
    <xf numFmtId="0" fontId="28" fillId="3" borderId="0" xfId="3" applyFont="1" applyFill="1" applyAlignment="1">
      <alignment horizontal="center" vertical="center" wrapText="1"/>
    </xf>
    <xf numFmtId="166" fontId="26" fillId="2" borderId="0" xfId="0" applyNumberFormat="1" applyFont="1" applyFill="1" applyAlignment="1">
      <alignment horizontal="center"/>
    </xf>
    <xf numFmtId="0" fontId="23" fillId="5" borderId="0" xfId="3" applyFont="1" applyFill="1" applyBorder="1" applyAlignment="1">
      <alignment horizontal="center"/>
    </xf>
    <xf numFmtId="0" fontId="21" fillId="2" borderId="1" xfId="3" applyFont="1" applyFill="1" applyBorder="1" applyAlignment="1">
      <alignment horizontal="center"/>
    </xf>
    <xf numFmtId="166" fontId="21" fillId="2" borderId="0" xfId="3" applyNumberFormat="1" applyFont="1" applyFill="1" applyBorder="1" applyAlignment="1">
      <alignment horizontal="center"/>
    </xf>
    <xf numFmtId="0" fontId="24" fillId="5" borderId="0" xfId="3" applyFont="1" applyFill="1" applyBorder="1" applyAlignment="1">
      <alignment horizontal="center"/>
    </xf>
    <xf numFmtId="0" fontId="28" fillId="3" borderId="0" xfId="1" applyFont="1" applyFill="1" applyAlignment="1" applyProtection="1">
      <alignment horizontal="center"/>
    </xf>
    <xf numFmtId="0" fontId="32" fillId="5" borderId="2" xfId="3" applyFont="1" applyFill="1" applyBorder="1" applyAlignment="1">
      <alignment horizontal="center"/>
    </xf>
    <xf numFmtId="0" fontId="29" fillId="3" borderId="2" xfId="1" applyFont="1" applyFill="1" applyBorder="1" applyAlignment="1" applyProtection="1">
      <alignment horizontal="center"/>
    </xf>
    <xf numFmtId="0" fontId="9" fillId="3" borderId="0" xfId="1" applyFont="1" applyFill="1" applyAlignment="1" applyProtection="1">
      <alignment horizontal="center"/>
    </xf>
    <xf numFmtId="166" fontId="20" fillId="2" borderId="0" xfId="0" applyNumberFormat="1" applyFont="1" applyFill="1" applyAlignment="1">
      <alignment horizontal="center"/>
    </xf>
    <xf numFmtId="0" fontId="20" fillId="2" borderId="1" xfId="0" applyFont="1" applyFill="1" applyBorder="1" applyAlignment="1">
      <alignment horizontal="center"/>
    </xf>
    <xf numFmtId="0" fontId="29" fillId="3" borderId="0" xfId="1" applyFont="1" applyFill="1" applyAlignment="1" applyProtection="1">
      <alignment horizontal="center"/>
    </xf>
    <xf numFmtId="0" fontId="17" fillId="0" borderId="2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left" vertical="center"/>
    </xf>
    <xf numFmtId="0" fontId="17" fillId="0" borderId="1" xfId="0" applyFont="1" applyFill="1" applyBorder="1" applyAlignment="1">
      <alignment horizontal="left" vertical="center"/>
    </xf>
    <xf numFmtId="0" fontId="17" fillId="2" borderId="2" xfId="0" applyFont="1" applyFill="1" applyBorder="1" applyAlignment="1">
      <alignment horizontal="left" vertical="center"/>
    </xf>
    <xf numFmtId="0" fontId="17" fillId="2" borderId="0" xfId="0" applyFont="1" applyFill="1" applyBorder="1" applyAlignment="1">
      <alignment horizontal="left" vertical="center"/>
    </xf>
    <xf numFmtId="0" fontId="17" fillId="2" borderId="1" xfId="0" applyFont="1" applyFill="1" applyBorder="1" applyAlignment="1">
      <alignment horizontal="left" vertical="center"/>
    </xf>
    <xf numFmtId="0" fontId="28" fillId="3" borderId="0" xfId="0" applyFont="1" applyFill="1" applyAlignment="1">
      <alignment horizontal="left" vertical="center"/>
    </xf>
    <xf numFmtId="0" fontId="17" fillId="2" borderId="0" xfId="0" applyFont="1" applyFill="1" applyAlignment="1">
      <alignment horizontal="center" vertical="center"/>
    </xf>
    <xf numFmtId="0" fontId="28" fillId="3" borderId="0" xfId="0" applyFont="1" applyFill="1" applyBorder="1" applyAlignment="1">
      <alignment horizontal="left" vertical="center"/>
    </xf>
    <xf numFmtId="0" fontId="28" fillId="3" borderId="0" xfId="0" applyFont="1" applyFill="1" applyAlignment="1">
      <alignment horizontal="center" vertical="center"/>
    </xf>
    <xf numFmtId="0" fontId="9" fillId="3" borderId="0" xfId="0" applyFont="1" applyFill="1" applyAlignment="1">
      <alignment horizontal="left"/>
    </xf>
  </cellXfs>
  <cellStyles count="13">
    <cellStyle name="Hipervínculo" xfId="1" builtinId="8"/>
    <cellStyle name="Normal" xfId="0" builtinId="0"/>
    <cellStyle name="Normal_Hoja1" xfId="4"/>
    <cellStyle name="Normal_Hoja1_1" xfId="12"/>
    <cellStyle name="Normal_Table_S3_S4_S5_PartCorrel_Plaq" xfId="2"/>
    <cellStyle name="Normal_Table_S6_S7_S8_MLR_Moder_JN" xfId="3"/>
    <cellStyle name="Normal_Tables_Descriptives" xfId="10"/>
    <cellStyle name="style1612535128217" xfId="5"/>
    <cellStyle name="style1612535128572" xfId="7"/>
    <cellStyle name="style1612535129490" xfId="6"/>
    <cellStyle name="style1612535129853" xfId="8"/>
    <cellStyle name="style1612535130454" xfId="9"/>
    <cellStyle name="style1612535132591" xfId="11"/>
  </cellStyles>
  <dxfs count="3"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21EF43"/>
      <color rgb="FFCC9B12"/>
      <color rgb="FFDC02CC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AIx@75%20[%25]" TargetMode="External"/><Relationship Id="rId2" Type="http://schemas.openxmlformats.org/officeDocument/2006/relationships/hyperlink" Target="mailto:AIx@75%20[%25]" TargetMode="External"/><Relationship Id="rId1" Type="http://schemas.openxmlformats.org/officeDocument/2006/relationships/hyperlink" Target="mailto:AIx@75%20[%25]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hyperlink" Target="mailto:AIx@75%20(%25)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AIx@75%20(%25)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mailto:AIx@75_SCOR_Radial" TargetMode="External"/><Relationship Id="rId13" Type="http://schemas.openxmlformats.org/officeDocument/2006/relationships/hyperlink" Target="mailto:AIx@75_SCOR_Radial" TargetMode="External"/><Relationship Id="rId18" Type="http://schemas.openxmlformats.org/officeDocument/2006/relationships/hyperlink" Target="mailto:Aix@75_MOG" TargetMode="External"/><Relationship Id="rId26" Type="http://schemas.openxmlformats.org/officeDocument/2006/relationships/hyperlink" Target="mailto:AIx@75_SCOR_Carotid" TargetMode="External"/><Relationship Id="rId3" Type="http://schemas.openxmlformats.org/officeDocument/2006/relationships/hyperlink" Target="mailto:Aix@75_MOG" TargetMode="External"/><Relationship Id="rId21" Type="http://schemas.openxmlformats.org/officeDocument/2006/relationships/hyperlink" Target="mailto:AIx@75_SCOR_Radial" TargetMode="External"/><Relationship Id="rId34" Type="http://schemas.openxmlformats.org/officeDocument/2006/relationships/hyperlink" Target="mailto:AIx@75%20(%25)" TargetMode="External"/><Relationship Id="rId7" Type="http://schemas.openxmlformats.org/officeDocument/2006/relationships/hyperlink" Target="mailto:AIx@75_SCOR_Radial" TargetMode="External"/><Relationship Id="rId12" Type="http://schemas.openxmlformats.org/officeDocument/2006/relationships/hyperlink" Target="mailto:AIx@75_SCOR_Radial" TargetMode="External"/><Relationship Id="rId17" Type="http://schemas.openxmlformats.org/officeDocument/2006/relationships/hyperlink" Target="mailto:Aix@75_MOG" TargetMode="External"/><Relationship Id="rId25" Type="http://schemas.openxmlformats.org/officeDocument/2006/relationships/hyperlink" Target="mailto:Aix@75_MOG" TargetMode="External"/><Relationship Id="rId33" Type="http://schemas.openxmlformats.org/officeDocument/2006/relationships/hyperlink" Target="mailto:AIx@75%20(%25)" TargetMode="External"/><Relationship Id="rId2" Type="http://schemas.openxmlformats.org/officeDocument/2006/relationships/hyperlink" Target="mailto:Aix@75_MOG" TargetMode="External"/><Relationship Id="rId16" Type="http://schemas.openxmlformats.org/officeDocument/2006/relationships/hyperlink" Target="mailto:AIx@75_MOG" TargetMode="External"/><Relationship Id="rId20" Type="http://schemas.openxmlformats.org/officeDocument/2006/relationships/hyperlink" Target="mailto:Aix@75_MOG" TargetMode="External"/><Relationship Id="rId29" Type="http://schemas.openxmlformats.org/officeDocument/2006/relationships/hyperlink" Target="mailto:Aix@75_MOG" TargetMode="External"/><Relationship Id="rId1" Type="http://schemas.openxmlformats.org/officeDocument/2006/relationships/hyperlink" Target="mailto:AIx@75_MOG" TargetMode="External"/><Relationship Id="rId6" Type="http://schemas.openxmlformats.org/officeDocument/2006/relationships/hyperlink" Target="mailto:AIx@75_SCOR_Radial" TargetMode="External"/><Relationship Id="rId11" Type="http://schemas.openxmlformats.org/officeDocument/2006/relationships/hyperlink" Target="mailto:AIx@75_SCOR_Carotid" TargetMode="External"/><Relationship Id="rId24" Type="http://schemas.openxmlformats.org/officeDocument/2006/relationships/hyperlink" Target="mailto:Aix@75_MOG" TargetMode="External"/><Relationship Id="rId32" Type="http://schemas.openxmlformats.org/officeDocument/2006/relationships/hyperlink" Target="mailto:AIx@75%20(%25)" TargetMode="External"/><Relationship Id="rId37" Type="http://schemas.openxmlformats.org/officeDocument/2006/relationships/printerSettings" Target="../printerSettings/printerSettings3.bin"/><Relationship Id="rId5" Type="http://schemas.openxmlformats.org/officeDocument/2006/relationships/hyperlink" Target="mailto:Aix@75_MOG" TargetMode="External"/><Relationship Id="rId15" Type="http://schemas.openxmlformats.org/officeDocument/2006/relationships/hyperlink" Target="mailto:Aix@75_MOG" TargetMode="External"/><Relationship Id="rId23" Type="http://schemas.openxmlformats.org/officeDocument/2006/relationships/hyperlink" Target="mailto:AIx@75_SCOR_Radial" TargetMode="External"/><Relationship Id="rId28" Type="http://schemas.openxmlformats.org/officeDocument/2006/relationships/hyperlink" Target="mailto:AIx@75_SCOR_Radial" TargetMode="External"/><Relationship Id="rId36" Type="http://schemas.openxmlformats.org/officeDocument/2006/relationships/hyperlink" Target="mailto:AIx@75%20(%25)" TargetMode="External"/><Relationship Id="rId10" Type="http://schemas.openxmlformats.org/officeDocument/2006/relationships/hyperlink" Target="mailto:Aix@75_MOG" TargetMode="External"/><Relationship Id="rId19" Type="http://schemas.openxmlformats.org/officeDocument/2006/relationships/hyperlink" Target="mailto:Aix@75_MOG" TargetMode="External"/><Relationship Id="rId31" Type="http://schemas.openxmlformats.org/officeDocument/2006/relationships/hyperlink" Target="mailto:AIx@75%20(%25)" TargetMode="External"/><Relationship Id="rId4" Type="http://schemas.openxmlformats.org/officeDocument/2006/relationships/hyperlink" Target="mailto:Aix@75_MOG" TargetMode="External"/><Relationship Id="rId9" Type="http://schemas.openxmlformats.org/officeDocument/2006/relationships/hyperlink" Target="mailto:Aix@75_MOG" TargetMode="External"/><Relationship Id="rId14" Type="http://schemas.openxmlformats.org/officeDocument/2006/relationships/hyperlink" Target="mailto:Aix@75_MOG" TargetMode="External"/><Relationship Id="rId22" Type="http://schemas.openxmlformats.org/officeDocument/2006/relationships/hyperlink" Target="mailto:AIx@75_SCOR_Radial" TargetMode="External"/><Relationship Id="rId27" Type="http://schemas.openxmlformats.org/officeDocument/2006/relationships/hyperlink" Target="mailto:AIx@75_SCOR_Radial" TargetMode="External"/><Relationship Id="rId30" Type="http://schemas.openxmlformats.org/officeDocument/2006/relationships/hyperlink" Target="mailto:Aix@75_MOG" TargetMode="External"/><Relationship Id="rId35" Type="http://schemas.openxmlformats.org/officeDocument/2006/relationships/hyperlink" Target="mailto:AIx@75%20(%25)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mailto:AIx@75_SCOR_Carotid%20(%25)" TargetMode="External"/><Relationship Id="rId7" Type="http://schemas.openxmlformats.org/officeDocument/2006/relationships/printerSettings" Target="../printerSettings/printerSettings4.bin"/><Relationship Id="rId2" Type="http://schemas.openxmlformats.org/officeDocument/2006/relationships/hyperlink" Target="mailto:AIx@75_SCOR_Radial%20(%25)" TargetMode="External"/><Relationship Id="rId1" Type="http://schemas.openxmlformats.org/officeDocument/2006/relationships/hyperlink" Target="mailto:AIx@75_MOG%20(%25)" TargetMode="External"/><Relationship Id="rId6" Type="http://schemas.openxmlformats.org/officeDocument/2006/relationships/hyperlink" Target="mailto:AIx@75_SCOR_Carotid%20(%25)" TargetMode="External"/><Relationship Id="rId5" Type="http://schemas.openxmlformats.org/officeDocument/2006/relationships/hyperlink" Target="mailto:AIx@75_SCOR_Radial%20(%25)" TargetMode="External"/><Relationship Id="rId4" Type="http://schemas.openxmlformats.org/officeDocument/2006/relationships/hyperlink" Target="mailto:AIx@75_MOG%20(%25)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G78"/>
  <sheetViews>
    <sheetView tabSelected="1" zoomScale="60" zoomScaleNormal="60" workbookViewId="0">
      <selection activeCell="AU29" sqref="AU29"/>
    </sheetView>
  </sheetViews>
  <sheetFormatPr baseColWidth="10" defaultRowHeight="15"/>
  <cols>
    <col min="1" max="1" width="11.42578125" style="182"/>
    <col min="2" max="2" width="31.140625" style="216" bestFit="1" customWidth="1"/>
    <col min="3" max="3" width="7.85546875" style="186" customWidth="1"/>
    <col min="4" max="4" width="5.42578125" style="186" bestFit="1" customWidth="1"/>
    <col min="5" max="5" width="7.85546875" style="186" bestFit="1" customWidth="1"/>
    <col min="6" max="6" width="6.42578125" style="186" bestFit="1" customWidth="1"/>
    <col min="7" max="7" width="7.85546875" style="186" bestFit="1" customWidth="1"/>
    <col min="8" max="8" width="6.42578125" style="186" bestFit="1" customWidth="1"/>
    <col min="9" max="9" width="7.85546875" style="186" bestFit="1" customWidth="1"/>
    <col min="10" max="10" width="8.28515625" style="186" bestFit="1" customWidth="1"/>
    <col min="11" max="11" width="7.85546875" style="186" bestFit="1" customWidth="1"/>
    <col min="12" max="12" width="6.42578125" style="186" bestFit="1" customWidth="1"/>
    <col min="13" max="13" width="7.85546875" style="186" bestFit="1" customWidth="1"/>
    <col min="14" max="14" width="6.7109375" style="186" bestFit="1" customWidth="1"/>
    <col min="15" max="15" width="7.85546875" style="186" bestFit="1" customWidth="1"/>
    <col min="16" max="16" width="6.85546875" style="186" bestFit="1" customWidth="1"/>
    <col min="17" max="17" width="8.5703125" style="186" bestFit="1" customWidth="1"/>
    <col min="18" max="18" width="5.85546875" style="186" bestFit="1" customWidth="1"/>
    <col min="19" max="19" width="7.85546875" style="186" bestFit="1" customWidth="1"/>
    <col min="20" max="20" width="6.42578125" style="186" bestFit="1" customWidth="1"/>
    <col min="21" max="21" width="7.85546875" style="186" bestFit="1" customWidth="1"/>
    <col min="22" max="22" width="6.7109375" style="186" bestFit="1" customWidth="1"/>
    <col min="23" max="23" width="7.85546875" style="186" bestFit="1" customWidth="1"/>
    <col min="24" max="24" width="8.140625" style="182" bestFit="1" customWidth="1"/>
    <col min="25" max="25" width="7.85546875" style="182" bestFit="1" customWidth="1"/>
    <col min="26" max="26" width="6.42578125" style="182" bestFit="1" customWidth="1"/>
    <col min="27" max="27" width="7.85546875" style="182" bestFit="1" customWidth="1"/>
    <col min="28" max="28" width="6.42578125" style="182" bestFit="1" customWidth="1"/>
    <col min="29" max="29" width="7.85546875" style="182" bestFit="1" customWidth="1"/>
    <col min="30" max="30" width="6.85546875" style="182" customWidth="1"/>
    <col min="31" max="31" width="8.140625" style="182" bestFit="1" customWidth="1"/>
    <col min="32" max="32" width="6.42578125" style="182" bestFit="1" customWidth="1"/>
    <col min="33" max="33" width="7.85546875" style="182" bestFit="1" customWidth="1"/>
    <col min="34" max="34" width="6.42578125" style="182" bestFit="1" customWidth="1"/>
    <col min="35" max="35" width="7.85546875" style="182" bestFit="1" customWidth="1"/>
    <col min="36" max="36" width="6.42578125" style="182" bestFit="1" customWidth="1"/>
    <col min="37" max="38" width="7.85546875" style="182" bestFit="1" customWidth="1"/>
    <col min="39" max="40" width="5.85546875" style="182" bestFit="1" customWidth="1"/>
    <col min="41" max="43" width="6.42578125" style="182" bestFit="1" customWidth="1"/>
    <col min="44" max="44" width="6.85546875" style="182" bestFit="1" customWidth="1"/>
    <col min="45" max="45" width="11.42578125" style="182"/>
    <col min="46" max="46" width="11.42578125" style="186"/>
    <col min="47" max="47" width="31.140625" style="186" bestFit="1" customWidth="1"/>
    <col min="48" max="48" width="7.85546875" style="186" bestFit="1" customWidth="1"/>
    <col min="49" max="49" width="5.42578125" style="186" bestFit="1" customWidth="1"/>
    <col min="50" max="50" width="7.85546875" style="186" bestFit="1" customWidth="1"/>
    <col min="51" max="51" width="6.42578125" style="186" bestFit="1" customWidth="1"/>
    <col min="52" max="52" width="7.85546875" style="186" bestFit="1" customWidth="1"/>
    <col min="53" max="53" width="6.42578125" style="186" bestFit="1" customWidth="1"/>
    <col min="54" max="54" width="7.85546875" style="186" bestFit="1" customWidth="1"/>
    <col min="55" max="55" width="6.42578125" style="186" bestFit="1" customWidth="1"/>
    <col min="56" max="56" width="7.85546875" style="186" bestFit="1" customWidth="1"/>
    <col min="57" max="57" width="6.42578125" style="186" bestFit="1" customWidth="1"/>
    <col min="58" max="58" width="7.85546875" style="186" bestFit="1" customWidth="1"/>
    <col min="59" max="59" width="6.42578125" style="186" bestFit="1" customWidth="1"/>
    <col min="60" max="60" width="7.85546875" style="186" bestFit="1" customWidth="1"/>
    <col min="61" max="61" width="6.42578125" style="186" bestFit="1" customWidth="1"/>
    <col min="62" max="62" width="7.85546875" style="186" bestFit="1" customWidth="1"/>
    <col min="63" max="63" width="5.42578125" style="186" bestFit="1" customWidth="1"/>
    <col min="64" max="64" width="7.85546875" style="186" bestFit="1" customWidth="1"/>
    <col min="65" max="65" width="6.42578125" style="186" bestFit="1" customWidth="1"/>
    <col min="66" max="66" width="7.85546875" style="186" bestFit="1" customWidth="1"/>
    <col min="67" max="67" width="5.42578125" style="186" bestFit="1" customWidth="1"/>
    <col min="68" max="68" width="7.85546875" style="186" bestFit="1" customWidth="1"/>
    <col min="69" max="69" width="6.42578125" style="186" bestFit="1" customWidth="1"/>
    <col min="70" max="70" width="7.85546875" style="186" bestFit="1" customWidth="1"/>
    <col min="71" max="71" width="6.42578125" style="186" bestFit="1" customWidth="1"/>
    <col min="72" max="72" width="7.85546875" style="186" bestFit="1" customWidth="1"/>
    <col min="73" max="73" width="6.42578125" style="186" bestFit="1" customWidth="1"/>
    <col min="74" max="74" width="7.85546875" style="186" bestFit="1" customWidth="1"/>
    <col min="75" max="75" width="6.42578125" style="186" bestFit="1" customWidth="1"/>
    <col min="76" max="76" width="7.85546875" style="186" bestFit="1" customWidth="1"/>
    <col min="77" max="77" width="6.42578125" style="186" bestFit="1" customWidth="1"/>
    <col min="78" max="78" width="7.85546875" style="186" bestFit="1" customWidth="1"/>
    <col min="79" max="79" width="6.42578125" style="186" bestFit="1" customWidth="1"/>
    <col min="80" max="80" width="7.85546875" style="186" bestFit="1" customWidth="1"/>
    <col min="81" max="81" width="6.42578125" style="186" bestFit="1" customWidth="1"/>
    <col min="82" max="82" width="7.85546875" style="186" bestFit="1" customWidth="1"/>
    <col min="83" max="83" width="6.42578125" style="186" bestFit="1" customWidth="1"/>
    <col min="84" max="16384" width="11.42578125" style="186"/>
  </cols>
  <sheetData>
    <row r="1" spans="1:85">
      <c r="A1" s="183"/>
      <c r="B1" s="211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3"/>
      <c r="Y1" s="183"/>
      <c r="Z1" s="183"/>
      <c r="AA1" s="183"/>
      <c r="AB1" s="183"/>
      <c r="AC1" s="183"/>
      <c r="AD1" s="183"/>
      <c r="AE1" s="183"/>
      <c r="AF1" s="183"/>
      <c r="AG1" s="183"/>
      <c r="AH1" s="183"/>
      <c r="AI1" s="183"/>
      <c r="AJ1" s="183"/>
      <c r="AK1" s="183"/>
      <c r="AL1" s="183"/>
      <c r="AM1" s="183"/>
      <c r="AN1" s="183"/>
      <c r="AO1" s="183"/>
      <c r="AP1" s="183"/>
      <c r="AQ1" s="183"/>
      <c r="AR1" s="183"/>
      <c r="AS1" s="183"/>
      <c r="AT1" s="185"/>
      <c r="AU1" s="185"/>
      <c r="AV1" s="185"/>
      <c r="AW1" s="185"/>
      <c r="AX1" s="185"/>
      <c r="AY1" s="185"/>
      <c r="AZ1" s="185"/>
      <c r="BA1" s="185"/>
      <c r="BB1" s="185"/>
      <c r="BC1" s="185"/>
      <c r="BD1" s="185"/>
      <c r="BE1" s="185"/>
      <c r="BF1" s="185"/>
      <c r="BG1" s="185"/>
      <c r="BH1" s="185"/>
      <c r="BI1" s="185"/>
      <c r="BJ1" s="185"/>
      <c r="BK1" s="185"/>
      <c r="BL1" s="185"/>
      <c r="BM1" s="185"/>
      <c r="BN1" s="185"/>
      <c r="BO1" s="185"/>
      <c r="BP1" s="185"/>
      <c r="BQ1" s="185"/>
      <c r="BR1" s="185"/>
      <c r="BS1" s="185"/>
      <c r="BT1" s="185"/>
      <c r="BU1" s="185"/>
      <c r="BV1" s="185"/>
      <c r="BW1" s="185"/>
      <c r="BX1" s="185"/>
      <c r="BY1" s="185"/>
      <c r="BZ1" s="185"/>
      <c r="CA1" s="185"/>
      <c r="CB1" s="185"/>
      <c r="CC1" s="185"/>
      <c r="CD1" s="185"/>
      <c r="CE1" s="185"/>
      <c r="CF1" s="185"/>
      <c r="CG1" s="185"/>
    </row>
    <row r="2" spans="1:85" ht="21">
      <c r="A2" s="187"/>
      <c r="B2" s="292" t="s">
        <v>807</v>
      </c>
      <c r="C2" s="292"/>
      <c r="D2" s="292"/>
      <c r="E2" s="292"/>
      <c r="F2" s="292"/>
      <c r="G2" s="292"/>
      <c r="H2" s="292"/>
      <c r="I2" s="292"/>
      <c r="J2" s="292"/>
      <c r="K2" s="292"/>
      <c r="L2" s="292"/>
      <c r="M2" s="292"/>
      <c r="N2" s="292"/>
      <c r="O2" s="292"/>
      <c r="P2" s="292"/>
      <c r="Q2" s="292"/>
      <c r="R2" s="292"/>
      <c r="S2" s="292"/>
      <c r="T2" s="292"/>
      <c r="U2" s="292"/>
      <c r="V2" s="292"/>
      <c r="W2" s="292"/>
      <c r="X2" s="292"/>
      <c r="Y2" s="292"/>
      <c r="Z2" s="292"/>
      <c r="AA2" s="292"/>
      <c r="AB2" s="292"/>
      <c r="AC2" s="292"/>
      <c r="AD2" s="292"/>
      <c r="AE2" s="292"/>
      <c r="AF2" s="292"/>
      <c r="AG2" s="292"/>
      <c r="AH2" s="292"/>
      <c r="AI2" s="292"/>
      <c r="AJ2" s="292"/>
      <c r="AK2" s="292"/>
      <c r="AL2" s="292"/>
      <c r="AM2" s="292"/>
      <c r="AN2" s="292"/>
      <c r="AO2" s="292"/>
      <c r="AP2" s="292"/>
      <c r="AQ2" s="292"/>
      <c r="AR2" s="292"/>
      <c r="AS2" s="187"/>
      <c r="AT2" s="185"/>
      <c r="AU2" s="185"/>
      <c r="AV2" s="185"/>
      <c r="AW2" s="185"/>
      <c r="AX2" s="185"/>
      <c r="AY2" s="185"/>
      <c r="AZ2" s="185"/>
      <c r="BA2" s="185"/>
      <c r="BB2" s="185"/>
      <c r="BC2" s="185"/>
      <c r="BD2" s="185"/>
      <c r="BE2" s="185"/>
      <c r="BF2" s="185"/>
      <c r="BG2" s="185"/>
      <c r="BH2" s="185"/>
      <c r="BI2" s="185"/>
      <c r="BJ2" s="185"/>
      <c r="BK2" s="185"/>
      <c r="BL2" s="185"/>
      <c r="BM2" s="185"/>
      <c r="BN2" s="185"/>
      <c r="BO2" s="185"/>
      <c r="BP2" s="185"/>
      <c r="BQ2" s="185"/>
      <c r="BR2" s="185"/>
      <c r="BS2" s="185"/>
      <c r="BT2" s="185"/>
      <c r="BU2" s="185"/>
      <c r="BV2" s="185"/>
      <c r="BW2" s="185"/>
      <c r="BX2" s="185"/>
      <c r="BY2" s="185"/>
      <c r="BZ2" s="185"/>
      <c r="CA2" s="185"/>
      <c r="CB2" s="185"/>
      <c r="CC2" s="185"/>
      <c r="CD2" s="185"/>
      <c r="CE2" s="185"/>
      <c r="CF2" s="286"/>
      <c r="CG2" s="185"/>
    </row>
    <row r="3" spans="1:85">
      <c r="A3" s="187"/>
      <c r="B3" s="212"/>
      <c r="C3" s="293" t="s">
        <v>404</v>
      </c>
      <c r="D3" s="294"/>
      <c r="E3" s="294"/>
      <c r="F3" s="294"/>
      <c r="G3" s="294"/>
      <c r="H3" s="294"/>
      <c r="I3" s="294"/>
      <c r="J3" s="294"/>
      <c r="K3" s="294"/>
      <c r="L3" s="294"/>
      <c r="M3" s="294"/>
      <c r="N3" s="294"/>
      <c r="O3" s="294"/>
      <c r="P3" s="294"/>
      <c r="Q3" s="294"/>
      <c r="R3" s="294"/>
      <c r="S3" s="294"/>
      <c r="T3" s="294"/>
      <c r="U3" s="294"/>
      <c r="V3" s="294"/>
      <c r="W3" s="294"/>
      <c r="X3" s="295" t="s">
        <v>435</v>
      </c>
      <c r="Y3" s="296"/>
      <c r="Z3" s="296"/>
      <c r="AA3" s="296"/>
      <c r="AB3" s="296"/>
      <c r="AC3" s="296"/>
      <c r="AD3" s="296"/>
      <c r="AE3" s="296"/>
      <c r="AF3" s="296"/>
      <c r="AG3" s="296"/>
      <c r="AH3" s="296"/>
      <c r="AI3" s="296"/>
      <c r="AJ3" s="296"/>
      <c r="AK3" s="296"/>
      <c r="AL3" s="296"/>
      <c r="AM3" s="296"/>
      <c r="AN3" s="296"/>
      <c r="AO3" s="296"/>
      <c r="AP3" s="296"/>
      <c r="AQ3" s="296"/>
      <c r="AR3" s="296"/>
      <c r="AS3" s="187"/>
      <c r="AT3" s="212"/>
      <c r="AU3" s="185"/>
      <c r="AV3" s="185"/>
      <c r="AW3" s="185"/>
      <c r="AX3" s="185"/>
      <c r="AY3" s="185"/>
      <c r="AZ3" s="185"/>
      <c r="BA3" s="185"/>
      <c r="BB3" s="185"/>
      <c r="BC3" s="185"/>
      <c r="BD3" s="185"/>
      <c r="BE3" s="185"/>
      <c r="BF3" s="185"/>
      <c r="BG3" s="185"/>
      <c r="BH3" s="185"/>
      <c r="BI3" s="185"/>
      <c r="BJ3" s="185"/>
      <c r="BK3" s="185"/>
      <c r="BL3" s="185"/>
      <c r="BM3" s="185"/>
      <c r="BN3" s="185"/>
      <c r="BO3" s="185"/>
      <c r="BP3" s="185"/>
      <c r="BQ3" s="185"/>
      <c r="BR3" s="185"/>
      <c r="BS3" s="185"/>
      <c r="BT3" s="185"/>
      <c r="BU3" s="185"/>
      <c r="BV3" s="185"/>
      <c r="BW3" s="185"/>
      <c r="BX3" s="185"/>
      <c r="BY3" s="185"/>
      <c r="BZ3" s="185"/>
      <c r="CA3" s="185"/>
      <c r="CB3" s="185"/>
      <c r="CC3" s="185"/>
      <c r="CD3" s="185"/>
      <c r="CE3" s="185"/>
      <c r="CF3" s="185"/>
      <c r="CG3" s="185"/>
    </row>
    <row r="4" spans="1:85">
      <c r="A4" s="187"/>
      <c r="B4" s="212"/>
      <c r="C4" s="293" t="s">
        <v>430</v>
      </c>
      <c r="D4" s="294"/>
      <c r="E4" s="294"/>
      <c r="F4" s="294"/>
      <c r="G4" s="294"/>
      <c r="H4" s="294"/>
      <c r="I4" s="294"/>
      <c r="J4" s="293" t="s">
        <v>431</v>
      </c>
      <c r="K4" s="294"/>
      <c r="L4" s="294"/>
      <c r="M4" s="294"/>
      <c r="N4" s="294"/>
      <c r="O4" s="294"/>
      <c r="P4" s="294"/>
      <c r="Q4" s="293" t="s">
        <v>404</v>
      </c>
      <c r="R4" s="294"/>
      <c r="S4" s="294"/>
      <c r="T4" s="294"/>
      <c r="U4" s="294"/>
      <c r="V4" s="294"/>
      <c r="W4" s="294"/>
      <c r="X4" s="295" t="s">
        <v>432</v>
      </c>
      <c r="Y4" s="296"/>
      <c r="Z4" s="296"/>
      <c r="AA4" s="296"/>
      <c r="AB4" s="296"/>
      <c r="AC4" s="296"/>
      <c r="AD4" s="296"/>
      <c r="AE4" s="295" t="s">
        <v>433</v>
      </c>
      <c r="AF4" s="296"/>
      <c r="AG4" s="296"/>
      <c r="AH4" s="296"/>
      <c r="AI4" s="296"/>
      <c r="AJ4" s="296"/>
      <c r="AK4" s="296"/>
      <c r="AL4" s="295" t="s">
        <v>434</v>
      </c>
      <c r="AM4" s="296"/>
      <c r="AN4" s="296"/>
      <c r="AO4" s="296"/>
      <c r="AP4" s="296"/>
      <c r="AQ4" s="296"/>
      <c r="AR4" s="296"/>
      <c r="AS4" s="187"/>
      <c r="AT4" s="212"/>
      <c r="AU4" s="185"/>
      <c r="AV4" s="185"/>
      <c r="AW4" s="185"/>
      <c r="AX4" s="185"/>
      <c r="AY4" s="185"/>
      <c r="AZ4" s="185"/>
      <c r="BA4" s="185"/>
      <c r="BB4" s="185"/>
      <c r="BC4" s="185"/>
      <c r="BD4" s="185"/>
      <c r="BE4" s="185"/>
      <c r="BF4" s="185"/>
      <c r="BG4" s="185"/>
      <c r="BH4" s="185"/>
      <c r="BI4" s="185"/>
      <c r="BJ4" s="185"/>
      <c r="BK4" s="185"/>
      <c r="BL4" s="185"/>
      <c r="BM4" s="185"/>
      <c r="BN4" s="185"/>
      <c r="BO4" s="185"/>
      <c r="BP4" s="185"/>
      <c r="BQ4" s="185"/>
      <c r="BR4" s="185"/>
      <c r="BS4" s="185"/>
      <c r="BT4" s="185"/>
      <c r="BU4" s="185"/>
      <c r="BV4" s="185"/>
      <c r="BW4" s="185"/>
      <c r="BX4" s="185"/>
      <c r="BY4" s="185"/>
      <c r="BZ4" s="185"/>
      <c r="CA4" s="185"/>
      <c r="CB4" s="185"/>
      <c r="CC4" s="185"/>
      <c r="CD4" s="185"/>
      <c r="CE4" s="185"/>
      <c r="CF4" s="185"/>
      <c r="CG4" s="185"/>
    </row>
    <row r="5" spans="1:85">
      <c r="A5" s="187"/>
      <c r="B5" s="213" t="s">
        <v>405</v>
      </c>
      <c r="C5" s="206" t="s">
        <v>406</v>
      </c>
      <c r="D5" s="206" t="s">
        <v>378</v>
      </c>
      <c r="E5" s="206" t="s">
        <v>407</v>
      </c>
      <c r="F5" s="206" t="s">
        <v>408</v>
      </c>
      <c r="G5" s="206" t="s">
        <v>409</v>
      </c>
      <c r="H5" s="206" t="s">
        <v>410</v>
      </c>
      <c r="I5" s="206" t="s">
        <v>411</v>
      </c>
      <c r="J5" s="206" t="s">
        <v>406</v>
      </c>
      <c r="K5" s="206" t="s">
        <v>378</v>
      </c>
      <c r="L5" s="206" t="s">
        <v>407</v>
      </c>
      <c r="M5" s="206" t="s">
        <v>408</v>
      </c>
      <c r="N5" s="206" t="s">
        <v>409</v>
      </c>
      <c r="O5" s="206" t="s">
        <v>410</v>
      </c>
      <c r="P5" s="206" t="s">
        <v>411</v>
      </c>
      <c r="Q5" s="206" t="s">
        <v>406</v>
      </c>
      <c r="R5" s="206" t="s">
        <v>378</v>
      </c>
      <c r="S5" s="206" t="s">
        <v>407</v>
      </c>
      <c r="T5" s="206" t="s">
        <v>408</v>
      </c>
      <c r="U5" s="206" t="s">
        <v>409</v>
      </c>
      <c r="V5" s="206" t="s">
        <v>410</v>
      </c>
      <c r="W5" s="206" t="s">
        <v>411</v>
      </c>
      <c r="X5" s="204" t="s">
        <v>406</v>
      </c>
      <c r="Y5" s="189" t="s">
        <v>378</v>
      </c>
      <c r="Z5" s="189" t="s">
        <v>407</v>
      </c>
      <c r="AA5" s="189" t="s">
        <v>408</v>
      </c>
      <c r="AB5" s="189" t="s">
        <v>409</v>
      </c>
      <c r="AC5" s="189" t="s">
        <v>410</v>
      </c>
      <c r="AD5" s="189" t="s">
        <v>411</v>
      </c>
      <c r="AE5" s="189" t="s">
        <v>406</v>
      </c>
      <c r="AF5" s="189" t="s">
        <v>378</v>
      </c>
      <c r="AG5" s="189" t="s">
        <v>407</v>
      </c>
      <c r="AH5" s="189" t="s">
        <v>408</v>
      </c>
      <c r="AI5" s="189" t="s">
        <v>409</v>
      </c>
      <c r="AJ5" s="189" t="s">
        <v>410</v>
      </c>
      <c r="AK5" s="189" t="s">
        <v>411</v>
      </c>
      <c r="AL5" s="189" t="s">
        <v>406</v>
      </c>
      <c r="AM5" s="189" t="s">
        <v>378</v>
      </c>
      <c r="AN5" s="189" t="s">
        <v>407</v>
      </c>
      <c r="AO5" s="189" t="s">
        <v>408</v>
      </c>
      <c r="AP5" s="189" t="s">
        <v>409</v>
      </c>
      <c r="AQ5" s="189" t="s">
        <v>410</v>
      </c>
      <c r="AR5" s="189" t="s">
        <v>411</v>
      </c>
      <c r="AS5" s="187"/>
      <c r="AT5" s="273"/>
      <c r="AU5" s="185"/>
      <c r="AV5" s="185"/>
      <c r="AW5" s="185"/>
      <c r="AX5" s="185"/>
      <c r="AY5" s="185"/>
      <c r="AZ5" s="185"/>
      <c r="BA5" s="185"/>
      <c r="BB5" s="185"/>
      <c r="BC5" s="185"/>
      <c r="BD5" s="185"/>
      <c r="BE5" s="185"/>
      <c r="BF5" s="185"/>
      <c r="BG5" s="185"/>
      <c r="BH5" s="185"/>
      <c r="BI5" s="185"/>
      <c r="BJ5" s="185"/>
      <c r="BK5" s="185"/>
      <c r="BL5" s="185"/>
      <c r="BM5" s="185"/>
      <c r="BN5" s="185"/>
      <c r="BO5" s="185"/>
      <c r="BP5" s="185"/>
      <c r="BQ5" s="185"/>
      <c r="BR5" s="185"/>
      <c r="BS5" s="185"/>
      <c r="BT5" s="185"/>
      <c r="BU5" s="185"/>
      <c r="BV5" s="185"/>
      <c r="BW5" s="185"/>
      <c r="BX5" s="185"/>
      <c r="BY5" s="185"/>
      <c r="BZ5" s="185"/>
      <c r="CA5" s="185"/>
      <c r="CB5" s="185"/>
      <c r="CC5" s="185"/>
      <c r="CD5" s="185"/>
      <c r="CE5" s="185"/>
      <c r="CF5" s="185"/>
      <c r="CG5" s="185"/>
    </row>
    <row r="6" spans="1:85">
      <c r="A6" s="192"/>
      <c r="B6" s="214" t="s">
        <v>210</v>
      </c>
      <c r="C6" s="280">
        <v>34.479999999999997</v>
      </c>
      <c r="D6" s="200">
        <v>24.17</v>
      </c>
      <c r="E6" s="200">
        <v>4.2</v>
      </c>
      <c r="F6" s="200">
        <v>11.3</v>
      </c>
      <c r="G6" s="200">
        <v>30.3</v>
      </c>
      <c r="H6" s="200">
        <v>55.9</v>
      </c>
      <c r="I6" s="200">
        <v>87</v>
      </c>
      <c r="J6" s="282">
        <v>33.22</v>
      </c>
      <c r="K6" s="201">
        <v>24.21</v>
      </c>
      <c r="L6" s="201">
        <v>2.8</v>
      </c>
      <c r="M6" s="201">
        <v>12</v>
      </c>
      <c r="N6" s="201">
        <v>21.55</v>
      </c>
      <c r="O6" s="201">
        <v>56.8</v>
      </c>
      <c r="P6" s="201">
        <v>89</v>
      </c>
      <c r="Q6" s="282">
        <v>33.869999999999997</v>
      </c>
      <c r="R6" s="201">
        <v>24.2</v>
      </c>
      <c r="S6" s="201">
        <v>2.8</v>
      </c>
      <c r="T6" s="201">
        <v>11.5</v>
      </c>
      <c r="U6" s="201">
        <v>23.65</v>
      </c>
      <c r="V6" s="201">
        <v>56.4</v>
      </c>
      <c r="W6" s="201">
        <v>89</v>
      </c>
      <c r="X6" s="284">
        <v>20.02</v>
      </c>
      <c r="Y6" s="191">
        <v>17.329999999999998</v>
      </c>
      <c r="Z6" s="191">
        <v>4.3</v>
      </c>
      <c r="AA6" s="191">
        <v>6.24</v>
      </c>
      <c r="AB6" s="191">
        <v>14.9</v>
      </c>
      <c r="AC6" s="191">
        <v>22</v>
      </c>
      <c r="AD6" s="191">
        <v>82.3</v>
      </c>
      <c r="AE6" s="284">
        <v>20.21</v>
      </c>
      <c r="AF6" s="191">
        <v>16.55</v>
      </c>
      <c r="AG6" s="191">
        <v>2.8</v>
      </c>
      <c r="AH6" s="191">
        <v>6.34</v>
      </c>
      <c r="AI6" s="191">
        <v>17.899999999999999</v>
      </c>
      <c r="AJ6" s="191">
        <v>21.6</v>
      </c>
      <c r="AK6" s="191">
        <v>84.2</v>
      </c>
      <c r="AL6" s="284">
        <v>20.12</v>
      </c>
      <c r="AM6" s="191">
        <v>16.93</v>
      </c>
      <c r="AN6" s="191">
        <v>2.8</v>
      </c>
      <c r="AO6" s="191">
        <v>6.29</v>
      </c>
      <c r="AP6" s="191">
        <v>17.600000000000001</v>
      </c>
      <c r="AQ6" s="191">
        <v>21.8</v>
      </c>
      <c r="AR6" s="191">
        <v>84.2</v>
      </c>
      <c r="AS6" s="192"/>
      <c r="AT6" s="273"/>
      <c r="AU6" s="185"/>
      <c r="AV6" s="185"/>
      <c r="AW6" s="185"/>
      <c r="AX6" s="185"/>
      <c r="AY6" s="185"/>
      <c r="AZ6" s="185"/>
      <c r="BA6" s="185"/>
      <c r="BB6" s="185"/>
      <c r="BC6" s="185"/>
      <c r="BD6" s="185"/>
      <c r="BE6" s="185"/>
      <c r="BF6" s="185"/>
      <c r="BG6" s="185"/>
      <c r="BH6" s="185"/>
      <c r="BI6" s="185"/>
      <c r="BJ6" s="185"/>
      <c r="BK6" s="185"/>
      <c r="BL6" s="185"/>
      <c r="BM6" s="185"/>
      <c r="BN6" s="185"/>
      <c r="BO6" s="185"/>
      <c r="BP6" s="185"/>
      <c r="BQ6" s="185"/>
      <c r="BR6" s="185"/>
      <c r="BS6" s="185"/>
      <c r="BT6" s="185"/>
      <c r="BU6" s="185"/>
      <c r="BV6" s="185"/>
      <c r="BW6" s="185"/>
      <c r="BX6" s="185"/>
      <c r="BY6" s="185"/>
      <c r="BZ6" s="185"/>
      <c r="CA6" s="185"/>
      <c r="CB6" s="185"/>
      <c r="CC6" s="185"/>
      <c r="CD6" s="185"/>
      <c r="CE6" s="185"/>
      <c r="CF6" s="185"/>
      <c r="CG6" s="185"/>
    </row>
    <row r="7" spans="1:85">
      <c r="A7" s="192"/>
      <c r="B7" s="214" t="s">
        <v>412</v>
      </c>
      <c r="C7" s="280">
        <v>66.02</v>
      </c>
      <c r="D7" s="200">
        <v>27.43</v>
      </c>
      <c r="E7" s="200">
        <v>14.3</v>
      </c>
      <c r="F7" s="200">
        <v>46.5</v>
      </c>
      <c r="G7" s="200">
        <v>71.8</v>
      </c>
      <c r="H7" s="200">
        <v>85.5</v>
      </c>
      <c r="I7" s="200">
        <v>147</v>
      </c>
      <c r="J7" s="282">
        <v>55.84</v>
      </c>
      <c r="K7" s="201">
        <v>21.53</v>
      </c>
      <c r="L7" s="201">
        <v>12.3</v>
      </c>
      <c r="M7" s="201">
        <v>45.2</v>
      </c>
      <c r="N7" s="201">
        <v>58</v>
      </c>
      <c r="O7" s="201">
        <v>69</v>
      </c>
      <c r="P7" s="201">
        <v>150.6</v>
      </c>
      <c r="Q7" s="282">
        <v>61.13</v>
      </c>
      <c r="R7" s="201">
        <v>25.28</v>
      </c>
      <c r="S7" s="201">
        <v>12.3</v>
      </c>
      <c r="T7" s="201">
        <v>45.6</v>
      </c>
      <c r="U7" s="201">
        <v>63.2</v>
      </c>
      <c r="V7" s="201">
        <v>78.099999999999994</v>
      </c>
      <c r="W7" s="201">
        <v>150.6</v>
      </c>
      <c r="X7" s="284">
        <v>50.24</v>
      </c>
      <c r="Y7" s="191">
        <v>25.73</v>
      </c>
      <c r="Z7" s="191">
        <v>14.3</v>
      </c>
      <c r="AA7" s="191">
        <v>22.3</v>
      </c>
      <c r="AB7" s="191">
        <v>56</v>
      </c>
      <c r="AC7" s="191">
        <v>72.2</v>
      </c>
      <c r="AD7" s="191">
        <v>105</v>
      </c>
      <c r="AE7" s="284">
        <v>45.64</v>
      </c>
      <c r="AF7" s="191">
        <v>19.36</v>
      </c>
      <c r="AG7" s="191">
        <v>12.3</v>
      </c>
      <c r="AH7" s="191">
        <v>22.9</v>
      </c>
      <c r="AI7" s="191">
        <v>51.5</v>
      </c>
      <c r="AJ7" s="191">
        <v>61</v>
      </c>
      <c r="AK7" s="191">
        <v>86.55</v>
      </c>
      <c r="AL7" s="284">
        <v>47.91</v>
      </c>
      <c r="AM7" s="191">
        <v>22.83</v>
      </c>
      <c r="AN7" s="191">
        <v>12.3</v>
      </c>
      <c r="AO7" s="191">
        <v>22.6</v>
      </c>
      <c r="AP7" s="191">
        <v>52.8</v>
      </c>
      <c r="AQ7" s="191">
        <v>65.2</v>
      </c>
      <c r="AR7" s="191">
        <v>105</v>
      </c>
      <c r="AS7" s="192"/>
      <c r="AT7" s="274"/>
      <c r="AU7" s="185"/>
      <c r="AV7" s="185"/>
      <c r="AW7" s="185"/>
      <c r="AX7" s="185"/>
      <c r="AY7" s="185"/>
      <c r="AZ7" s="185"/>
      <c r="BA7" s="185"/>
      <c r="BB7" s="185"/>
      <c r="BC7" s="185"/>
      <c r="BD7" s="185"/>
      <c r="BE7" s="185"/>
      <c r="BF7" s="185"/>
      <c r="BG7" s="185"/>
      <c r="BH7" s="185"/>
      <c r="BI7" s="185"/>
      <c r="BJ7" s="185"/>
      <c r="BK7" s="185"/>
      <c r="BL7" s="185"/>
      <c r="BM7" s="185"/>
      <c r="BN7" s="185"/>
      <c r="BO7" s="185"/>
      <c r="BP7" s="185"/>
      <c r="BQ7" s="185"/>
      <c r="BR7" s="185"/>
      <c r="BS7" s="185"/>
      <c r="BT7" s="185"/>
      <c r="BU7" s="185"/>
      <c r="BV7" s="185"/>
      <c r="BW7" s="185"/>
      <c r="BX7" s="185"/>
      <c r="BY7" s="185"/>
      <c r="BZ7" s="185"/>
      <c r="CA7" s="185"/>
      <c r="CB7" s="185"/>
      <c r="CC7" s="185"/>
      <c r="CD7" s="185"/>
      <c r="CE7" s="185"/>
      <c r="CF7" s="185"/>
      <c r="CG7" s="185"/>
    </row>
    <row r="8" spans="1:85">
      <c r="A8" s="192"/>
      <c r="B8" s="214" t="s">
        <v>413</v>
      </c>
      <c r="C8" s="280">
        <v>1.59</v>
      </c>
      <c r="D8" s="200">
        <v>0.25</v>
      </c>
      <c r="E8" s="200">
        <v>0.99</v>
      </c>
      <c r="F8" s="200">
        <v>1.45</v>
      </c>
      <c r="G8" s="200">
        <v>1.7</v>
      </c>
      <c r="H8" s="200">
        <v>1.76</v>
      </c>
      <c r="I8" s="200">
        <v>1.97</v>
      </c>
      <c r="J8" s="282">
        <v>1.5</v>
      </c>
      <c r="K8" s="201">
        <v>0.2</v>
      </c>
      <c r="L8" s="201">
        <v>0.9</v>
      </c>
      <c r="M8" s="201">
        <v>1.47</v>
      </c>
      <c r="N8" s="201">
        <v>1.57</v>
      </c>
      <c r="O8" s="201">
        <v>1.63</v>
      </c>
      <c r="P8" s="201">
        <v>1.85</v>
      </c>
      <c r="Q8" s="282">
        <v>1.55</v>
      </c>
      <c r="R8" s="201">
        <v>0.23</v>
      </c>
      <c r="S8" s="201">
        <v>0.9</v>
      </c>
      <c r="T8" s="201">
        <v>1.46</v>
      </c>
      <c r="U8" s="201">
        <v>1.62</v>
      </c>
      <c r="V8" s="201">
        <v>1.71</v>
      </c>
      <c r="W8" s="201">
        <v>1.97</v>
      </c>
      <c r="X8" s="284">
        <v>1.5</v>
      </c>
      <c r="Y8" s="191">
        <v>0.28999999999999998</v>
      </c>
      <c r="Z8" s="191">
        <v>0.99</v>
      </c>
      <c r="AA8" s="191">
        <v>1.17</v>
      </c>
      <c r="AB8" s="191">
        <v>1.65</v>
      </c>
      <c r="AC8" s="191">
        <v>1.75</v>
      </c>
      <c r="AD8" s="191">
        <v>1.94</v>
      </c>
      <c r="AE8" s="284">
        <v>1.45</v>
      </c>
      <c r="AF8" s="191">
        <v>0.23</v>
      </c>
      <c r="AG8" s="191">
        <v>0.9</v>
      </c>
      <c r="AH8" s="191">
        <v>1.17</v>
      </c>
      <c r="AI8" s="191">
        <v>1.57</v>
      </c>
      <c r="AJ8" s="191">
        <v>1.63</v>
      </c>
      <c r="AK8" s="191">
        <v>1.83</v>
      </c>
      <c r="AL8" s="284">
        <v>1.47</v>
      </c>
      <c r="AM8" s="191">
        <v>0.26</v>
      </c>
      <c r="AN8" s="191">
        <v>0.9</v>
      </c>
      <c r="AO8" s="191">
        <v>1.17</v>
      </c>
      <c r="AP8" s="191">
        <v>1.58</v>
      </c>
      <c r="AQ8" s="191">
        <v>1.69</v>
      </c>
      <c r="AR8" s="191">
        <v>1.94</v>
      </c>
      <c r="AS8" s="192"/>
      <c r="AT8" s="274"/>
      <c r="AU8" s="185"/>
      <c r="AV8" s="185"/>
      <c r="AW8" s="185"/>
      <c r="AX8" s="185"/>
      <c r="AY8" s="185"/>
      <c r="AZ8" s="185"/>
      <c r="BA8" s="185"/>
      <c r="BB8" s="185"/>
      <c r="BC8" s="185"/>
      <c r="BD8" s="185"/>
      <c r="BE8" s="185"/>
      <c r="BF8" s="185"/>
      <c r="BG8" s="185"/>
      <c r="BH8" s="185"/>
      <c r="BI8" s="185"/>
      <c r="BJ8" s="185"/>
      <c r="BK8" s="185"/>
      <c r="BL8" s="185"/>
      <c r="BM8" s="185"/>
      <c r="BN8" s="185"/>
      <c r="BO8" s="185"/>
      <c r="BP8" s="185"/>
      <c r="BQ8" s="185"/>
      <c r="BR8" s="185"/>
      <c r="BS8" s="185"/>
      <c r="BT8" s="185"/>
      <c r="BU8" s="185"/>
      <c r="BV8" s="185"/>
      <c r="BW8" s="185"/>
      <c r="BX8" s="185"/>
      <c r="BY8" s="185"/>
      <c r="BZ8" s="185"/>
      <c r="CA8" s="185"/>
      <c r="CB8" s="185"/>
      <c r="CC8" s="185"/>
      <c r="CD8" s="185"/>
      <c r="CE8" s="185"/>
      <c r="CF8" s="185"/>
      <c r="CG8" s="185"/>
    </row>
    <row r="9" spans="1:85">
      <c r="A9" s="192"/>
      <c r="B9" s="214" t="s">
        <v>446</v>
      </c>
      <c r="C9" s="280">
        <v>24.33</v>
      </c>
      <c r="D9" s="200">
        <v>5.87</v>
      </c>
      <c r="E9" s="200">
        <v>11.53</v>
      </c>
      <c r="F9" s="200">
        <v>19.91</v>
      </c>
      <c r="G9" s="200">
        <v>24.32</v>
      </c>
      <c r="H9" s="200">
        <v>28.41</v>
      </c>
      <c r="I9" s="200">
        <v>46.4</v>
      </c>
      <c r="J9" s="282">
        <v>23.76</v>
      </c>
      <c r="K9" s="201">
        <v>6.17</v>
      </c>
      <c r="L9" s="201">
        <v>12.57</v>
      </c>
      <c r="M9" s="201">
        <v>19.5</v>
      </c>
      <c r="N9" s="201">
        <v>22.98</v>
      </c>
      <c r="O9" s="201">
        <v>27.01</v>
      </c>
      <c r="P9" s="201">
        <v>71.34</v>
      </c>
      <c r="Q9" s="282">
        <v>24.06</v>
      </c>
      <c r="R9" s="201">
        <v>6.02</v>
      </c>
      <c r="S9" s="201">
        <v>11.53</v>
      </c>
      <c r="T9" s="201">
        <v>19.7</v>
      </c>
      <c r="U9" s="201">
        <v>23.63</v>
      </c>
      <c r="V9" s="201">
        <v>27.84</v>
      </c>
      <c r="W9" s="201">
        <v>71.34</v>
      </c>
      <c r="X9" s="284">
        <v>20.36</v>
      </c>
      <c r="Y9" s="191">
        <v>4.37</v>
      </c>
      <c r="Z9" s="191">
        <v>11.53</v>
      </c>
      <c r="AA9" s="191">
        <v>16.41</v>
      </c>
      <c r="AB9" s="191">
        <v>19.899999999999999</v>
      </c>
      <c r="AC9" s="191">
        <v>23.72</v>
      </c>
      <c r="AD9" s="191">
        <v>29.92</v>
      </c>
      <c r="AE9" s="284">
        <v>20.36</v>
      </c>
      <c r="AF9" s="191">
        <v>4.07</v>
      </c>
      <c r="AG9" s="191">
        <v>12.57</v>
      </c>
      <c r="AH9" s="191">
        <v>16.82</v>
      </c>
      <c r="AI9" s="191">
        <v>20.079999999999998</v>
      </c>
      <c r="AJ9" s="191">
        <v>23.3</v>
      </c>
      <c r="AK9" s="191">
        <v>29.95</v>
      </c>
      <c r="AL9" s="284">
        <v>20.36</v>
      </c>
      <c r="AM9" s="191">
        <v>4.22</v>
      </c>
      <c r="AN9" s="191">
        <v>11.53</v>
      </c>
      <c r="AO9" s="191">
        <v>16.59</v>
      </c>
      <c r="AP9" s="191">
        <v>20</v>
      </c>
      <c r="AQ9" s="191">
        <v>23.56</v>
      </c>
      <c r="AR9" s="191">
        <v>29.95</v>
      </c>
      <c r="AS9" s="192"/>
      <c r="AT9" s="274"/>
      <c r="AU9" s="185"/>
      <c r="AV9" s="185"/>
      <c r="AW9" s="185"/>
      <c r="AX9" s="185"/>
      <c r="AY9" s="185"/>
      <c r="AZ9" s="185"/>
      <c r="BA9" s="185"/>
      <c r="BB9" s="185"/>
      <c r="BC9" s="185"/>
      <c r="BD9" s="185"/>
      <c r="BE9" s="185"/>
      <c r="BF9" s="185"/>
      <c r="BG9" s="185"/>
      <c r="BH9" s="185"/>
      <c r="BI9" s="185"/>
      <c r="BJ9" s="185"/>
      <c r="BK9" s="185"/>
      <c r="BL9" s="185"/>
      <c r="BM9" s="185"/>
      <c r="BN9" s="185"/>
      <c r="BO9" s="185"/>
      <c r="BP9" s="185"/>
      <c r="BQ9" s="185"/>
      <c r="BR9" s="185"/>
      <c r="BS9" s="185"/>
      <c r="BT9" s="185"/>
      <c r="BU9" s="185"/>
      <c r="BV9" s="185"/>
      <c r="BW9" s="185"/>
      <c r="BX9" s="185"/>
      <c r="BY9" s="185"/>
      <c r="BZ9" s="185"/>
      <c r="CA9" s="185"/>
      <c r="CB9" s="185"/>
      <c r="CC9" s="185"/>
      <c r="CD9" s="185"/>
      <c r="CE9" s="185"/>
      <c r="CF9" s="185"/>
      <c r="CG9" s="185"/>
    </row>
    <row r="10" spans="1:85">
      <c r="A10" s="192"/>
      <c r="B10" s="214" t="s">
        <v>414</v>
      </c>
      <c r="C10" s="280">
        <v>0.99</v>
      </c>
      <c r="D10" s="200">
        <v>1.53</v>
      </c>
      <c r="E10" s="200">
        <v>-4.63</v>
      </c>
      <c r="F10" s="200">
        <v>-0.04</v>
      </c>
      <c r="G10" s="200">
        <v>0.76</v>
      </c>
      <c r="H10" s="200">
        <v>1.76</v>
      </c>
      <c r="I10" s="200">
        <v>8.0299999999999994</v>
      </c>
      <c r="J10" s="282">
        <v>0.88</v>
      </c>
      <c r="K10" s="201">
        <v>1.36</v>
      </c>
      <c r="L10" s="201">
        <v>-2.13</v>
      </c>
      <c r="M10" s="201">
        <v>-0.1</v>
      </c>
      <c r="N10" s="201">
        <v>0.73</v>
      </c>
      <c r="O10" s="201">
        <v>1.77</v>
      </c>
      <c r="P10" s="201">
        <v>7.9</v>
      </c>
      <c r="Q10" s="282">
        <v>0.94</v>
      </c>
      <c r="R10" s="201">
        <v>1.45</v>
      </c>
      <c r="S10" s="201">
        <v>-4.63</v>
      </c>
      <c r="T10" s="201">
        <v>-0.05</v>
      </c>
      <c r="U10" s="201">
        <v>0.74</v>
      </c>
      <c r="V10" s="201">
        <v>1.77</v>
      </c>
      <c r="W10" s="201">
        <v>8.0299999999999994</v>
      </c>
      <c r="X10" s="284">
        <v>0.36</v>
      </c>
      <c r="Y10" s="191">
        <v>0.93</v>
      </c>
      <c r="Z10" s="191">
        <v>-4.63</v>
      </c>
      <c r="AA10" s="191">
        <v>-0.22</v>
      </c>
      <c r="AB10" s="191">
        <v>0.47</v>
      </c>
      <c r="AC10" s="191">
        <v>1.04</v>
      </c>
      <c r="AD10" s="191">
        <v>1.96</v>
      </c>
      <c r="AE10" s="284">
        <v>0.32</v>
      </c>
      <c r="AF10" s="191">
        <v>0.9</v>
      </c>
      <c r="AG10" s="191">
        <v>-2.13</v>
      </c>
      <c r="AH10" s="191">
        <v>-0.3</v>
      </c>
      <c r="AI10" s="191">
        <v>0.37</v>
      </c>
      <c r="AJ10" s="191">
        <v>0.96</v>
      </c>
      <c r="AK10" s="191">
        <v>1.98</v>
      </c>
      <c r="AL10" s="284">
        <v>0.34</v>
      </c>
      <c r="AM10" s="191">
        <v>0.92</v>
      </c>
      <c r="AN10" s="191">
        <v>-4.63</v>
      </c>
      <c r="AO10" s="191">
        <v>-0.27</v>
      </c>
      <c r="AP10" s="191">
        <v>0.41</v>
      </c>
      <c r="AQ10" s="191">
        <v>1</v>
      </c>
      <c r="AR10" s="191">
        <v>1.98</v>
      </c>
      <c r="AS10" s="192"/>
      <c r="AT10" s="274"/>
      <c r="AU10" s="185"/>
      <c r="AV10" s="185"/>
      <c r="AW10" s="185"/>
      <c r="AX10" s="185"/>
      <c r="AY10" s="185"/>
      <c r="AZ10" s="185"/>
      <c r="BA10" s="185"/>
      <c r="BB10" s="185"/>
      <c r="BC10" s="185"/>
      <c r="BD10" s="185"/>
      <c r="BE10" s="185"/>
      <c r="BF10" s="185"/>
      <c r="BG10" s="185"/>
      <c r="BH10" s="185"/>
      <c r="BI10" s="185"/>
      <c r="BJ10" s="185"/>
      <c r="BK10" s="185"/>
      <c r="BL10" s="185"/>
      <c r="BM10" s="185"/>
      <c r="BN10" s="185"/>
      <c r="BO10" s="185"/>
      <c r="BP10" s="185"/>
      <c r="BQ10" s="185"/>
      <c r="BR10" s="185"/>
      <c r="BS10" s="185"/>
      <c r="BT10" s="185"/>
      <c r="BU10" s="185"/>
      <c r="BV10" s="185"/>
      <c r="BW10" s="185"/>
      <c r="BX10" s="185"/>
      <c r="BY10" s="185"/>
      <c r="BZ10" s="185"/>
      <c r="CA10" s="185"/>
      <c r="CB10" s="185"/>
      <c r="CC10" s="185"/>
      <c r="CD10" s="185"/>
      <c r="CE10" s="185"/>
      <c r="CF10" s="185"/>
      <c r="CG10" s="185"/>
    </row>
    <row r="11" spans="1:85">
      <c r="A11" s="192"/>
      <c r="B11" s="214" t="s">
        <v>447</v>
      </c>
      <c r="C11" s="280">
        <v>192.5</v>
      </c>
      <c r="D11" s="200">
        <v>41.47</v>
      </c>
      <c r="E11" s="200">
        <v>94.3</v>
      </c>
      <c r="F11" s="200">
        <v>163</v>
      </c>
      <c r="G11" s="200">
        <v>190</v>
      </c>
      <c r="H11" s="200">
        <v>219</v>
      </c>
      <c r="I11" s="200">
        <v>363</v>
      </c>
      <c r="J11" s="282">
        <v>209.35</v>
      </c>
      <c r="K11" s="201">
        <v>45.72</v>
      </c>
      <c r="L11" s="201">
        <v>101</v>
      </c>
      <c r="M11" s="201">
        <v>177</v>
      </c>
      <c r="N11" s="201">
        <v>205</v>
      </c>
      <c r="O11" s="201">
        <v>238</v>
      </c>
      <c r="P11" s="201">
        <v>379</v>
      </c>
      <c r="Q11" s="282">
        <v>200.26</v>
      </c>
      <c r="R11" s="201">
        <v>44.27</v>
      </c>
      <c r="S11" s="201">
        <v>94.3</v>
      </c>
      <c r="T11" s="201">
        <v>170</v>
      </c>
      <c r="U11" s="201">
        <v>196</v>
      </c>
      <c r="V11" s="201">
        <v>227</v>
      </c>
      <c r="W11" s="201">
        <v>379</v>
      </c>
      <c r="X11" s="284">
        <v>195.72</v>
      </c>
      <c r="Y11" s="191">
        <v>26.97</v>
      </c>
      <c r="Z11" s="191">
        <v>99</v>
      </c>
      <c r="AA11" s="191">
        <v>181</v>
      </c>
      <c r="AB11" s="191">
        <v>197.5</v>
      </c>
      <c r="AC11" s="191">
        <v>217</v>
      </c>
      <c r="AD11" s="191">
        <v>238</v>
      </c>
      <c r="AE11" s="284">
        <v>193.92</v>
      </c>
      <c r="AF11" s="191">
        <v>24.61</v>
      </c>
      <c r="AG11" s="191">
        <v>122</v>
      </c>
      <c r="AH11" s="191">
        <v>177.5</v>
      </c>
      <c r="AI11" s="191">
        <v>199.5</v>
      </c>
      <c r="AJ11" s="191">
        <v>211.5</v>
      </c>
      <c r="AK11" s="191">
        <v>234</v>
      </c>
      <c r="AL11" s="284">
        <v>194.87</v>
      </c>
      <c r="AM11" s="191">
        <v>25.85</v>
      </c>
      <c r="AN11" s="191">
        <v>99</v>
      </c>
      <c r="AO11" s="191">
        <v>179</v>
      </c>
      <c r="AP11" s="191">
        <v>198</v>
      </c>
      <c r="AQ11" s="191">
        <v>214</v>
      </c>
      <c r="AR11" s="191">
        <v>238</v>
      </c>
      <c r="AS11" s="192"/>
      <c r="AT11" s="274"/>
      <c r="AU11" s="185"/>
      <c r="AV11" s="185"/>
      <c r="AW11" s="185"/>
      <c r="AX11" s="185"/>
      <c r="AY11" s="185"/>
      <c r="AZ11" s="185"/>
      <c r="BA11" s="185"/>
      <c r="BB11" s="185"/>
      <c r="BC11" s="185"/>
      <c r="BD11" s="185"/>
      <c r="BE11" s="185"/>
      <c r="BF11" s="185"/>
      <c r="BG11" s="185"/>
      <c r="BH11" s="185"/>
      <c r="BI11" s="185"/>
      <c r="BJ11" s="185"/>
      <c r="BK11" s="185"/>
      <c r="BL11" s="185"/>
      <c r="BM11" s="185"/>
      <c r="BN11" s="185"/>
      <c r="BO11" s="185"/>
      <c r="BP11" s="185"/>
      <c r="BQ11" s="185"/>
      <c r="BR11" s="185"/>
      <c r="BS11" s="185"/>
      <c r="BT11" s="185"/>
      <c r="BU11" s="185"/>
      <c r="BV11" s="185"/>
      <c r="BW11" s="185"/>
      <c r="BX11" s="185"/>
      <c r="BY11" s="185"/>
      <c r="BZ11" s="185"/>
      <c r="CA11" s="185"/>
      <c r="CB11" s="185"/>
      <c r="CC11" s="185"/>
      <c r="CD11" s="185"/>
      <c r="CE11" s="185"/>
      <c r="CF11" s="185"/>
      <c r="CG11" s="185"/>
    </row>
    <row r="12" spans="1:85">
      <c r="A12" s="194"/>
      <c r="B12" s="214" t="s">
        <v>448</v>
      </c>
      <c r="C12" s="281">
        <v>46.79</v>
      </c>
      <c r="D12" s="202">
        <v>12.4</v>
      </c>
      <c r="E12" s="202">
        <v>17</v>
      </c>
      <c r="F12" s="202">
        <v>38</v>
      </c>
      <c r="G12" s="202">
        <v>45</v>
      </c>
      <c r="H12" s="202">
        <v>54</v>
      </c>
      <c r="I12" s="202">
        <v>100</v>
      </c>
      <c r="J12" s="283">
        <v>56.53</v>
      </c>
      <c r="K12" s="203">
        <v>16.32</v>
      </c>
      <c r="L12" s="203">
        <v>19</v>
      </c>
      <c r="M12" s="203">
        <v>45.7</v>
      </c>
      <c r="N12" s="203">
        <v>55</v>
      </c>
      <c r="O12" s="203">
        <v>66</v>
      </c>
      <c r="P12" s="203">
        <v>122</v>
      </c>
      <c r="Q12" s="283">
        <v>51.18</v>
      </c>
      <c r="R12" s="203">
        <v>15.09</v>
      </c>
      <c r="S12" s="203">
        <v>17</v>
      </c>
      <c r="T12" s="203">
        <v>41</v>
      </c>
      <c r="U12" s="203">
        <v>49</v>
      </c>
      <c r="V12" s="203">
        <v>60</v>
      </c>
      <c r="W12" s="203">
        <v>122</v>
      </c>
      <c r="X12" s="285">
        <v>53.45</v>
      </c>
      <c r="Y12" s="193">
        <v>9.35</v>
      </c>
      <c r="Z12" s="193">
        <v>41</v>
      </c>
      <c r="AA12" s="193">
        <v>47</v>
      </c>
      <c r="AB12" s="193">
        <v>52</v>
      </c>
      <c r="AC12" s="193">
        <v>59</v>
      </c>
      <c r="AD12" s="193">
        <v>100</v>
      </c>
      <c r="AE12" s="285">
        <v>62.8</v>
      </c>
      <c r="AF12" s="193">
        <v>12.88</v>
      </c>
      <c r="AG12" s="193">
        <v>42</v>
      </c>
      <c r="AH12" s="193">
        <v>53</v>
      </c>
      <c r="AI12" s="193">
        <v>60.1</v>
      </c>
      <c r="AJ12" s="193">
        <v>72</v>
      </c>
      <c r="AK12" s="193">
        <v>99</v>
      </c>
      <c r="AL12" s="285">
        <v>57.73</v>
      </c>
      <c r="AM12" s="193">
        <v>12.03</v>
      </c>
      <c r="AN12" s="193">
        <v>41</v>
      </c>
      <c r="AO12" s="193">
        <v>49</v>
      </c>
      <c r="AP12" s="193">
        <v>55</v>
      </c>
      <c r="AQ12" s="193">
        <v>64</v>
      </c>
      <c r="AR12" s="193">
        <v>100</v>
      </c>
      <c r="AS12" s="194"/>
      <c r="AT12" s="274"/>
      <c r="AU12" s="185"/>
      <c r="AV12" s="185"/>
      <c r="AW12" s="185"/>
      <c r="AX12" s="185"/>
      <c r="AY12" s="185"/>
      <c r="AZ12" s="185"/>
      <c r="BA12" s="185"/>
      <c r="BB12" s="185"/>
      <c r="BC12" s="185"/>
      <c r="BD12" s="185"/>
      <c r="BE12" s="185"/>
      <c r="BF12" s="185"/>
      <c r="BG12" s="185"/>
      <c r="BH12" s="185"/>
      <c r="BI12" s="185"/>
      <c r="BJ12" s="185"/>
      <c r="BK12" s="185"/>
      <c r="BL12" s="185"/>
      <c r="BM12" s="185"/>
      <c r="BN12" s="185"/>
      <c r="BO12" s="185"/>
      <c r="BP12" s="185"/>
      <c r="BQ12" s="185"/>
      <c r="BR12" s="185"/>
      <c r="BS12" s="185"/>
      <c r="BT12" s="185"/>
      <c r="BU12" s="185"/>
      <c r="BV12" s="185"/>
      <c r="BW12" s="185"/>
      <c r="BX12" s="185"/>
      <c r="BY12" s="185"/>
      <c r="BZ12" s="185"/>
      <c r="CA12" s="185"/>
      <c r="CB12" s="185"/>
      <c r="CC12" s="185"/>
      <c r="CD12" s="185"/>
      <c r="CE12" s="185"/>
      <c r="CF12" s="185"/>
      <c r="CG12" s="185"/>
    </row>
    <row r="13" spans="1:85">
      <c r="A13" s="194"/>
      <c r="B13" s="214" t="s">
        <v>449</v>
      </c>
      <c r="C13" s="281">
        <v>119.03</v>
      </c>
      <c r="D13" s="202">
        <v>37.86</v>
      </c>
      <c r="E13" s="202">
        <v>28</v>
      </c>
      <c r="F13" s="202">
        <v>92</v>
      </c>
      <c r="G13" s="202">
        <v>116</v>
      </c>
      <c r="H13" s="202">
        <v>142.62</v>
      </c>
      <c r="I13" s="202">
        <v>293</v>
      </c>
      <c r="J13" s="283">
        <v>128.76</v>
      </c>
      <c r="K13" s="203">
        <v>41.54</v>
      </c>
      <c r="L13" s="203">
        <v>43</v>
      </c>
      <c r="M13" s="203">
        <v>99</v>
      </c>
      <c r="N13" s="203">
        <v>122</v>
      </c>
      <c r="O13" s="203">
        <v>152</v>
      </c>
      <c r="P13" s="203">
        <v>323</v>
      </c>
      <c r="Q13" s="283">
        <v>123.39</v>
      </c>
      <c r="R13" s="203">
        <v>39.83</v>
      </c>
      <c r="S13" s="203">
        <v>28</v>
      </c>
      <c r="T13" s="203">
        <v>95</v>
      </c>
      <c r="U13" s="203">
        <v>119</v>
      </c>
      <c r="V13" s="203">
        <v>146</v>
      </c>
      <c r="W13" s="203">
        <v>323</v>
      </c>
      <c r="X13" s="285">
        <v>122.05</v>
      </c>
      <c r="Y13" s="193">
        <v>25.94</v>
      </c>
      <c r="Z13" s="193">
        <v>31</v>
      </c>
      <c r="AA13" s="193">
        <v>103.5</v>
      </c>
      <c r="AB13" s="193">
        <v>122.5</v>
      </c>
      <c r="AC13" s="193">
        <v>142</v>
      </c>
      <c r="AD13" s="193">
        <v>180</v>
      </c>
      <c r="AE13" s="285">
        <v>113.02</v>
      </c>
      <c r="AF13" s="193">
        <v>24.2</v>
      </c>
      <c r="AG13" s="193">
        <v>49.7</v>
      </c>
      <c r="AH13" s="193">
        <v>98</v>
      </c>
      <c r="AI13" s="193">
        <v>117</v>
      </c>
      <c r="AJ13" s="193">
        <v>130</v>
      </c>
      <c r="AK13" s="193">
        <v>169</v>
      </c>
      <c r="AL13" s="285">
        <v>117.96</v>
      </c>
      <c r="AM13" s="193">
        <v>25.51</v>
      </c>
      <c r="AN13" s="193">
        <v>31</v>
      </c>
      <c r="AO13" s="193">
        <v>101</v>
      </c>
      <c r="AP13" s="193">
        <v>120.6</v>
      </c>
      <c r="AQ13" s="193">
        <v>134</v>
      </c>
      <c r="AR13" s="193">
        <v>180</v>
      </c>
      <c r="AS13" s="194"/>
      <c r="AT13" s="275"/>
      <c r="AU13" s="185"/>
      <c r="AV13" s="185"/>
      <c r="AW13" s="185"/>
      <c r="AX13" s="185"/>
      <c r="AY13" s="185"/>
      <c r="AZ13" s="185"/>
      <c r="BA13" s="185"/>
      <c r="BB13" s="185"/>
      <c r="BC13" s="185"/>
      <c r="BD13" s="185"/>
      <c r="BE13" s="185"/>
      <c r="BF13" s="185"/>
      <c r="BG13" s="185"/>
      <c r="BH13" s="185"/>
      <c r="BI13" s="185"/>
      <c r="BJ13" s="185"/>
      <c r="BK13" s="185"/>
      <c r="BL13" s="185"/>
      <c r="BM13" s="185"/>
      <c r="BN13" s="185"/>
      <c r="BO13" s="185"/>
      <c r="BP13" s="185"/>
      <c r="BQ13" s="185"/>
      <c r="BR13" s="185"/>
      <c r="BS13" s="185"/>
      <c r="BT13" s="185"/>
      <c r="BU13" s="185"/>
      <c r="BV13" s="185"/>
      <c r="BW13" s="185"/>
      <c r="BX13" s="185"/>
      <c r="BY13" s="185"/>
      <c r="BZ13" s="185"/>
      <c r="CA13" s="185"/>
      <c r="CB13" s="185"/>
      <c r="CC13" s="185"/>
      <c r="CD13" s="185"/>
      <c r="CE13" s="185"/>
      <c r="CF13" s="185"/>
      <c r="CG13" s="185"/>
    </row>
    <row r="14" spans="1:85">
      <c r="A14" s="194"/>
      <c r="B14" s="214" t="s">
        <v>415</v>
      </c>
      <c r="C14" s="281">
        <v>138.53</v>
      </c>
      <c r="D14" s="202">
        <v>90.35</v>
      </c>
      <c r="E14" s="202">
        <v>24</v>
      </c>
      <c r="F14" s="202">
        <v>83</v>
      </c>
      <c r="G14" s="202">
        <v>113</v>
      </c>
      <c r="H14" s="202">
        <v>163</v>
      </c>
      <c r="I14" s="202">
        <v>783</v>
      </c>
      <c r="J14" s="283">
        <v>126.84</v>
      </c>
      <c r="K14" s="203">
        <v>79.959999999999994</v>
      </c>
      <c r="L14" s="203">
        <v>26</v>
      </c>
      <c r="M14" s="203">
        <v>76</v>
      </c>
      <c r="N14" s="203">
        <v>109</v>
      </c>
      <c r="O14" s="203">
        <v>152</v>
      </c>
      <c r="P14" s="203">
        <v>687</v>
      </c>
      <c r="Q14" s="283">
        <v>133.21</v>
      </c>
      <c r="R14" s="203">
        <v>85.94</v>
      </c>
      <c r="S14" s="203">
        <v>24</v>
      </c>
      <c r="T14" s="203">
        <v>80</v>
      </c>
      <c r="U14" s="203">
        <v>111</v>
      </c>
      <c r="V14" s="203">
        <v>158</v>
      </c>
      <c r="W14" s="203">
        <v>783</v>
      </c>
      <c r="X14" s="285">
        <v>98.61</v>
      </c>
      <c r="Y14" s="193">
        <v>39.909999999999997</v>
      </c>
      <c r="Z14" s="193">
        <v>24</v>
      </c>
      <c r="AA14" s="193">
        <v>70</v>
      </c>
      <c r="AB14" s="193">
        <v>92</v>
      </c>
      <c r="AC14" s="193">
        <v>118</v>
      </c>
      <c r="AD14" s="193">
        <v>272</v>
      </c>
      <c r="AE14" s="285">
        <v>87.13</v>
      </c>
      <c r="AF14" s="193">
        <v>36.81</v>
      </c>
      <c r="AG14" s="193">
        <v>37</v>
      </c>
      <c r="AH14" s="193">
        <v>59</v>
      </c>
      <c r="AI14" s="193">
        <v>79</v>
      </c>
      <c r="AJ14" s="193">
        <v>104</v>
      </c>
      <c r="AK14" s="193">
        <v>201</v>
      </c>
      <c r="AL14" s="285">
        <v>93.3</v>
      </c>
      <c r="AM14" s="193">
        <v>38.85</v>
      </c>
      <c r="AN14" s="193">
        <v>24</v>
      </c>
      <c r="AO14" s="193">
        <v>65</v>
      </c>
      <c r="AP14" s="193">
        <v>86</v>
      </c>
      <c r="AQ14" s="193">
        <v>113</v>
      </c>
      <c r="AR14" s="193">
        <v>272</v>
      </c>
      <c r="AS14" s="194"/>
      <c r="AT14" s="275"/>
      <c r="AU14" s="185"/>
      <c r="AV14" s="185"/>
      <c r="AW14" s="185"/>
      <c r="AX14" s="185"/>
      <c r="AY14" s="185"/>
      <c r="AZ14" s="185"/>
      <c r="BA14" s="185"/>
      <c r="BB14" s="185"/>
      <c r="BC14" s="185"/>
      <c r="BD14" s="185"/>
      <c r="BE14" s="185"/>
      <c r="BF14" s="185"/>
      <c r="BG14" s="185"/>
      <c r="BH14" s="185"/>
      <c r="BI14" s="185"/>
      <c r="BJ14" s="185"/>
      <c r="BK14" s="185"/>
      <c r="BL14" s="185"/>
      <c r="BM14" s="185"/>
      <c r="BN14" s="185"/>
      <c r="BO14" s="185"/>
      <c r="BP14" s="185"/>
      <c r="BQ14" s="185"/>
      <c r="BR14" s="185"/>
      <c r="BS14" s="185"/>
      <c r="BT14" s="185"/>
      <c r="BU14" s="185"/>
      <c r="BV14" s="185"/>
      <c r="BW14" s="185"/>
      <c r="BX14" s="185"/>
      <c r="BY14" s="185"/>
      <c r="BZ14" s="185"/>
      <c r="CA14" s="185"/>
      <c r="CB14" s="185"/>
      <c r="CC14" s="185"/>
      <c r="CD14" s="185"/>
      <c r="CE14" s="185"/>
      <c r="CF14" s="185"/>
      <c r="CG14" s="185"/>
    </row>
    <row r="15" spans="1:85">
      <c r="A15" s="194"/>
      <c r="B15" s="214" t="s">
        <v>416</v>
      </c>
      <c r="C15" s="281">
        <v>95.53</v>
      </c>
      <c r="D15" s="202">
        <v>18.75</v>
      </c>
      <c r="E15" s="202">
        <v>47</v>
      </c>
      <c r="F15" s="202">
        <v>86</v>
      </c>
      <c r="G15" s="202">
        <v>93</v>
      </c>
      <c r="H15" s="202">
        <v>101</v>
      </c>
      <c r="I15" s="202">
        <v>307</v>
      </c>
      <c r="J15" s="283">
        <v>92.97</v>
      </c>
      <c r="K15" s="203">
        <v>18.52</v>
      </c>
      <c r="L15" s="203">
        <v>40</v>
      </c>
      <c r="M15" s="203">
        <v>84</v>
      </c>
      <c r="N15" s="203">
        <v>91</v>
      </c>
      <c r="O15" s="203">
        <v>99</v>
      </c>
      <c r="P15" s="203">
        <v>296</v>
      </c>
      <c r="Q15" s="283">
        <v>94.35</v>
      </c>
      <c r="R15" s="203">
        <v>18.68</v>
      </c>
      <c r="S15" s="203">
        <v>40</v>
      </c>
      <c r="T15" s="203">
        <v>85</v>
      </c>
      <c r="U15" s="203">
        <v>92</v>
      </c>
      <c r="V15" s="203">
        <v>100</v>
      </c>
      <c r="W15" s="203">
        <v>307</v>
      </c>
      <c r="X15" s="285">
        <v>90.75</v>
      </c>
      <c r="Y15" s="193">
        <v>8.75</v>
      </c>
      <c r="Z15" s="193">
        <v>62</v>
      </c>
      <c r="AA15" s="193">
        <v>85</v>
      </c>
      <c r="AB15" s="193">
        <v>90</v>
      </c>
      <c r="AC15" s="193">
        <v>95</v>
      </c>
      <c r="AD15" s="193">
        <v>121</v>
      </c>
      <c r="AE15" s="285">
        <v>85.58</v>
      </c>
      <c r="AF15" s="193">
        <v>9.5399999999999991</v>
      </c>
      <c r="AG15" s="193">
        <v>40</v>
      </c>
      <c r="AH15" s="193">
        <v>82</v>
      </c>
      <c r="AI15" s="193">
        <v>85</v>
      </c>
      <c r="AJ15" s="193">
        <v>91</v>
      </c>
      <c r="AK15" s="193">
        <v>107</v>
      </c>
      <c r="AL15" s="285">
        <v>88.23</v>
      </c>
      <c r="AM15" s="193">
        <v>9.48</v>
      </c>
      <c r="AN15" s="193">
        <v>40</v>
      </c>
      <c r="AO15" s="193">
        <v>83</v>
      </c>
      <c r="AP15" s="193">
        <v>88</v>
      </c>
      <c r="AQ15" s="193">
        <v>93</v>
      </c>
      <c r="AR15" s="193">
        <v>121</v>
      </c>
      <c r="AS15" s="194"/>
      <c r="AT15" s="275"/>
      <c r="AU15" s="185"/>
      <c r="AV15" s="185"/>
      <c r="AW15" s="185"/>
      <c r="AX15" s="185"/>
      <c r="AY15" s="185"/>
      <c r="AZ15" s="185"/>
      <c r="BA15" s="185"/>
      <c r="BB15" s="185"/>
      <c r="BC15" s="185"/>
      <c r="BD15" s="185"/>
      <c r="BE15" s="185"/>
      <c r="BF15" s="185"/>
      <c r="BG15" s="185"/>
      <c r="BH15" s="185"/>
      <c r="BI15" s="185"/>
      <c r="BJ15" s="185"/>
      <c r="BK15" s="185"/>
      <c r="BL15" s="185"/>
      <c r="BM15" s="185"/>
      <c r="BN15" s="185"/>
      <c r="BO15" s="185"/>
      <c r="BP15" s="185"/>
      <c r="BQ15" s="185"/>
      <c r="BR15" s="185"/>
      <c r="BS15" s="185"/>
      <c r="BT15" s="185"/>
      <c r="BU15" s="185"/>
      <c r="BV15" s="185"/>
      <c r="BW15" s="185"/>
      <c r="BX15" s="185"/>
      <c r="BY15" s="185"/>
      <c r="BZ15" s="185"/>
      <c r="CA15" s="185"/>
      <c r="CB15" s="185"/>
      <c r="CC15" s="185"/>
      <c r="CD15" s="185"/>
      <c r="CE15" s="185"/>
      <c r="CF15" s="185"/>
      <c r="CG15" s="185"/>
    </row>
    <row r="16" spans="1:85">
      <c r="A16" s="194"/>
      <c r="B16" s="214" t="s">
        <v>436</v>
      </c>
      <c r="C16" s="281">
        <v>120</v>
      </c>
      <c r="D16" s="202">
        <v>16.29</v>
      </c>
      <c r="E16" s="202">
        <v>64.25</v>
      </c>
      <c r="F16" s="202">
        <v>108.37</v>
      </c>
      <c r="G16" s="202">
        <v>120</v>
      </c>
      <c r="H16" s="202">
        <v>130.04</v>
      </c>
      <c r="I16" s="202">
        <v>191.88</v>
      </c>
      <c r="J16" s="283">
        <v>117.97</v>
      </c>
      <c r="K16" s="203">
        <v>17.29</v>
      </c>
      <c r="L16" s="203">
        <v>69</v>
      </c>
      <c r="M16" s="203">
        <v>106.33</v>
      </c>
      <c r="N16" s="203">
        <v>116.45</v>
      </c>
      <c r="O16" s="203">
        <v>127.02</v>
      </c>
      <c r="P16" s="203">
        <v>235</v>
      </c>
      <c r="Q16" s="283">
        <v>119.02</v>
      </c>
      <c r="R16" s="203">
        <v>16.809999999999999</v>
      </c>
      <c r="S16" s="203">
        <v>64.25</v>
      </c>
      <c r="T16" s="203">
        <v>107</v>
      </c>
      <c r="U16" s="203">
        <v>118.44</v>
      </c>
      <c r="V16" s="203">
        <v>128.76</v>
      </c>
      <c r="W16" s="203">
        <v>235</v>
      </c>
      <c r="X16" s="285">
        <v>113.1</v>
      </c>
      <c r="Y16" s="193">
        <v>14.16</v>
      </c>
      <c r="Z16" s="193">
        <v>80</v>
      </c>
      <c r="AA16" s="193">
        <v>101.68</v>
      </c>
      <c r="AB16" s="193">
        <v>113</v>
      </c>
      <c r="AC16" s="193">
        <v>123.55</v>
      </c>
      <c r="AD16" s="193">
        <v>157.72999999999999</v>
      </c>
      <c r="AE16" s="285">
        <v>110.99</v>
      </c>
      <c r="AF16" s="193">
        <v>12.45</v>
      </c>
      <c r="AG16" s="193">
        <v>80</v>
      </c>
      <c r="AH16" s="193">
        <v>101.04</v>
      </c>
      <c r="AI16" s="193">
        <v>110.79</v>
      </c>
      <c r="AJ16" s="193">
        <v>119.29</v>
      </c>
      <c r="AK16" s="193">
        <v>171</v>
      </c>
      <c r="AL16" s="285">
        <v>112.02</v>
      </c>
      <c r="AM16" s="193">
        <v>13.35</v>
      </c>
      <c r="AN16" s="193">
        <v>80</v>
      </c>
      <c r="AO16" s="193">
        <v>101.35</v>
      </c>
      <c r="AP16" s="193">
        <v>111.63</v>
      </c>
      <c r="AQ16" s="193">
        <v>121.25</v>
      </c>
      <c r="AR16" s="193">
        <v>171</v>
      </c>
      <c r="AS16" s="194"/>
      <c r="AT16" s="275"/>
      <c r="AU16" s="185"/>
      <c r="AV16" s="185"/>
      <c r="AW16" s="185"/>
      <c r="AX16" s="185"/>
      <c r="AY16" s="185"/>
      <c r="AZ16" s="185"/>
      <c r="BA16" s="185"/>
      <c r="BB16" s="185"/>
      <c r="BC16" s="185"/>
      <c r="BD16" s="185"/>
      <c r="BE16" s="185"/>
      <c r="BF16" s="185"/>
      <c r="BG16" s="185"/>
      <c r="BH16" s="185"/>
      <c r="BI16" s="185"/>
      <c r="BJ16" s="185"/>
      <c r="BK16" s="185"/>
      <c r="BL16" s="185"/>
      <c r="BM16" s="185"/>
      <c r="BN16" s="185"/>
      <c r="BO16" s="185"/>
      <c r="BP16" s="185"/>
      <c r="BQ16" s="185"/>
      <c r="BR16" s="185"/>
      <c r="BS16" s="185"/>
      <c r="BT16" s="185"/>
      <c r="BU16" s="185"/>
      <c r="BV16" s="185"/>
      <c r="BW16" s="185"/>
      <c r="BX16" s="185"/>
      <c r="BY16" s="185"/>
      <c r="BZ16" s="185"/>
      <c r="CA16" s="185"/>
      <c r="CB16" s="185"/>
      <c r="CC16" s="185"/>
      <c r="CD16" s="185"/>
      <c r="CE16" s="185"/>
      <c r="CF16" s="185"/>
      <c r="CG16" s="185"/>
    </row>
    <row r="17" spans="1:85">
      <c r="A17" s="194"/>
      <c r="B17" s="214" t="s">
        <v>438</v>
      </c>
      <c r="C17" s="281">
        <v>68.81</v>
      </c>
      <c r="D17" s="202">
        <v>10.43</v>
      </c>
      <c r="E17" s="202">
        <v>41.25</v>
      </c>
      <c r="F17" s="202">
        <v>60.49</v>
      </c>
      <c r="G17" s="202">
        <v>67.73</v>
      </c>
      <c r="H17" s="202">
        <v>76</v>
      </c>
      <c r="I17" s="202">
        <v>109.79</v>
      </c>
      <c r="J17" s="283">
        <v>68.88</v>
      </c>
      <c r="K17" s="203">
        <v>10.29</v>
      </c>
      <c r="L17" s="203">
        <v>45</v>
      </c>
      <c r="M17" s="203">
        <v>61.06</v>
      </c>
      <c r="N17" s="203">
        <v>67.7</v>
      </c>
      <c r="O17" s="203">
        <v>75.42</v>
      </c>
      <c r="P17" s="203">
        <v>129.18</v>
      </c>
      <c r="Q17" s="283">
        <v>68.84</v>
      </c>
      <c r="R17" s="203">
        <v>10.36</v>
      </c>
      <c r="S17" s="203">
        <v>41.25</v>
      </c>
      <c r="T17" s="203">
        <v>60.78</v>
      </c>
      <c r="U17" s="203">
        <v>67.73</v>
      </c>
      <c r="V17" s="203">
        <v>75.8</v>
      </c>
      <c r="W17" s="203">
        <v>129.18</v>
      </c>
      <c r="X17" s="285">
        <v>64.03</v>
      </c>
      <c r="Y17" s="193">
        <v>8.35</v>
      </c>
      <c r="Z17" s="193">
        <v>46.7</v>
      </c>
      <c r="AA17" s="193">
        <v>58.17</v>
      </c>
      <c r="AB17" s="193">
        <v>62.54</v>
      </c>
      <c r="AC17" s="193">
        <v>68.819999999999993</v>
      </c>
      <c r="AD17" s="193">
        <v>97.44</v>
      </c>
      <c r="AE17" s="285">
        <v>65.510000000000005</v>
      </c>
      <c r="AF17" s="193">
        <v>8.31</v>
      </c>
      <c r="AG17" s="193">
        <v>48</v>
      </c>
      <c r="AH17" s="193">
        <v>59.6</v>
      </c>
      <c r="AI17" s="193">
        <v>64.03</v>
      </c>
      <c r="AJ17" s="193">
        <v>71</v>
      </c>
      <c r="AK17" s="193">
        <v>96.91</v>
      </c>
      <c r="AL17" s="285">
        <v>64.790000000000006</v>
      </c>
      <c r="AM17" s="193">
        <v>8.36</v>
      </c>
      <c r="AN17" s="193">
        <v>46.7</v>
      </c>
      <c r="AO17" s="193">
        <v>58.92</v>
      </c>
      <c r="AP17" s="193">
        <v>63.29</v>
      </c>
      <c r="AQ17" s="193">
        <v>70</v>
      </c>
      <c r="AR17" s="193">
        <v>97.44</v>
      </c>
      <c r="AS17" s="194"/>
      <c r="AT17" s="275"/>
      <c r="AU17" s="185"/>
      <c r="AV17" s="185"/>
      <c r="AW17" s="185"/>
      <c r="AX17" s="185"/>
      <c r="AY17" s="185"/>
      <c r="AZ17" s="185"/>
      <c r="BA17" s="185"/>
      <c r="BB17" s="185"/>
      <c r="BC17" s="185"/>
      <c r="BD17" s="185"/>
      <c r="BE17" s="185"/>
      <c r="BF17" s="185"/>
      <c r="BG17" s="185"/>
      <c r="BH17" s="185"/>
      <c r="BI17" s="185"/>
      <c r="BJ17" s="185"/>
      <c r="BK17" s="185"/>
      <c r="BL17" s="185"/>
      <c r="BM17" s="185"/>
      <c r="BN17" s="185"/>
      <c r="BO17" s="185"/>
      <c r="BP17" s="185"/>
      <c r="BQ17" s="185"/>
      <c r="BR17" s="185"/>
      <c r="BS17" s="185"/>
      <c r="BT17" s="185"/>
      <c r="BU17" s="185"/>
      <c r="BV17" s="185"/>
      <c r="BW17" s="185"/>
      <c r="BX17" s="185"/>
      <c r="BY17" s="185"/>
      <c r="BZ17" s="185"/>
      <c r="CA17" s="185"/>
      <c r="CB17" s="185"/>
      <c r="CC17" s="185"/>
      <c r="CD17" s="185"/>
      <c r="CE17" s="185"/>
      <c r="CF17" s="185"/>
      <c r="CG17" s="185"/>
    </row>
    <row r="18" spans="1:85">
      <c r="A18" s="184"/>
      <c r="B18" s="215" t="s">
        <v>417</v>
      </c>
      <c r="C18" s="289">
        <v>5.3</v>
      </c>
      <c r="D18" s="289"/>
      <c r="E18" s="289"/>
      <c r="F18" s="289"/>
      <c r="G18" s="289"/>
      <c r="H18" s="289"/>
      <c r="I18" s="289"/>
      <c r="J18" s="290">
        <v>9.1</v>
      </c>
      <c r="K18" s="290"/>
      <c r="L18" s="290"/>
      <c r="M18" s="290"/>
      <c r="N18" s="290"/>
      <c r="O18" s="290"/>
      <c r="P18" s="290"/>
      <c r="Q18" s="290">
        <v>7.1999999999999993</v>
      </c>
      <c r="R18" s="290"/>
      <c r="S18" s="290"/>
      <c r="T18" s="290"/>
      <c r="U18" s="290"/>
      <c r="V18" s="290"/>
      <c r="W18" s="290"/>
      <c r="X18" s="291">
        <v>0</v>
      </c>
      <c r="Y18" s="291"/>
      <c r="Z18" s="291"/>
      <c r="AA18" s="291"/>
      <c r="AB18" s="291"/>
      <c r="AC18" s="291"/>
      <c r="AD18" s="291"/>
      <c r="AE18" s="291">
        <v>0</v>
      </c>
      <c r="AF18" s="291"/>
      <c r="AG18" s="291"/>
      <c r="AH18" s="291"/>
      <c r="AI18" s="291"/>
      <c r="AJ18" s="291"/>
      <c r="AK18" s="291"/>
      <c r="AL18" s="291">
        <v>0</v>
      </c>
      <c r="AM18" s="291"/>
      <c r="AN18" s="291"/>
      <c r="AO18" s="291"/>
      <c r="AP18" s="291"/>
      <c r="AQ18" s="291"/>
      <c r="AR18" s="291"/>
      <c r="AS18" s="184"/>
      <c r="AT18" s="276"/>
      <c r="AU18" s="185"/>
      <c r="AV18" s="185"/>
      <c r="AW18" s="185"/>
      <c r="AX18" s="185"/>
      <c r="AY18" s="185"/>
      <c r="AZ18" s="185"/>
      <c r="BA18" s="185"/>
      <c r="BB18" s="185"/>
      <c r="BC18" s="185"/>
      <c r="BD18" s="185"/>
      <c r="BE18" s="185"/>
      <c r="BF18" s="185"/>
      <c r="BG18" s="185"/>
      <c r="BH18" s="185"/>
      <c r="BI18" s="185"/>
      <c r="BJ18" s="185"/>
      <c r="BK18" s="185"/>
      <c r="BL18" s="185"/>
      <c r="BM18" s="185"/>
      <c r="BN18" s="185"/>
      <c r="BO18" s="185"/>
      <c r="BP18" s="185"/>
      <c r="BQ18" s="185"/>
      <c r="BR18" s="185"/>
      <c r="BS18" s="185"/>
      <c r="BT18" s="185"/>
      <c r="BU18" s="185"/>
      <c r="BV18" s="185"/>
      <c r="BW18" s="185"/>
      <c r="BX18" s="185"/>
      <c r="BY18" s="185"/>
      <c r="BZ18" s="185"/>
      <c r="CA18" s="185"/>
      <c r="CB18" s="185"/>
      <c r="CC18" s="185"/>
      <c r="CD18" s="185"/>
      <c r="CE18" s="185"/>
      <c r="CF18" s="185"/>
      <c r="CG18" s="185"/>
    </row>
    <row r="19" spans="1:85">
      <c r="A19" s="184"/>
      <c r="B19" s="215" t="s">
        <v>418</v>
      </c>
      <c r="C19" s="289">
        <v>12.5</v>
      </c>
      <c r="D19" s="289"/>
      <c r="E19" s="289"/>
      <c r="F19" s="289"/>
      <c r="G19" s="289"/>
      <c r="H19" s="289"/>
      <c r="I19" s="289"/>
      <c r="J19" s="290">
        <v>5.0999999999999996</v>
      </c>
      <c r="K19" s="290"/>
      <c r="L19" s="290"/>
      <c r="M19" s="290"/>
      <c r="N19" s="290"/>
      <c r="O19" s="290"/>
      <c r="P19" s="290"/>
      <c r="Q19" s="290">
        <v>8.9</v>
      </c>
      <c r="R19" s="290"/>
      <c r="S19" s="290"/>
      <c r="T19" s="290"/>
      <c r="U19" s="290"/>
      <c r="V19" s="290"/>
      <c r="W19" s="290"/>
      <c r="X19" s="291">
        <v>0</v>
      </c>
      <c r="Y19" s="291"/>
      <c r="Z19" s="291"/>
      <c r="AA19" s="291"/>
      <c r="AB19" s="291"/>
      <c r="AC19" s="291"/>
      <c r="AD19" s="291"/>
      <c r="AE19" s="291">
        <v>0</v>
      </c>
      <c r="AF19" s="291"/>
      <c r="AG19" s="291"/>
      <c r="AH19" s="291"/>
      <c r="AI19" s="291"/>
      <c r="AJ19" s="291"/>
      <c r="AK19" s="291"/>
      <c r="AL19" s="291">
        <v>0</v>
      </c>
      <c r="AM19" s="291"/>
      <c r="AN19" s="291"/>
      <c r="AO19" s="291"/>
      <c r="AP19" s="291"/>
      <c r="AQ19" s="291"/>
      <c r="AR19" s="291"/>
      <c r="AS19" s="184"/>
      <c r="AT19" s="276"/>
      <c r="AU19" s="185"/>
      <c r="AV19" s="185"/>
      <c r="AW19" s="185"/>
      <c r="AX19" s="185"/>
      <c r="AY19" s="185"/>
      <c r="AZ19" s="185"/>
      <c r="BA19" s="185"/>
      <c r="BB19" s="185"/>
      <c r="BC19" s="185"/>
      <c r="BD19" s="185"/>
      <c r="BE19" s="185"/>
      <c r="BF19" s="185"/>
      <c r="BG19" s="185"/>
      <c r="BH19" s="185"/>
      <c r="BI19" s="185"/>
      <c r="BJ19" s="185"/>
      <c r="BK19" s="185"/>
      <c r="BL19" s="185"/>
      <c r="BM19" s="185"/>
      <c r="BN19" s="185"/>
      <c r="BO19" s="185"/>
      <c r="BP19" s="185"/>
      <c r="BQ19" s="185"/>
      <c r="BR19" s="185"/>
      <c r="BS19" s="185"/>
      <c r="BT19" s="185"/>
      <c r="BU19" s="185"/>
      <c r="BV19" s="185"/>
      <c r="BW19" s="185"/>
      <c r="BX19" s="185"/>
      <c r="BY19" s="185"/>
      <c r="BZ19" s="185"/>
      <c r="CA19" s="185"/>
      <c r="CB19" s="185"/>
      <c r="CC19" s="185"/>
      <c r="CD19" s="185"/>
      <c r="CE19" s="185"/>
      <c r="CF19" s="185"/>
      <c r="CG19" s="185"/>
    </row>
    <row r="20" spans="1:85">
      <c r="A20" s="184"/>
      <c r="B20" s="215" t="s">
        <v>419</v>
      </c>
      <c r="C20" s="289">
        <v>1.2</v>
      </c>
      <c r="D20" s="289"/>
      <c r="E20" s="289"/>
      <c r="F20" s="289"/>
      <c r="G20" s="289"/>
      <c r="H20" s="289"/>
      <c r="I20" s="289"/>
      <c r="J20" s="290">
        <v>0.70000000000000007</v>
      </c>
      <c r="K20" s="290"/>
      <c r="L20" s="290"/>
      <c r="M20" s="290"/>
      <c r="N20" s="290"/>
      <c r="O20" s="290"/>
      <c r="P20" s="290"/>
      <c r="Q20" s="290">
        <v>0.89999999999999991</v>
      </c>
      <c r="R20" s="290"/>
      <c r="S20" s="290"/>
      <c r="T20" s="290"/>
      <c r="U20" s="290"/>
      <c r="V20" s="290"/>
      <c r="W20" s="290"/>
      <c r="X20" s="291">
        <v>0</v>
      </c>
      <c r="Y20" s="291"/>
      <c r="Z20" s="291"/>
      <c r="AA20" s="291"/>
      <c r="AB20" s="291"/>
      <c r="AC20" s="291"/>
      <c r="AD20" s="291"/>
      <c r="AE20" s="291">
        <v>0</v>
      </c>
      <c r="AF20" s="291"/>
      <c r="AG20" s="291"/>
      <c r="AH20" s="291"/>
      <c r="AI20" s="291"/>
      <c r="AJ20" s="291"/>
      <c r="AK20" s="291"/>
      <c r="AL20" s="291">
        <v>0</v>
      </c>
      <c r="AM20" s="291"/>
      <c r="AN20" s="291"/>
      <c r="AO20" s="291"/>
      <c r="AP20" s="291"/>
      <c r="AQ20" s="291"/>
      <c r="AR20" s="291"/>
      <c r="AS20" s="184"/>
      <c r="AT20" s="276"/>
      <c r="AU20" s="185"/>
      <c r="AV20" s="185"/>
      <c r="AW20" s="185"/>
      <c r="AX20" s="185"/>
      <c r="AY20" s="185"/>
      <c r="AZ20" s="185"/>
      <c r="BA20" s="185"/>
      <c r="BB20" s="185"/>
      <c r="BC20" s="185"/>
      <c r="BD20" s="185"/>
      <c r="BE20" s="185"/>
      <c r="BF20" s="185"/>
      <c r="BG20" s="185"/>
      <c r="BH20" s="185"/>
      <c r="BI20" s="185"/>
      <c r="BJ20" s="185"/>
      <c r="BK20" s="185"/>
      <c r="BL20" s="185"/>
      <c r="BM20" s="185"/>
      <c r="BN20" s="185"/>
      <c r="BO20" s="185"/>
      <c r="BP20" s="185"/>
      <c r="BQ20" s="185"/>
      <c r="BR20" s="185"/>
      <c r="BS20" s="185"/>
      <c r="BT20" s="185"/>
      <c r="BU20" s="185"/>
      <c r="BV20" s="185"/>
      <c r="BW20" s="185"/>
      <c r="BX20" s="185"/>
      <c r="BY20" s="185"/>
      <c r="BZ20" s="185"/>
      <c r="CA20" s="185"/>
      <c r="CB20" s="185"/>
      <c r="CC20" s="185"/>
      <c r="CD20" s="185"/>
      <c r="CE20" s="185"/>
      <c r="CF20" s="185"/>
      <c r="CG20" s="185"/>
    </row>
    <row r="21" spans="1:85">
      <c r="A21" s="184"/>
      <c r="B21" s="215" t="s">
        <v>420</v>
      </c>
      <c r="C21" s="289">
        <v>13.200000000000001</v>
      </c>
      <c r="D21" s="289"/>
      <c r="E21" s="289"/>
      <c r="F21" s="289"/>
      <c r="G21" s="289"/>
      <c r="H21" s="289"/>
      <c r="I21" s="289"/>
      <c r="J21" s="290">
        <v>9.6</v>
      </c>
      <c r="K21" s="290"/>
      <c r="L21" s="290"/>
      <c r="M21" s="290"/>
      <c r="N21" s="290"/>
      <c r="O21" s="290"/>
      <c r="P21" s="290"/>
      <c r="Q21" s="290">
        <v>11.4</v>
      </c>
      <c r="R21" s="290"/>
      <c r="S21" s="290"/>
      <c r="T21" s="290"/>
      <c r="U21" s="290"/>
      <c r="V21" s="290"/>
      <c r="W21" s="290"/>
      <c r="X21" s="291">
        <v>0</v>
      </c>
      <c r="Y21" s="291"/>
      <c r="Z21" s="291"/>
      <c r="AA21" s="291"/>
      <c r="AB21" s="291"/>
      <c r="AC21" s="291"/>
      <c r="AD21" s="291"/>
      <c r="AE21" s="291">
        <v>0</v>
      </c>
      <c r="AF21" s="291"/>
      <c r="AG21" s="291"/>
      <c r="AH21" s="291"/>
      <c r="AI21" s="291"/>
      <c r="AJ21" s="291"/>
      <c r="AK21" s="291"/>
      <c r="AL21" s="291">
        <v>0</v>
      </c>
      <c r="AM21" s="291"/>
      <c r="AN21" s="291"/>
      <c r="AO21" s="291"/>
      <c r="AP21" s="291"/>
      <c r="AQ21" s="291"/>
      <c r="AR21" s="291"/>
      <c r="AS21" s="184"/>
      <c r="AT21" s="276"/>
      <c r="AU21" s="185"/>
      <c r="AV21" s="185"/>
      <c r="AW21" s="185"/>
      <c r="AX21" s="185"/>
      <c r="AY21" s="185"/>
      <c r="AZ21" s="185"/>
      <c r="BA21" s="185"/>
      <c r="BB21" s="185"/>
      <c r="BC21" s="185"/>
      <c r="BD21" s="185"/>
      <c r="BE21" s="185"/>
      <c r="BF21" s="185"/>
      <c r="BG21" s="185"/>
      <c r="BH21" s="185"/>
      <c r="BI21" s="185"/>
      <c r="BJ21" s="185"/>
      <c r="BK21" s="185"/>
      <c r="BL21" s="185"/>
      <c r="BM21" s="185"/>
      <c r="BN21" s="185"/>
      <c r="BO21" s="185"/>
      <c r="BP21" s="185"/>
      <c r="BQ21" s="185"/>
      <c r="BR21" s="185"/>
      <c r="BS21" s="185"/>
      <c r="BT21" s="185"/>
      <c r="BU21" s="185"/>
      <c r="BV21" s="185"/>
      <c r="BW21" s="185"/>
      <c r="BX21" s="185"/>
      <c r="BY21" s="185"/>
      <c r="BZ21" s="185"/>
      <c r="CA21" s="185"/>
      <c r="CB21" s="185"/>
      <c r="CC21" s="185"/>
      <c r="CD21" s="185"/>
      <c r="CE21" s="185"/>
      <c r="CF21" s="185"/>
      <c r="CG21" s="185"/>
    </row>
    <row r="22" spans="1:85">
      <c r="A22" s="184"/>
      <c r="B22" s="215" t="s">
        <v>421</v>
      </c>
      <c r="C22" s="289">
        <v>27.3</v>
      </c>
      <c r="D22" s="289"/>
      <c r="E22" s="289"/>
      <c r="F22" s="289"/>
      <c r="G22" s="289"/>
      <c r="H22" s="289"/>
      <c r="I22" s="289"/>
      <c r="J22" s="290">
        <v>25.5</v>
      </c>
      <c r="K22" s="290"/>
      <c r="L22" s="290"/>
      <c r="M22" s="290"/>
      <c r="N22" s="290"/>
      <c r="O22" s="290"/>
      <c r="P22" s="290"/>
      <c r="Q22" s="290">
        <v>26.400000000000002</v>
      </c>
      <c r="R22" s="290"/>
      <c r="S22" s="290"/>
      <c r="T22" s="290"/>
      <c r="U22" s="290"/>
      <c r="V22" s="290"/>
      <c r="W22" s="290"/>
      <c r="X22" s="291">
        <v>0</v>
      </c>
      <c r="Y22" s="291"/>
      <c r="Z22" s="291"/>
      <c r="AA22" s="291"/>
      <c r="AB22" s="291"/>
      <c r="AC22" s="291"/>
      <c r="AD22" s="291"/>
      <c r="AE22" s="291">
        <v>0</v>
      </c>
      <c r="AF22" s="291"/>
      <c r="AG22" s="291"/>
      <c r="AH22" s="291"/>
      <c r="AI22" s="291"/>
      <c r="AJ22" s="291"/>
      <c r="AK22" s="291"/>
      <c r="AL22" s="291">
        <v>0</v>
      </c>
      <c r="AM22" s="291"/>
      <c r="AN22" s="291"/>
      <c r="AO22" s="291"/>
      <c r="AP22" s="291"/>
      <c r="AQ22" s="291"/>
      <c r="AR22" s="291"/>
      <c r="AS22" s="184"/>
      <c r="AT22" s="276"/>
      <c r="AU22" s="185"/>
      <c r="AV22" s="185"/>
      <c r="AW22" s="185"/>
      <c r="AX22" s="185"/>
      <c r="AY22" s="185"/>
      <c r="AZ22" s="185"/>
      <c r="BA22" s="185"/>
      <c r="BB22" s="185"/>
      <c r="BC22" s="185"/>
      <c r="BD22" s="185"/>
      <c r="BE22" s="185"/>
      <c r="BF22" s="185"/>
      <c r="BG22" s="185"/>
      <c r="BH22" s="185"/>
      <c r="BI22" s="185"/>
      <c r="BJ22" s="185"/>
      <c r="BK22" s="185"/>
      <c r="BL22" s="185"/>
      <c r="BM22" s="185"/>
      <c r="BN22" s="185"/>
      <c r="BO22" s="185"/>
      <c r="BP22" s="185"/>
      <c r="BQ22" s="185"/>
      <c r="BR22" s="185"/>
      <c r="BS22" s="185"/>
      <c r="BT22" s="185"/>
      <c r="BU22" s="185"/>
      <c r="BV22" s="185"/>
      <c r="BW22" s="185"/>
      <c r="BX22" s="185"/>
      <c r="BY22" s="185"/>
      <c r="BZ22" s="185"/>
      <c r="CA22" s="185"/>
      <c r="CB22" s="185"/>
      <c r="CC22" s="185"/>
      <c r="CD22" s="185"/>
      <c r="CE22" s="185"/>
      <c r="CF22" s="185"/>
      <c r="CG22" s="185"/>
    </row>
    <row r="23" spans="1:85">
      <c r="A23" s="184"/>
      <c r="B23" s="215" t="s">
        <v>422</v>
      </c>
      <c r="C23" s="289">
        <v>6.2</v>
      </c>
      <c r="D23" s="289"/>
      <c r="E23" s="289"/>
      <c r="F23" s="289"/>
      <c r="G23" s="289"/>
      <c r="H23" s="289"/>
      <c r="I23" s="289"/>
      <c r="J23" s="290">
        <v>5.0999999999999996</v>
      </c>
      <c r="K23" s="290"/>
      <c r="L23" s="290"/>
      <c r="M23" s="290"/>
      <c r="N23" s="290"/>
      <c r="O23" s="290"/>
      <c r="P23" s="290"/>
      <c r="Q23" s="290">
        <v>5.7</v>
      </c>
      <c r="R23" s="290"/>
      <c r="S23" s="290"/>
      <c r="T23" s="290"/>
      <c r="U23" s="290"/>
      <c r="V23" s="290"/>
      <c r="W23" s="290"/>
      <c r="X23" s="291">
        <v>0</v>
      </c>
      <c r="Y23" s="291"/>
      <c r="Z23" s="291"/>
      <c r="AA23" s="291"/>
      <c r="AB23" s="291"/>
      <c r="AC23" s="291"/>
      <c r="AD23" s="291"/>
      <c r="AE23" s="291">
        <v>0</v>
      </c>
      <c r="AF23" s="291"/>
      <c r="AG23" s="291"/>
      <c r="AH23" s="291"/>
      <c r="AI23" s="291"/>
      <c r="AJ23" s="291"/>
      <c r="AK23" s="291"/>
      <c r="AL23" s="291">
        <v>0</v>
      </c>
      <c r="AM23" s="291"/>
      <c r="AN23" s="291"/>
      <c r="AO23" s="291"/>
      <c r="AP23" s="291"/>
      <c r="AQ23" s="291"/>
      <c r="AR23" s="291"/>
      <c r="AS23" s="184"/>
      <c r="AT23" s="276"/>
      <c r="AU23" s="185"/>
      <c r="AV23" s="185"/>
      <c r="AW23" s="185"/>
      <c r="AX23" s="185"/>
      <c r="AY23" s="185"/>
      <c r="AZ23" s="185"/>
      <c r="BA23" s="185"/>
      <c r="BB23" s="185"/>
      <c r="BC23" s="185"/>
      <c r="BD23" s="185"/>
      <c r="BE23" s="185"/>
      <c r="BF23" s="185"/>
      <c r="BG23" s="185"/>
      <c r="BH23" s="185"/>
      <c r="BI23" s="185"/>
      <c r="BJ23" s="185"/>
      <c r="BK23" s="185"/>
      <c r="BL23" s="185"/>
      <c r="BM23" s="185"/>
      <c r="BN23" s="185"/>
      <c r="BO23" s="185"/>
      <c r="BP23" s="185"/>
      <c r="BQ23" s="185"/>
      <c r="BR23" s="185"/>
      <c r="BS23" s="185"/>
      <c r="BT23" s="185"/>
      <c r="BU23" s="185"/>
      <c r="BV23" s="185"/>
      <c r="BW23" s="185"/>
      <c r="BX23" s="185"/>
      <c r="BY23" s="185"/>
      <c r="BZ23" s="185"/>
      <c r="CA23" s="185"/>
      <c r="CB23" s="185"/>
      <c r="CC23" s="185"/>
      <c r="CD23" s="185"/>
      <c r="CE23" s="185"/>
      <c r="CF23" s="185"/>
      <c r="CG23" s="185"/>
    </row>
    <row r="24" spans="1:85">
      <c r="A24" s="184"/>
      <c r="B24" s="215" t="s">
        <v>423</v>
      </c>
      <c r="C24" s="289">
        <v>11.799999999999999</v>
      </c>
      <c r="D24" s="289"/>
      <c r="E24" s="289"/>
      <c r="F24" s="289"/>
      <c r="G24" s="289"/>
      <c r="H24" s="289"/>
      <c r="I24" s="289"/>
      <c r="J24" s="290">
        <v>5.7</v>
      </c>
      <c r="K24" s="290"/>
      <c r="L24" s="290"/>
      <c r="M24" s="290"/>
      <c r="N24" s="290"/>
      <c r="O24" s="290"/>
      <c r="P24" s="290"/>
      <c r="Q24" s="290">
        <v>8.7999999999999989</v>
      </c>
      <c r="R24" s="290"/>
      <c r="S24" s="290"/>
      <c r="T24" s="290"/>
      <c r="U24" s="290"/>
      <c r="V24" s="290"/>
      <c r="W24" s="290"/>
      <c r="X24" s="291">
        <v>0</v>
      </c>
      <c r="Y24" s="291"/>
      <c r="Z24" s="291"/>
      <c r="AA24" s="291"/>
      <c r="AB24" s="291"/>
      <c r="AC24" s="291"/>
      <c r="AD24" s="291"/>
      <c r="AE24" s="291">
        <v>0</v>
      </c>
      <c r="AF24" s="291"/>
      <c r="AG24" s="291"/>
      <c r="AH24" s="291"/>
      <c r="AI24" s="291"/>
      <c r="AJ24" s="291"/>
      <c r="AK24" s="291"/>
      <c r="AL24" s="291">
        <v>0</v>
      </c>
      <c r="AM24" s="291"/>
      <c r="AN24" s="291"/>
      <c r="AO24" s="291"/>
      <c r="AP24" s="291"/>
      <c r="AQ24" s="291"/>
      <c r="AR24" s="291"/>
      <c r="AS24" s="184"/>
      <c r="AT24" s="276"/>
      <c r="AU24" s="185"/>
      <c r="AV24" s="185"/>
      <c r="AW24" s="185"/>
      <c r="AX24" s="185"/>
      <c r="AY24" s="185"/>
      <c r="AZ24" s="185"/>
      <c r="BA24" s="185"/>
      <c r="BB24" s="185"/>
      <c r="BC24" s="185"/>
      <c r="BD24" s="185"/>
      <c r="BE24" s="185"/>
      <c r="BF24" s="185"/>
      <c r="BG24" s="185"/>
      <c r="BH24" s="185"/>
      <c r="BI24" s="185"/>
      <c r="BJ24" s="185"/>
      <c r="BK24" s="185"/>
      <c r="BL24" s="185"/>
      <c r="BM24" s="185"/>
      <c r="BN24" s="185"/>
      <c r="BO24" s="185"/>
      <c r="BP24" s="185"/>
      <c r="BQ24" s="185"/>
      <c r="BR24" s="185"/>
      <c r="BS24" s="185"/>
      <c r="BT24" s="185"/>
      <c r="BU24" s="185"/>
      <c r="BV24" s="185"/>
      <c r="BW24" s="185"/>
      <c r="BX24" s="185"/>
      <c r="BY24" s="185"/>
      <c r="BZ24" s="185"/>
      <c r="CA24" s="185"/>
      <c r="CB24" s="185"/>
      <c r="CC24" s="185"/>
      <c r="CD24" s="185"/>
      <c r="CE24" s="185"/>
      <c r="CF24" s="185"/>
      <c r="CG24" s="185"/>
    </row>
    <row r="25" spans="1:85">
      <c r="A25" s="184"/>
      <c r="B25" s="215" t="s">
        <v>424</v>
      </c>
      <c r="C25" s="289">
        <v>23.5</v>
      </c>
      <c r="D25" s="289"/>
      <c r="E25" s="289"/>
      <c r="F25" s="289"/>
      <c r="G25" s="289"/>
      <c r="H25" s="289"/>
      <c r="I25" s="289"/>
      <c r="J25" s="290">
        <v>20.100000000000001</v>
      </c>
      <c r="K25" s="290"/>
      <c r="L25" s="290"/>
      <c r="M25" s="290"/>
      <c r="N25" s="290"/>
      <c r="O25" s="290"/>
      <c r="P25" s="290"/>
      <c r="Q25" s="290">
        <v>21.9</v>
      </c>
      <c r="R25" s="290"/>
      <c r="S25" s="290"/>
      <c r="T25" s="290"/>
      <c r="U25" s="290"/>
      <c r="V25" s="290"/>
      <c r="W25" s="290"/>
      <c r="X25" s="291">
        <v>0</v>
      </c>
      <c r="Y25" s="291"/>
      <c r="Z25" s="291"/>
      <c r="AA25" s="291"/>
      <c r="AB25" s="291"/>
      <c r="AC25" s="291"/>
      <c r="AD25" s="291"/>
      <c r="AE25" s="291">
        <v>0</v>
      </c>
      <c r="AF25" s="291"/>
      <c r="AG25" s="291"/>
      <c r="AH25" s="291"/>
      <c r="AI25" s="291"/>
      <c r="AJ25" s="291"/>
      <c r="AK25" s="291"/>
      <c r="AL25" s="291">
        <v>0</v>
      </c>
      <c r="AM25" s="291"/>
      <c r="AN25" s="291"/>
      <c r="AO25" s="291"/>
      <c r="AP25" s="291"/>
      <c r="AQ25" s="291"/>
      <c r="AR25" s="291"/>
      <c r="AS25" s="184"/>
      <c r="AT25" s="276"/>
      <c r="AU25" s="185"/>
      <c r="AV25" s="185"/>
      <c r="AW25" s="185"/>
      <c r="AX25" s="185"/>
      <c r="AY25" s="185"/>
      <c r="AZ25" s="185"/>
      <c r="BA25" s="185"/>
      <c r="BB25" s="185"/>
      <c r="BC25" s="185"/>
      <c r="BD25" s="185"/>
      <c r="BE25" s="185"/>
      <c r="BF25" s="185"/>
      <c r="BG25" s="185"/>
      <c r="BH25" s="185"/>
      <c r="BI25" s="185"/>
      <c r="BJ25" s="185"/>
      <c r="BK25" s="185"/>
      <c r="BL25" s="185"/>
      <c r="BM25" s="185"/>
      <c r="BN25" s="185"/>
      <c r="BO25" s="185"/>
      <c r="BP25" s="185"/>
      <c r="BQ25" s="185"/>
      <c r="BR25" s="185"/>
      <c r="BS25" s="185"/>
      <c r="BT25" s="185"/>
      <c r="BU25" s="185"/>
      <c r="BV25" s="185"/>
      <c r="BW25" s="185"/>
      <c r="BX25" s="185"/>
      <c r="BY25" s="185"/>
      <c r="BZ25" s="185"/>
      <c r="CA25" s="185"/>
      <c r="CB25" s="185"/>
      <c r="CC25" s="185"/>
      <c r="CD25" s="185"/>
      <c r="CE25" s="185"/>
      <c r="CF25" s="185"/>
      <c r="CG25" s="185"/>
    </row>
    <row r="26" spans="1:85">
      <c r="A26" s="184"/>
      <c r="B26" s="215" t="s">
        <v>425</v>
      </c>
      <c r="C26" s="289">
        <v>13</v>
      </c>
      <c r="D26" s="289"/>
      <c r="E26" s="289"/>
      <c r="F26" s="289"/>
      <c r="G26" s="289"/>
      <c r="H26" s="289"/>
      <c r="I26" s="289"/>
      <c r="J26" s="290">
        <v>14.000000000000002</v>
      </c>
      <c r="K26" s="290"/>
      <c r="L26" s="290"/>
      <c r="M26" s="290"/>
      <c r="N26" s="290"/>
      <c r="O26" s="290"/>
      <c r="P26" s="290"/>
      <c r="Q26" s="290">
        <v>13.5</v>
      </c>
      <c r="R26" s="290"/>
      <c r="S26" s="290"/>
      <c r="T26" s="290"/>
      <c r="U26" s="290"/>
      <c r="V26" s="290"/>
      <c r="W26" s="290"/>
      <c r="X26" s="291">
        <v>7.3</v>
      </c>
      <c r="Y26" s="291"/>
      <c r="Z26" s="291"/>
      <c r="AA26" s="291"/>
      <c r="AB26" s="291"/>
      <c r="AC26" s="291"/>
      <c r="AD26" s="291"/>
      <c r="AE26" s="291">
        <v>7.9</v>
      </c>
      <c r="AF26" s="291"/>
      <c r="AG26" s="291"/>
      <c r="AH26" s="291"/>
      <c r="AI26" s="291"/>
      <c r="AJ26" s="291"/>
      <c r="AK26" s="291"/>
      <c r="AL26" s="291">
        <v>7.6</v>
      </c>
      <c r="AM26" s="291"/>
      <c r="AN26" s="291"/>
      <c r="AO26" s="291"/>
      <c r="AP26" s="291"/>
      <c r="AQ26" s="291"/>
      <c r="AR26" s="291"/>
      <c r="AS26" s="184"/>
      <c r="AT26" s="276"/>
      <c r="AU26" s="185"/>
      <c r="AV26" s="185"/>
      <c r="AW26" s="185"/>
      <c r="AX26" s="185"/>
      <c r="AY26" s="185"/>
      <c r="AZ26" s="185"/>
      <c r="BA26" s="185"/>
      <c r="BB26" s="185"/>
      <c r="BC26" s="185"/>
      <c r="BD26" s="185"/>
      <c r="BE26" s="185"/>
      <c r="BF26" s="185"/>
      <c r="BG26" s="185"/>
      <c r="BH26" s="185"/>
      <c r="BI26" s="185"/>
      <c r="BJ26" s="185"/>
      <c r="BK26" s="185"/>
      <c r="BL26" s="185"/>
      <c r="BM26" s="185"/>
      <c r="BN26" s="185"/>
      <c r="BO26" s="185"/>
      <c r="BP26" s="185"/>
      <c r="BQ26" s="185"/>
      <c r="BR26" s="185"/>
      <c r="BS26" s="185"/>
      <c r="BT26" s="185"/>
      <c r="BU26" s="185"/>
      <c r="BV26" s="185"/>
      <c r="BW26" s="185"/>
      <c r="BX26" s="185"/>
      <c r="BY26" s="185"/>
      <c r="BZ26" s="185"/>
      <c r="CA26" s="185"/>
      <c r="CB26" s="185"/>
      <c r="CC26" s="185"/>
      <c r="CD26" s="185"/>
      <c r="CE26" s="185"/>
      <c r="CF26" s="185"/>
      <c r="CG26" s="185"/>
    </row>
    <row r="27" spans="1:85">
      <c r="A27" s="184"/>
      <c r="B27" s="215" t="s">
        <v>426</v>
      </c>
      <c r="C27" s="289">
        <v>23.5</v>
      </c>
      <c r="D27" s="289"/>
      <c r="E27" s="289"/>
      <c r="F27" s="289"/>
      <c r="G27" s="289"/>
      <c r="H27" s="289"/>
      <c r="I27" s="289"/>
      <c r="J27" s="290">
        <v>19.8</v>
      </c>
      <c r="K27" s="290"/>
      <c r="L27" s="290"/>
      <c r="M27" s="290"/>
      <c r="N27" s="290"/>
      <c r="O27" s="290"/>
      <c r="P27" s="290"/>
      <c r="Q27" s="290">
        <v>21.7</v>
      </c>
      <c r="R27" s="290"/>
      <c r="S27" s="290"/>
      <c r="T27" s="290"/>
      <c r="U27" s="290"/>
      <c r="V27" s="290"/>
      <c r="W27" s="290"/>
      <c r="X27" s="291">
        <v>0</v>
      </c>
      <c r="Y27" s="291"/>
      <c r="Z27" s="291"/>
      <c r="AA27" s="291"/>
      <c r="AB27" s="291"/>
      <c r="AC27" s="291"/>
      <c r="AD27" s="291"/>
      <c r="AE27" s="291">
        <v>0</v>
      </c>
      <c r="AF27" s="291"/>
      <c r="AG27" s="291"/>
      <c r="AH27" s="291"/>
      <c r="AI27" s="291"/>
      <c r="AJ27" s="291"/>
      <c r="AK27" s="291"/>
      <c r="AL27" s="291">
        <v>0</v>
      </c>
      <c r="AM27" s="291"/>
      <c r="AN27" s="291"/>
      <c r="AO27" s="291"/>
      <c r="AP27" s="291"/>
      <c r="AQ27" s="291"/>
      <c r="AR27" s="291"/>
      <c r="AS27" s="184"/>
      <c r="AT27" s="276"/>
      <c r="AU27" s="185"/>
      <c r="AV27" s="185"/>
      <c r="AW27" s="185"/>
      <c r="AX27" s="185"/>
      <c r="AY27" s="185"/>
      <c r="AZ27" s="185"/>
      <c r="BA27" s="185"/>
      <c r="BB27" s="185"/>
      <c r="BC27" s="185"/>
      <c r="BD27" s="185"/>
      <c r="BE27" s="185"/>
      <c r="BF27" s="185"/>
      <c r="BG27" s="185"/>
      <c r="BH27" s="185"/>
      <c r="BI27" s="185"/>
      <c r="BJ27" s="185"/>
      <c r="BK27" s="185"/>
      <c r="BL27" s="185"/>
      <c r="BM27" s="185"/>
      <c r="BN27" s="185"/>
      <c r="BO27" s="185"/>
      <c r="BP27" s="185"/>
      <c r="BQ27" s="185"/>
      <c r="BR27" s="185"/>
      <c r="BS27" s="185"/>
      <c r="BT27" s="185"/>
      <c r="BU27" s="185"/>
      <c r="BV27" s="185"/>
      <c r="BW27" s="185"/>
      <c r="BX27" s="185"/>
      <c r="BY27" s="185"/>
      <c r="BZ27" s="185"/>
      <c r="CA27" s="185"/>
      <c r="CB27" s="185"/>
      <c r="CC27" s="185"/>
      <c r="CD27" s="185"/>
      <c r="CE27" s="185"/>
      <c r="CF27" s="185"/>
      <c r="CG27" s="185"/>
    </row>
    <row r="28" spans="1:85">
      <c r="A28" s="184"/>
      <c r="B28" s="215" t="s">
        <v>427</v>
      </c>
      <c r="C28" s="289">
        <v>16.5</v>
      </c>
      <c r="D28" s="289"/>
      <c r="E28" s="289"/>
      <c r="F28" s="289"/>
      <c r="G28" s="289"/>
      <c r="H28" s="289"/>
      <c r="I28" s="289"/>
      <c r="J28" s="290">
        <v>10.199999999999999</v>
      </c>
      <c r="K28" s="290"/>
      <c r="L28" s="290"/>
      <c r="M28" s="290"/>
      <c r="N28" s="290"/>
      <c r="O28" s="290"/>
      <c r="P28" s="290"/>
      <c r="Q28" s="290">
        <v>13.5</v>
      </c>
      <c r="R28" s="290"/>
      <c r="S28" s="290"/>
      <c r="T28" s="290"/>
      <c r="U28" s="290"/>
      <c r="V28" s="290"/>
      <c r="W28" s="290"/>
      <c r="X28" s="291">
        <v>0</v>
      </c>
      <c r="Y28" s="291"/>
      <c r="Z28" s="291"/>
      <c r="AA28" s="291"/>
      <c r="AB28" s="291"/>
      <c r="AC28" s="291"/>
      <c r="AD28" s="291"/>
      <c r="AE28" s="291">
        <v>0</v>
      </c>
      <c r="AF28" s="291"/>
      <c r="AG28" s="291"/>
      <c r="AH28" s="291"/>
      <c r="AI28" s="291"/>
      <c r="AJ28" s="291"/>
      <c r="AK28" s="291"/>
      <c r="AL28" s="291">
        <v>0</v>
      </c>
      <c r="AM28" s="291"/>
      <c r="AN28" s="291"/>
      <c r="AO28" s="291"/>
      <c r="AP28" s="291"/>
      <c r="AQ28" s="291"/>
      <c r="AR28" s="291"/>
      <c r="AS28" s="184"/>
      <c r="AT28" s="276"/>
      <c r="AU28" s="185"/>
      <c r="AV28" s="185"/>
      <c r="AW28" s="185"/>
      <c r="AX28" s="185"/>
      <c r="AY28" s="185"/>
      <c r="AZ28" s="185"/>
      <c r="BA28" s="185"/>
      <c r="BB28" s="185"/>
      <c r="BC28" s="185"/>
      <c r="BD28" s="185"/>
      <c r="BE28" s="185"/>
      <c r="BF28" s="185"/>
      <c r="BG28" s="185"/>
      <c r="BH28" s="185"/>
      <c r="BI28" s="185"/>
      <c r="BJ28" s="185"/>
      <c r="BK28" s="185"/>
      <c r="BL28" s="185"/>
      <c r="BM28" s="185"/>
      <c r="BN28" s="185"/>
      <c r="BO28" s="185"/>
      <c r="BP28" s="185"/>
      <c r="BQ28" s="185"/>
      <c r="BR28" s="185"/>
      <c r="BS28" s="185"/>
      <c r="BT28" s="185"/>
      <c r="BU28" s="185"/>
      <c r="BV28" s="185"/>
      <c r="BW28" s="185"/>
      <c r="BX28" s="185"/>
      <c r="BY28" s="185"/>
      <c r="BZ28" s="185"/>
      <c r="CA28" s="185"/>
      <c r="CB28" s="185"/>
      <c r="CC28" s="185"/>
      <c r="CD28" s="185"/>
      <c r="CE28" s="185"/>
      <c r="CF28" s="185"/>
      <c r="CG28" s="185"/>
    </row>
    <row r="29" spans="1:85">
      <c r="A29" s="184"/>
      <c r="B29" s="215" t="s">
        <v>428</v>
      </c>
      <c r="C29" s="289">
        <v>4.7</v>
      </c>
      <c r="D29" s="289"/>
      <c r="E29" s="289"/>
      <c r="F29" s="289"/>
      <c r="G29" s="289"/>
      <c r="H29" s="289"/>
      <c r="I29" s="289"/>
      <c r="J29" s="290">
        <v>3.4000000000000004</v>
      </c>
      <c r="K29" s="290"/>
      <c r="L29" s="290"/>
      <c r="M29" s="290"/>
      <c r="N29" s="290"/>
      <c r="O29" s="290"/>
      <c r="P29" s="290"/>
      <c r="Q29" s="290">
        <v>4.1000000000000005</v>
      </c>
      <c r="R29" s="290"/>
      <c r="S29" s="290"/>
      <c r="T29" s="290"/>
      <c r="U29" s="290"/>
      <c r="V29" s="290"/>
      <c r="W29" s="290"/>
      <c r="X29" s="291">
        <v>0</v>
      </c>
      <c r="Y29" s="291"/>
      <c r="Z29" s="291"/>
      <c r="AA29" s="291"/>
      <c r="AB29" s="291"/>
      <c r="AC29" s="291"/>
      <c r="AD29" s="291"/>
      <c r="AE29" s="291">
        <v>0</v>
      </c>
      <c r="AF29" s="291"/>
      <c r="AG29" s="291"/>
      <c r="AH29" s="291"/>
      <c r="AI29" s="291"/>
      <c r="AJ29" s="291"/>
      <c r="AK29" s="291"/>
      <c r="AL29" s="291">
        <v>0</v>
      </c>
      <c r="AM29" s="291"/>
      <c r="AN29" s="291"/>
      <c r="AO29" s="291"/>
      <c r="AP29" s="291"/>
      <c r="AQ29" s="291"/>
      <c r="AR29" s="291"/>
      <c r="AS29" s="184"/>
      <c r="AT29" s="276"/>
      <c r="AU29" s="185"/>
      <c r="AV29" s="185"/>
      <c r="AW29" s="185"/>
      <c r="AX29" s="185"/>
      <c r="AY29" s="185"/>
      <c r="AZ29" s="185"/>
      <c r="BA29" s="185"/>
      <c r="BB29" s="185"/>
      <c r="BC29" s="185"/>
      <c r="BD29" s="185"/>
      <c r="BE29" s="185"/>
      <c r="BF29" s="185"/>
      <c r="BG29" s="185"/>
      <c r="BH29" s="185"/>
      <c r="BI29" s="185"/>
      <c r="BJ29" s="185"/>
      <c r="BK29" s="185"/>
      <c r="BL29" s="185"/>
      <c r="BM29" s="185"/>
      <c r="BN29" s="185"/>
      <c r="BO29" s="185"/>
      <c r="BP29" s="185"/>
      <c r="BQ29" s="185"/>
      <c r="BR29" s="185"/>
      <c r="BS29" s="185"/>
      <c r="BT29" s="185"/>
      <c r="BU29" s="185"/>
      <c r="BV29" s="185"/>
      <c r="BW29" s="185"/>
      <c r="BX29" s="185"/>
      <c r="BY29" s="185"/>
      <c r="BZ29" s="185"/>
      <c r="CA29" s="185"/>
      <c r="CB29" s="185"/>
      <c r="CC29" s="185"/>
      <c r="CD29" s="185"/>
      <c r="CE29" s="185"/>
      <c r="CF29" s="185"/>
      <c r="CG29" s="185"/>
    </row>
    <row r="30" spans="1:85">
      <c r="A30" s="184"/>
      <c r="B30" s="215" t="s">
        <v>429</v>
      </c>
      <c r="C30" s="289">
        <v>26.6</v>
      </c>
      <c r="D30" s="289"/>
      <c r="E30" s="289"/>
      <c r="F30" s="289"/>
      <c r="G30" s="289"/>
      <c r="H30" s="289"/>
      <c r="I30" s="289"/>
      <c r="J30" s="290">
        <v>17.399999999999999</v>
      </c>
      <c r="K30" s="290"/>
      <c r="L30" s="290"/>
      <c r="M30" s="290"/>
      <c r="N30" s="290"/>
      <c r="O30" s="290"/>
      <c r="P30" s="290"/>
      <c r="Q30" s="290">
        <v>22.2</v>
      </c>
      <c r="R30" s="290"/>
      <c r="S30" s="290"/>
      <c r="T30" s="290"/>
      <c r="U30" s="290"/>
      <c r="V30" s="290"/>
      <c r="W30" s="290"/>
      <c r="X30" s="291">
        <v>8.3000000000000007</v>
      </c>
      <c r="Y30" s="291"/>
      <c r="Z30" s="291"/>
      <c r="AA30" s="291"/>
      <c r="AB30" s="291"/>
      <c r="AC30" s="291"/>
      <c r="AD30" s="291"/>
      <c r="AE30" s="291">
        <v>5.0999999999999996</v>
      </c>
      <c r="AF30" s="291"/>
      <c r="AG30" s="291"/>
      <c r="AH30" s="291"/>
      <c r="AI30" s="291"/>
      <c r="AJ30" s="291"/>
      <c r="AK30" s="291"/>
      <c r="AL30" s="291">
        <v>6.6000000000000005</v>
      </c>
      <c r="AM30" s="291"/>
      <c r="AN30" s="291"/>
      <c r="AO30" s="291"/>
      <c r="AP30" s="291"/>
      <c r="AQ30" s="291"/>
      <c r="AR30" s="291"/>
      <c r="AS30" s="184"/>
      <c r="AT30" s="276"/>
      <c r="AU30" s="185"/>
      <c r="AV30" s="185"/>
      <c r="AW30" s="185"/>
      <c r="AX30" s="185"/>
      <c r="AY30" s="185"/>
      <c r="AZ30" s="185"/>
      <c r="BA30" s="185"/>
      <c r="BB30" s="185"/>
      <c r="BC30" s="185"/>
      <c r="BD30" s="185"/>
      <c r="BE30" s="185"/>
      <c r="BF30" s="185"/>
      <c r="BG30" s="185"/>
      <c r="BH30" s="185"/>
      <c r="BI30" s="185"/>
      <c r="BJ30" s="185"/>
      <c r="BK30" s="185"/>
      <c r="BL30" s="185"/>
      <c r="BM30" s="185"/>
      <c r="BN30" s="185"/>
      <c r="BO30" s="185"/>
      <c r="BP30" s="185"/>
      <c r="BQ30" s="185"/>
      <c r="BR30" s="185"/>
      <c r="BS30" s="185"/>
      <c r="BT30" s="185"/>
      <c r="BU30" s="185"/>
      <c r="BV30" s="185"/>
      <c r="BW30" s="185"/>
      <c r="BX30" s="185"/>
      <c r="BY30" s="185"/>
      <c r="BZ30" s="185"/>
      <c r="CA30" s="185"/>
      <c r="CB30" s="185"/>
      <c r="CC30" s="185"/>
      <c r="CD30" s="185"/>
      <c r="CE30" s="185"/>
      <c r="CF30" s="185"/>
      <c r="CG30" s="185"/>
    </row>
    <row r="31" spans="1:85">
      <c r="A31" s="199"/>
      <c r="B31" s="288" t="s">
        <v>450</v>
      </c>
      <c r="C31" s="288"/>
      <c r="D31" s="288"/>
      <c r="E31" s="288"/>
      <c r="F31" s="288"/>
      <c r="G31" s="288"/>
      <c r="H31" s="288"/>
      <c r="I31" s="288"/>
      <c r="J31" s="288"/>
      <c r="K31" s="288"/>
      <c r="L31" s="288"/>
      <c r="M31" s="288"/>
      <c r="N31" s="288"/>
      <c r="O31" s="288"/>
      <c r="P31" s="288"/>
      <c r="Q31" s="288"/>
      <c r="R31" s="288"/>
      <c r="S31" s="288"/>
      <c r="T31" s="288"/>
      <c r="U31" s="288"/>
      <c r="V31" s="288"/>
      <c r="W31" s="288"/>
      <c r="X31" s="288"/>
      <c r="Y31" s="288"/>
      <c r="Z31" s="288"/>
      <c r="AA31" s="288"/>
      <c r="AB31" s="288"/>
      <c r="AC31" s="288"/>
      <c r="AD31" s="288"/>
      <c r="AE31" s="288"/>
      <c r="AF31" s="288"/>
      <c r="AG31" s="288"/>
      <c r="AH31" s="288"/>
      <c r="AI31" s="288"/>
      <c r="AJ31" s="288"/>
      <c r="AK31" s="288"/>
      <c r="AL31" s="288"/>
      <c r="AM31" s="288"/>
      <c r="AN31" s="288"/>
      <c r="AO31" s="288"/>
      <c r="AP31" s="288"/>
      <c r="AQ31" s="288"/>
      <c r="AR31" s="288"/>
      <c r="AS31" s="199"/>
      <c r="AT31" s="276"/>
      <c r="AU31" s="276"/>
      <c r="AV31" s="276"/>
      <c r="AW31" s="276"/>
      <c r="AX31" s="276"/>
      <c r="AY31" s="277"/>
      <c r="AZ31" s="278"/>
      <c r="BA31" s="276"/>
      <c r="BB31" s="276"/>
      <c r="BC31" s="276"/>
      <c r="BD31" s="276"/>
      <c r="BE31" s="276"/>
      <c r="BF31" s="276"/>
      <c r="BG31" s="276"/>
      <c r="BH31" s="277"/>
      <c r="BI31" s="279"/>
      <c r="BJ31" s="185"/>
      <c r="BK31" s="185"/>
      <c r="BL31" s="185"/>
      <c r="BM31" s="185"/>
      <c r="BN31" s="185"/>
      <c r="BO31" s="185"/>
      <c r="BP31" s="185"/>
      <c r="BQ31" s="185"/>
      <c r="BR31" s="185"/>
      <c r="BS31" s="185"/>
      <c r="BT31" s="185"/>
      <c r="BU31" s="185"/>
      <c r="BV31" s="185"/>
      <c r="BW31" s="185"/>
      <c r="BX31" s="185"/>
      <c r="BY31" s="185"/>
      <c r="BZ31" s="185"/>
      <c r="CA31" s="185"/>
      <c r="CB31" s="185"/>
      <c r="CC31" s="185"/>
      <c r="CD31" s="185"/>
      <c r="CE31" s="185"/>
      <c r="CF31" s="185"/>
      <c r="CG31" s="185"/>
    </row>
    <row r="32" spans="1:85">
      <c r="A32" s="199"/>
      <c r="B32" s="221"/>
      <c r="C32" s="221"/>
      <c r="D32" s="221"/>
      <c r="E32" s="221"/>
      <c r="F32" s="221"/>
      <c r="G32" s="221"/>
      <c r="H32" s="221"/>
      <c r="I32" s="221"/>
      <c r="J32" s="221"/>
      <c r="K32" s="221"/>
      <c r="L32" s="221"/>
      <c r="M32" s="221"/>
      <c r="N32" s="221"/>
      <c r="O32" s="221"/>
      <c r="P32" s="221"/>
      <c r="Q32" s="221"/>
      <c r="R32" s="221"/>
      <c r="S32" s="221"/>
      <c r="T32" s="221"/>
      <c r="U32" s="221"/>
      <c r="V32" s="221"/>
      <c r="W32" s="221"/>
      <c r="X32" s="221"/>
      <c r="Y32" s="221"/>
      <c r="Z32" s="221"/>
      <c r="AA32" s="221"/>
      <c r="AB32" s="221"/>
      <c r="AC32" s="221"/>
      <c r="AD32" s="221"/>
      <c r="AE32" s="221"/>
      <c r="AF32" s="221"/>
      <c r="AG32" s="221"/>
      <c r="AH32" s="221"/>
      <c r="AI32" s="221"/>
      <c r="AJ32" s="221"/>
      <c r="AK32" s="221"/>
      <c r="AL32" s="221"/>
      <c r="AM32" s="221"/>
      <c r="AN32" s="221"/>
      <c r="AO32" s="221"/>
      <c r="AP32" s="221"/>
      <c r="AQ32" s="221"/>
      <c r="AR32" s="194"/>
      <c r="AS32" s="199"/>
      <c r="AT32" s="276"/>
      <c r="AU32" s="276"/>
      <c r="AV32" s="276"/>
      <c r="AW32" s="276"/>
      <c r="AX32" s="276"/>
      <c r="AY32" s="277"/>
      <c r="AZ32" s="278"/>
      <c r="BA32" s="276"/>
      <c r="BB32" s="276"/>
      <c r="BC32" s="276"/>
      <c r="BD32" s="276"/>
      <c r="BE32" s="276"/>
      <c r="BF32" s="276"/>
      <c r="BG32" s="276"/>
      <c r="BH32" s="277"/>
      <c r="BI32" s="279"/>
      <c r="BJ32" s="185"/>
      <c r="BK32" s="185"/>
      <c r="BL32" s="185"/>
      <c r="BM32" s="185"/>
      <c r="BN32" s="185"/>
      <c r="BO32" s="185"/>
      <c r="BP32" s="185"/>
      <c r="BQ32" s="185"/>
      <c r="BR32" s="185"/>
      <c r="BS32" s="185"/>
      <c r="BT32" s="185"/>
      <c r="BU32" s="185"/>
      <c r="BV32" s="185"/>
      <c r="BW32" s="185"/>
      <c r="BX32" s="185"/>
      <c r="BY32" s="185"/>
      <c r="BZ32" s="185"/>
      <c r="CA32" s="185"/>
      <c r="CB32" s="185"/>
      <c r="CC32" s="185"/>
      <c r="CD32" s="185"/>
      <c r="CE32" s="185"/>
      <c r="CF32" s="185"/>
      <c r="CG32" s="185"/>
    </row>
    <row r="33" spans="1:85">
      <c r="A33" s="199"/>
      <c r="B33" s="185"/>
      <c r="C33" s="185"/>
      <c r="D33" s="185"/>
      <c r="E33" s="185"/>
      <c r="F33" s="185"/>
      <c r="G33" s="185"/>
      <c r="H33" s="185"/>
      <c r="I33" s="185"/>
      <c r="J33" s="185"/>
      <c r="K33" s="185"/>
      <c r="L33" s="185"/>
      <c r="M33" s="185"/>
      <c r="N33" s="185"/>
      <c r="O33" s="185"/>
      <c r="P33" s="185"/>
      <c r="Q33" s="185"/>
      <c r="R33" s="185"/>
      <c r="S33" s="185"/>
      <c r="T33" s="185"/>
      <c r="U33" s="185"/>
      <c r="V33" s="185"/>
      <c r="W33" s="185"/>
      <c r="X33" s="185"/>
      <c r="Y33" s="185"/>
      <c r="Z33" s="185"/>
      <c r="AA33" s="185"/>
      <c r="AB33" s="185"/>
      <c r="AC33" s="185"/>
      <c r="AD33" s="185"/>
      <c r="AE33" s="185"/>
      <c r="AF33" s="185"/>
      <c r="AG33" s="185"/>
      <c r="AH33" s="185"/>
      <c r="AI33" s="185"/>
      <c r="AJ33" s="185"/>
      <c r="AK33" s="185"/>
      <c r="AL33" s="185"/>
      <c r="AM33" s="221"/>
      <c r="AN33" s="221"/>
      <c r="AO33" s="221"/>
      <c r="AP33" s="221"/>
      <c r="AQ33" s="221"/>
      <c r="AR33" s="251"/>
      <c r="AS33" s="199"/>
      <c r="AT33" s="276"/>
      <c r="AU33" s="276"/>
      <c r="AV33" s="276"/>
      <c r="AW33" s="276"/>
      <c r="AX33" s="276"/>
      <c r="AY33" s="277"/>
      <c r="AZ33" s="278"/>
      <c r="BA33" s="276"/>
      <c r="BB33" s="276"/>
      <c r="BC33" s="276"/>
      <c r="BD33" s="276"/>
      <c r="BE33" s="276"/>
      <c r="BF33" s="276"/>
      <c r="BG33" s="276"/>
      <c r="BH33" s="277"/>
      <c r="BI33" s="279"/>
      <c r="BJ33" s="185"/>
      <c r="BK33" s="185"/>
      <c r="BL33" s="185"/>
      <c r="BM33" s="185"/>
      <c r="BN33" s="185"/>
      <c r="BO33" s="185"/>
      <c r="BP33" s="185"/>
      <c r="BQ33" s="185"/>
      <c r="BR33" s="185"/>
      <c r="BS33" s="185"/>
      <c r="BT33" s="185"/>
      <c r="BU33" s="185"/>
      <c r="BV33" s="185"/>
      <c r="BW33" s="185"/>
      <c r="BX33" s="185"/>
      <c r="BY33" s="185"/>
      <c r="BZ33" s="185"/>
      <c r="CA33" s="185"/>
      <c r="CB33" s="185"/>
      <c r="CC33" s="185"/>
      <c r="CD33" s="185"/>
      <c r="CE33" s="185"/>
      <c r="CF33" s="185"/>
      <c r="CG33" s="185"/>
    </row>
    <row r="34" spans="1:85" ht="21">
      <c r="A34" s="199"/>
      <c r="B34" s="292" t="s">
        <v>808</v>
      </c>
      <c r="C34" s="292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21"/>
      <c r="AN34" s="221"/>
      <c r="AO34" s="221"/>
      <c r="AP34" s="221"/>
      <c r="AQ34" s="221"/>
      <c r="AR34" s="251"/>
      <c r="AS34" s="199"/>
      <c r="AT34" s="276"/>
      <c r="AU34" s="276"/>
      <c r="AV34" s="276"/>
      <c r="AW34" s="276"/>
      <c r="AX34" s="276"/>
      <c r="AY34" s="277"/>
      <c r="AZ34" s="278"/>
      <c r="BA34" s="276"/>
      <c r="BB34" s="276"/>
      <c r="BC34" s="276"/>
      <c r="BD34" s="276"/>
      <c r="BE34" s="276"/>
      <c r="BF34" s="276"/>
      <c r="BG34" s="276"/>
      <c r="BH34" s="277"/>
      <c r="BI34" s="279"/>
      <c r="BJ34" s="185"/>
      <c r="BK34" s="185"/>
      <c r="BL34" s="185"/>
      <c r="BM34" s="185"/>
      <c r="BN34" s="185"/>
      <c r="BO34" s="185"/>
      <c r="BP34" s="185"/>
      <c r="BQ34" s="185"/>
      <c r="BR34" s="185"/>
      <c r="BS34" s="185"/>
      <c r="BT34" s="185"/>
      <c r="BU34" s="185"/>
      <c r="BV34" s="185"/>
      <c r="BW34" s="185"/>
      <c r="BX34" s="185"/>
      <c r="BY34" s="185"/>
      <c r="BZ34" s="185"/>
      <c r="CA34" s="185"/>
      <c r="CB34" s="185"/>
      <c r="CC34" s="185"/>
      <c r="CD34" s="185"/>
      <c r="CE34" s="185"/>
      <c r="CF34" s="185"/>
      <c r="CG34" s="185"/>
    </row>
    <row r="35" spans="1:85">
      <c r="A35" s="199"/>
      <c r="B35" s="253"/>
      <c r="C35" s="297" t="s">
        <v>404</v>
      </c>
      <c r="D35" s="297"/>
      <c r="E35" s="297"/>
      <c r="F35" s="297"/>
      <c r="G35" s="297"/>
      <c r="H35" s="297"/>
      <c r="I35" s="297"/>
      <c r="J35" s="297"/>
      <c r="K35" s="297"/>
      <c r="L35" s="297"/>
      <c r="M35" s="297"/>
      <c r="N35" s="297"/>
      <c r="O35" s="297"/>
      <c r="P35" s="297"/>
      <c r="Q35" s="297"/>
      <c r="R35" s="297"/>
      <c r="S35" s="297"/>
      <c r="T35" s="297"/>
      <c r="U35" s="298" t="s">
        <v>435</v>
      </c>
      <c r="V35" s="298"/>
      <c r="W35" s="298"/>
      <c r="X35" s="298"/>
      <c r="Y35" s="298"/>
      <c r="Z35" s="298"/>
      <c r="AA35" s="298"/>
      <c r="AB35" s="298"/>
      <c r="AC35" s="298"/>
      <c r="AD35" s="298"/>
      <c r="AE35" s="298"/>
      <c r="AF35" s="298"/>
      <c r="AG35" s="298"/>
      <c r="AH35" s="298"/>
      <c r="AI35" s="298"/>
      <c r="AJ35" s="298"/>
      <c r="AK35" s="298"/>
      <c r="AL35" s="298"/>
      <c r="AM35" s="221"/>
      <c r="AN35" s="221"/>
      <c r="AO35" s="221"/>
      <c r="AP35" s="221"/>
      <c r="AQ35" s="221"/>
      <c r="AR35" s="251"/>
      <c r="AS35" s="199"/>
      <c r="AT35" s="276"/>
      <c r="AU35" s="276"/>
      <c r="AV35" s="276"/>
      <c r="AW35" s="276"/>
      <c r="AX35" s="276"/>
      <c r="AY35" s="277"/>
      <c r="AZ35" s="278"/>
      <c r="BA35" s="276"/>
      <c r="BB35" s="276"/>
      <c r="BC35" s="276"/>
      <c r="BD35" s="276"/>
      <c r="BE35" s="276"/>
      <c r="BF35" s="276"/>
      <c r="BG35" s="276"/>
      <c r="BH35" s="277"/>
      <c r="BI35" s="279"/>
      <c r="BJ35" s="185"/>
      <c r="BK35" s="185"/>
      <c r="BL35" s="185"/>
      <c r="BM35" s="185"/>
      <c r="BN35" s="185"/>
      <c r="BO35" s="185"/>
      <c r="BP35" s="185"/>
      <c r="BQ35" s="185"/>
      <c r="BR35" s="185"/>
      <c r="BS35" s="185"/>
      <c r="BT35" s="185"/>
      <c r="BU35" s="185"/>
      <c r="BV35" s="185"/>
      <c r="BW35" s="185"/>
      <c r="BX35" s="185"/>
      <c r="BY35" s="185"/>
      <c r="BZ35" s="185"/>
      <c r="CA35" s="185"/>
      <c r="CB35" s="185"/>
      <c r="CC35" s="185"/>
      <c r="CD35" s="185"/>
      <c r="CE35" s="185"/>
      <c r="CF35" s="185"/>
      <c r="CG35" s="185"/>
    </row>
    <row r="36" spans="1:85">
      <c r="A36" s="199"/>
      <c r="B36" s="253"/>
      <c r="C36" s="299" t="s">
        <v>797</v>
      </c>
      <c r="D36" s="299"/>
      <c r="E36" s="299" t="s">
        <v>798</v>
      </c>
      <c r="F36" s="299"/>
      <c r="G36" s="299" t="s">
        <v>799</v>
      </c>
      <c r="H36" s="299"/>
      <c r="I36" s="299" t="s">
        <v>800</v>
      </c>
      <c r="J36" s="299"/>
      <c r="K36" s="299" t="s">
        <v>801</v>
      </c>
      <c r="L36" s="299"/>
      <c r="M36" s="299" t="s">
        <v>802</v>
      </c>
      <c r="N36" s="299"/>
      <c r="O36" s="299" t="s">
        <v>803</v>
      </c>
      <c r="P36" s="299"/>
      <c r="Q36" s="299" t="s">
        <v>804</v>
      </c>
      <c r="R36" s="299"/>
      <c r="S36" s="299" t="s">
        <v>805</v>
      </c>
      <c r="T36" s="299"/>
      <c r="U36" s="299" t="s">
        <v>797</v>
      </c>
      <c r="V36" s="299"/>
      <c r="W36" s="299" t="s">
        <v>798</v>
      </c>
      <c r="X36" s="299"/>
      <c r="Y36" s="299" t="s">
        <v>799</v>
      </c>
      <c r="Z36" s="299"/>
      <c r="AA36" s="299" t="s">
        <v>800</v>
      </c>
      <c r="AB36" s="299"/>
      <c r="AC36" s="299" t="s">
        <v>801</v>
      </c>
      <c r="AD36" s="299"/>
      <c r="AE36" s="299" t="s">
        <v>802</v>
      </c>
      <c r="AF36" s="299"/>
      <c r="AG36" s="299" t="s">
        <v>803</v>
      </c>
      <c r="AH36" s="299"/>
      <c r="AI36" s="299" t="s">
        <v>804</v>
      </c>
      <c r="AJ36" s="299"/>
      <c r="AK36" s="299" t="s">
        <v>805</v>
      </c>
      <c r="AL36" s="299"/>
      <c r="AM36" s="221"/>
      <c r="AN36" s="221"/>
      <c r="AO36" s="221"/>
      <c r="AP36" s="221"/>
      <c r="AQ36" s="221"/>
      <c r="AR36" s="251"/>
      <c r="AS36" s="199"/>
      <c r="AT36" s="276"/>
      <c r="AU36" s="276"/>
      <c r="AV36" s="276"/>
      <c r="AW36" s="276"/>
      <c r="AX36" s="276"/>
      <c r="AY36" s="277"/>
      <c r="AZ36" s="278"/>
      <c r="BA36" s="276"/>
      <c r="BB36" s="276"/>
      <c r="BC36" s="276"/>
      <c r="BD36" s="276"/>
      <c r="BE36" s="276"/>
      <c r="BF36" s="276"/>
      <c r="BG36" s="276"/>
      <c r="BH36" s="277"/>
      <c r="BI36" s="279"/>
      <c r="BJ36" s="185"/>
      <c r="BK36" s="185"/>
      <c r="BL36" s="185"/>
      <c r="BM36" s="185"/>
      <c r="BN36" s="185"/>
      <c r="BO36" s="185"/>
      <c r="BP36" s="185"/>
      <c r="BQ36" s="185"/>
      <c r="BR36" s="185"/>
      <c r="BS36" s="185"/>
      <c r="BT36" s="185"/>
      <c r="BU36" s="185"/>
      <c r="BV36" s="185"/>
      <c r="BW36" s="185"/>
      <c r="BX36" s="185"/>
      <c r="BY36" s="185"/>
      <c r="BZ36" s="185"/>
      <c r="CA36" s="185"/>
      <c r="CB36" s="185"/>
      <c r="CC36" s="185"/>
      <c r="CD36" s="185"/>
      <c r="CE36" s="185"/>
      <c r="CF36" s="185"/>
    </row>
    <row r="37" spans="1:85">
      <c r="A37" s="199"/>
      <c r="B37" s="253"/>
      <c r="C37" s="252" t="s">
        <v>406</v>
      </c>
      <c r="D37" s="252" t="s">
        <v>378</v>
      </c>
      <c r="E37" s="252" t="s">
        <v>406</v>
      </c>
      <c r="F37" s="252" t="s">
        <v>378</v>
      </c>
      <c r="G37" s="252" t="s">
        <v>406</v>
      </c>
      <c r="H37" s="252" t="s">
        <v>378</v>
      </c>
      <c r="I37" s="252" t="s">
        <v>406</v>
      </c>
      <c r="J37" s="252" t="s">
        <v>378</v>
      </c>
      <c r="K37" s="252" t="s">
        <v>406</v>
      </c>
      <c r="L37" s="252" t="s">
        <v>378</v>
      </c>
      <c r="M37" s="252" t="s">
        <v>406</v>
      </c>
      <c r="N37" s="252" t="s">
        <v>378</v>
      </c>
      <c r="O37" s="252" t="s">
        <v>406</v>
      </c>
      <c r="P37" s="252" t="s">
        <v>378</v>
      </c>
      <c r="Q37" s="252" t="s">
        <v>406</v>
      </c>
      <c r="R37" s="252" t="s">
        <v>378</v>
      </c>
      <c r="S37" s="252" t="s">
        <v>406</v>
      </c>
      <c r="T37" s="252" t="s">
        <v>378</v>
      </c>
      <c r="U37" s="252" t="s">
        <v>406</v>
      </c>
      <c r="V37" s="252" t="s">
        <v>378</v>
      </c>
      <c r="W37" s="252" t="s">
        <v>406</v>
      </c>
      <c r="X37" s="252" t="s">
        <v>378</v>
      </c>
      <c r="Y37" s="252" t="s">
        <v>406</v>
      </c>
      <c r="Z37" s="252" t="s">
        <v>378</v>
      </c>
      <c r="AA37" s="252" t="s">
        <v>406</v>
      </c>
      <c r="AB37" s="252" t="s">
        <v>378</v>
      </c>
      <c r="AC37" s="252" t="s">
        <v>406</v>
      </c>
      <c r="AD37" s="252" t="s">
        <v>378</v>
      </c>
      <c r="AE37" s="252" t="s">
        <v>406</v>
      </c>
      <c r="AF37" s="252" t="s">
        <v>378</v>
      </c>
      <c r="AG37" s="252" t="s">
        <v>406</v>
      </c>
      <c r="AH37" s="252" t="s">
        <v>378</v>
      </c>
      <c r="AI37" s="252" t="s">
        <v>406</v>
      </c>
      <c r="AJ37" s="252" t="s">
        <v>378</v>
      </c>
      <c r="AK37" s="252" t="s">
        <v>406</v>
      </c>
      <c r="AL37" s="252" t="s">
        <v>378</v>
      </c>
      <c r="AM37" s="221"/>
      <c r="AN37" s="221"/>
      <c r="AO37" s="221"/>
      <c r="AP37" s="221"/>
      <c r="AQ37" s="221"/>
      <c r="AR37" s="251"/>
      <c r="AS37" s="199"/>
      <c r="AT37" s="276"/>
      <c r="AU37" s="276"/>
      <c r="AV37" s="276"/>
      <c r="AW37" s="276"/>
      <c r="AX37" s="276"/>
      <c r="AY37" s="277"/>
      <c r="AZ37" s="278"/>
      <c r="BA37" s="276"/>
      <c r="BB37" s="276"/>
      <c r="BC37" s="276"/>
      <c r="BD37" s="276"/>
      <c r="BE37" s="276"/>
      <c r="BF37" s="276"/>
      <c r="BG37" s="276"/>
      <c r="BH37" s="277"/>
      <c r="BI37" s="279"/>
      <c r="BJ37" s="185"/>
      <c r="BK37" s="185"/>
      <c r="BL37" s="185"/>
      <c r="BM37" s="185"/>
      <c r="BN37" s="185"/>
      <c r="BO37" s="185"/>
      <c r="BP37" s="185"/>
      <c r="BQ37" s="185"/>
      <c r="BR37" s="185"/>
      <c r="BS37" s="185"/>
      <c r="BT37" s="185"/>
      <c r="BU37" s="185"/>
      <c r="BV37" s="185"/>
      <c r="BW37" s="185"/>
      <c r="BX37" s="185"/>
      <c r="BY37" s="185"/>
      <c r="BZ37" s="185"/>
      <c r="CA37" s="185"/>
      <c r="CB37" s="185"/>
      <c r="CC37" s="185"/>
      <c r="CD37" s="185"/>
      <c r="CE37" s="185"/>
      <c r="CF37" s="185"/>
    </row>
    <row r="38" spans="1:85">
      <c r="A38" s="199"/>
      <c r="B38" s="254" t="s">
        <v>210</v>
      </c>
      <c r="C38" s="101">
        <v>6.44</v>
      </c>
      <c r="D38" s="105">
        <v>1.0900000000000001</v>
      </c>
      <c r="E38" s="101">
        <v>15.93</v>
      </c>
      <c r="F38" s="105">
        <v>2.89</v>
      </c>
      <c r="G38" s="101">
        <v>23.95</v>
      </c>
      <c r="H38" s="105">
        <v>2.89</v>
      </c>
      <c r="I38" s="101">
        <v>35.43</v>
      </c>
      <c r="J38" s="105">
        <v>2.76</v>
      </c>
      <c r="K38" s="101">
        <v>45.5</v>
      </c>
      <c r="L38" s="105">
        <v>3.03</v>
      </c>
      <c r="M38" s="101">
        <v>55.3</v>
      </c>
      <c r="N38" s="105">
        <v>2.82</v>
      </c>
      <c r="O38" s="101">
        <v>64.77</v>
      </c>
      <c r="P38" s="105">
        <v>2.95</v>
      </c>
      <c r="Q38" s="101">
        <v>74.319999999999993</v>
      </c>
      <c r="R38" s="105">
        <v>2.88</v>
      </c>
      <c r="S38" s="101">
        <v>83.05</v>
      </c>
      <c r="T38" s="105">
        <v>2.3199999999999998</v>
      </c>
      <c r="U38" s="74">
        <v>6.29</v>
      </c>
      <c r="V38" s="31">
        <v>0.9</v>
      </c>
      <c r="W38" s="74">
        <v>16.350000000000001</v>
      </c>
      <c r="X38" s="31">
        <v>2.66</v>
      </c>
      <c r="Y38" s="74">
        <v>23.3</v>
      </c>
      <c r="Z38" s="31">
        <v>2.4700000000000002</v>
      </c>
      <c r="AA38" s="74">
        <v>35.369999999999997</v>
      </c>
      <c r="AB38" s="31">
        <v>2.97</v>
      </c>
      <c r="AC38" s="74">
        <v>44.87</v>
      </c>
      <c r="AD38" s="31">
        <v>3.05</v>
      </c>
      <c r="AE38" s="74">
        <v>54.81</v>
      </c>
      <c r="AF38" s="31">
        <v>2.93</v>
      </c>
      <c r="AG38" s="74">
        <v>63.71</v>
      </c>
      <c r="AH38" s="31">
        <v>2.88</v>
      </c>
      <c r="AI38" s="74">
        <v>74.040000000000006</v>
      </c>
      <c r="AJ38" s="31">
        <v>3.4</v>
      </c>
      <c r="AK38" s="74">
        <v>82.15</v>
      </c>
      <c r="AL38" s="31">
        <v>1.55</v>
      </c>
      <c r="AM38" s="221"/>
      <c r="AN38" s="221"/>
      <c r="AO38" s="221"/>
      <c r="AP38" s="221"/>
      <c r="AQ38" s="221"/>
      <c r="AR38" s="251"/>
      <c r="AS38" s="199"/>
      <c r="AT38" s="276"/>
      <c r="AU38" s="276"/>
      <c r="AV38" s="276"/>
      <c r="AW38" s="276"/>
      <c r="AX38" s="276"/>
      <c r="AY38" s="277"/>
      <c r="AZ38" s="278"/>
      <c r="BA38" s="276"/>
      <c r="BB38" s="276"/>
      <c r="BC38" s="276"/>
      <c r="BD38" s="276"/>
      <c r="BE38" s="276"/>
      <c r="BF38" s="276"/>
      <c r="BG38" s="276"/>
      <c r="BH38" s="277"/>
      <c r="BI38" s="279"/>
      <c r="BJ38" s="185"/>
      <c r="BK38" s="185"/>
      <c r="BL38" s="185"/>
      <c r="BM38" s="185"/>
      <c r="BN38" s="185"/>
      <c r="BO38" s="185"/>
      <c r="BP38" s="185"/>
      <c r="BQ38" s="185"/>
      <c r="BR38" s="185"/>
      <c r="BS38" s="185"/>
      <c r="BT38" s="185"/>
      <c r="BU38" s="185"/>
      <c r="BV38" s="185"/>
      <c r="BW38" s="185"/>
      <c r="BX38" s="185"/>
      <c r="BY38" s="185"/>
      <c r="BZ38" s="185"/>
      <c r="CA38" s="185"/>
      <c r="CB38" s="185"/>
      <c r="CC38" s="185"/>
      <c r="CD38" s="185"/>
      <c r="CE38" s="185"/>
      <c r="CF38" s="185"/>
    </row>
    <row r="39" spans="1:85">
      <c r="A39" s="199"/>
      <c r="B39" s="254" t="s">
        <v>412</v>
      </c>
      <c r="C39" s="101">
        <v>25.17</v>
      </c>
      <c r="D39" s="105">
        <v>8.73</v>
      </c>
      <c r="E39" s="101">
        <v>60.92</v>
      </c>
      <c r="F39" s="105">
        <v>16.350000000000001</v>
      </c>
      <c r="G39" s="101">
        <v>65.849999999999994</v>
      </c>
      <c r="H39" s="105">
        <v>12.98</v>
      </c>
      <c r="I39" s="101">
        <v>77.53</v>
      </c>
      <c r="J39" s="105">
        <v>18.059999999999999</v>
      </c>
      <c r="K39" s="101">
        <v>79.81</v>
      </c>
      <c r="L39" s="105">
        <v>16.68</v>
      </c>
      <c r="M39" s="101">
        <v>79.45</v>
      </c>
      <c r="N39" s="105">
        <v>16.86</v>
      </c>
      <c r="O39" s="101">
        <v>77.12</v>
      </c>
      <c r="P39" s="105">
        <v>15.52</v>
      </c>
      <c r="Q39" s="101">
        <v>72.98</v>
      </c>
      <c r="R39" s="105">
        <v>15.2</v>
      </c>
      <c r="S39" s="101">
        <v>67.59</v>
      </c>
      <c r="T39" s="105">
        <v>12.53</v>
      </c>
      <c r="U39" s="74">
        <v>21.59</v>
      </c>
      <c r="V39" s="31">
        <v>4.21</v>
      </c>
      <c r="W39" s="74">
        <v>57.12</v>
      </c>
      <c r="X39" s="31">
        <v>12.68</v>
      </c>
      <c r="Y39" s="74">
        <v>63.44</v>
      </c>
      <c r="Z39" s="31">
        <v>11.39</v>
      </c>
      <c r="AA39" s="74">
        <v>71.27</v>
      </c>
      <c r="AB39" s="31">
        <v>11.09</v>
      </c>
      <c r="AC39" s="74">
        <v>73.209999999999994</v>
      </c>
      <c r="AD39" s="31">
        <v>11.04</v>
      </c>
      <c r="AE39" s="74">
        <v>72.03</v>
      </c>
      <c r="AF39" s="31">
        <v>11.92</v>
      </c>
      <c r="AG39" s="74">
        <v>69.150000000000006</v>
      </c>
      <c r="AH39" s="31">
        <v>11.58</v>
      </c>
      <c r="AI39" s="74">
        <v>71.430000000000007</v>
      </c>
      <c r="AJ39" s="31">
        <v>13.64</v>
      </c>
      <c r="AK39" s="74">
        <v>78.650000000000006</v>
      </c>
      <c r="AL39" s="31">
        <v>12.42</v>
      </c>
      <c r="AM39" s="221"/>
      <c r="AN39" s="221"/>
      <c r="AO39" s="221"/>
      <c r="AP39" s="221"/>
      <c r="AQ39" s="221"/>
      <c r="AR39" s="251"/>
      <c r="AS39" s="199"/>
      <c r="AT39" s="276"/>
      <c r="AU39" s="276"/>
      <c r="AV39" s="276"/>
      <c r="AW39" s="276"/>
      <c r="AX39" s="276"/>
      <c r="AY39" s="277"/>
      <c r="AZ39" s="278"/>
      <c r="BA39" s="276"/>
      <c r="BB39" s="276"/>
      <c r="BC39" s="276"/>
      <c r="BD39" s="276"/>
      <c r="BE39" s="276"/>
      <c r="BF39" s="276"/>
      <c r="BG39" s="276"/>
      <c r="BH39" s="277"/>
      <c r="BI39" s="279"/>
      <c r="BJ39" s="185"/>
      <c r="BK39" s="185"/>
      <c r="BL39" s="185"/>
      <c r="BM39" s="185"/>
      <c r="BN39" s="185"/>
      <c r="BO39" s="185"/>
      <c r="BP39" s="185"/>
      <c r="BQ39" s="185"/>
      <c r="BR39" s="185"/>
      <c r="BS39" s="185"/>
      <c r="BT39" s="185"/>
      <c r="BU39" s="185"/>
      <c r="BV39" s="185"/>
      <c r="BW39" s="185"/>
      <c r="BX39" s="185"/>
      <c r="BY39" s="185"/>
      <c r="BZ39" s="185"/>
      <c r="CA39" s="185"/>
      <c r="CB39" s="185"/>
      <c r="CC39" s="185"/>
      <c r="CD39" s="185"/>
      <c r="CE39" s="185"/>
      <c r="CF39" s="185"/>
    </row>
    <row r="40" spans="1:85">
      <c r="A40" s="199"/>
      <c r="B40" s="254" t="s">
        <v>413</v>
      </c>
      <c r="C40" s="101">
        <v>1.17</v>
      </c>
      <c r="D40" s="105">
        <v>0.09</v>
      </c>
      <c r="E40" s="101">
        <v>1.62</v>
      </c>
      <c r="F40" s="105">
        <v>0.12</v>
      </c>
      <c r="G40" s="101">
        <v>1.68</v>
      </c>
      <c r="H40" s="105">
        <v>0.09</v>
      </c>
      <c r="I40" s="255">
        <v>1.7</v>
      </c>
      <c r="J40" s="256">
        <v>0.1</v>
      </c>
      <c r="K40" s="255">
        <v>1.7</v>
      </c>
      <c r="L40" s="105">
        <v>0.09</v>
      </c>
      <c r="M40" s="101">
        <v>1.68</v>
      </c>
      <c r="N40" s="256">
        <v>0.1</v>
      </c>
      <c r="O40" s="101">
        <v>1.66</v>
      </c>
      <c r="P40" s="256">
        <v>0.1</v>
      </c>
      <c r="Q40" s="101">
        <v>1.64</v>
      </c>
      <c r="R40" s="256">
        <v>0.13</v>
      </c>
      <c r="S40" s="101">
        <v>1.61</v>
      </c>
      <c r="T40" s="105">
        <v>0.11</v>
      </c>
      <c r="U40" s="74">
        <v>1.1499999999999999</v>
      </c>
      <c r="V40" s="31">
        <v>0.08</v>
      </c>
      <c r="W40" s="74">
        <v>1.63</v>
      </c>
      <c r="X40" s="31">
        <v>0.11</v>
      </c>
      <c r="Y40" s="74">
        <v>1.67</v>
      </c>
      <c r="Z40" s="31">
        <v>0.09</v>
      </c>
      <c r="AA40" s="74">
        <v>1.7</v>
      </c>
      <c r="AB40" s="31">
        <v>0.09</v>
      </c>
      <c r="AC40" s="74">
        <v>1.7</v>
      </c>
      <c r="AD40" s="31">
        <v>0.1</v>
      </c>
      <c r="AE40" s="74">
        <v>1.68</v>
      </c>
      <c r="AF40" s="31">
        <v>0.11</v>
      </c>
      <c r="AG40" s="74">
        <v>1.67</v>
      </c>
      <c r="AH40" s="31">
        <v>0.1</v>
      </c>
      <c r="AI40" s="74">
        <v>1.68</v>
      </c>
      <c r="AJ40" s="31">
        <v>0.1</v>
      </c>
      <c r="AK40" s="74">
        <v>1.73</v>
      </c>
      <c r="AL40" s="31">
        <v>0.08</v>
      </c>
      <c r="AM40" s="221"/>
      <c r="AN40" s="221"/>
      <c r="AO40" s="221"/>
      <c r="AP40" s="221"/>
      <c r="AQ40" s="221"/>
      <c r="AR40" s="251"/>
      <c r="AS40" s="199"/>
      <c r="AT40" s="276"/>
      <c r="AU40" s="276"/>
      <c r="AV40" s="276"/>
      <c r="AW40" s="276"/>
      <c r="AX40" s="276"/>
      <c r="AY40" s="277"/>
      <c r="AZ40" s="278"/>
      <c r="BA40" s="276"/>
      <c r="BB40" s="276"/>
      <c r="BC40" s="276"/>
      <c r="BD40" s="276"/>
      <c r="BE40" s="276"/>
      <c r="BF40" s="276"/>
      <c r="BG40" s="276"/>
      <c r="BH40" s="277"/>
      <c r="BI40" s="279"/>
      <c r="BJ40" s="185"/>
      <c r="BK40" s="185"/>
      <c r="BL40" s="185"/>
      <c r="BM40" s="185"/>
      <c r="BN40" s="185"/>
      <c r="BO40" s="185"/>
      <c r="BP40" s="185"/>
      <c r="BQ40" s="185"/>
      <c r="BR40" s="185"/>
      <c r="BS40" s="185"/>
      <c r="BT40" s="185"/>
      <c r="BU40" s="185"/>
      <c r="BV40" s="185"/>
      <c r="BW40" s="185"/>
      <c r="BX40" s="185"/>
      <c r="BY40" s="185"/>
      <c r="BZ40" s="185"/>
      <c r="CA40" s="185"/>
      <c r="CB40" s="185"/>
      <c r="CC40" s="185"/>
      <c r="CD40" s="185"/>
      <c r="CE40" s="185"/>
      <c r="CF40" s="185"/>
    </row>
    <row r="41" spans="1:85">
      <c r="A41" s="199"/>
      <c r="B41" s="254" t="s">
        <v>446</v>
      </c>
      <c r="C41" s="101">
        <v>17.809999999999999</v>
      </c>
      <c r="D41" s="105">
        <v>3.49</v>
      </c>
      <c r="E41" s="101">
        <v>23.09</v>
      </c>
      <c r="F41" s="105">
        <v>5.33</v>
      </c>
      <c r="G41" s="101">
        <v>23.33</v>
      </c>
      <c r="H41" s="105">
        <v>3.67</v>
      </c>
      <c r="I41" s="101">
        <v>26.65</v>
      </c>
      <c r="J41" s="105">
        <v>5.47</v>
      </c>
      <c r="K41" s="101">
        <v>27.44</v>
      </c>
      <c r="L41" s="105">
        <v>4.6500000000000004</v>
      </c>
      <c r="M41" s="101">
        <v>28.11</v>
      </c>
      <c r="N41" s="105">
        <v>4.9400000000000004</v>
      </c>
      <c r="O41" s="101">
        <v>28.04</v>
      </c>
      <c r="P41" s="105">
        <v>4.84</v>
      </c>
      <c r="Q41" s="101">
        <v>27.09</v>
      </c>
      <c r="R41" s="105">
        <v>4.8099999999999996</v>
      </c>
      <c r="S41" s="101">
        <v>26.04</v>
      </c>
      <c r="T41" s="105">
        <v>3.46</v>
      </c>
      <c r="U41" s="74">
        <v>16.190000000000001</v>
      </c>
      <c r="V41" s="31">
        <v>1.47</v>
      </c>
      <c r="W41" s="74">
        <v>21.28</v>
      </c>
      <c r="X41" s="31">
        <v>3.01</v>
      </c>
      <c r="Y41" s="74">
        <v>22.58</v>
      </c>
      <c r="Z41" s="31">
        <v>2.82</v>
      </c>
      <c r="AA41" s="74">
        <v>24.53</v>
      </c>
      <c r="AB41" s="31">
        <v>2.58</v>
      </c>
      <c r="AC41" s="74">
        <v>25.36</v>
      </c>
      <c r="AD41" s="31">
        <v>2.59</v>
      </c>
      <c r="AE41" s="74">
        <v>25.48</v>
      </c>
      <c r="AF41" s="31">
        <v>2.57</v>
      </c>
      <c r="AG41" s="74">
        <v>24.89</v>
      </c>
      <c r="AH41" s="31">
        <v>3.11</v>
      </c>
      <c r="AI41" s="74">
        <v>25.29</v>
      </c>
      <c r="AJ41" s="31">
        <v>3.13</v>
      </c>
      <c r="AK41" s="74">
        <v>26.23</v>
      </c>
      <c r="AL41" s="31">
        <v>3.3</v>
      </c>
      <c r="AM41" s="221"/>
      <c r="AN41" s="221"/>
      <c r="AO41" s="221"/>
      <c r="AP41" s="221"/>
      <c r="AQ41" s="221"/>
      <c r="AR41" s="251"/>
      <c r="AS41" s="199"/>
      <c r="AT41" s="276"/>
      <c r="AU41" s="276"/>
      <c r="AV41" s="276"/>
      <c r="AW41" s="276"/>
      <c r="AX41" s="276"/>
      <c r="AY41" s="277"/>
      <c r="AZ41" s="278"/>
      <c r="BA41" s="276"/>
      <c r="BB41" s="276"/>
      <c r="BC41" s="276"/>
      <c r="BD41" s="276"/>
      <c r="BE41" s="276"/>
      <c r="BF41" s="276"/>
      <c r="BG41" s="276"/>
      <c r="BH41" s="277"/>
      <c r="BI41" s="279"/>
      <c r="BJ41" s="185"/>
      <c r="BK41" s="185"/>
      <c r="BL41" s="185"/>
      <c r="BM41" s="185"/>
      <c r="BN41" s="185"/>
      <c r="BO41" s="185"/>
      <c r="BP41" s="185"/>
      <c r="BQ41" s="185"/>
      <c r="BR41" s="185"/>
      <c r="BS41" s="185"/>
      <c r="BT41" s="185"/>
      <c r="BU41" s="185"/>
      <c r="BV41" s="185"/>
      <c r="BW41" s="185"/>
      <c r="BX41" s="185"/>
      <c r="BY41" s="185"/>
      <c r="BZ41" s="185"/>
      <c r="CA41" s="185"/>
      <c r="CB41" s="185"/>
      <c r="CC41" s="185"/>
      <c r="CD41" s="185"/>
      <c r="CE41" s="185"/>
      <c r="CF41" s="185"/>
    </row>
    <row r="42" spans="1:85">
      <c r="A42" s="199"/>
      <c r="B42" s="254" t="s">
        <v>414</v>
      </c>
      <c r="C42" s="255">
        <v>1.1000000000000001</v>
      </c>
      <c r="D42" s="105">
        <v>1.47</v>
      </c>
      <c r="E42" s="101">
        <v>0.73</v>
      </c>
      <c r="F42" s="105">
        <v>1.39</v>
      </c>
      <c r="G42" s="257" t="s">
        <v>806</v>
      </c>
      <c r="H42" s="258" t="s">
        <v>806</v>
      </c>
      <c r="I42" s="257" t="s">
        <v>806</v>
      </c>
      <c r="J42" s="258" t="s">
        <v>806</v>
      </c>
      <c r="K42" s="257" t="s">
        <v>806</v>
      </c>
      <c r="L42" s="258" t="s">
        <v>806</v>
      </c>
      <c r="M42" s="257" t="s">
        <v>806</v>
      </c>
      <c r="N42" s="258" t="s">
        <v>806</v>
      </c>
      <c r="O42" s="257" t="s">
        <v>806</v>
      </c>
      <c r="P42" s="258" t="s">
        <v>806</v>
      </c>
      <c r="Q42" s="257" t="s">
        <v>806</v>
      </c>
      <c r="R42" s="258" t="s">
        <v>806</v>
      </c>
      <c r="S42" s="257" t="s">
        <v>806</v>
      </c>
      <c r="T42" s="258" t="s">
        <v>806</v>
      </c>
      <c r="U42" s="74">
        <v>0.44</v>
      </c>
      <c r="V42" s="31">
        <v>0.86</v>
      </c>
      <c r="W42" s="74">
        <v>0.21</v>
      </c>
      <c r="X42" s="31">
        <v>0.97</v>
      </c>
      <c r="Y42" s="259" t="s">
        <v>806</v>
      </c>
      <c r="Z42" s="260" t="s">
        <v>806</v>
      </c>
      <c r="AA42" s="259" t="s">
        <v>806</v>
      </c>
      <c r="AB42" s="260" t="s">
        <v>806</v>
      </c>
      <c r="AC42" s="259" t="s">
        <v>806</v>
      </c>
      <c r="AD42" s="260" t="s">
        <v>806</v>
      </c>
      <c r="AE42" s="259" t="s">
        <v>806</v>
      </c>
      <c r="AF42" s="260" t="s">
        <v>806</v>
      </c>
      <c r="AG42" s="259" t="s">
        <v>806</v>
      </c>
      <c r="AH42" s="260" t="s">
        <v>806</v>
      </c>
      <c r="AI42" s="259" t="s">
        <v>806</v>
      </c>
      <c r="AJ42" s="260" t="s">
        <v>806</v>
      </c>
      <c r="AK42" s="259" t="s">
        <v>806</v>
      </c>
      <c r="AL42" s="260" t="s">
        <v>806</v>
      </c>
      <c r="AM42" s="221"/>
      <c r="AN42" s="221"/>
      <c r="AO42" s="221"/>
      <c r="AP42" s="221"/>
      <c r="AQ42" s="221"/>
      <c r="AR42" s="251"/>
      <c r="AS42" s="199"/>
      <c r="AT42" s="276"/>
      <c r="AU42" s="276"/>
      <c r="AV42" s="276"/>
      <c r="AW42" s="276"/>
      <c r="AX42" s="276"/>
      <c r="AY42" s="277"/>
      <c r="AZ42" s="278"/>
      <c r="BA42" s="276"/>
      <c r="BB42" s="276"/>
      <c r="BC42" s="276"/>
      <c r="BD42" s="276"/>
      <c r="BE42" s="276"/>
      <c r="BF42" s="276"/>
      <c r="BG42" s="276"/>
      <c r="BH42" s="277"/>
      <c r="BI42" s="279"/>
      <c r="BJ42" s="185"/>
      <c r="BK42" s="185"/>
      <c r="BL42" s="185"/>
      <c r="BM42" s="185"/>
      <c r="BN42" s="185"/>
      <c r="BO42" s="185"/>
      <c r="BP42" s="185"/>
      <c r="BQ42" s="185"/>
      <c r="BR42" s="185"/>
      <c r="BS42" s="185"/>
      <c r="BT42" s="185"/>
      <c r="BU42" s="185"/>
      <c r="BV42" s="185"/>
      <c r="BW42" s="185"/>
      <c r="BX42" s="185"/>
      <c r="BY42" s="185"/>
      <c r="BZ42" s="185"/>
      <c r="CA42" s="185"/>
      <c r="CB42" s="185"/>
      <c r="CC42" s="185"/>
      <c r="CD42" s="185"/>
      <c r="CE42" s="185"/>
      <c r="CF42" s="185"/>
    </row>
    <row r="43" spans="1:85">
      <c r="A43" s="199"/>
      <c r="B43" s="254" t="s">
        <v>447</v>
      </c>
      <c r="C43" s="261">
        <v>177.27</v>
      </c>
      <c r="D43" s="262">
        <v>46.14</v>
      </c>
      <c r="E43" s="261">
        <v>173.92</v>
      </c>
      <c r="F43" s="262">
        <v>38.92</v>
      </c>
      <c r="G43" s="261">
        <v>183.29</v>
      </c>
      <c r="H43" s="262">
        <v>45.07</v>
      </c>
      <c r="I43" s="261">
        <v>196.23</v>
      </c>
      <c r="J43" s="262">
        <v>34.590000000000003</v>
      </c>
      <c r="K43" s="261">
        <v>209.55</v>
      </c>
      <c r="L43" s="262">
        <v>37.44</v>
      </c>
      <c r="M43" s="261">
        <v>210.1</v>
      </c>
      <c r="N43" s="262">
        <v>44.75</v>
      </c>
      <c r="O43" s="261">
        <v>203.96</v>
      </c>
      <c r="P43" s="262">
        <v>49.49</v>
      </c>
      <c r="Q43" s="261">
        <v>196.51</v>
      </c>
      <c r="R43" s="262">
        <v>39.19</v>
      </c>
      <c r="S43" s="261">
        <v>194.35</v>
      </c>
      <c r="T43" s="262">
        <v>43.09</v>
      </c>
      <c r="U43" s="263">
        <v>199.67</v>
      </c>
      <c r="V43" s="264">
        <v>20.260000000000002</v>
      </c>
      <c r="W43" s="263">
        <v>177.44</v>
      </c>
      <c r="X43" s="264">
        <v>26.32</v>
      </c>
      <c r="Y43" s="263">
        <v>175.77</v>
      </c>
      <c r="Z43" s="264">
        <v>28.54</v>
      </c>
      <c r="AA43" s="263">
        <v>198.21</v>
      </c>
      <c r="AB43" s="264">
        <v>20.34</v>
      </c>
      <c r="AC43" s="263">
        <v>201.91</v>
      </c>
      <c r="AD43" s="264">
        <v>21.37</v>
      </c>
      <c r="AE43" s="263">
        <v>205.79</v>
      </c>
      <c r="AF43" s="264">
        <v>20.45</v>
      </c>
      <c r="AG43" s="263">
        <v>195.74</v>
      </c>
      <c r="AH43" s="264">
        <v>26.48</v>
      </c>
      <c r="AI43" s="263">
        <v>202.25</v>
      </c>
      <c r="AJ43" s="264">
        <v>21.76</v>
      </c>
      <c r="AK43" s="263">
        <v>214.5</v>
      </c>
      <c r="AL43" s="264">
        <v>26.16</v>
      </c>
      <c r="AM43" s="221"/>
      <c r="AN43" s="221"/>
      <c r="AO43" s="221"/>
      <c r="AP43" s="221"/>
      <c r="AQ43" s="221"/>
      <c r="AR43" s="251"/>
      <c r="AS43" s="199"/>
      <c r="AT43" s="276"/>
      <c r="AU43" s="276"/>
      <c r="AV43" s="276"/>
      <c r="AW43" s="276"/>
      <c r="AX43" s="276"/>
      <c r="AY43" s="277"/>
      <c r="AZ43" s="278"/>
      <c r="BA43" s="276"/>
      <c r="BB43" s="276"/>
      <c r="BC43" s="276"/>
      <c r="BD43" s="276"/>
      <c r="BE43" s="276"/>
      <c r="BF43" s="276"/>
      <c r="BG43" s="276"/>
      <c r="BH43" s="277"/>
      <c r="BI43" s="279"/>
      <c r="BJ43" s="185"/>
      <c r="BK43" s="185"/>
      <c r="BL43" s="185"/>
      <c r="BM43" s="185"/>
      <c r="BN43" s="185"/>
      <c r="BO43" s="185"/>
      <c r="BP43" s="185"/>
      <c r="BQ43" s="185"/>
      <c r="BR43" s="185"/>
      <c r="BS43" s="185"/>
      <c r="BT43" s="185"/>
      <c r="BU43" s="185"/>
      <c r="BV43" s="185"/>
      <c r="BW43" s="185"/>
      <c r="BX43" s="185"/>
      <c r="BY43" s="185"/>
      <c r="BZ43" s="185"/>
      <c r="CA43" s="185"/>
      <c r="CB43" s="185"/>
      <c r="CC43" s="185"/>
      <c r="CD43" s="185"/>
      <c r="CE43" s="185"/>
      <c r="CF43" s="185"/>
    </row>
    <row r="44" spans="1:85">
      <c r="A44" s="199"/>
      <c r="B44" s="254" t="s">
        <v>448</v>
      </c>
      <c r="C44" s="261">
        <v>44.81</v>
      </c>
      <c r="D44" s="262">
        <v>13.44</v>
      </c>
      <c r="E44" s="261">
        <v>43.29</v>
      </c>
      <c r="F44" s="262">
        <v>10.36</v>
      </c>
      <c r="G44" s="261">
        <v>55.33</v>
      </c>
      <c r="H44" s="262">
        <v>19.63</v>
      </c>
      <c r="I44" s="261">
        <v>46.62</v>
      </c>
      <c r="J44" s="262">
        <v>12.55</v>
      </c>
      <c r="K44" s="261">
        <v>48.95</v>
      </c>
      <c r="L44" s="262">
        <v>12.04</v>
      </c>
      <c r="M44" s="261">
        <v>52.19</v>
      </c>
      <c r="N44" s="262">
        <v>15.06</v>
      </c>
      <c r="O44" s="261">
        <v>52.13</v>
      </c>
      <c r="P44" s="262">
        <v>14.95</v>
      </c>
      <c r="Q44" s="261">
        <v>55.01</v>
      </c>
      <c r="R44" s="262">
        <v>16.420000000000002</v>
      </c>
      <c r="S44" s="261">
        <v>53.62</v>
      </c>
      <c r="T44" s="262">
        <v>13.1</v>
      </c>
      <c r="U44" s="263">
        <v>58.5</v>
      </c>
      <c r="V44" s="264">
        <v>4.95</v>
      </c>
      <c r="W44" s="263">
        <v>51.18</v>
      </c>
      <c r="X44" s="264">
        <v>6.09</v>
      </c>
      <c r="Y44" s="263">
        <v>62.76</v>
      </c>
      <c r="Z44" s="264">
        <v>15.09</v>
      </c>
      <c r="AA44" s="263">
        <v>55.05</v>
      </c>
      <c r="AB44" s="264">
        <v>14.53</v>
      </c>
      <c r="AC44" s="263">
        <v>56.45</v>
      </c>
      <c r="AD44" s="264">
        <v>9.06</v>
      </c>
      <c r="AE44" s="263">
        <v>59.62</v>
      </c>
      <c r="AF44" s="264">
        <v>11.41</v>
      </c>
      <c r="AG44" s="263">
        <v>55.54</v>
      </c>
      <c r="AH44" s="264">
        <v>8.94</v>
      </c>
      <c r="AI44" s="263">
        <v>62.92</v>
      </c>
      <c r="AJ44" s="264">
        <v>14.89</v>
      </c>
      <c r="AK44" s="263">
        <v>54.5</v>
      </c>
      <c r="AL44" s="264">
        <v>2.12</v>
      </c>
      <c r="AM44" s="221"/>
      <c r="AN44" s="221"/>
      <c r="AO44" s="221"/>
      <c r="AP44" s="221"/>
      <c r="AQ44" s="221"/>
      <c r="AR44" s="251"/>
      <c r="AS44" s="199"/>
      <c r="AT44" s="276"/>
      <c r="AU44" s="276"/>
      <c r="AV44" s="276"/>
      <c r="AW44" s="276"/>
      <c r="AX44" s="276"/>
      <c r="AY44" s="277"/>
      <c r="AZ44" s="278"/>
      <c r="BA44" s="276"/>
      <c r="BB44" s="276"/>
      <c r="BC44" s="276"/>
      <c r="BD44" s="276"/>
      <c r="BE44" s="276"/>
      <c r="BF44" s="276"/>
      <c r="BG44" s="276"/>
      <c r="BH44" s="277"/>
      <c r="BI44" s="279"/>
      <c r="BJ44" s="185"/>
      <c r="BK44" s="185"/>
      <c r="BL44" s="185"/>
      <c r="BM44" s="185"/>
      <c r="BN44" s="185"/>
      <c r="BO44" s="185"/>
      <c r="BP44" s="185"/>
      <c r="BQ44" s="185"/>
      <c r="BR44" s="185"/>
      <c r="BS44" s="185"/>
      <c r="BT44" s="185"/>
      <c r="BU44" s="185"/>
      <c r="BV44" s="185"/>
      <c r="BW44" s="185"/>
      <c r="BX44" s="185"/>
      <c r="BY44" s="185"/>
      <c r="BZ44" s="185"/>
      <c r="CA44" s="185"/>
      <c r="CB44" s="185"/>
      <c r="CC44" s="185"/>
      <c r="CD44" s="185"/>
      <c r="CE44" s="185"/>
      <c r="CF44" s="185"/>
    </row>
    <row r="45" spans="1:85">
      <c r="A45" s="199"/>
      <c r="B45" s="254" t="s">
        <v>449</v>
      </c>
      <c r="C45" s="261">
        <v>109.75</v>
      </c>
      <c r="D45" s="262">
        <v>46.12</v>
      </c>
      <c r="E45" s="261">
        <v>105.4</v>
      </c>
      <c r="F45" s="262">
        <v>35.96</v>
      </c>
      <c r="G45" s="261">
        <v>105.81</v>
      </c>
      <c r="H45" s="262">
        <v>33.450000000000003</v>
      </c>
      <c r="I45" s="261">
        <v>123.31</v>
      </c>
      <c r="J45" s="262">
        <v>31.6</v>
      </c>
      <c r="K45" s="261">
        <v>134.88999999999999</v>
      </c>
      <c r="L45" s="262">
        <v>38.700000000000003</v>
      </c>
      <c r="M45" s="261">
        <v>132.13</v>
      </c>
      <c r="N45" s="262">
        <v>40.94</v>
      </c>
      <c r="O45" s="261">
        <v>124.11</v>
      </c>
      <c r="P45" s="262">
        <v>43.57</v>
      </c>
      <c r="Q45" s="261">
        <v>118.27</v>
      </c>
      <c r="R45" s="262">
        <v>33.450000000000003</v>
      </c>
      <c r="S45" s="261">
        <v>118.07</v>
      </c>
      <c r="T45" s="262">
        <v>38.270000000000003</v>
      </c>
      <c r="U45" s="263">
        <v>112.33</v>
      </c>
      <c r="V45" s="264">
        <v>18.34</v>
      </c>
      <c r="W45" s="263">
        <v>104</v>
      </c>
      <c r="X45" s="264">
        <v>27.35</v>
      </c>
      <c r="Y45" s="263">
        <v>95.15</v>
      </c>
      <c r="Z45" s="264">
        <v>23.22</v>
      </c>
      <c r="AA45" s="263">
        <v>125.65</v>
      </c>
      <c r="AB45" s="264">
        <v>21.95</v>
      </c>
      <c r="AC45" s="263">
        <v>126.02</v>
      </c>
      <c r="AD45" s="264">
        <v>24.17</v>
      </c>
      <c r="AE45" s="263">
        <v>129.78</v>
      </c>
      <c r="AF45" s="264">
        <v>18.52</v>
      </c>
      <c r="AG45" s="263">
        <v>120.65</v>
      </c>
      <c r="AH45" s="264">
        <v>20.73</v>
      </c>
      <c r="AI45" s="263">
        <v>121.9</v>
      </c>
      <c r="AJ45" s="264">
        <v>20.93</v>
      </c>
      <c r="AK45" s="263">
        <v>123.9</v>
      </c>
      <c r="AL45" s="264">
        <v>6.93</v>
      </c>
      <c r="AM45" s="221"/>
      <c r="AN45" s="221"/>
      <c r="AO45" s="221"/>
      <c r="AP45" s="221"/>
      <c r="AQ45" s="221"/>
      <c r="AR45" s="251"/>
      <c r="AS45" s="199"/>
      <c r="AT45" s="276"/>
      <c r="AU45" s="276"/>
      <c r="AV45" s="276"/>
      <c r="AW45" s="276"/>
      <c r="AX45" s="276"/>
      <c r="AY45" s="277"/>
      <c r="AZ45" s="278"/>
      <c r="BA45" s="276"/>
      <c r="BB45" s="276"/>
      <c r="BC45" s="276"/>
      <c r="BD45" s="276"/>
      <c r="BE45" s="276"/>
      <c r="BF45" s="276"/>
      <c r="BG45" s="276"/>
      <c r="BH45" s="277"/>
      <c r="BI45" s="279"/>
      <c r="BJ45" s="185"/>
      <c r="BK45" s="185"/>
      <c r="BL45" s="185"/>
      <c r="BM45" s="185"/>
      <c r="BN45" s="185"/>
      <c r="BO45" s="185"/>
      <c r="BP45" s="185"/>
      <c r="BQ45" s="185"/>
      <c r="BR45" s="185"/>
      <c r="BS45" s="185"/>
      <c r="BT45" s="185"/>
      <c r="BU45" s="185"/>
      <c r="BV45" s="185"/>
      <c r="BW45" s="185"/>
      <c r="BX45" s="185"/>
      <c r="BY45" s="185"/>
      <c r="BZ45" s="185"/>
      <c r="CA45" s="185"/>
      <c r="CB45" s="185"/>
      <c r="CC45" s="185"/>
      <c r="CD45" s="185"/>
      <c r="CE45" s="185"/>
      <c r="CF45" s="185"/>
    </row>
    <row r="46" spans="1:85">
      <c r="A46" s="199"/>
      <c r="B46" s="254" t="s">
        <v>415</v>
      </c>
      <c r="C46" s="261">
        <v>120.28</v>
      </c>
      <c r="D46" s="262">
        <v>91.36</v>
      </c>
      <c r="E46" s="261">
        <v>131.6</v>
      </c>
      <c r="F46" s="262">
        <v>82.48</v>
      </c>
      <c r="G46" s="261">
        <v>111.97</v>
      </c>
      <c r="H46" s="262">
        <v>62.14</v>
      </c>
      <c r="I46" s="261">
        <v>147.5</v>
      </c>
      <c r="J46" s="262">
        <v>107.22</v>
      </c>
      <c r="K46" s="261">
        <v>148.04</v>
      </c>
      <c r="L46" s="262">
        <v>104.99</v>
      </c>
      <c r="M46" s="261">
        <v>132.81</v>
      </c>
      <c r="N46" s="262">
        <v>81.94</v>
      </c>
      <c r="O46" s="261">
        <v>138.49</v>
      </c>
      <c r="P46" s="262">
        <v>91.53</v>
      </c>
      <c r="Q46" s="261">
        <v>121.53</v>
      </c>
      <c r="R46" s="262">
        <v>56.11</v>
      </c>
      <c r="S46" s="261">
        <v>110.79</v>
      </c>
      <c r="T46" s="262">
        <v>43.48</v>
      </c>
      <c r="U46" s="263">
        <v>80.67</v>
      </c>
      <c r="V46" s="264">
        <v>34.270000000000003</v>
      </c>
      <c r="W46" s="263">
        <v>109.08</v>
      </c>
      <c r="X46" s="264">
        <v>49.99</v>
      </c>
      <c r="Y46" s="263">
        <v>88.2</v>
      </c>
      <c r="Z46" s="264">
        <v>34.65</v>
      </c>
      <c r="AA46" s="263">
        <v>109.18</v>
      </c>
      <c r="AB46" s="264">
        <v>51.48</v>
      </c>
      <c r="AC46" s="263">
        <v>91.64</v>
      </c>
      <c r="AD46" s="264">
        <v>33.31</v>
      </c>
      <c r="AE46" s="263">
        <v>86.71</v>
      </c>
      <c r="AF46" s="264">
        <v>34.1</v>
      </c>
      <c r="AG46" s="263">
        <v>90.14</v>
      </c>
      <c r="AH46" s="264">
        <v>32.380000000000003</v>
      </c>
      <c r="AI46" s="263">
        <v>86.11</v>
      </c>
      <c r="AJ46" s="264">
        <v>25.86</v>
      </c>
      <c r="AK46" s="263">
        <v>55.5</v>
      </c>
      <c r="AL46" s="264">
        <v>21.92</v>
      </c>
      <c r="AM46" s="221"/>
      <c r="AN46" s="221"/>
      <c r="AO46" s="221"/>
      <c r="AP46" s="221"/>
      <c r="AQ46" s="221"/>
      <c r="AR46" s="251"/>
      <c r="AS46" s="199"/>
      <c r="AT46" s="276"/>
      <c r="AU46" s="276"/>
      <c r="AV46" s="276"/>
      <c r="AW46" s="276"/>
      <c r="AX46" s="276"/>
      <c r="AY46" s="277"/>
      <c r="AZ46" s="278"/>
      <c r="BA46" s="276"/>
      <c r="BB46" s="276"/>
      <c r="BC46" s="276"/>
      <c r="BD46" s="276"/>
      <c r="BE46" s="276"/>
      <c r="BF46" s="276"/>
      <c r="BG46" s="276"/>
      <c r="BH46" s="277"/>
      <c r="BI46" s="279"/>
      <c r="BJ46" s="185"/>
      <c r="BK46" s="185"/>
      <c r="BL46" s="185"/>
      <c r="BM46" s="185"/>
      <c r="BN46" s="185"/>
      <c r="BO46" s="185"/>
      <c r="BP46" s="185"/>
      <c r="BQ46" s="185"/>
      <c r="BR46" s="185"/>
      <c r="BS46" s="185"/>
      <c r="BT46" s="185"/>
      <c r="BU46" s="185"/>
      <c r="BV46" s="185"/>
      <c r="BW46" s="185"/>
      <c r="BX46" s="185"/>
      <c r="BY46" s="185"/>
      <c r="BZ46" s="185"/>
      <c r="CA46" s="185"/>
      <c r="CB46" s="185"/>
      <c r="CC46" s="185"/>
      <c r="CD46" s="185"/>
      <c r="CE46" s="185"/>
      <c r="CF46" s="185"/>
    </row>
    <row r="47" spans="1:85">
      <c r="A47" s="199"/>
      <c r="B47" s="254" t="s">
        <v>416</v>
      </c>
      <c r="C47" s="261">
        <v>83.2</v>
      </c>
      <c r="D47" s="262">
        <v>8.59</v>
      </c>
      <c r="E47" s="261">
        <v>88.49</v>
      </c>
      <c r="F47" s="262">
        <v>8</v>
      </c>
      <c r="G47" s="261">
        <v>84.4</v>
      </c>
      <c r="H47" s="262">
        <v>7.97</v>
      </c>
      <c r="I47" s="261">
        <v>87.75</v>
      </c>
      <c r="J47" s="262">
        <v>9.1999999999999993</v>
      </c>
      <c r="K47" s="261">
        <v>92.45</v>
      </c>
      <c r="L47" s="262">
        <v>15.39</v>
      </c>
      <c r="M47" s="261">
        <v>95.18</v>
      </c>
      <c r="N47" s="262">
        <v>18.079999999999998</v>
      </c>
      <c r="O47" s="261">
        <v>100.37</v>
      </c>
      <c r="P47" s="262">
        <v>20.63</v>
      </c>
      <c r="Q47" s="261">
        <v>102.32</v>
      </c>
      <c r="R47" s="262">
        <v>28.24</v>
      </c>
      <c r="S47" s="261">
        <v>99.95</v>
      </c>
      <c r="T47" s="262">
        <v>17.14</v>
      </c>
      <c r="U47" s="265" t="s">
        <v>806</v>
      </c>
      <c r="V47" s="266" t="s">
        <v>806</v>
      </c>
      <c r="W47" s="263">
        <v>89.64</v>
      </c>
      <c r="X47" s="264">
        <v>5.96</v>
      </c>
      <c r="Y47" s="263">
        <v>85.43</v>
      </c>
      <c r="Z47" s="264">
        <v>6.75</v>
      </c>
      <c r="AA47" s="263">
        <v>85.79</v>
      </c>
      <c r="AB47" s="264">
        <v>9.39</v>
      </c>
      <c r="AC47" s="263">
        <v>88.14</v>
      </c>
      <c r="AD47" s="264">
        <v>11.83</v>
      </c>
      <c r="AE47" s="263">
        <v>88</v>
      </c>
      <c r="AF47" s="264">
        <v>7.83</v>
      </c>
      <c r="AG47" s="263">
        <v>93.68</v>
      </c>
      <c r="AH47" s="264">
        <v>9.15</v>
      </c>
      <c r="AI47" s="263">
        <v>92.2</v>
      </c>
      <c r="AJ47" s="264">
        <v>8.2799999999999994</v>
      </c>
      <c r="AK47" s="263">
        <v>109.5</v>
      </c>
      <c r="AL47" s="264">
        <v>16.260000000000002</v>
      </c>
      <c r="AM47" s="221"/>
      <c r="AN47" s="221"/>
      <c r="AO47" s="221"/>
      <c r="AP47" s="221"/>
      <c r="AQ47" s="221"/>
      <c r="AR47" s="251"/>
      <c r="AS47" s="199"/>
      <c r="AT47" s="276"/>
      <c r="AU47" s="276"/>
      <c r="AV47" s="276"/>
      <c r="AW47" s="276"/>
      <c r="AX47" s="276"/>
      <c r="AY47" s="277"/>
      <c r="AZ47" s="278"/>
      <c r="BA47" s="276"/>
      <c r="BB47" s="276"/>
      <c r="BC47" s="276"/>
      <c r="BD47" s="276"/>
      <c r="BE47" s="276"/>
      <c r="BF47" s="276"/>
      <c r="BG47" s="276"/>
      <c r="BH47" s="277"/>
      <c r="BI47" s="279"/>
      <c r="BJ47" s="185"/>
      <c r="BK47" s="185"/>
      <c r="BL47" s="185"/>
      <c r="BM47" s="185"/>
      <c r="BN47" s="185"/>
      <c r="BO47" s="185"/>
      <c r="BP47" s="185"/>
      <c r="BQ47" s="185"/>
      <c r="BR47" s="185"/>
      <c r="BS47" s="185"/>
      <c r="BT47" s="185"/>
      <c r="BU47" s="185"/>
      <c r="BV47" s="185"/>
      <c r="BW47" s="185"/>
      <c r="BX47" s="185"/>
      <c r="BY47" s="185"/>
      <c r="BZ47" s="185"/>
      <c r="CA47" s="185"/>
      <c r="CB47" s="185"/>
      <c r="CC47" s="185"/>
      <c r="CD47" s="185"/>
      <c r="CE47" s="185"/>
      <c r="CF47" s="185"/>
    </row>
    <row r="48" spans="1:85">
      <c r="A48" s="199"/>
      <c r="B48" s="254" t="s">
        <v>436</v>
      </c>
      <c r="C48" s="267">
        <v>100.98</v>
      </c>
      <c r="D48" s="268">
        <v>7.58</v>
      </c>
      <c r="E48" s="267">
        <v>117.09</v>
      </c>
      <c r="F48" s="268">
        <v>9.1300000000000008</v>
      </c>
      <c r="G48" s="267">
        <v>121.56</v>
      </c>
      <c r="H48" s="268">
        <v>11.27</v>
      </c>
      <c r="I48" s="267">
        <v>124.76</v>
      </c>
      <c r="J48" s="268">
        <v>14.51</v>
      </c>
      <c r="K48" s="267">
        <v>126.61</v>
      </c>
      <c r="L48" s="268">
        <v>13.79</v>
      </c>
      <c r="M48" s="267">
        <v>127.25</v>
      </c>
      <c r="N48" s="268">
        <v>17.010000000000002</v>
      </c>
      <c r="O48" s="267">
        <v>128.97</v>
      </c>
      <c r="P48" s="268">
        <v>16.059999999999999</v>
      </c>
      <c r="Q48" s="267">
        <v>132.07</v>
      </c>
      <c r="R48" s="268">
        <v>17.940000000000001</v>
      </c>
      <c r="S48" s="267">
        <v>130.36000000000001</v>
      </c>
      <c r="T48" s="268">
        <v>20.59</v>
      </c>
      <c r="U48" s="269">
        <v>99.25</v>
      </c>
      <c r="V48" s="270">
        <v>6.87</v>
      </c>
      <c r="W48" s="269">
        <v>116.52</v>
      </c>
      <c r="X48" s="270">
        <v>8.91</v>
      </c>
      <c r="Y48" s="269">
        <v>120.69</v>
      </c>
      <c r="Z48" s="270">
        <v>10.66</v>
      </c>
      <c r="AA48" s="269">
        <v>121.98</v>
      </c>
      <c r="AB48" s="270">
        <v>10.27</v>
      </c>
      <c r="AC48" s="269">
        <v>121.74</v>
      </c>
      <c r="AD48" s="270">
        <v>8.8699999999999992</v>
      </c>
      <c r="AE48" s="269">
        <v>123.62</v>
      </c>
      <c r="AF48" s="270">
        <v>11.96</v>
      </c>
      <c r="AG48" s="269">
        <v>123.56</v>
      </c>
      <c r="AH48" s="270">
        <v>12.87</v>
      </c>
      <c r="AI48" s="269">
        <v>126.21</v>
      </c>
      <c r="AJ48" s="270">
        <v>10.32</v>
      </c>
      <c r="AK48" s="269">
        <v>122.91</v>
      </c>
      <c r="AL48" s="270">
        <v>6.72</v>
      </c>
      <c r="AM48" s="221"/>
      <c r="AN48" s="221"/>
      <c r="AO48" s="221"/>
      <c r="AP48" s="221"/>
      <c r="AQ48" s="221"/>
      <c r="AR48" s="251"/>
      <c r="AS48" s="199"/>
      <c r="AT48" s="276"/>
      <c r="AU48" s="276"/>
      <c r="AV48" s="276"/>
      <c r="AW48" s="276"/>
      <c r="AX48" s="276"/>
      <c r="AY48" s="277"/>
      <c r="AZ48" s="278"/>
      <c r="BA48" s="276"/>
      <c r="BB48" s="276"/>
      <c r="BC48" s="276"/>
      <c r="BD48" s="276"/>
      <c r="BE48" s="276"/>
      <c r="BF48" s="276"/>
      <c r="BG48" s="276"/>
      <c r="BH48" s="277"/>
      <c r="BI48" s="279"/>
      <c r="BJ48" s="185"/>
      <c r="BK48" s="185"/>
      <c r="BL48" s="185"/>
      <c r="BM48" s="185"/>
      <c r="BN48" s="185"/>
      <c r="BO48" s="185"/>
      <c r="BP48" s="185"/>
      <c r="BQ48" s="185"/>
      <c r="BR48" s="185"/>
      <c r="BS48" s="185"/>
      <c r="BT48" s="185"/>
      <c r="BU48" s="185"/>
      <c r="BV48" s="185"/>
      <c r="BW48" s="185"/>
      <c r="BX48" s="185"/>
      <c r="BY48" s="185"/>
      <c r="BZ48" s="185"/>
      <c r="CA48" s="185"/>
      <c r="CB48" s="185"/>
      <c r="CC48" s="185"/>
      <c r="CD48" s="185"/>
      <c r="CE48" s="185"/>
      <c r="CF48" s="185"/>
    </row>
    <row r="49" spans="1:84">
      <c r="A49" s="199"/>
      <c r="B49" s="254" t="s">
        <v>438</v>
      </c>
      <c r="C49" s="267">
        <v>59.7</v>
      </c>
      <c r="D49" s="268">
        <v>5.14</v>
      </c>
      <c r="E49" s="267">
        <v>63.89</v>
      </c>
      <c r="F49" s="268">
        <v>6.38</v>
      </c>
      <c r="G49" s="267">
        <v>69.650000000000006</v>
      </c>
      <c r="H49" s="268">
        <v>8.01</v>
      </c>
      <c r="I49" s="267">
        <v>73.400000000000006</v>
      </c>
      <c r="J49" s="268">
        <v>10.09</v>
      </c>
      <c r="K49" s="267">
        <v>76.44</v>
      </c>
      <c r="L49" s="268">
        <v>9.73</v>
      </c>
      <c r="M49" s="267">
        <v>77.260000000000005</v>
      </c>
      <c r="N49" s="268">
        <v>9.82</v>
      </c>
      <c r="O49" s="267">
        <v>75.069999999999993</v>
      </c>
      <c r="P49" s="268">
        <v>8.89</v>
      </c>
      <c r="Q49" s="267">
        <v>72.61</v>
      </c>
      <c r="R49" s="268">
        <v>8.74</v>
      </c>
      <c r="S49" s="267">
        <v>70.010000000000005</v>
      </c>
      <c r="T49" s="268">
        <v>9.24</v>
      </c>
      <c r="U49" s="269">
        <v>59.08</v>
      </c>
      <c r="V49" s="270">
        <v>4.8600000000000003</v>
      </c>
      <c r="W49" s="269">
        <v>63.89</v>
      </c>
      <c r="X49" s="270">
        <v>6.63</v>
      </c>
      <c r="Y49" s="269">
        <v>69.56</v>
      </c>
      <c r="Z49" s="270">
        <v>7.24</v>
      </c>
      <c r="AA49" s="269">
        <v>72.16</v>
      </c>
      <c r="AB49" s="270">
        <v>7.75</v>
      </c>
      <c r="AC49" s="269">
        <v>73.84</v>
      </c>
      <c r="AD49" s="270">
        <v>7.46</v>
      </c>
      <c r="AE49" s="269">
        <v>74.83</v>
      </c>
      <c r="AF49" s="270">
        <v>6.96</v>
      </c>
      <c r="AG49" s="269">
        <v>73.510000000000005</v>
      </c>
      <c r="AH49" s="270">
        <v>7.29</v>
      </c>
      <c r="AI49" s="269">
        <v>73.650000000000006</v>
      </c>
      <c r="AJ49" s="270">
        <v>7.65</v>
      </c>
      <c r="AK49" s="269">
        <v>65.58</v>
      </c>
      <c r="AL49" s="270">
        <v>1.6</v>
      </c>
      <c r="AM49" s="221"/>
      <c r="AN49" s="221"/>
      <c r="AO49" s="221"/>
      <c r="AP49" s="221"/>
      <c r="AQ49" s="221"/>
      <c r="AR49" s="251"/>
      <c r="AS49" s="199"/>
      <c r="AT49" s="276"/>
      <c r="AU49" s="276"/>
      <c r="AV49" s="276"/>
      <c r="AW49" s="276"/>
      <c r="AX49" s="276"/>
      <c r="AY49" s="277"/>
      <c r="AZ49" s="278"/>
      <c r="BA49" s="276"/>
      <c r="BB49" s="276"/>
      <c r="BC49" s="276"/>
      <c r="BD49" s="276"/>
      <c r="BE49" s="276"/>
      <c r="BF49" s="276"/>
      <c r="BG49" s="276"/>
      <c r="BH49" s="277"/>
      <c r="BI49" s="279"/>
      <c r="BJ49" s="185"/>
      <c r="BK49" s="185"/>
      <c r="BL49" s="185"/>
      <c r="BM49" s="185"/>
      <c r="BN49" s="185"/>
      <c r="BO49" s="185"/>
      <c r="BP49" s="185"/>
      <c r="BQ49" s="185"/>
      <c r="BR49" s="185"/>
      <c r="BS49" s="185"/>
      <c r="BT49" s="185"/>
      <c r="BU49" s="185"/>
      <c r="BV49" s="185"/>
      <c r="BW49" s="185"/>
      <c r="BX49" s="185"/>
      <c r="BY49" s="185"/>
      <c r="BZ49" s="185"/>
      <c r="CA49" s="185"/>
      <c r="CB49" s="185"/>
      <c r="CC49" s="185"/>
      <c r="CD49" s="185"/>
      <c r="CE49" s="185"/>
      <c r="CF49" s="185"/>
    </row>
    <row r="50" spans="1:84">
      <c r="A50" s="199"/>
      <c r="B50" s="271" t="s">
        <v>417</v>
      </c>
      <c r="C50" s="300">
        <v>0.4</v>
      </c>
      <c r="D50" s="300"/>
      <c r="E50" s="300">
        <v>0.6</v>
      </c>
      <c r="F50" s="300"/>
      <c r="G50" s="300">
        <v>3.9</v>
      </c>
      <c r="H50" s="300"/>
      <c r="I50" s="300">
        <v>5.8000000000000007</v>
      </c>
      <c r="J50" s="300"/>
      <c r="K50" s="300">
        <v>14.399999999999999</v>
      </c>
      <c r="L50" s="300"/>
      <c r="M50" s="300">
        <v>16.8</v>
      </c>
      <c r="N50" s="300"/>
      <c r="O50" s="300">
        <v>16.400000000000002</v>
      </c>
      <c r="P50" s="300"/>
      <c r="Q50" s="300">
        <v>11.4</v>
      </c>
      <c r="R50" s="300"/>
      <c r="S50" s="300">
        <v>9.8000000000000007</v>
      </c>
      <c r="T50" s="300"/>
      <c r="U50" s="301">
        <v>0</v>
      </c>
      <c r="V50" s="301"/>
      <c r="W50" s="301">
        <v>0</v>
      </c>
      <c r="X50" s="301"/>
      <c r="Y50" s="301">
        <v>0</v>
      </c>
      <c r="Z50" s="301"/>
      <c r="AA50" s="301">
        <v>0</v>
      </c>
      <c r="AB50" s="301"/>
      <c r="AC50" s="301">
        <v>0</v>
      </c>
      <c r="AD50" s="301"/>
      <c r="AE50" s="301">
        <v>0</v>
      </c>
      <c r="AF50" s="301"/>
      <c r="AG50" s="301">
        <v>0</v>
      </c>
      <c r="AH50" s="301"/>
      <c r="AI50" s="301">
        <v>0</v>
      </c>
      <c r="AJ50" s="301"/>
      <c r="AK50" s="301">
        <v>0</v>
      </c>
      <c r="AL50" s="301"/>
      <c r="AM50" s="221"/>
      <c r="AN50" s="221"/>
      <c r="AO50" s="221"/>
      <c r="AP50" s="221"/>
      <c r="AQ50" s="221"/>
      <c r="AR50" s="251"/>
      <c r="AS50" s="199"/>
      <c r="AT50" s="276"/>
      <c r="AU50" s="276"/>
      <c r="AV50" s="276"/>
      <c r="AW50" s="276"/>
      <c r="AX50" s="276"/>
      <c r="AY50" s="277"/>
      <c r="AZ50" s="278"/>
      <c r="BA50" s="276"/>
      <c r="BB50" s="276"/>
      <c r="BC50" s="276"/>
      <c r="BD50" s="276"/>
      <c r="BE50" s="276"/>
      <c r="BF50" s="276"/>
      <c r="BG50" s="276"/>
      <c r="BH50" s="277"/>
      <c r="BI50" s="279"/>
      <c r="BJ50" s="185"/>
      <c r="BK50" s="185"/>
      <c r="BL50" s="185"/>
      <c r="BM50" s="185"/>
      <c r="BN50" s="185"/>
      <c r="BO50" s="185"/>
      <c r="BP50" s="185"/>
      <c r="BQ50" s="185"/>
      <c r="BR50" s="185"/>
      <c r="BS50" s="185"/>
      <c r="BT50" s="185"/>
      <c r="BU50" s="185"/>
      <c r="BV50" s="185"/>
      <c r="BW50" s="185"/>
      <c r="BX50" s="185"/>
      <c r="BY50" s="185"/>
      <c r="BZ50" s="185"/>
      <c r="CA50" s="185"/>
      <c r="CB50" s="185"/>
      <c r="CC50" s="185"/>
      <c r="CD50" s="185"/>
      <c r="CE50" s="185"/>
      <c r="CF50" s="185"/>
    </row>
    <row r="51" spans="1:84">
      <c r="A51" s="199"/>
      <c r="B51" s="271" t="s">
        <v>418</v>
      </c>
      <c r="C51" s="300">
        <v>1.7999999999999998</v>
      </c>
      <c r="D51" s="300"/>
      <c r="E51" s="300">
        <v>4.7</v>
      </c>
      <c r="F51" s="300"/>
      <c r="G51" s="300">
        <v>7.1999999999999993</v>
      </c>
      <c r="H51" s="300"/>
      <c r="I51" s="300">
        <v>15.9</v>
      </c>
      <c r="J51" s="300"/>
      <c r="K51" s="300">
        <v>13.100000000000001</v>
      </c>
      <c r="L51" s="300"/>
      <c r="M51" s="300">
        <v>15.5</v>
      </c>
      <c r="N51" s="300"/>
      <c r="O51" s="300">
        <v>15.2</v>
      </c>
      <c r="P51" s="300"/>
      <c r="Q51" s="300">
        <v>13.100000000000001</v>
      </c>
      <c r="R51" s="300"/>
      <c r="S51" s="300">
        <v>9.8000000000000007</v>
      </c>
      <c r="T51" s="300"/>
      <c r="U51" s="301">
        <v>0</v>
      </c>
      <c r="V51" s="301"/>
      <c r="W51" s="301">
        <v>0</v>
      </c>
      <c r="X51" s="301"/>
      <c r="Y51" s="301">
        <v>0</v>
      </c>
      <c r="Z51" s="301"/>
      <c r="AA51" s="301">
        <v>0</v>
      </c>
      <c r="AB51" s="301"/>
      <c r="AC51" s="301">
        <v>0</v>
      </c>
      <c r="AD51" s="301"/>
      <c r="AE51" s="301">
        <v>0</v>
      </c>
      <c r="AF51" s="301"/>
      <c r="AG51" s="301">
        <v>0</v>
      </c>
      <c r="AH51" s="301"/>
      <c r="AI51" s="301">
        <v>0</v>
      </c>
      <c r="AJ51" s="301"/>
      <c r="AK51" s="301">
        <v>0</v>
      </c>
      <c r="AL51" s="301"/>
      <c r="AM51" s="221"/>
      <c r="AN51" s="221"/>
      <c r="AO51" s="221"/>
      <c r="AP51" s="221"/>
      <c r="AQ51" s="221"/>
      <c r="AR51" s="251"/>
      <c r="AS51" s="199"/>
      <c r="AT51" s="276"/>
      <c r="AU51" s="276"/>
      <c r="AV51" s="276"/>
      <c r="AW51" s="276"/>
      <c r="AX51" s="276"/>
      <c r="AY51" s="277"/>
      <c r="AZ51" s="278"/>
      <c r="BA51" s="276"/>
      <c r="BB51" s="276"/>
      <c r="BC51" s="276"/>
      <c r="BD51" s="276"/>
      <c r="BE51" s="276"/>
      <c r="BF51" s="276"/>
      <c r="BG51" s="276"/>
      <c r="BH51" s="277"/>
      <c r="BI51" s="279"/>
      <c r="BJ51" s="185"/>
      <c r="BK51" s="185"/>
      <c r="BL51" s="185"/>
      <c r="BM51" s="185"/>
      <c r="BN51" s="185"/>
      <c r="BO51" s="185"/>
      <c r="BP51" s="185"/>
      <c r="BQ51" s="185"/>
      <c r="BR51" s="185"/>
      <c r="BS51" s="185"/>
      <c r="BT51" s="185"/>
      <c r="BU51" s="185"/>
      <c r="BV51" s="185"/>
      <c r="BW51" s="185"/>
      <c r="BX51" s="185"/>
      <c r="BY51" s="185"/>
      <c r="BZ51" s="185"/>
      <c r="CA51" s="185"/>
      <c r="CB51" s="185"/>
      <c r="CC51" s="185"/>
      <c r="CD51" s="185"/>
      <c r="CE51" s="185"/>
      <c r="CF51" s="185"/>
    </row>
    <row r="52" spans="1:84">
      <c r="A52" s="199"/>
      <c r="B52" s="271" t="s">
        <v>419</v>
      </c>
      <c r="C52" s="300">
        <v>0</v>
      </c>
      <c r="D52" s="300"/>
      <c r="E52" s="300">
        <v>0</v>
      </c>
      <c r="F52" s="300"/>
      <c r="G52" s="300">
        <v>0</v>
      </c>
      <c r="H52" s="300"/>
      <c r="I52" s="300">
        <v>0</v>
      </c>
      <c r="J52" s="300"/>
      <c r="K52" s="300">
        <v>1.3</v>
      </c>
      <c r="L52" s="300"/>
      <c r="M52" s="300">
        <v>1.3</v>
      </c>
      <c r="N52" s="300"/>
      <c r="O52" s="300">
        <v>2.8000000000000003</v>
      </c>
      <c r="P52" s="300"/>
      <c r="Q52" s="300">
        <v>4.1000000000000005</v>
      </c>
      <c r="R52" s="300"/>
      <c r="S52" s="300">
        <v>3.9</v>
      </c>
      <c r="T52" s="300"/>
      <c r="U52" s="301">
        <v>0</v>
      </c>
      <c r="V52" s="301"/>
      <c r="W52" s="301">
        <v>0</v>
      </c>
      <c r="X52" s="301"/>
      <c r="Y52" s="301">
        <v>0</v>
      </c>
      <c r="Z52" s="301"/>
      <c r="AA52" s="301">
        <v>0</v>
      </c>
      <c r="AB52" s="301"/>
      <c r="AC52" s="301">
        <v>0</v>
      </c>
      <c r="AD52" s="301"/>
      <c r="AE52" s="301">
        <v>0</v>
      </c>
      <c r="AF52" s="301"/>
      <c r="AG52" s="301">
        <v>0</v>
      </c>
      <c r="AH52" s="301"/>
      <c r="AI52" s="301">
        <v>0</v>
      </c>
      <c r="AJ52" s="301"/>
      <c r="AK52" s="301">
        <v>0</v>
      </c>
      <c r="AL52" s="301"/>
      <c r="AM52" s="221"/>
      <c r="AN52" s="221"/>
      <c r="AO52" s="221"/>
      <c r="AP52" s="221"/>
      <c r="AQ52" s="221"/>
      <c r="AR52" s="251"/>
      <c r="AS52" s="199"/>
      <c r="AT52" s="276"/>
      <c r="AU52" s="276"/>
      <c r="AV52" s="276"/>
      <c r="AW52" s="276"/>
      <c r="AX52" s="276"/>
      <c r="AY52" s="277"/>
      <c r="AZ52" s="278"/>
      <c r="BA52" s="276"/>
      <c r="BB52" s="276"/>
      <c r="BC52" s="276"/>
      <c r="BD52" s="276"/>
      <c r="BE52" s="276"/>
      <c r="BF52" s="276"/>
      <c r="BG52" s="276"/>
      <c r="BH52" s="277"/>
      <c r="BI52" s="279"/>
      <c r="BJ52" s="185"/>
      <c r="BK52" s="185"/>
      <c r="BL52" s="185"/>
      <c r="BM52" s="185"/>
      <c r="BN52" s="185"/>
      <c r="BO52" s="185"/>
      <c r="BP52" s="185"/>
      <c r="BQ52" s="185"/>
      <c r="BR52" s="185"/>
      <c r="BS52" s="185"/>
      <c r="BT52" s="185"/>
      <c r="BU52" s="185"/>
      <c r="BV52" s="185"/>
      <c r="BW52" s="185"/>
      <c r="BX52" s="185"/>
      <c r="BY52" s="185"/>
      <c r="BZ52" s="185"/>
      <c r="CA52" s="185"/>
      <c r="CB52" s="185"/>
      <c r="CC52" s="185"/>
      <c r="CD52" s="185"/>
      <c r="CE52" s="185"/>
      <c r="CF52" s="185"/>
    </row>
    <row r="53" spans="1:84">
      <c r="A53" s="199"/>
      <c r="B53" s="271" t="s">
        <v>420</v>
      </c>
      <c r="C53" s="300">
        <v>0</v>
      </c>
      <c r="D53" s="300"/>
      <c r="E53" s="300">
        <v>6.8000000000000007</v>
      </c>
      <c r="F53" s="300"/>
      <c r="G53" s="300">
        <v>23</v>
      </c>
      <c r="H53" s="300"/>
      <c r="I53" s="300">
        <v>29.799999999999997</v>
      </c>
      <c r="J53" s="300"/>
      <c r="K53" s="300">
        <v>16.400000000000002</v>
      </c>
      <c r="L53" s="300"/>
      <c r="M53" s="300">
        <v>18.899999999999999</v>
      </c>
      <c r="N53" s="300"/>
      <c r="O53" s="300">
        <v>13.200000000000001</v>
      </c>
      <c r="P53" s="300"/>
      <c r="Q53" s="300">
        <v>8.6</v>
      </c>
      <c r="R53" s="300"/>
      <c r="S53" s="300">
        <v>7.8</v>
      </c>
      <c r="T53" s="300"/>
      <c r="U53" s="301">
        <v>0</v>
      </c>
      <c r="V53" s="301"/>
      <c r="W53" s="301">
        <v>0</v>
      </c>
      <c r="X53" s="301"/>
      <c r="Y53" s="301">
        <v>0</v>
      </c>
      <c r="Z53" s="301"/>
      <c r="AA53" s="301">
        <v>0</v>
      </c>
      <c r="AB53" s="301"/>
      <c r="AC53" s="301">
        <v>0</v>
      </c>
      <c r="AD53" s="301"/>
      <c r="AE53" s="301">
        <v>0</v>
      </c>
      <c r="AF53" s="301"/>
      <c r="AG53" s="301">
        <v>0</v>
      </c>
      <c r="AH53" s="301"/>
      <c r="AI53" s="301">
        <v>0</v>
      </c>
      <c r="AJ53" s="301"/>
      <c r="AK53" s="301">
        <v>0</v>
      </c>
      <c r="AL53" s="301"/>
      <c r="AM53" s="221"/>
      <c r="AN53" s="221"/>
      <c r="AO53" s="221"/>
      <c r="AP53" s="221"/>
      <c r="AQ53" s="221"/>
      <c r="AR53" s="251"/>
      <c r="AS53" s="199"/>
      <c r="AT53" s="276"/>
      <c r="AU53" s="276"/>
      <c r="AV53" s="276"/>
      <c r="AW53" s="276"/>
      <c r="AX53" s="276"/>
      <c r="AY53" s="277"/>
      <c r="AZ53" s="278"/>
      <c r="BA53" s="276"/>
      <c r="BB53" s="276"/>
      <c r="BC53" s="276"/>
      <c r="BD53" s="276"/>
      <c r="BE53" s="276"/>
      <c r="BF53" s="276"/>
      <c r="BG53" s="276"/>
      <c r="BH53" s="277"/>
      <c r="BI53" s="279"/>
      <c r="BJ53" s="185"/>
      <c r="BK53" s="185"/>
      <c r="BL53" s="185"/>
      <c r="BM53" s="185"/>
      <c r="BN53" s="185"/>
      <c r="BO53" s="185"/>
      <c r="BP53" s="185"/>
      <c r="BQ53" s="185"/>
      <c r="BR53" s="185"/>
      <c r="BS53" s="185"/>
      <c r="BT53" s="185"/>
      <c r="BU53" s="185"/>
      <c r="BV53" s="185"/>
      <c r="BW53" s="185"/>
      <c r="BX53" s="185"/>
      <c r="BY53" s="185"/>
      <c r="BZ53" s="185"/>
      <c r="CA53" s="185"/>
      <c r="CB53" s="185"/>
      <c r="CC53" s="185"/>
      <c r="CD53" s="185"/>
      <c r="CE53" s="185"/>
      <c r="CF53" s="185"/>
    </row>
    <row r="54" spans="1:84">
      <c r="A54" s="199"/>
      <c r="B54" s="271" t="s">
        <v>421</v>
      </c>
      <c r="C54" s="300">
        <v>3.1</v>
      </c>
      <c r="D54" s="300"/>
      <c r="E54" s="300">
        <v>9.7000000000000011</v>
      </c>
      <c r="F54" s="300"/>
      <c r="G54" s="300">
        <v>7.1999999999999993</v>
      </c>
      <c r="H54" s="300"/>
      <c r="I54" s="300">
        <v>25.5</v>
      </c>
      <c r="J54" s="300"/>
      <c r="K54" s="300">
        <v>29.2</v>
      </c>
      <c r="L54" s="300"/>
      <c r="M54" s="300">
        <v>47</v>
      </c>
      <c r="N54" s="300"/>
      <c r="O54" s="300">
        <v>60.699999999999996</v>
      </c>
      <c r="P54" s="300"/>
      <c r="Q54" s="300">
        <v>69.8</v>
      </c>
      <c r="R54" s="300"/>
      <c r="S54" s="300">
        <v>78.400000000000006</v>
      </c>
      <c r="T54" s="300"/>
      <c r="U54" s="301">
        <v>0</v>
      </c>
      <c r="V54" s="301"/>
      <c r="W54" s="301">
        <v>0</v>
      </c>
      <c r="X54" s="301"/>
      <c r="Y54" s="301">
        <v>0</v>
      </c>
      <c r="Z54" s="301"/>
      <c r="AA54" s="301">
        <v>0</v>
      </c>
      <c r="AB54" s="301"/>
      <c r="AC54" s="301">
        <v>0</v>
      </c>
      <c r="AD54" s="301"/>
      <c r="AE54" s="301">
        <v>0</v>
      </c>
      <c r="AF54" s="301"/>
      <c r="AG54" s="301">
        <v>0</v>
      </c>
      <c r="AH54" s="301"/>
      <c r="AI54" s="301">
        <v>0</v>
      </c>
      <c r="AJ54" s="301"/>
      <c r="AK54" s="301">
        <v>0</v>
      </c>
      <c r="AL54" s="301"/>
      <c r="AM54" s="221"/>
      <c r="AN54" s="221"/>
      <c r="AO54" s="221"/>
      <c r="AP54" s="221"/>
      <c r="AQ54" s="221"/>
      <c r="AR54" s="251"/>
      <c r="AS54" s="199"/>
      <c r="AT54" s="276"/>
      <c r="AU54" s="276"/>
      <c r="AV54" s="276"/>
      <c r="AW54" s="276"/>
      <c r="AX54" s="276"/>
      <c r="AY54" s="277"/>
      <c r="AZ54" s="278"/>
      <c r="BA54" s="276"/>
      <c r="BB54" s="276"/>
      <c r="BC54" s="276"/>
      <c r="BD54" s="276"/>
      <c r="BE54" s="276"/>
      <c r="BF54" s="276"/>
      <c r="BG54" s="276"/>
      <c r="BH54" s="277"/>
      <c r="BI54" s="279"/>
      <c r="BJ54" s="185"/>
      <c r="BK54" s="185"/>
      <c r="BL54" s="185"/>
      <c r="BM54" s="185"/>
      <c r="BN54" s="185"/>
      <c r="BO54" s="185"/>
      <c r="BP54" s="185"/>
      <c r="BQ54" s="185"/>
      <c r="BR54" s="185"/>
      <c r="BS54" s="185"/>
      <c r="BT54" s="185"/>
      <c r="BU54" s="185"/>
      <c r="BV54" s="185"/>
      <c r="BW54" s="185"/>
      <c r="BX54" s="185"/>
      <c r="BY54" s="185"/>
      <c r="BZ54" s="185"/>
      <c r="CA54" s="185"/>
      <c r="CB54" s="185"/>
      <c r="CC54" s="185"/>
      <c r="CD54" s="185"/>
      <c r="CE54" s="185"/>
      <c r="CF54" s="185"/>
    </row>
    <row r="55" spans="1:84">
      <c r="A55" s="199"/>
      <c r="B55" s="271" t="s">
        <v>422</v>
      </c>
      <c r="C55" s="300">
        <v>0.4</v>
      </c>
      <c r="D55" s="300"/>
      <c r="E55" s="300">
        <v>0.4</v>
      </c>
      <c r="F55" s="300"/>
      <c r="G55" s="300">
        <v>0</v>
      </c>
      <c r="H55" s="300"/>
      <c r="I55" s="300">
        <v>3.4000000000000004</v>
      </c>
      <c r="J55" s="300"/>
      <c r="K55" s="300">
        <v>6.4</v>
      </c>
      <c r="L55" s="300"/>
      <c r="M55" s="300">
        <v>11.5</v>
      </c>
      <c r="N55" s="300"/>
      <c r="O55" s="300">
        <v>16.600000000000001</v>
      </c>
      <c r="P55" s="300"/>
      <c r="Q55" s="300">
        <v>18.8</v>
      </c>
      <c r="R55" s="300"/>
      <c r="S55" s="300">
        <v>2</v>
      </c>
      <c r="T55" s="300"/>
      <c r="U55" s="301">
        <v>0</v>
      </c>
      <c r="V55" s="301"/>
      <c r="W55" s="301">
        <v>0</v>
      </c>
      <c r="X55" s="301"/>
      <c r="Y55" s="301">
        <v>0</v>
      </c>
      <c r="Z55" s="301"/>
      <c r="AA55" s="301">
        <v>0</v>
      </c>
      <c r="AB55" s="301"/>
      <c r="AC55" s="301">
        <v>0</v>
      </c>
      <c r="AD55" s="301"/>
      <c r="AE55" s="301">
        <v>0</v>
      </c>
      <c r="AF55" s="301"/>
      <c r="AG55" s="301">
        <v>0</v>
      </c>
      <c r="AH55" s="301"/>
      <c r="AI55" s="301">
        <v>0</v>
      </c>
      <c r="AJ55" s="301"/>
      <c r="AK55" s="301">
        <v>0</v>
      </c>
      <c r="AL55" s="301"/>
      <c r="AM55" s="221"/>
      <c r="AN55" s="221"/>
      <c r="AO55" s="221"/>
      <c r="AP55" s="221"/>
      <c r="AQ55" s="221"/>
      <c r="AR55" s="251"/>
      <c r="AS55" s="199"/>
      <c r="AT55" s="276"/>
      <c r="AU55" s="276"/>
      <c r="AV55" s="276"/>
      <c r="AW55" s="276"/>
      <c r="AX55" s="276"/>
      <c r="AY55" s="277"/>
      <c r="AZ55" s="278"/>
      <c r="BA55" s="276"/>
      <c r="BB55" s="276"/>
      <c r="BC55" s="276"/>
      <c r="BD55" s="276"/>
      <c r="BE55" s="276"/>
      <c r="BF55" s="276"/>
      <c r="BG55" s="276"/>
      <c r="BH55" s="277"/>
      <c r="BI55" s="279"/>
      <c r="BJ55" s="185"/>
      <c r="BK55" s="185"/>
      <c r="BL55" s="185"/>
      <c r="BM55" s="185"/>
      <c r="BN55" s="185"/>
      <c r="BO55" s="185"/>
      <c r="BP55" s="185"/>
      <c r="BQ55" s="185"/>
      <c r="BR55" s="185"/>
      <c r="BS55" s="185"/>
      <c r="BT55" s="185"/>
      <c r="BU55" s="185"/>
      <c r="BV55" s="185"/>
      <c r="BW55" s="185"/>
      <c r="BX55" s="185"/>
      <c r="BY55" s="185"/>
      <c r="BZ55" s="185"/>
      <c r="CA55" s="185"/>
      <c r="CB55" s="185"/>
      <c r="CC55" s="185"/>
      <c r="CD55" s="185"/>
      <c r="CE55" s="185"/>
      <c r="CF55" s="185"/>
    </row>
    <row r="56" spans="1:84">
      <c r="A56" s="199"/>
      <c r="B56" s="271" t="s">
        <v>423</v>
      </c>
      <c r="C56" s="300">
        <v>0</v>
      </c>
      <c r="D56" s="300"/>
      <c r="E56" s="300">
        <v>0.1</v>
      </c>
      <c r="F56" s="300"/>
      <c r="G56" s="300">
        <v>0.3</v>
      </c>
      <c r="H56" s="300"/>
      <c r="I56" s="300">
        <v>4.8</v>
      </c>
      <c r="J56" s="300"/>
      <c r="K56" s="300">
        <v>5.7</v>
      </c>
      <c r="L56" s="300"/>
      <c r="M56" s="300">
        <v>15.7</v>
      </c>
      <c r="N56" s="300"/>
      <c r="O56" s="300">
        <v>27.700000000000003</v>
      </c>
      <c r="P56" s="300"/>
      <c r="Q56" s="300">
        <v>31.4</v>
      </c>
      <c r="R56" s="300"/>
      <c r="S56" s="300">
        <v>37.299999999999997</v>
      </c>
      <c r="T56" s="300"/>
      <c r="U56" s="301">
        <v>0</v>
      </c>
      <c r="V56" s="301"/>
      <c r="W56" s="301">
        <v>0</v>
      </c>
      <c r="X56" s="301"/>
      <c r="Y56" s="301">
        <v>0</v>
      </c>
      <c r="Z56" s="301"/>
      <c r="AA56" s="301">
        <v>0</v>
      </c>
      <c r="AB56" s="301"/>
      <c r="AC56" s="301">
        <v>0</v>
      </c>
      <c r="AD56" s="301"/>
      <c r="AE56" s="301">
        <v>0</v>
      </c>
      <c r="AF56" s="301"/>
      <c r="AG56" s="301">
        <v>0</v>
      </c>
      <c r="AH56" s="301"/>
      <c r="AI56" s="301">
        <v>0</v>
      </c>
      <c r="AJ56" s="301"/>
      <c r="AK56" s="301">
        <v>0</v>
      </c>
      <c r="AL56" s="301"/>
      <c r="AM56" s="221"/>
      <c r="AN56" s="221"/>
      <c r="AO56" s="221"/>
      <c r="AP56" s="221"/>
      <c r="AQ56" s="221"/>
      <c r="AR56" s="251"/>
      <c r="AS56" s="199"/>
      <c r="AT56" s="276"/>
      <c r="AU56" s="276"/>
      <c r="AV56" s="276"/>
      <c r="AW56" s="276"/>
      <c r="AX56" s="276"/>
      <c r="AY56" s="277"/>
      <c r="AZ56" s="278"/>
      <c r="BA56" s="276"/>
      <c r="BB56" s="276"/>
      <c r="BC56" s="276"/>
      <c r="BD56" s="276"/>
      <c r="BE56" s="276"/>
      <c r="BF56" s="276"/>
      <c r="BG56" s="276"/>
      <c r="BH56" s="277"/>
      <c r="BI56" s="279"/>
      <c r="BJ56" s="185"/>
      <c r="BK56" s="185"/>
      <c r="BL56" s="185"/>
      <c r="BM56" s="185"/>
      <c r="BN56" s="185"/>
      <c r="BO56" s="185"/>
      <c r="BP56" s="185"/>
      <c r="BQ56" s="185"/>
      <c r="BR56" s="185"/>
      <c r="BS56" s="185"/>
      <c r="BT56" s="185"/>
      <c r="BU56" s="185"/>
      <c r="BV56" s="185"/>
      <c r="BW56" s="185"/>
      <c r="BX56" s="185"/>
      <c r="BY56" s="185"/>
      <c r="BZ56" s="185"/>
      <c r="CA56" s="185"/>
      <c r="CB56" s="185"/>
      <c r="CC56" s="185"/>
      <c r="CD56" s="185"/>
      <c r="CE56" s="185"/>
      <c r="CF56" s="185"/>
    </row>
    <row r="57" spans="1:84">
      <c r="A57" s="199"/>
      <c r="B57" s="271" t="s">
        <v>424</v>
      </c>
      <c r="C57" s="300">
        <v>23.799999999999997</v>
      </c>
      <c r="D57" s="300"/>
      <c r="E57" s="300">
        <v>16.2</v>
      </c>
      <c r="F57" s="300"/>
      <c r="G57" s="300">
        <v>5.8000000000000007</v>
      </c>
      <c r="H57" s="300"/>
      <c r="I57" s="300">
        <v>21.2</v>
      </c>
      <c r="J57" s="300"/>
      <c r="K57" s="300">
        <v>27.200000000000003</v>
      </c>
      <c r="L57" s="300"/>
      <c r="M57" s="300">
        <v>30.2</v>
      </c>
      <c r="N57" s="300"/>
      <c r="O57" s="300">
        <v>29.099999999999998</v>
      </c>
      <c r="P57" s="300"/>
      <c r="Q57" s="300">
        <v>23.3</v>
      </c>
      <c r="R57" s="300"/>
      <c r="S57" s="300">
        <v>13.700000000000001</v>
      </c>
      <c r="T57" s="300"/>
      <c r="U57" s="301">
        <v>0</v>
      </c>
      <c r="V57" s="301"/>
      <c r="W57" s="301">
        <v>0</v>
      </c>
      <c r="X57" s="301"/>
      <c r="Y57" s="301">
        <v>0</v>
      </c>
      <c r="Z57" s="301"/>
      <c r="AA57" s="301">
        <v>0</v>
      </c>
      <c r="AB57" s="301"/>
      <c r="AC57" s="301">
        <v>0</v>
      </c>
      <c r="AD57" s="301"/>
      <c r="AE57" s="301">
        <v>0</v>
      </c>
      <c r="AF57" s="301"/>
      <c r="AG57" s="301">
        <v>0</v>
      </c>
      <c r="AH57" s="301"/>
      <c r="AI57" s="301">
        <v>0</v>
      </c>
      <c r="AJ57" s="301"/>
      <c r="AK57" s="301">
        <v>0</v>
      </c>
      <c r="AL57" s="301"/>
      <c r="AM57" s="221"/>
      <c r="AN57" s="221"/>
      <c r="AO57" s="221"/>
      <c r="AP57" s="221"/>
      <c r="AQ57" s="221"/>
      <c r="AR57" s="251"/>
      <c r="AS57" s="199"/>
      <c r="AT57" s="276"/>
      <c r="AU57" s="276"/>
      <c r="AV57" s="276"/>
      <c r="AW57" s="276"/>
      <c r="AX57" s="276"/>
      <c r="AY57" s="277"/>
      <c r="AZ57" s="278"/>
      <c r="BA57" s="276"/>
      <c r="BB57" s="276"/>
      <c r="BC57" s="276"/>
      <c r="BD57" s="276"/>
      <c r="BE57" s="276"/>
      <c r="BF57" s="276"/>
      <c r="BG57" s="276"/>
      <c r="BH57" s="277"/>
      <c r="BI57" s="279"/>
      <c r="BJ57" s="185"/>
      <c r="BK57" s="185"/>
      <c r="BL57" s="185"/>
      <c r="BM57" s="185"/>
      <c r="BN57" s="185"/>
      <c r="BO57" s="185"/>
      <c r="BP57" s="185"/>
      <c r="BQ57" s="185"/>
      <c r="BR57" s="185"/>
      <c r="BS57" s="185"/>
      <c r="BT57" s="185"/>
      <c r="BU57" s="185"/>
      <c r="BV57" s="185"/>
      <c r="BW57" s="185"/>
      <c r="BX57" s="185"/>
      <c r="BY57" s="185"/>
      <c r="BZ57" s="185"/>
      <c r="CA57" s="185"/>
      <c r="CB57" s="185"/>
      <c r="CC57" s="185"/>
      <c r="CD57" s="185"/>
      <c r="CE57" s="185"/>
      <c r="CF57" s="185"/>
    </row>
    <row r="58" spans="1:84">
      <c r="A58" s="199"/>
      <c r="B58" s="271" t="s">
        <v>425</v>
      </c>
      <c r="C58" s="300">
        <v>2.6</v>
      </c>
      <c r="D58" s="300"/>
      <c r="E58" s="300">
        <v>5.8000000000000007</v>
      </c>
      <c r="F58" s="300"/>
      <c r="G58" s="300">
        <v>7.9</v>
      </c>
      <c r="H58" s="300"/>
      <c r="I58" s="300">
        <v>17.299999999999997</v>
      </c>
      <c r="J58" s="300"/>
      <c r="K58" s="300">
        <v>24.2</v>
      </c>
      <c r="L58" s="300"/>
      <c r="M58" s="300">
        <v>28.000000000000004</v>
      </c>
      <c r="N58" s="300"/>
      <c r="O58" s="300">
        <v>25.4</v>
      </c>
      <c r="P58" s="300"/>
      <c r="Q58" s="300">
        <v>22.5</v>
      </c>
      <c r="R58" s="300"/>
      <c r="S58" s="300">
        <v>24.3</v>
      </c>
      <c r="T58" s="300"/>
      <c r="U58" s="301">
        <v>2.2999999999999998</v>
      </c>
      <c r="V58" s="301"/>
      <c r="W58" s="301">
        <v>5.3</v>
      </c>
      <c r="X58" s="301"/>
      <c r="Y58" s="301">
        <v>7.0000000000000009</v>
      </c>
      <c r="Z58" s="301"/>
      <c r="AA58" s="301">
        <v>16.400000000000002</v>
      </c>
      <c r="AB58" s="301"/>
      <c r="AC58" s="301">
        <v>23.200000000000003</v>
      </c>
      <c r="AD58" s="301"/>
      <c r="AE58" s="301">
        <v>29.599999999999998</v>
      </c>
      <c r="AF58" s="301"/>
      <c r="AG58" s="301">
        <v>18.5</v>
      </c>
      <c r="AH58" s="301"/>
      <c r="AI58" s="301">
        <v>6.3</v>
      </c>
      <c r="AJ58" s="301"/>
      <c r="AK58" s="301">
        <v>25</v>
      </c>
      <c r="AL58" s="301"/>
      <c r="AM58" s="221"/>
      <c r="AN58" s="221"/>
      <c r="AO58" s="221"/>
      <c r="AP58" s="221"/>
      <c r="AQ58" s="221"/>
      <c r="AR58" s="251"/>
      <c r="AS58" s="199"/>
      <c r="AT58" s="276"/>
      <c r="AU58" s="276"/>
      <c r="AV58" s="276"/>
      <c r="AW58" s="276"/>
      <c r="AX58" s="276"/>
      <c r="AY58" s="277"/>
      <c r="AZ58" s="278"/>
      <c r="BA58" s="276"/>
      <c r="BB58" s="276"/>
      <c r="BC58" s="276"/>
      <c r="BD58" s="276"/>
      <c r="BE58" s="276"/>
      <c r="BF58" s="276"/>
      <c r="BG58" s="276"/>
      <c r="BH58" s="277"/>
      <c r="BI58" s="279"/>
      <c r="BJ58" s="185"/>
      <c r="BK58" s="185"/>
      <c r="BL58" s="185"/>
      <c r="BM58" s="185"/>
      <c r="BN58" s="185"/>
      <c r="BO58" s="185"/>
      <c r="BP58" s="185"/>
      <c r="BQ58" s="185"/>
      <c r="BR58" s="185"/>
      <c r="BS58" s="185"/>
      <c r="BT58" s="185"/>
      <c r="BU58" s="185"/>
      <c r="BV58" s="185"/>
      <c r="BW58" s="185"/>
      <c r="BX58" s="185"/>
      <c r="BY58" s="185"/>
      <c r="BZ58" s="185"/>
      <c r="CA58" s="185"/>
      <c r="CB58" s="185"/>
      <c r="CC58" s="185"/>
      <c r="CD58" s="185"/>
      <c r="CE58" s="185"/>
      <c r="CF58" s="185"/>
    </row>
    <row r="59" spans="1:84">
      <c r="A59" s="199"/>
      <c r="B59" s="271" t="s">
        <v>426</v>
      </c>
      <c r="C59" s="300">
        <v>0.1</v>
      </c>
      <c r="D59" s="300"/>
      <c r="E59" s="300">
        <v>1</v>
      </c>
      <c r="F59" s="300"/>
      <c r="G59" s="300">
        <v>3.9</v>
      </c>
      <c r="H59" s="300"/>
      <c r="I59" s="300">
        <v>14.899999999999999</v>
      </c>
      <c r="J59" s="300"/>
      <c r="K59" s="300">
        <v>24.2</v>
      </c>
      <c r="L59" s="300"/>
      <c r="M59" s="300">
        <v>44.9</v>
      </c>
      <c r="N59" s="300"/>
      <c r="O59" s="300">
        <v>61.7</v>
      </c>
      <c r="P59" s="300"/>
      <c r="Q59" s="300">
        <v>60.4</v>
      </c>
      <c r="R59" s="300"/>
      <c r="S59" s="300">
        <v>68.600000000000009</v>
      </c>
      <c r="T59" s="300"/>
      <c r="U59" s="301">
        <v>0</v>
      </c>
      <c r="V59" s="301"/>
      <c r="W59" s="301">
        <v>0</v>
      </c>
      <c r="X59" s="301"/>
      <c r="Y59" s="301">
        <v>0</v>
      </c>
      <c r="Z59" s="301"/>
      <c r="AA59" s="301">
        <v>0</v>
      </c>
      <c r="AB59" s="301"/>
      <c r="AC59" s="301">
        <v>0</v>
      </c>
      <c r="AD59" s="301"/>
      <c r="AE59" s="301">
        <v>0</v>
      </c>
      <c r="AF59" s="301"/>
      <c r="AG59" s="301">
        <v>0</v>
      </c>
      <c r="AH59" s="301"/>
      <c r="AI59" s="301">
        <v>0</v>
      </c>
      <c r="AJ59" s="301"/>
      <c r="AK59" s="301">
        <v>0</v>
      </c>
      <c r="AL59" s="301"/>
      <c r="AM59" s="221"/>
      <c r="AN59" s="221"/>
      <c r="AO59" s="221"/>
      <c r="AP59" s="221"/>
      <c r="AQ59" s="221"/>
      <c r="AR59" s="251"/>
      <c r="AS59" s="199"/>
      <c r="AT59" s="276"/>
      <c r="AU59" s="276"/>
      <c r="AV59" s="276"/>
      <c r="AW59" s="276"/>
      <c r="AX59" s="276"/>
      <c r="AY59" s="277"/>
      <c r="AZ59" s="278"/>
      <c r="BA59" s="276"/>
      <c r="BB59" s="276"/>
      <c r="BC59" s="276"/>
      <c r="BD59" s="276"/>
      <c r="BE59" s="276"/>
      <c r="BF59" s="276"/>
      <c r="BG59" s="276"/>
      <c r="BH59" s="277"/>
      <c r="BI59" s="279"/>
      <c r="BJ59" s="185"/>
      <c r="BK59" s="185"/>
      <c r="BL59" s="185"/>
      <c r="BM59" s="185"/>
      <c r="BN59" s="185"/>
      <c r="BO59" s="185"/>
      <c r="BP59" s="185"/>
      <c r="BQ59" s="185"/>
      <c r="BR59" s="185"/>
      <c r="BS59" s="185"/>
      <c r="BT59" s="185"/>
      <c r="BU59" s="185"/>
      <c r="BV59" s="185"/>
      <c r="BW59" s="185"/>
      <c r="BX59" s="185"/>
      <c r="BY59" s="185"/>
      <c r="BZ59" s="185"/>
      <c r="CA59" s="185"/>
      <c r="CB59" s="185"/>
      <c r="CC59" s="185"/>
      <c r="CD59" s="185"/>
      <c r="CE59" s="185"/>
      <c r="CF59" s="185"/>
    </row>
    <row r="60" spans="1:84">
      <c r="A60" s="199"/>
      <c r="B60" s="271" t="s">
        <v>427</v>
      </c>
      <c r="C60" s="300">
        <v>0</v>
      </c>
      <c r="D60" s="300"/>
      <c r="E60" s="300">
        <v>0.3</v>
      </c>
      <c r="F60" s="300"/>
      <c r="G60" s="300">
        <v>1.7000000000000002</v>
      </c>
      <c r="H60" s="300"/>
      <c r="I60" s="300">
        <v>3.4000000000000004</v>
      </c>
      <c r="J60" s="300"/>
      <c r="K60" s="300">
        <v>15.1</v>
      </c>
      <c r="L60" s="300"/>
      <c r="M60" s="300">
        <v>30.9</v>
      </c>
      <c r="N60" s="300"/>
      <c r="O60" s="300">
        <v>41.8</v>
      </c>
      <c r="P60" s="300"/>
      <c r="Q60" s="300">
        <v>35.099999999999994</v>
      </c>
      <c r="R60" s="300"/>
      <c r="S60" s="300">
        <v>29.4</v>
      </c>
      <c r="T60" s="300"/>
      <c r="U60" s="301">
        <v>0</v>
      </c>
      <c r="V60" s="301"/>
      <c r="W60" s="301">
        <v>0</v>
      </c>
      <c r="X60" s="301"/>
      <c r="Y60" s="301">
        <v>0</v>
      </c>
      <c r="Z60" s="301"/>
      <c r="AA60" s="301">
        <v>0</v>
      </c>
      <c r="AB60" s="301"/>
      <c r="AC60" s="301">
        <v>0</v>
      </c>
      <c r="AD60" s="301"/>
      <c r="AE60" s="301">
        <v>0</v>
      </c>
      <c r="AF60" s="301"/>
      <c r="AG60" s="301">
        <v>0</v>
      </c>
      <c r="AH60" s="301"/>
      <c r="AI60" s="301">
        <v>0</v>
      </c>
      <c r="AJ60" s="301"/>
      <c r="AK60" s="301">
        <v>0</v>
      </c>
      <c r="AL60" s="301"/>
      <c r="AM60" s="221"/>
      <c r="AN60" s="221"/>
      <c r="AO60" s="221"/>
      <c r="AP60" s="221"/>
      <c r="AQ60" s="221"/>
      <c r="AR60" s="251"/>
      <c r="AS60" s="199"/>
      <c r="AT60" s="276"/>
      <c r="AU60" s="276"/>
      <c r="AV60" s="276"/>
      <c r="AW60" s="276"/>
      <c r="AX60" s="276"/>
      <c r="AY60" s="277"/>
      <c r="AZ60" s="278"/>
      <c r="BA60" s="276"/>
      <c r="BB60" s="276"/>
      <c r="BC60" s="276"/>
      <c r="BD60" s="276"/>
      <c r="BE60" s="276"/>
      <c r="BF60" s="276"/>
      <c r="BG60" s="276"/>
      <c r="BH60" s="277"/>
      <c r="BI60" s="279"/>
      <c r="BJ60" s="185"/>
      <c r="BK60" s="185"/>
      <c r="BL60" s="185"/>
      <c r="BM60" s="185"/>
      <c r="BN60" s="185"/>
      <c r="BO60" s="185"/>
      <c r="BP60" s="185"/>
      <c r="BQ60" s="185"/>
      <c r="BR60" s="185"/>
      <c r="BS60" s="185"/>
      <c r="BT60" s="185"/>
      <c r="BU60" s="185"/>
      <c r="BV60" s="185"/>
      <c r="BW60" s="185"/>
      <c r="BX60" s="185"/>
      <c r="BY60" s="185"/>
      <c r="BZ60" s="185"/>
      <c r="CA60" s="185"/>
      <c r="CB60" s="185"/>
      <c r="CC60" s="185"/>
      <c r="CD60" s="185"/>
      <c r="CE60" s="185"/>
      <c r="CF60" s="185"/>
    </row>
    <row r="61" spans="1:84">
      <c r="A61" s="199"/>
      <c r="B61" s="271" t="s">
        <v>428</v>
      </c>
      <c r="C61" s="300">
        <v>0.1</v>
      </c>
      <c r="D61" s="300"/>
      <c r="E61" s="300">
        <v>0.8</v>
      </c>
      <c r="F61" s="300"/>
      <c r="G61" s="300">
        <v>0.8</v>
      </c>
      <c r="H61" s="300"/>
      <c r="I61" s="300">
        <v>2.4</v>
      </c>
      <c r="J61" s="300"/>
      <c r="K61" s="300">
        <v>4</v>
      </c>
      <c r="L61" s="300"/>
      <c r="M61" s="300">
        <v>9.1</v>
      </c>
      <c r="N61" s="300"/>
      <c r="O61" s="300">
        <v>10.199999999999999</v>
      </c>
      <c r="P61" s="300"/>
      <c r="Q61" s="300">
        <v>13.100000000000001</v>
      </c>
      <c r="R61" s="300"/>
      <c r="S61" s="300">
        <v>2</v>
      </c>
      <c r="T61" s="300"/>
      <c r="U61" s="301">
        <v>0</v>
      </c>
      <c r="V61" s="301"/>
      <c r="W61" s="301">
        <v>0</v>
      </c>
      <c r="X61" s="301"/>
      <c r="Y61" s="301">
        <v>0</v>
      </c>
      <c r="Z61" s="301"/>
      <c r="AA61" s="301">
        <v>0</v>
      </c>
      <c r="AB61" s="301"/>
      <c r="AC61" s="301">
        <v>0</v>
      </c>
      <c r="AD61" s="301"/>
      <c r="AE61" s="301">
        <v>0</v>
      </c>
      <c r="AF61" s="301"/>
      <c r="AG61" s="301">
        <v>0</v>
      </c>
      <c r="AH61" s="301"/>
      <c r="AI61" s="301">
        <v>0</v>
      </c>
      <c r="AJ61" s="301"/>
      <c r="AK61" s="301">
        <v>0</v>
      </c>
      <c r="AL61" s="301"/>
      <c r="AM61" s="221"/>
      <c r="AN61" s="221"/>
      <c r="AO61" s="221"/>
      <c r="AP61" s="221"/>
      <c r="AQ61" s="221"/>
      <c r="AR61" s="251"/>
      <c r="AS61" s="199"/>
      <c r="AT61" s="276"/>
      <c r="AU61" s="276"/>
      <c r="AV61" s="276"/>
      <c r="AW61" s="276"/>
      <c r="AX61" s="276"/>
      <c r="AY61" s="277"/>
      <c r="AZ61" s="278"/>
      <c r="BA61" s="276"/>
      <c r="BB61" s="276"/>
      <c r="BC61" s="276"/>
      <c r="BD61" s="276"/>
      <c r="BE61" s="276"/>
      <c r="BF61" s="276"/>
      <c r="BG61" s="276"/>
      <c r="BH61" s="277"/>
      <c r="BI61" s="279"/>
      <c r="BJ61" s="185"/>
      <c r="BK61" s="185"/>
      <c r="BL61" s="185"/>
      <c r="BM61" s="185"/>
      <c r="BN61" s="185"/>
      <c r="BO61" s="185"/>
      <c r="BP61" s="185"/>
      <c r="BQ61" s="185"/>
      <c r="BR61" s="185"/>
      <c r="BS61" s="185"/>
      <c r="BT61" s="185"/>
      <c r="BU61" s="185"/>
      <c r="BV61" s="185"/>
      <c r="BW61" s="185"/>
      <c r="BX61" s="185"/>
      <c r="BY61" s="185"/>
      <c r="BZ61" s="185"/>
      <c r="CA61" s="185"/>
      <c r="CB61" s="185"/>
      <c r="CC61" s="185"/>
      <c r="CD61" s="185"/>
      <c r="CE61" s="185"/>
      <c r="CF61" s="185"/>
    </row>
    <row r="62" spans="1:84">
      <c r="A62" s="199"/>
      <c r="B62" s="272" t="s">
        <v>429</v>
      </c>
      <c r="C62" s="304">
        <v>0</v>
      </c>
      <c r="D62" s="304"/>
      <c r="E62" s="304">
        <v>0</v>
      </c>
      <c r="F62" s="304"/>
      <c r="G62" s="304">
        <v>0</v>
      </c>
      <c r="H62" s="304"/>
      <c r="I62" s="304">
        <v>8.2000000000000011</v>
      </c>
      <c r="J62" s="304"/>
      <c r="K62" s="304">
        <v>27.900000000000002</v>
      </c>
      <c r="L62" s="304"/>
      <c r="M62" s="304">
        <v>48.699999999999996</v>
      </c>
      <c r="N62" s="304"/>
      <c r="O62" s="304">
        <v>60.699999999999996</v>
      </c>
      <c r="P62" s="304"/>
      <c r="Q62" s="304">
        <v>71.399999999999991</v>
      </c>
      <c r="R62" s="304"/>
      <c r="S62" s="304">
        <v>68.600000000000009</v>
      </c>
      <c r="T62" s="304"/>
      <c r="U62" s="303">
        <v>0</v>
      </c>
      <c r="V62" s="303"/>
      <c r="W62" s="303">
        <v>0</v>
      </c>
      <c r="X62" s="303"/>
      <c r="Y62" s="303">
        <v>0</v>
      </c>
      <c r="Z62" s="303"/>
      <c r="AA62" s="303">
        <v>5.6000000000000005</v>
      </c>
      <c r="AB62" s="303"/>
      <c r="AC62" s="303">
        <v>16.3</v>
      </c>
      <c r="AD62" s="303"/>
      <c r="AE62" s="303">
        <v>46.5</v>
      </c>
      <c r="AF62" s="303"/>
      <c r="AG62" s="303">
        <v>58.199999999999996</v>
      </c>
      <c r="AH62" s="303"/>
      <c r="AI62" s="303">
        <v>94.399999999999991</v>
      </c>
      <c r="AJ62" s="303"/>
      <c r="AK62" s="303">
        <v>100</v>
      </c>
      <c r="AL62" s="303"/>
      <c r="AM62" s="221"/>
      <c r="AN62" s="221"/>
      <c r="AO62" s="221"/>
      <c r="AP62" s="221"/>
      <c r="AQ62" s="221"/>
      <c r="AR62" s="251"/>
      <c r="AS62" s="199"/>
      <c r="AT62" s="276"/>
      <c r="AU62" s="276"/>
      <c r="AV62" s="276"/>
      <c r="AW62" s="276"/>
      <c r="AX62" s="276"/>
      <c r="AY62" s="277"/>
      <c r="AZ62" s="278"/>
      <c r="BA62" s="276"/>
      <c r="BB62" s="276"/>
      <c r="BC62" s="276"/>
      <c r="BD62" s="276"/>
      <c r="BE62" s="276"/>
      <c r="BF62" s="276"/>
      <c r="BG62" s="276"/>
      <c r="BH62" s="277"/>
      <c r="BI62" s="279"/>
      <c r="BJ62" s="185"/>
      <c r="BK62" s="185"/>
      <c r="BL62" s="185"/>
      <c r="BM62" s="185"/>
      <c r="BN62" s="185"/>
      <c r="BO62" s="185"/>
      <c r="BP62" s="185"/>
      <c r="BQ62" s="185"/>
      <c r="BR62" s="185"/>
      <c r="BS62" s="185"/>
      <c r="BT62" s="185"/>
      <c r="BU62" s="185"/>
      <c r="BV62" s="185"/>
      <c r="BW62" s="185"/>
      <c r="BX62" s="185"/>
      <c r="BY62" s="185"/>
      <c r="BZ62" s="185"/>
      <c r="CA62" s="185"/>
      <c r="CB62" s="185"/>
      <c r="CC62" s="185"/>
      <c r="CD62" s="185"/>
      <c r="CE62" s="185"/>
      <c r="CF62" s="185"/>
    </row>
    <row r="63" spans="1:84" ht="15" customHeight="1">
      <c r="A63" s="199"/>
      <c r="B63" s="302" t="s">
        <v>450</v>
      </c>
      <c r="C63" s="302"/>
      <c r="D63" s="302"/>
      <c r="E63" s="302"/>
      <c r="F63" s="302"/>
      <c r="G63" s="302"/>
      <c r="H63" s="302"/>
      <c r="I63" s="302"/>
      <c r="J63" s="302"/>
      <c r="K63" s="302"/>
      <c r="L63" s="302"/>
      <c r="M63" s="302"/>
      <c r="N63" s="302"/>
      <c r="O63" s="302"/>
      <c r="P63" s="302"/>
      <c r="Q63" s="302"/>
      <c r="R63" s="302"/>
      <c r="S63" s="302"/>
      <c r="T63" s="302"/>
      <c r="U63" s="302"/>
      <c r="V63" s="302"/>
      <c r="W63" s="302"/>
      <c r="X63" s="302"/>
      <c r="Y63" s="302"/>
      <c r="Z63" s="302"/>
      <c r="AA63" s="302"/>
      <c r="AB63" s="302"/>
      <c r="AC63" s="302"/>
      <c r="AD63" s="302"/>
      <c r="AE63" s="302"/>
      <c r="AF63" s="302"/>
      <c r="AG63" s="302"/>
      <c r="AH63" s="302"/>
      <c r="AI63" s="302"/>
      <c r="AJ63" s="302"/>
      <c r="AK63" s="302"/>
      <c r="AL63" s="302"/>
      <c r="AM63" s="287"/>
      <c r="AN63" s="287"/>
      <c r="AO63" s="287"/>
      <c r="AP63" s="287"/>
      <c r="AQ63" s="287"/>
      <c r="AR63" s="287"/>
      <c r="AS63" s="199"/>
      <c r="AT63" s="276"/>
      <c r="AU63" s="276"/>
      <c r="AV63" s="276"/>
      <c r="AW63" s="276"/>
      <c r="AX63" s="276"/>
      <c r="AY63" s="277"/>
      <c r="AZ63" s="278"/>
      <c r="BA63" s="276"/>
      <c r="BB63" s="276"/>
      <c r="BC63" s="276"/>
      <c r="BD63" s="276"/>
      <c r="BE63" s="276"/>
      <c r="BF63" s="276"/>
      <c r="BG63" s="276"/>
      <c r="BH63" s="277"/>
      <c r="BI63" s="279"/>
      <c r="BJ63" s="185"/>
      <c r="BK63" s="185"/>
      <c r="BL63" s="185"/>
      <c r="BM63" s="185"/>
      <c r="BN63" s="185"/>
      <c r="BO63" s="185"/>
      <c r="BP63" s="185"/>
      <c r="BQ63" s="185"/>
      <c r="BR63" s="185"/>
      <c r="BS63" s="185"/>
      <c r="BT63" s="185"/>
      <c r="BU63" s="185"/>
      <c r="BV63" s="185"/>
      <c r="BW63" s="185"/>
      <c r="BX63" s="185"/>
      <c r="BY63" s="185"/>
      <c r="BZ63" s="185"/>
      <c r="CA63" s="185"/>
      <c r="CB63" s="185"/>
      <c r="CC63" s="185"/>
      <c r="CD63" s="185"/>
      <c r="CE63" s="185"/>
      <c r="CF63" s="185"/>
    </row>
    <row r="64" spans="1:84">
      <c r="A64" s="183"/>
      <c r="B64" s="211"/>
      <c r="C64" s="185"/>
      <c r="D64" s="185"/>
      <c r="E64" s="185"/>
      <c r="F64" s="185"/>
      <c r="G64" s="185"/>
      <c r="H64" s="185"/>
      <c r="I64" s="185"/>
      <c r="J64" s="185"/>
      <c r="K64" s="185"/>
      <c r="L64" s="185"/>
      <c r="M64" s="185"/>
      <c r="N64" s="185"/>
      <c r="O64" s="185"/>
      <c r="P64" s="185"/>
      <c r="Q64" s="185"/>
      <c r="R64" s="185"/>
      <c r="S64" s="185"/>
      <c r="T64" s="185"/>
      <c r="U64" s="185"/>
      <c r="V64" s="185"/>
      <c r="W64" s="185"/>
      <c r="X64" s="183"/>
      <c r="Y64" s="183"/>
      <c r="Z64" s="183"/>
      <c r="AA64" s="183"/>
      <c r="AB64" s="183"/>
      <c r="AC64" s="183"/>
      <c r="AD64" s="183"/>
      <c r="AE64" s="183"/>
      <c r="AF64" s="183"/>
      <c r="AG64" s="183"/>
      <c r="AH64" s="183"/>
      <c r="AI64" s="183"/>
      <c r="AJ64" s="183"/>
      <c r="AK64" s="183"/>
      <c r="AL64" s="183"/>
      <c r="AM64" s="183"/>
      <c r="AN64" s="183"/>
      <c r="AO64" s="183"/>
      <c r="AP64" s="183"/>
      <c r="AQ64" s="183"/>
      <c r="AR64" s="183"/>
      <c r="AS64" s="183"/>
      <c r="AT64" s="185"/>
      <c r="AU64" s="185"/>
      <c r="AV64" s="185"/>
    </row>
    <row r="65" spans="1:48">
      <c r="A65" s="183"/>
      <c r="B65" s="211"/>
      <c r="C65" s="185"/>
      <c r="D65" s="185"/>
      <c r="E65" s="185"/>
      <c r="F65" s="185"/>
      <c r="G65" s="185"/>
      <c r="H65" s="185"/>
      <c r="I65" s="185"/>
      <c r="J65" s="185"/>
      <c r="K65" s="185"/>
      <c r="L65" s="185"/>
      <c r="M65" s="185"/>
      <c r="N65" s="185"/>
      <c r="O65" s="185"/>
      <c r="P65" s="185"/>
      <c r="Q65" s="185"/>
      <c r="R65" s="185"/>
      <c r="S65" s="185"/>
      <c r="T65" s="185"/>
      <c r="U65" s="185"/>
      <c r="V65" s="185"/>
      <c r="W65" s="185"/>
      <c r="X65" s="183"/>
      <c r="Y65" s="183"/>
      <c r="Z65" s="183"/>
      <c r="AA65" s="183"/>
      <c r="AB65" s="183"/>
      <c r="AC65" s="183"/>
      <c r="AD65" s="183"/>
      <c r="AE65" s="183"/>
      <c r="AF65" s="183"/>
      <c r="AG65" s="183"/>
      <c r="AH65" s="183"/>
      <c r="AI65" s="183"/>
      <c r="AJ65" s="183"/>
      <c r="AK65" s="183"/>
      <c r="AL65" s="183"/>
      <c r="AM65" s="183"/>
      <c r="AN65" s="183"/>
      <c r="AO65" s="183"/>
      <c r="AP65" s="183"/>
      <c r="AQ65" s="183"/>
      <c r="AR65" s="183"/>
      <c r="AS65" s="183"/>
      <c r="AT65" s="185"/>
      <c r="AU65" s="185"/>
      <c r="AV65" s="185"/>
    </row>
    <row r="66" spans="1:48">
      <c r="A66" s="183"/>
      <c r="B66" s="211"/>
      <c r="C66" s="185"/>
      <c r="D66" s="185"/>
      <c r="E66" s="185"/>
      <c r="F66" s="185"/>
      <c r="G66" s="185"/>
      <c r="H66" s="185"/>
      <c r="I66" s="185"/>
      <c r="J66" s="185"/>
      <c r="K66" s="185"/>
      <c r="L66" s="185"/>
      <c r="M66" s="185"/>
      <c r="N66" s="185"/>
      <c r="O66" s="185"/>
      <c r="P66" s="185"/>
      <c r="Q66" s="185"/>
      <c r="R66" s="185"/>
      <c r="S66" s="185"/>
      <c r="T66" s="185"/>
      <c r="U66" s="185"/>
      <c r="V66" s="185"/>
      <c r="W66" s="185"/>
      <c r="X66" s="183"/>
      <c r="Y66" s="183"/>
      <c r="Z66" s="183"/>
      <c r="AA66" s="183"/>
      <c r="AB66" s="183"/>
      <c r="AC66" s="183"/>
      <c r="AD66" s="183"/>
      <c r="AE66" s="183"/>
      <c r="AF66" s="183"/>
      <c r="AG66" s="183"/>
      <c r="AH66" s="183"/>
      <c r="AI66" s="183"/>
      <c r="AJ66" s="183"/>
      <c r="AK66" s="183"/>
      <c r="AL66" s="183"/>
      <c r="AM66" s="183"/>
      <c r="AN66" s="183"/>
      <c r="AO66" s="183"/>
      <c r="AP66" s="183"/>
      <c r="AQ66" s="183"/>
      <c r="AR66" s="183"/>
      <c r="AS66" s="183"/>
      <c r="AT66" s="185"/>
      <c r="AU66" s="185"/>
      <c r="AV66" s="185"/>
    </row>
    <row r="67" spans="1:48">
      <c r="A67" s="183"/>
      <c r="B67" s="211"/>
      <c r="C67" s="185"/>
      <c r="D67" s="185"/>
      <c r="E67" s="185"/>
      <c r="F67" s="185"/>
      <c r="G67" s="185"/>
      <c r="H67" s="185"/>
      <c r="I67" s="185"/>
      <c r="J67" s="185"/>
      <c r="K67" s="185"/>
      <c r="L67" s="185"/>
      <c r="M67" s="185"/>
      <c r="N67" s="185"/>
      <c r="O67" s="185"/>
      <c r="P67" s="185"/>
      <c r="Q67" s="185"/>
      <c r="R67" s="185"/>
      <c r="S67" s="185"/>
      <c r="T67" s="185"/>
      <c r="U67" s="185"/>
      <c r="V67" s="185"/>
      <c r="W67" s="185"/>
      <c r="X67" s="183"/>
      <c r="Y67" s="183"/>
      <c r="Z67" s="183"/>
      <c r="AA67" s="183"/>
      <c r="AB67" s="183"/>
      <c r="AC67" s="183"/>
      <c r="AD67" s="183"/>
      <c r="AE67" s="183"/>
      <c r="AF67" s="183"/>
      <c r="AG67" s="183"/>
      <c r="AH67" s="183"/>
      <c r="AI67" s="183"/>
      <c r="AJ67" s="183"/>
      <c r="AK67" s="183"/>
      <c r="AL67" s="183"/>
      <c r="AM67" s="183"/>
      <c r="AN67" s="183"/>
      <c r="AO67" s="183"/>
      <c r="AP67" s="183"/>
      <c r="AQ67" s="183"/>
      <c r="AR67" s="183"/>
      <c r="AS67" s="183"/>
      <c r="AT67" s="185"/>
      <c r="AU67" s="185"/>
      <c r="AV67" s="185"/>
    </row>
    <row r="68" spans="1:48">
      <c r="A68" s="183"/>
      <c r="B68" s="211"/>
      <c r="C68" s="185"/>
      <c r="D68" s="185"/>
      <c r="E68" s="185"/>
      <c r="F68" s="185"/>
      <c r="G68" s="185"/>
      <c r="H68" s="185"/>
      <c r="I68" s="185"/>
      <c r="J68" s="185"/>
      <c r="K68" s="185"/>
      <c r="L68" s="185"/>
      <c r="M68" s="185"/>
      <c r="N68" s="185"/>
      <c r="O68" s="185"/>
      <c r="P68" s="185"/>
      <c r="Q68" s="185"/>
      <c r="R68" s="185"/>
      <c r="S68" s="185"/>
      <c r="T68" s="185"/>
      <c r="U68" s="185"/>
      <c r="V68" s="185"/>
      <c r="W68" s="185"/>
      <c r="X68" s="183"/>
      <c r="Y68" s="183"/>
      <c r="Z68" s="183"/>
      <c r="AA68" s="183"/>
      <c r="AB68" s="183"/>
      <c r="AC68" s="183"/>
      <c r="AD68" s="183"/>
      <c r="AE68" s="183"/>
      <c r="AF68" s="183"/>
      <c r="AG68" s="183"/>
      <c r="AH68" s="183"/>
      <c r="AI68" s="183"/>
      <c r="AJ68" s="183"/>
      <c r="AK68" s="183"/>
      <c r="AL68" s="183"/>
      <c r="AM68" s="183"/>
      <c r="AN68" s="183"/>
      <c r="AO68" s="183"/>
      <c r="AP68" s="183"/>
      <c r="AQ68" s="183"/>
      <c r="AR68" s="183"/>
      <c r="AS68" s="183"/>
      <c r="AT68" s="185"/>
      <c r="AU68" s="185"/>
      <c r="AV68" s="185"/>
    </row>
    <row r="69" spans="1:48">
      <c r="A69" s="183"/>
      <c r="B69" s="211"/>
      <c r="C69" s="185"/>
      <c r="D69" s="185"/>
      <c r="E69" s="185"/>
      <c r="F69" s="185"/>
      <c r="G69" s="185"/>
      <c r="H69" s="185"/>
      <c r="I69" s="185"/>
      <c r="J69" s="185"/>
      <c r="K69" s="185"/>
      <c r="L69" s="185"/>
      <c r="M69" s="185"/>
      <c r="N69" s="185"/>
      <c r="O69" s="185"/>
      <c r="P69" s="185"/>
      <c r="Q69" s="185"/>
      <c r="R69" s="185"/>
      <c r="S69" s="185"/>
      <c r="T69" s="185"/>
      <c r="U69" s="185"/>
      <c r="V69" s="185"/>
      <c r="W69" s="185"/>
      <c r="X69" s="183"/>
      <c r="Y69" s="183"/>
      <c r="Z69" s="183"/>
      <c r="AA69" s="183"/>
      <c r="AB69" s="183"/>
      <c r="AC69" s="183"/>
      <c r="AD69" s="183"/>
      <c r="AE69" s="183"/>
      <c r="AF69" s="183"/>
      <c r="AG69" s="183"/>
      <c r="AH69" s="183"/>
      <c r="AI69" s="183"/>
      <c r="AJ69" s="183"/>
      <c r="AK69" s="183"/>
      <c r="AL69" s="183"/>
      <c r="AM69" s="183"/>
      <c r="AN69" s="183"/>
      <c r="AO69" s="183"/>
      <c r="AP69" s="183"/>
      <c r="AQ69" s="183"/>
      <c r="AR69" s="183"/>
      <c r="AS69" s="183"/>
      <c r="AT69" s="185"/>
      <c r="AU69" s="185"/>
      <c r="AV69" s="185"/>
    </row>
    <row r="70" spans="1:48">
      <c r="A70" s="183"/>
      <c r="B70" s="211"/>
      <c r="C70" s="185"/>
      <c r="D70" s="185"/>
      <c r="E70" s="185"/>
      <c r="F70" s="185"/>
      <c r="G70" s="185"/>
      <c r="H70" s="185"/>
      <c r="I70" s="185"/>
      <c r="J70" s="185"/>
      <c r="K70" s="185"/>
      <c r="L70" s="185"/>
      <c r="M70" s="185"/>
      <c r="N70" s="185"/>
      <c r="O70" s="185"/>
      <c r="P70" s="185"/>
      <c r="Q70" s="185"/>
      <c r="R70" s="185"/>
      <c r="S70" s="185"/>
      <c r="T70" s="185"/>
      <c r="U70" s="185"/>
      <c r="V70" s="185"/>
      <c r="W70" s="185"/>
      <c r="X70" s="183"/>
      <c r="Y70" s="183"/>
      <c r="Z70" s="183"/>
      <c r="AA70" s="183"/>
      <c r="AB70" s="183"/>
      <c r="AC70" s="183"/>
      <c r="AD70" s="183"/>
      <c r="AE70" s="183"/>
      <c r="AF70" s="183"/>
      <c r="AG70" s="183"/>
      <c r="AH70" s="183"/>
      <c r="AI70" s="183"/>
      <c r="AJ70" s="183"/>
      <c r="AK70" s="183"/>
      <c r="AL70" s="183"/>
      <c r="AM70" s="183"/>
      <c r="AN70" s="183"/>
      <c r="AO70" s="183"/>
      <c r="AP70" s="183"/>
      <c r="AQ70" s="183"/>
      <c r="AR70" s="183"/>
      <c r="AS70" s="183"/>
      <c r="AT70" s="185"/>
      <c r="AU70" s="185"/>
      <c r="AV70" s="185"/>
    </row>
    <row r="71" spans="1:48">
      <c r="A71" s="183"/>
      <c r="B71" s="211"/>
      <c r="C71" s="185"/>
      <c r="D71" s="185"/>
      <c r="E71" s="185"/>
      <c r="F71" s="185"/>
      <c r="G71" s="185"/>
      <c r="H71" s="185"/>
      <c r="I71" s="185"/>
      <c r="J71" s="185"/>
      <c r="K71" s="185"/>
      <c r="L71" s="185"/>
      <c r="M71" s="185"/>
      <c r="N71" s="185"/>
      <c r="O71" s="185"/>
      <c r="P71" s="185"/>
      <c r="Q71" s="185"/>
      <c r="R71" s="185"/>
      <c r="S71" s="185"/>
      <c r="T71" s="185"/>
      <c r="U71" s="185"/>
      <c r="V71" s="185"/>
      <c r="W71" s="185"/>
      <c r="X71" s="183"/>
      <c r="Y71" s="183"/>
      <c r="Z71" s="183"/>
      <c r="AA71" s="183"/>
      <c r="AB71" s="183"/>
      <c r="AC71" s="183"/>
      <c r="AD71" s="183"/>
      <c r="AE71" s="183"/>
      <c r="AF71" s="183"/>
      <c r="AG71" s="183"/>
      <c r="AH71" s="183"/>
      <c r="AI71" s="183"/>
      <c r="AJ71" s="183"/>
      <c r="AK71" s="183"/>
      <c r="AL71" s="183"/>
      <c r="AM71" s="183"/>
      <c r="AN71" s="183"/>
      <c r="AO71" s="183"/>
      <c r="AP71" s="183"/>
      <c r="AQ71" s="183"/>
      <c r="AR71" s="183"/>
      <c r="AS71" s="183"/>
      <c r="AT71" s="185"/>
      <c r="AU71" s="185"/>
      <c r="AV71" s="185"/>
    </row>
    <row r="72" spans="1:48">
      <c r="A72" s="183"/>
      <c r="B72" s="211"/>
      <c r="C72" s="185"/>
      <c r="D72" s="185"/>
      <c r="E72" s="185"/>
      <c r="F72" s="185"/>
      <c r="G72" s="185"/>
      <c r="H72" s="185"/>
      <c r="I72" s="185"/>
      <c r="J72" s="185"/>
      <c r="K72" s="185"/>
      <c r="L72" s="185"/>
      <c r="M72" s="185"/>
      <c r="N72" s="185"/>
      <c r="O72" s="185"/>
      <c r="P72" s="185"/>
      <c r="Q72" s="185"/>
      <c r="R72" s="185"/>
      <c r="S72" s="185"/>
      <c r="T72" s="185"/>
      <c r="U72" s="185"/>
      <c r="V72" s="185"/>
      <c r="W72" s="185"/>
      <c r="X72" s="183"/>
      <c r="Y72" s="183"/>
      <c r="Z72" s="183"/>
      <c r="AA72" s="183"/>
      <c r="AB72" s="183"/>
      <c r="AC72" s="183"/>
      <c r="AD72" s="183"/>
      <c r="AE72" s="183"/>
      <c r="AF72" s="183"/>
      <c r="AG72" s="183"/>
      <c r="AH72" s="183"/>
      <c r="AI72" s="183"/>
      <c r="AJ72" s="183"/>
      <c r="AK72" s="183"/>
      <c r="AL72" s="183"/>
      <c r="AM72" s="183"/>
      <c r="AN72" s="183"/>
      <c r="AO72" s="183"/>
      <c r="AP72" s="183"/>
      <c r="AQ72" s="183"/>
      <c r="AR72" s="183"/>
      <c r="AS72" s="183"/>
      <c r="AT72" s="185"/>
      <c r="AU72" s="185"/>
      <c r="AV72" s="185"/>
    </row>
    <row r="73" spans="1:48">
      <c r="A73" s="183"/>
      <c r="B73" s="211"/>
      <c r="C73" s="185"/>
      <c r="D73" s="185"/>
      <c r="E73" s="185"/>
      <c r="F73" s="185"/>
      <c r="G73" s="185"/>
      <c r="H73" s="185"/>
      <c r="I73" s="185"/>
      <c r="J73" s="185"/>
      <c r="K73" s="185"/>
      <c r="L73" s="185"/>
      <c r="M73" s="185"/>
      <c r="N73" s="185"/>
      <c r="O73" s="185"/>
      <c r="P73" s="185"/>
      <c r="Q73" s="185"/>
      <c r="R73" s="185"/>
      <c r="S73" s="185"/>
      <c r="T73" s="185"/>
      <c r="U73" s="185"/>
      <c r="V73" s="185"/>
      <c r="W73" s="185"/>
      <c r="X73" s="183"/>
      <c r="Y73" s="183"/>
      <c r="Z73" s="183"/>
      <c r="AA73" s="183"/>
      <c r="AB73" s="183"/>
      <c r="AC73" s="183"/>
      <c r="AD73" s="183"/>
      <c r="AE73" s="183"/>
      <c r="AF73" s="183"/>
      <c r="AG73" s="183"/>
      <c r="AH73" s="183"/>
      <c r="AI73" s="183"/>
      <c r="AJ73" s="183"/>
      <c r="AK73" s="183"/>
      <c r="AL73" s="183"/>
      <c r="AM73" s="183"/>
      <c r="AN73" s="183"/>
      <c r="AO73" s="183"/>
      <c r="AP73" s="183"/>
      <c r="AQ73" s="183"/>
      <c r="AR73" s="183"/>
      <c r="AS73" s="183"/>
      <c r="AT73" s="185"/>
      <c r="AU73" s="185"/>
      <c r="AV73" s="185"/>
    </row>
    <row r="74" spans="1:48">
      <c r="A74" s="183"/>
      <c r="B74" s="211"/>
      <c r="C74" s="185"/>
      <c r="D74" s="185"/>
      <c r="E74" s="185"/>
      <c r="F74" s="185"/>
      <c r="G74" s="185"/>
      <c r="H74" s="185"/>
      <c r="I74" s="185"/>
      <c r="J74" s="185"/>
      <c r="K74" s="185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3"/>
      <c r="Y74" s="183"/>
      <c r="Z74" s="183"/>
      <c r="AA74" s="183"/>
      <c r="AB74" s="183"/>
      <c r="AC74" s="183"/>
      <c r="AD74" s="183"/>
      <c r="AE74" s="183"/>
      <c r="AF74" s="183"/>
      <c r="AG74" s="183"/>
      <c r="AH74" s="183"/>
      <c r="AI74" s="183"/>
      <c r="AJ74" s="183"/>
      <c r="AK74" s="183"/>
      <c r="AL74" s="183"/>
      <c r="AM74" s="183"/>
      <c r="AN74" s="183"/>
      <c r="AO74" s="183"/>
      <c r="AP74" s="183"/>
      <c r="AQ74" s="183"/>
      <c r="AR74" s="183"/>
      <c r="AS74" s="183"/>
      <c r="AT74" s="185"/>
      <c r="AU74" s="185"/>
      <c r="AV74" s="185"/>
    </row>
    <row r="75" spans="1:48">
      <c r="A75" s="183"/>
      <c r="B75" s="211"/>
      <c r="C75" s="185"/>
      <c r="D75" s="185"/>
      <c r="E75" s="185"/>
      <c r="F75" s="185"/>
      <c r="G75" s="185"/>
      <c r="H75" s="185"/>
      <c r="I75" s="185"/>
      <c r="J75" s="185"/>
      <c r="K75" s="185"/>
      <c r="L75" s="185"/>
      <c r="M75" s="185"/>
      <c r="N75" s="185"/>
      <c r="O75" s="185"/>
      <c r="P75" s="185"/>
      <c r="Q75" s="185"/>
      <c r="R75" s="185"/>
      <c r="S75" s="185"/>
      <c r="T75" s="185"/>
      <c r="U75" s="185"/>
      <c r="V75" s="185"/>
      <c r="W75" s="185"/>
      <c r="X75" s="183"/>
      <c r="Y75" s="183"/>
      <c r="Z75" s="183"/>
      <c r="AA75" s="183"/>
      <c r="AB75" s="183"/>
      <c r="AC75" s="183"/>
      <c r="AD75" s="183"/>
      <c r="AE75" s="183"/>
      <c r="AF75" s="183"/>
      <c r="AG75" s="183"/>
      <c r="AH75" s="183"/>
      <c r="AI75" s="183"/>
      <c r="AJ75" s="183"/>
      <c r="AK75" s="183"/>
      <c r="AL75" s="183"/>
      <c r="AM75" s="183"/>
      <c r="AN75" s="183"/>
      <c r="AO75" s="183"/>
      <c r="AP75" s="183"/>
      <c r="AQ75" s="183"/>
      <c r="AR75" s="183"/>
      <c r="AS75" s="183"/>
      <c r="AT75" s="185"/>
      <c r="AU75" s="185"/>
      <c r="AV75" s="185"/>
    </row>
    <row r="76" spans="1:48">
      <c r="A76" s="183"/>
      <c r="B76" s="211"/>
      <c r="C76" s="185"/>
      <c r="D76" s="185"/>
      <c r="E76" s="185"/>
      <c r="F76" s="185"/>
      <c r="G76" s="185"/>
      <c r="H76" s="185"/>
      <c r="I76" s="185"/>
      <c r="J76" s="185"/>
      <c r="K76" s="185"/>
      <c r="L76" s="185"/>
      <c r="M76" s="185"/>
      <c r="N76" s="185"/>
      <c r="O76" s="185"/>
      <c r="P76" s="185"/>
      <c r="Q76" s="185"/>
      <c r="R76" s="185"/>
      <c r="S76" s="185"/>
      <c r="T76" s="185"/>
      <c r="U76" s="185"/>
      <c r="V76" s="185"/>
      <c r="W76" s="185"/>
      <c r="X76" s="183"/>
      <c r="Y76" s="183"/>
      <c r="Z76" s="183"/>
      <c r="AA76" s="183"/>
      <c r="AB76" s="183"/>
      <c r="AC76" s="183"/>
      <c r="AD76" s="183"/>
      <c r="AE76" s="183"/>
      <c r="AF76" s="183"/>
      <c r="AG76" s="183"/>
      <c r="AH76" s="183"/>
      <c r="AI76" s="183"/>
      <c r="AJ76" s="183"/>
      <c r="AK76" s="183"/>
      <c r="AL76" s="183"/>
      <c r="AM76" s="183"/>
      <c r="AN76" s="183"/>
      <c r="AO76" s="183"/>
      <c r="AP76" s="183"/>
      <c r="AQ76" s="183"/>
      <c r="AR76" s="183"/>
      <c r="AS76" s="183"/>
      <c r="AT76" s="185"/>
      <c r="AU76" s="185"/>
      <c r="AV76" s="185"/>
    </row>
    <row r="77" spans="1:48">
      <c r="A77" s="183"/>
      <c r="B77" s="211"/>
      <c r="C77" s="185"/>
      <c r="D77" s="185"/>
      <c r="E77" s="185"/>
      <c r="F77" s="185"/>
      <c r="G77" s="185"/>
      <c r="H77" s="185"/>
      <c r="I77" s="185"/>
      <c r="J77" s="185"/>
      <c r="K77" s="185"/>
      <c r="L77" s="185"/>
      <c r="M77" s="185"/>
      <c r="N77" s="185"/>
      <c r="O77" s="185"/>
      <c r="P77" s="185"/>
      <c r="Q77" s="185"/>
      <c r="R77" s="185"/>
      <c r="S77" s="185"/>
      <c r="T77" s="185"/>
      <c r="U77" s="185"/>
      <c r="V77" s="185"/>
      <c r="W77" s="185"/>
      <c r="X77" s="183"/>
      <c r="Y77" s="183"/>
      <c r="Z77" s="183"/>
      <c r="AA77" s="183"/>
      <c r="AB77" s="183"/>
      <c r="AC77" s="183"/>
      <c r="AD77" s="183"/>
      <c r="AE77" s="183"/>
      <c r="AF77" s="183"/>
      <c r="AG77" s="183"/>
      <c r="AH77" s="183"/>
      <c r="AI77" s="183"/>
      <c r="AJ77" s="183"/>
      <c r="AK77" s="183"/>
      <c r="AL77" s="183"/>
      <c r="AM77" s="183"/>
      <c r="AN77" s="183"/>
      <c r="AO77" s="183"/>
      <c r="AP77" s="183"/>
      <c r="AQ77" s="183"/>
      <c r="AR77" s="183"/>
      <c r="AS77" s="183"/>
      <c r="AT77" s="185"/>
      <c r="AU77" s="185"/>
      <c r="AV77" s="185"/>
    </row>
    <row r="78" spans="1:48">
      <c r="A78" s="183"/>
      <c r="B78" s="211"/>
      <c r="C78" s="185"/>
      <c r="D78" s="185"/>
      <c r="E78" s="185"/>
      <c r="F78" s="185"/>
      <c r="G78" s="185"/>
      <c r="H78" s="185"/>
      <c r="I78" s="185"/>
      <c r="J78" s="185"/>
      <c r="K78" s="185"/>
      <c r="L78" s="185"/>
      <c r="M78" s="185"/>
      <c r="N78" s="185"/>
      <c r="O78" s="185"/>
      <c r="P78" s="185"/>
      <c r="Q78" s="185"/>
      <c r="R78" s="185"/>
      <c r="S78" s="185"/>
      <c r="T78" s="185"/>
      <c r="U78" s="185"/>
      <c r="V78" s="185"/>
      <c r="W78" s="185"/>
      <c r="X78" s="183"/>
      <c r="Y78" s="183"/>
      <c r="Z78" s="183"/>
      <c r="AA78" s="183"/>
      <c r="AB78" s="183"/>
      <c r="AC78" s="183"/>
      <c r="AD78" s="183"/>
      <c r="AE78" s="183"/>
      <c r="AF78" s="183"/>
      <c r="AG78" s="183"/>
      <c r="AH78" s="183"/>
      <c r="AI78" s="183"/>
      <c r="AJ78" s="183"/>
      <c r="AK78" s="183"/>
      <c r="AL78" s="183"/>
      <c r="AM78" s="183"/>
      <c r="AN78" s="183"/>
      <c r="AO78" s="183"/>
      <c r="AP78" s="183"/>
      <c r="AQ78" s="183"/>
      <c r="AR78" s="183"/>
      <c r="AS78" s="183"/>
      <c r="AT78" s="185"/>
      <c r="AU78" s="185"/>
      <c r="AV78" s="185"/>
    </row>
  </sheetData>
  <mergeCells count="344">
    <mergeCell ref="B34:AL34"/>
    <mergeCell ref="B63:AL63"/>
    <mergeCell ref="U62:V62"/>
    <mergeCell ref="W62:X62"/>
    <mergeCell ref="Y62:Z62"/>
    <mergeCell ref="AA62:AB62"/>
    <mergeCell ref="AC62:AD62"/>
    <mergeCell ref="AE62:AF62"/>
    <mergeCell ref="AG62:AH62"/>
    <mergeCell ref="AI62:AJ62"/>
    <mergeCell ref="AK62:AL62"/>
    <mergeCell ref="C62:D62"/>
    <mergeCell ref="E62:F62"/>
    <mergeCell ref="G62:H62"/>
    <mergeCell ref="I62:J62"/>
    <mergeCell ref="K62:L62"/>
    <mergeCell ref="M62:N62"/>
    <mergeCell ref="O62:P62"/>
    <mergeCell ref="Q62:R62"/>
    <mergeCell ref="S62:T62"/>
    <mergeCell ref="U61:V61"/>
    <mergeCell ref="W61:X61"/>
    <mergeCell ref="Y61:Z61"/>
    <mergeCell ref="AA61:AB61"/>
    <mergeCell ref="AC61:AD61"/>
    <mergeCell ref="AE61:AF61"/>
    <mergeCell ref="AG61:AH61"/>
    <mergeCell ref="AI61:AJ61"/>
    <mergeCell ref="AK61:AL61"/>
    <mergeCell ref="C61:D61"/>
    <mergeCell ref="E61:F61"/>
    <mergeCell ref="G61:H61"/>
    <mergeCell ref="I61:J61"/>
    <mergeCell ref="K61:L61"/>
    <mergeCell ref="M61:N61"/>
    <mergeCell ref="O61:P61"/>
    <mergeCell ref="Q61:R61"/>
    <mergeCell ref="S61:T61"/>
    <mergeCell ref="U60:V60"/>
    <mergeCell ref="W60:X60"/>
    <mergeCell ref="Y60:Z60"/>
    <mergeCell ref="AA60:AB60"/>
    <mergeCell ref="AC60:AD60"/>
    <mergeCell ref="AE60:AF60"/>
    <mergeCell ref="AG60:AH60"/>
    <mergeCell ref="AI60:AJ60"/>
    <mergeCell ref="AK60:AL60"/>
    <mergeCell ref="C60:D60"/>
    <mergeCell ref="E60:F60"/>
    <mergeCell ref="G60:H60"/>
    <mergeCell ref="I60:J60"/>
    <mergeCell ref="K60:L60"/>
    <mergeCell ref="M60:N60"/>
    <mergeCell ref="O60:P60"/>
    <mergeCell ref="Q60:R60"/>
    <mergeCell ref="S60:T60"/>
    <mergeCell ref="U59:V59"/>
    <mergeCell ref="W59:X59"/>
    <mergeCell ref="Y59:Z59"/>
    <mergeCell ref="AA59:AB59"/>
    <mergeCell ref="AC59:AD59"/>
    <mergeCell ref="AE59:AF59"/>
    <mergeCell ref="AG59:AH59"/>
    <mergeCell ref="AI59:AJ59"/>
    <mergeCell ref="AK59:AL59"/>
    <mergeCell ref="C59:D59"/>
    <mergeCell ref="E59:F59"/>
    <mergeCell ref="G59:H59"/>
    <mergeCell ref="I59:J59"/>
    <mergeCell ref="K59:L59"/>
    <mergeCell ref="M59:N59"/>
    <mergeCell ref="O59:P59"/>
    <mergeCell ref="Q59:R59"/>
    <mergeCell ref="S59:T59"/>
    <mergeCell ref="U58:V58"/>
    <mergeCell ref="W58:X58"/>
    <mergeCell ref="Y58:Z58"/>
    <mergeCell ref="AA58:AB58"/>
    <mergeCell ref="AC58:AD58"/>
    <mergeCell ref="AE58:AF58"/>
    <mergeCell ref="AG58:AH58"/>
    <mergeCell ref="AI58:AJ58"/>
    <mergeCell ref="AK58:AL58"/>
    <mergeCell ref="C58:D58"/>
    <mergeCell ref="E58:F58"/>
    <mergeCell ref="G58:H58"/>
    <mergeCell ref="I58:J58"/>
    <mergeCell ref="K58:L58"/>
    <mergeCell ref="M58:N58"/>
    <mergeCell ref="O58:P58"/>
    <mergeCell ref="Q58:R58"/>
    <mergeCell ref="S58:T58"/>
    <mergeCell ref="U57:V57"/>
    <mergeCell ref="W57:X57"/>
    <mergeCell ref="Y57:Z57"/>
    <mergeCell ref="AA57:AB57"/>
    <mergeCell ref="AC57:AD57"/>
    <mergeCell ref="AE57:AF57"/>
    <mergeCell ref="AG57:AH57"/>
    <mergeCell ref="AI57:AJ57"/>
    <mergeCell ref="AK57:AL57"/>
    <mergeCell ref="C57:D57"/>
    <mergeCell ref="E57:F57"/>
    <mergeCell ref="G57:H57"/>
    <mergeCell ref="I57:J57"/>
    <mergeCell ref="K57:L57"/>
    <mergeCell ref="M57:N57"/>
    <mergeCell ref="O57:P57"/>
    <mergeCell ref="Q57:R57"/>
    <mergeCell ref="S57:T57"/>
    <mergeCell ref="U56:V56"/>
    <mergeCell ref="W56:X56"/>
    <mergeCell ref="Y56:Z56"/>
    <mergeCell ref="AA56:AB56"/>
    <mergeCell ref="AC56:AD56"/>
    <mergeCell ref="AE56:AF56"/>
    <mergeCell ref="AG56:AH56"/>
    <mergeCell ref="AI56:AJ56"/>
    <mergeCell ref="AK56:AL56"/>
    <mergeCell ref="C56:D56"/>
    <mergeCell ref="E56:F56"/>
    <mergeCell ref="G56:H56"/>
    <mergeCell ref="I56:J56"/>
    <mergeCell ref="K56:L56"/>
    <mergeCell ref="M56:N56"/>
    <mergeCell ref="O56:P56"/>
    <mergeCell ref="Q56:R56"/>
    <mergeCell ref="S56:T56"/>
    <mergeCell ref="U55:V55"/>
    <mergeCell ref="W55:X55"/>
    <mergeCell ref="Y55:Z55"/>
    <mergeCell ref="AA55:AB55"/>
    <mergeCell ref="AC55:AD55"/>
    <mergeCell ref="AE55:AF55"/>
    <mergeCell ref="AG55:AH55"/>
    <mergeCell ref="AI55:AJ55"/>
    <mergeCell ref="AK55:AL55"/>
    <mergeCell ref="C55:D55"/>
    <mergeCell ref="E55:F55"/>
    <mergeCell ref="G55:H55"/>
    <mergeCell ref="I55:J55"/>
    <mergeCell ref="K55:L55"/>
    <mergeCell ref="M55:N55"/>
    <mergeCell ref="O55:P55"/>
    <mergeCell ref="Q55:R55"/>
    <mergeCell ref="S55:T55"/>
    <mergeCell ref="U54:V54"/>
    <mergeCell ref="W54:X54"/>
    <mergeCell ref="Y54:Z54"/>
    <mergeCell ref="AA54:AB54"/>
    <mergeCell ref="AC54:AD54"/>
    <mergeCell ref="AE54:AF54"/>
    <mergeCell ref="AG54:AH54"/>
    <mergeCell ref="AI54:AJ54"/>
    <mergeCell ref="AK54:AL54"/>
    <mergeCell ref="C54:D54"/>
    <mergeCell ref="E54:F54"/>
    <mergeCell ref="G54:H54"/>
    <mergeCell ref="I54:J54"/>
    <mergeCell ref="K54:L54"/>
    <mergeCell ref="M54:N54"/>
    <mergeCell ref="O54:P54"/>
    <mergeCell ref="Q54:R54"/>
    <mergeCell ref="S54:T54"/>
    <mergeCell ref="U53:V53"/>
    <mergeCell ref="W53:X53"/>
    <mergeCell ref="Y53:Z53"/>
    <mergeCell ref="AA53:AB53"/>
    <mergeCell ref="AC53:AD53"/>
    <mergeCell ref="AE53:AF53"/>
    <mergeCell ref="AG53:AH53"/>
    <mergeCell ref="AI53:AJ53"/>
    <mergeCell ref="AK53:AL53"/>
    <mergeCell ref="C53:D53"/>
    <mergeCell ref="E53:F53"/>
    <mergeCell ref="G53:H53"/>
    <mergeCell ref="I53:J53"/>
    <mergeCell ref="K53:L53"/>
    <mergeCell ref="M53:N53"/>
    <mergeCell ref="O53:P53"/>
    <mergeCell ref="Q53:R53"/>
    <mergeCell ref="S53:T53"/>
    <mergeCell ref="U52:V52"/>
    <mergeCell ref="W52:X52"/>
    <mergeCell ref="Y52:Z52"/>
    <mergeCell ref="AA52:AB52"/>
    <mergeCell ref="AC52:AD52"/>
    <mergeCell ref="AE52:AF52"/>
    <mergeCell ref="AG52:AH52"/>
    <mergeCell ref="AI52:AJ52"/>
    <mergeCell ref="AK52:AL52"/>
    <mergeCell ref="C52:D52"/>
    <mergeCell ref="E52:F52"/>
    <mergeCell ref="G52:H52"/>
    <mergeCell ref="I52:J52"/>
    <mergeCell ref="K52:L52"/>
    <mergeCell ref="M52:N52"/>
    <mergeCell ref="O52:P52"/>
    <mergeCell ref="Q52:R52"/>
    <mergeCell ref="S52:T52"/>
    <mergeCell ref="U51:V51"/>
    <mergeCell ref="W51:X51"/>
    <mergeCell ref="Y51:Z51"/>
    <mergeCell ref="AA51:AB51"/>
    <mergeCell ref="AC51:AD51"/>
    <mergeCell ref="AE51:AF51"/>
    <mergeCell ref="AG51:AH51"/>
    <mergeCell ref="AI51:AJ51"/>
    <mergeCell ref="AK51:AL51"/>
    <mergeCell ref="C51:D51"/>
    <mergeCell ref="E51:F51"/>
    <mergeCell ref="G51:H51"/>
    <mergeCell ref="I51:J51"/>
    <mergeCell ref="K51:L51"/>
    <mergeCell ref="M51:N51"/>
    <mergeCell ref="O51:P51"/>
    <mergeCell ref="Q51:R51"/>
    <mergeCell ref="S51:T51"/>
    <mergeCell ref="U50:V50"/>
    <mergeCell ref="W50:X50"/>
    <mergeCell ref="Y50:Z50"/>
    <mergeCell ref="AA50:AB50"/>
    <mergeCell ref="AC50:AD50"/>
    <mergeCell ref="AE50:AF50"/>
    <mergeCell ref="AG50:AH50"/>
    <mergeCell ref="AI50:AJ50"/>
    <mergeCell ref="AK50:AL50"/>
    <mergeCell ref="C50:D50"/>
    <mergeCell ref="E50:F50"/>
    <mergeCell ref="G50:H50"/>
    <mergeCell ref="I50:J50"/>
    <mergeCell ref="K50:L50"/>
    <mergeCell ref="M50:N50"/>
    <mergeCell ref="O50:P50"/>
    <mergeCell ref="Q50:R50"/>
    <mergeCell ref="S50:T50"/>
    <mergeCell ref="C35:T35"/>
    <mergeCell ref="U35:AL35"/>
    <mergeCell ref="C36:D36"/>
    <mergeCell ref="E36:F36"/>
    <mergeCell ref="G36:H36"/>
    <mergeCell ref="I36:J36"/>
    <mergeCell ref="K36:L36"/>
    <mergeCell ref="M36:N36"/>
    <mergeCell ref="O36:P36"/>
    <mergeCell ref="Q36:R36"/>
    <mergeCell ref="S36:T36"/>
    <mergeCell ref="U36:V36"/>
    <mergeCell ref="W36:X36"/>
    <mergeCell ref="Y36:Z36"/>
    <mergeCell ref="AA36:AB36"/>
    <mergeCell ref="AC36:AD36"/>
    <mergeCell ref="AE36:AF36"/>
    <mergeCell ref="AG36:AH36"/>
    <mergeCell ref="AI36:AJ36"/>
    <mergeCell ref="AK36:AL36"/>
    <mergeCell ref="B2:AR2"/>
    <mergeCell ref="C3:W3"/>
    <mergeCell ref="C18:I18"/>
    <mergeCell ref="J18:P18"/>
    <mergeCell ref="Q18:W18"/>
    <mergeCell ref="X18:AD18"/>
    <mergeCell ref="AE18:AK18"/>
    <mergeCell ref="AL18:AR18"/>
    <mergeCell ref="X3:AR3"/>
    <mergeCell ref="C4:I4"/>
    <mergeCell ref="J4:P4"/>
    <mergeCell ref="Q4:W4"/>
    <mergeCell ref="X4:AD4"/>
    <mergeCell ref="AE4:AK4"/>
    <mergeCell ref="AL4:AR4"/>
    <mergeCell ref="J20:P20"/>
    <mergeCell ref="Q20:W20"/>
    <mergeCell ref="X20:AD20"/>
    <mergeCell ref="AE20:AK20"/>
    <mergeCell ref="AL20:AR20"/>
    <mergeCell ref="C19:I19"/>
    <mergeCell ref="J19:P19"/>
    <mergeCell ref="Q19:W19"/>
    <mergeCell ref="X19:AD19"/>
    <mergeCell ref="AE19:AK19"/>
    <mergeCell ref="AL19:AR19"/>
    <mergeCell ref="C20:I20"/>
    <mergeCell ref="C22:I22"/>
    <mergeCell ref="J22:P22"/>
    <mergeCell ref="Q22:W22"/>
    <mergeCell ref="X22:AD22"/>
    <mergeCell ref="AE22:AK22"/>
    <mergeCell ref="AL22:AR22"/>
    <mergeCell ref="C21:I21"/>
    <mergeCell ref="J21:P21"/>
    <mergeCell ref="Q21:W21"/>
    <mergeCell ref="X21:AD21"/>
    <mergeCell ref="AE21:AK21"/>
    <mergeCell ref="AL21:AR21"/>
    <mergeCell ref="C24:I24"/>
    <mergeCell ref="J24:P24"/>
    <mergeCell ref="Q24:W24"/>
    <mergeCell ref="X24:AD24"/>
    <mergeCell ref="AE24:AK24"/>
    <mergeCell ref="AL24:AR24"/>
    <mergeCell ref="C23:I23"/>
    <mergeCell ref="J23:P23"/>
    <mergeCell ref="Q23:W23"/>
    <mergeCell ref="X23:AD23"/>
    <mergeCell ref="AE23:AK23"/>
    <mergeCell ref="AL23:AR23"/>
    <mergeCell ref="C26:I26"/>
    <mergeCell ref="J26:P26"/>
    <mergeCell ref="Q26:W26"/>
    <mergeCell ref="X26:AD26"/>
    <mergeCell ref="AE26:AK26"/>
    <mergeCell ref="AL26:AR26"/>
    <mergeCell ref="C25:I25"/>
    <mergeCell ref="J25:P25"/>
    <mergeCell ref="Q25:W25"/>
    <mergeCell ref="X25:AD25"/>
    <mergeCell ref="AE25:AK25"/>
    <mergeCell ref="AL25:AR25"/>
    <mergeCell ref="C28:I28"/>
    <mergeCell ref="J28:P28"/>
    <mergeCell ref="Q28:W28"/>
    <mergeCell ref="X28:AD28"/>
    <mergeCell ref="AE28:AK28"/>
    <mergeCell ref="AL28:AR28"/>
    <mergeCell ref="C27:I27"/>
    <mergeCell ref="J27:P27"/>
    <mergeCell ref="Q27:W27"/>
    <mergeCell ref="X27:AD27"/>
    <mergeCell ref="AE27:AK27"/>
    <mergeCell ref="AL27:AR27"/>
    <mergeCell ref="B31:AR31"/>
    <mergeCell ref="C30:I30"/>
    <mergeCell ref="J30:P30"/>
    <mergeCell ref="Q30:W30"/>
    <mergeCell ref="X30:AD30"/>
    <mergeCell ref="AE30:AK30"/>
    <mergeCell ref="AL30:AR30"/>
    <mergeCell ref="C29:I29"/>
    <mergeCell ref="J29:P29"/>
    <mergeCell ref="Q29:W29"/>
    <mergeCell ref="X29:AD29"/>
    <mergeCell ref="AE29:AK29"/>
    <mergeCell ref="AL29:AR29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CF51"/>
  <sheetViews>
    <sheetView workbookViewId="0">
      <selection activeCell="F9" sqref="F9"/>
    </sheetView>
  </sheetViews>
  <sheetFormatPr baseColWidth="10" defaultRowHeight="15"/>
  <cols>
    <col min="2" max="2" width="15.42578125" bestFit="1" customWidth="1"/>
    <col min="3" max="3" width="7" bestFit="1" customWidth="1"/>
    <col min="4" max="4" width="6" bestFit="1" customWidth="1"/>
    <col min="5" max="5" width="5.42578125" bestFit="1" customWidth="1"/>
    <col min="6" max="9" width="6.42578125" bestFit="1" customWidth="1"/>
    <col min="10" max="10" width="7" bestFit="1" customWidth="1"/>
    <col min="11" max="11" width="6" bestFit="1" customWidth="1"/>
    <col min="12" max="12" width="5.42578125" bestFit="1" customWidth="1"/>
    <col min="13" max="16" width="6.42578125" bestFit="1" customWidth="1"/>
    <col min="17" max="17" width="7" bestFit="1" customWidth="1"/>
    <col min="18" max="18" width="6" bestFit="1" customWidth="1"/>
    <col min="19" max="19" width="5.42578125" bestFit="1" customWidth="1"/>
    <col min="20" max="23" width="6.42578125" bestFit="1" customWidth="1"/>
    <col min="24" max="24" width="7" bestFit="1" customWidth="1"/>
    <col min="25" max="25" width="6" bestFit="1" customWidth="1"/>
    <col min="26" max="26" width="5.42578125" bestFit="1" customWidth="1"/>
    <col min="27" max="30" width="6.42578125" bestFit="1" customWidth="1"/>
    <col min="31" max="31" width="7" bestFit="1" customWidth="1"/>
    <col min="32" max="32" width="6" bestFit="1" customWidth="1"/>
    <col min="33" max="33" width="5.42578125" bestFit="1" customWidth="1"/>
    <col min="34" max="37" width="6.42578125" bestFit="1" customWidth="1"/>
    <col min="38" max="38" width="7" bestFit="1" customWidth="1"/>
    <col min="39" max="39" width="6" bestFit="1" customWidth="1"/>
    <col min="40" max="40" width="5.42578125" bestFit="1" customWidth="1"/>
    <col min="41" max="44" width="6.42578125" bestFit="1" customWidth="1"/>
  </cols>
  <sheetData>
    <row r="1" spans="1:84">
      <c r="A1" s="163"/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3"/>
      <c r="S1" s="163"/>
      <c r="T1" s="163"/>
      <c r="U1" s="163"/>
      <c r="V1" s="163"/>
      <c r="W1" s="163"/>
      <c r="X1" s="163"/>
      <c r="Y1" s="163"/>
      <c r="Z1" s="163"/>
      <c r="AA1" s="163"/>
      <c r="AB1" s="163"/>
      <c r="AC1" s="163"/>
      <c r="AD1" s="163"/>
      <c r="AE1" s="163"/>
      <c r="AF1" s="163"/>
      <c r="AG1" s="163"/>
      <c r="AH1" s="163"/>
      <c r="AI1" s="163"/>
      <c r="AJ1" s="163"/>
      <c r="AK1" s="163"/>
      <c r="AL1" s="163"/>
      <c r="AM1" s="163"/>
      <c r="AN1" s="163"/>
      <c r="AO1" s="163"/>
      <c r="AP1" s="163"/>
      <c r="AQ1" s="163"/>
      <c r="AR1" s="163"/>
      <c r="AS1" s="163"/>
    </row>
    <row r="2" spans="1:84" s="186" customFormat="1" ht="21">
      <c r="A2" s="187"/>
      <c r="B2" s="292" t="s">
        <v>753</v>
      </c>
      <c r="C2" s="292"/>
      <c r="D2" s="292"/>
      <c r="E2" s="292"/>
      <c r="F2" s="292"/>
      <c r="G2" s="292"/>
      <c r="H2" s="292"/>
      <c r="I2" s="292"/>
      <c r="J2" s="292"/>
      <c r="K2" s="292"/>
      <c r="L2" s="292"/>
      <c r="M2" s="292"/>
      <c r="N2" s="292"/>
      <c r="O2" s="292"/>
      <c r="P2" s="292"/>
      <c r="Q2" s="292"/>
      <c r="R2" s="292"/>
      <c r="S2" s="292"/>
      <c r="T2" s="292"/>
      <c r="U2" s="292"/>
      <c r="V2" s="292"/>
      <c r="W2" s="292"/>
      <c r="X2" s="292"/>
      <c r="Y2" s="292"/>
      <c r="Z2" s="292"/>
      <c r="AA2" s="292"/>
      <c r="AB2" s="292"/>
      <c r="AC2" s="292"/>
      <c r="AD2" s="292"/>
      <c r="AE2" s="292"/>
      <c r="AF2" s="292"/>
      <c r="AG2" s="292"/>
      <c r="AH2" s="292"/>
      <c r="AI2" s="292"/>
      <c r="AJ2" s="292"/>
      <c r="AK2" s="292"/>
      <c r="AL2" s="292"/>
      <c r="AM2" s="292"/>
      <c r="AN2" s="292"/>
      <c r="AO2" s="292"/>
      <c r="AP2" s="292"/>
      <c r="AQ2" s="292"/>
      <c r="AR2" s="292"/>
      <c r="AS2" s="187"/>
      <c r="AT2" s="212"/>
      <c r="AU2" s="185"/>
      <c r="AV2" s="185"/>
      <c r="AW2" s="185"/>
      <c r="AX2" s="185"/>
      <c r="AY2" s="185"/>
      <c r="AZ2" s="185"/>
      <c r="BA2" s="185"/>
      <c r="BB2" s="185"/>
      <c r="BC2" s="185"/>
      <c r="BD2" s="185"/>
      <c r="BE2" s="185"/>
      <c r="BF2" s="185"/>
      <c r="BG2" s="185"/>
      <c r="BH2" s="185"/>
      <c r="BI2" s="185"/>
      <c r="BJ2" s="185"/>
      <c r="BK2" s="185"/>
      <c r="BL2" s="185"/>
      <c r="BM2" s="185"/>
      <c r="BN2" s="185"/>
      <c r="BO2" s="185"/>
      <c r="BP2" s="185"/>
      <c r="BQ2" s="185"/>
      <c r="BR2" s="185"/>
      <c r="BS2" s="185"/>
      <c r="BT2" s="185"/>
      <c r="BU2" s="185"/>
      <c r="BV2" s="185"/>
      <c r="BW2" s="185"/>
      <c r="BX2" s="185"/>
      <c r="BY2" s="185"/>
      <c r="BZ2" s="185"/>
      <c r="CA2" s="185"/>
      <c r="CB2" s="185"/>
      <c r="CC2" s="185"/>
      <c r="CD2" s="185"/>
      <c r="CE2" s="185"/>
      <c r="CF2" s="185"/>
    </row>
    <row r="3" spans="1:84" s="186" customFormat="1">
      <c r="A3" s="187"/>
      <c r="B3" s="212"/>
      <c r="C3" s="293" t="s">
        <v>404</v>
      </c>
      <c r="D3" s="294"/>
      <c r="E3" s="294"/>
      <c r="F3" s="294"/>
      <c r="G3" s="294"/>
      <c r="H3" s="294"/>
      <c r="I3" s="294"/>
      <c r="J3" s="294"/>
      <c r="K3" s="294"/>
      <c r="L3" s="294"/>
      <c r="M3" s="294"/>
      <c r="N3" s="294"/>
      <c r="O3" s="294"/>
      <c r="P3" s="294"/>
      <c r="Q3" s="294"/>
      <c r="R3" s="294"/>
      <c r="S3" s="294"/>
      <c r="T3" s="294"/>
      <c r="U3" s="294"/>
      <c r="V3" s="294"/>
      <c r="W3" s="294"/>
      <c r="X3" s="295" t="s">
        <v>435</v>
      </c>
      <c r="Y3" s="296"/>
      <c r="Z3" s="296"/>
      <c r="AA3" s="296"/>
      <c r="AB3" s="296"/>
      <c r="AC3" s="296"/>
      <c r="AD3" s="296"/>
      <c r="AE3" s="296"/>
      <c r="AF3" s="296"/>
      <c r="AG3" s="296"/>
      <c r="AH3" s="296"/>
      <c r="AI3" s="296"/>
      <c r="AJ3" s="296"/>
      <c r="AK3" s="296"/>
      <c r="AL3" s="296"/>
      <c r="AM3" s="296"/>
      <c r="AN3" s="296"/>
      <c r="AO3" s="296"/>
      <c r="AP3" s="296"/>
      <c r="AQ3" s="296"/>
      <c r="AR3" s="296"/>
      <c r="AS3" s="187"/>
      <c r="AT3" s="212"/>
      <c r="AU3" s="212"/>
      <c r="AV3" s="212"/>
      <c r="AW3" s="212"/>
      <c r="AX3" s="212"/>
      <c r="AY3" s="212"/>
      <c r="AZ3" s="212"/>
      <c r="BA3" s="212"/>
      <c r="BB3" s="212"/>
      <c r="BC3" s="212"/>
      <c r="BD3" s="212"/>
      <c r="BE3" s="212"/>
      <c r="BF3" s="212"/>
      <c r="BG3" s="212"/>
      <c r="BH3" s="212"/>
      <c r="BI3" s="279"/>
      <c r="BJ3" s="185"/>
      <c r="BK3" s="185"/>
      <c r="BL3" s="185"/>
      <c r="BM3" s="185"/>
      <c r="BN3" s="185"/>
      <c r="BO3" s="185"/>
      <c r="BP3" s="185"/>
      <c r="BQ3" s="185"/>
      <c r="BR3" s="185"/>
      <c r="BS3" s="185"/>
      <c r="BT3" s="185"/>
      <c r="BU3" s="185"/>
      <c r="BV3" s="185"/>
      <c r="BW3" s="185"/>
      <c r="BX3" s="185"/>
      <c r="BY3" s="185"/>
      <c r="BZ3" s="185"/>
      <c r="CA3" s="185"/>
      <c r="CB3" s="185"/>
      <c r="CC3" s="185"/>
      <c r="CD3" s="185"/>
      <c r="CE3" s="185"/>
      <c r="CF3" s="185"/>
    </row>
    <row r="4" spans="1:84" s="186" customFormat="1">
      <c r="A4" s="187"/>
      <c r="B4" s="212"/>
      <c r="C4" s="293" t="s">
        <v>430</v>
      </c>
      <c r="D4" s="294"/>
      <c r="E4" s="294"/>
      <c r="F4" s="294"/>
      <c r="G4" s="294"/>
      <c r="H4" s="294"/>
      <c r="I4" s="294"/>
      <c r="J4" s="293" t="s">
        <v>431</v>
      </c>
      <c r="K4" s="294"/>
      <c r="L4" s="294"/>
      <c r="M4" s="294"/>
      <c r="N4" s="294"/>
      <c r="O4" s="294"/>
      <c r="P4" s="294"/>
      <c r="Q4" s="293" t="s">
        <v>404</v>
      </c>
      <c r="R4" s="294"/>
      <c r="S4" s="294"/>
      <c r="T4" s="294"/>
      <c r="U4" s="294"/>
      <c r="V4" s="294"/>
      <c r="W4" s="294"/>
      <c r="X4" s="295" t="s">
        <v>432</v>
      </c>
      <c r="Y4" s="296"/>
      <c r="Z4" s="296"/>
      <c r="AA4" s="296"/>
      <c r="AB4" s="296"/>
      <c r="AC4" s="296"/>
      <c r="AD4" s="296"/>
      <c r="AE4" s="295" t="s">
        <v>433</v>
      </c>
      <c r="AF4" s="296"/>
      <c r="AG4" s="296"/>
      <c r="AH4" s="296"/>
      <c r="AI4" s="296"/>
      <c r="AJ4" s="296"/>
      <c r="AK4" s="296"/>
      <c r="AL4" s="295" t="s">
        <v>434</v>
      </c>
      <c r="AM4" s="296"/>
      <c r="AN4" s="296"/>
      <c r="AO4" s="296"/>
      <c r="AP4" s="296"/>
      <c r="AQ4" s="296"/>
      <c r="AR4" s="296"/>
      <c r="AS4" s="187"/>
      <c r="AT4" s="273"/>
      <c r="AU4" s="212"/>
      <c r="AV4" s="212"/>
      <c r="AW4" s="212"/>
      <c r="AX4" s="212"/>
      <c r="AY4" s="212"/>
      <c r="AZ4" s="212"/>
      <c r="BA4" s="212"/>
      <c r="BB4" s="212"/>
      <c r="BC4" s="212"/>
      <c r="BD4" s="212"/>
      <c r="BE4" s="212"/>
      <c r="BF4" s="212"/>
      <c r="BG4" s="212"/>
      <c r="BH4" s="212"/>
      <c r="BI4" s="279"/>
      <c r="BJ4" s="185"/>
      <c r="BK4" s="185"/>
      <c r="BL4" s="185"/>
      <c r="BM4" s="185"/>
      <c r="BN4" s="185"/>
      <c r="BO4" s="185"/>
      <c r="BP4" s="185"/>
      <c r="BQ4" s="185"/>
      <c r="BR4" s="185"/>
      <c r="BS4" s="185"/>
      <c r="BT4" s="185"/>
      <c r="BU4" s="185"/>
      <c r="BV4" s="185"/>
      <c r="BW4" s="185"/>
      <c r="BX4" s="185"/>
      <c r="BY4" s="185"/>
      <c r="BZ4" s="185"/>
      <c r="CA4" s="185"/>
      <c r="CB4" s="185"/>
      <c r="CC4" s="185"/>
      <c r="CD4" s="185"/>
      <c r="CE4" s="185"/>
      <c r="CF4" s="185"/>
    </row>
    <row r="5" spans="1:84" s="186" customFormat="1">
      <c r="A5" s="187"/>
      <c r="B5" s="213" t="s">
        <v>405</v>
      </c>
      <c r="C5" s="205" t="s">
        <v>406</v>
      </c>
      <c r="D5" s="205" t="s">
        <v>378</v>
      </c>
      <c r="E5" s="205" t="s">
        <v>407</v>
      </c>
      <c r="F5" s="205" t="s">
        <v>408</v>
      </c>
      <c r="G5" s="205" t="s">
        <v>409</v>
      </c>
      <c r="H5" s="205" t="s">
        <v>410</v>
      </c>
      <c r="I5" s="205" t="s">
        <v>411</v>
      </c>
      <c r="J5" s="205" t="s">
        <v>406</v>
      </c>
      <c r="K5" s="205" t="s">
        <v>378</v>
      </c>
      <c r="L5" s="205" t="s">
        <v>407</v>
      </c>
      <c r="M5" s="205" t="s">
        <v>408</v>
      </c>
      <c r="N5" s="205" t="s">
        <v>409</v>
      </c>
      <c r="O5" s="205" t="s">
        <v>410</v>
      </c>
      <c r="P5" s="205" t="s">
        <v>411</v>
      </c>
      <c r="Q5" s="205" t="s">
        <v>406</v>
      </c>
      <c r="R5" s="205" t="s">
        <v>378</v>
      </c>
      <c r="S5" s="205" t="s">
        <v>407</v>
      </c>
      <c r="T5" s="205" t="s">
        <v>408</v>
      </c>
      <c r="U5" s="205" t="s">
        <v>409</v>
      </c>
      <c r="V5" s="205" t="s">
        <v>410</v>
      </c>
      <c r="W5" s="205" t="s">
        <v>411</v>
      </c>
      <c r="X5" s="204" t="s">
        <v>406</v>
      </c>
      <c r="Y5" s="189" t="s">
        <v>378</v>
      </c>
      <c r="Z5" s="189" t="s">
        <v>407</v>
      </c>
      <c r="AA5" s="189" t="s">
        <v>408</v>
      </c>
      <c r="AB5" s="189" t="s">
        <v>409</v>
      </c>
      <c r="AC5" s="189" t="s">
        <v>410</v>
      </c>
      <c r="AD5" s="189" t="s">
        <v>411</v>
      </c>
      <c r="AE5" s="189" t="s">
        <v>406</v>
      </c>
      <c r="AF5" s="189" t="s">
        <v>378</v>
      </c>
      <c r="AG5" s="189" t="s">
        <v>407</v>
      </c>
      <c r="AH5" s="189" t="s">
        <v>408</v>
      </c>
      <c r="AI5" s="189" t="s">
        <v>409</v>
      </c>
      <c r="AJ5" s="189" t="s">
        <v>410</v>
      </c>
      <c r="AK5" s="189" t="s">
        <v>411</v>
      </c>
      <c r="AL5" s="189" t="s">
        <v>406</v>
      </c>
      <c r="AM5" s="189" t="s">
        <v>378</v>
      </c>
      <c r="AN5" s="189" t="s">
        <v>407</v>
      </c>
      <c r="AO5" s="189" t="s">
        <v>408</v>
      </c>
      <c r="AP5" s="189" t="s">
        <v>409</v>
      </c>
      <c r="AQ5" s="189" t="s">
        <v>410</v>
      </c>
      <c r="AR5" s="189" t="s">
        <v>411</v>
      </c>
      <c r="AS5" s="187"/>
      <c r="AT5" s="190"/>
      <c r="AU5" s="190"/>
      <c r="AV5" s="190"/>
      <c r="AW5" s="190"/>
      <c r="AX5" s="190"/>
      <c r="AY5" s="190"/>
      <c r="AZ5" s="190"/>
      <c r="BA5" s="190"/>
      <c r="BB5" s="190"/>
      <c r="BC5" s="190"/>
      <c r="BD5" s="190"/>
      <c r="BE5" s="190"/>
      <c r="BF5" s="190"/>
      <c r="BG5" s="190"/>
      <c r="BH5" s="190"/>
      <c r="BI5" s="188"/>
    </row>
    <row r="6" spans="1:84" s="186" customFormat="1">
      <c r="A6" s="210"/>
      <c r="B6" s="305" t="s">
        <v>754</v>
      </c>
      <c r="C6" s="305"/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  <c r="O6" s="305"/>
      <c r="P6" s="305"/>
      <c r="Q6" s="305"/>
      <c r="R6" s="305"/>
      <c r="S6" s="305"/>
      <c r="T6" s="305"/>
      <c r="U6" s="305"/>
      <c r="V6" s="305"/>
      <c r="W6" s="305"/>
      <c r="X6" s="305"/>
      <c r="Y6" s="305"/>
      <c r="Z6" s="305"/>
      <c r="AA6" s="305"/>
      <c r="AB6" s="305"/>
      <c r="AC6" s="305"/>
      <c r="AD6" s="305"/>
      <c r="AE6" s="305"/>
      <c r="AF6" s="305"/>
      <c r="AG6" s="305"/>
      <c r="AH6" s="305"/>
      <c r="AI6" s="305"/>
      <c r="AJ6" s="305"/>
      <c r="AK6" s="305"/>
      <c r="AL6" s="305"/>
      <c r="AM6" s="305"/>
      <c r="AN6" s="305"/>
      <c r="AO6" s="305"/>
      <c r="AP6" s="305"/>
      <c r="AQ6" s="305"/>
      <c r="AR6" s="305"/>
      <c r="AS6" s="210"/>
      <c r="AT6" s="196"/>
      <c r="AU6" s="190"/>
      <c r="AV6" s="190"/>
      <c r="AW6" s="190"/>
      <c r="AX6" s="190"/>
      <c r="AY6" s="190"/>
      <c r="AZ6" s="190"/>
      <c r="BA6" s="190"/>
      <c r="BB6" s="190"/>
      <c r="BC6" s="190"/>
      <c r="BD6" s="190"/>
      <c r="BE6" s="190"/>
      <c r="BF6" s="190"/>
      <c r="BG6" s="190"/>
      <c r="BH6" s="190"/>
      <c r="BI6" s="188"/>
    </row>
    <row r="7" spans="1:84" s="186" customFormat="1">
      <c r="A7" s="210"/>
      <c r="B7" s="220" t="s">
        <v>436</v>
      </c>
      <c r="C7" s="203">
        <v>117.66</v>
      </c>
      <c r="D7" s="203">
        <v>13.96</v>
      </c>
      <c r="E7" s="203">
        <v>81</v>
      </c>
      <c r="F7" s="203">
        <v>107.91</v>
      </c>
      <c r="G7" s="203">
        <v>116.4</v>
      </c>
      <c r="H7" s="203">
        <v>126.27</v>
      </c>
      <c r="I7" s="203">
        <v>196.33</v>
      </c>
      <c r="J7" s="203">
        <v>115.61</v>
      </c>
      <c r="K7" s="203">
        <v>14.4</v>
      </c>
      <c r="L7" s="203">
        <v>83.75</v>
      </c>
      <c r="M7" s="203">
        <v>106.33</v>
      </c>
      <c r="N7" s="203">
        <v>113</v>
      </c>
      <c r="O7" s="203">
        <v>123.56</v>
      </c>
      <c r="P7" s="203">
        <v>199.27</v>
      </c>
      <c r="Q7" s="203">
        <v>116.66</v>
      </c>
      <c r="R7" s="203">
        <v>14.2</v>
      </c>
      <c r="S7" s="203">
        <v>81</v>
      </c>
      <c r="T7" s="203">
        <v>107</v>
      </c>
      <c r="U7" s="203">
        <v>114.55</v>
      </c>
      <c r="V7" s="203">
        <v>125</v>
      </c>
      <c r="W7" s="203">
        <v>199.27</v>
      </c>
      <c r="X7" s="193">
        <v>112.91</v>
      </c>
      <c r="Y7" s="193">
        <v>12.06</v>
      </c>
      <c r="Z7" s="193">
        <v>81</v>
      </c>
      <c r="AA7" s="193">
        <v>104.2</v>
      </c>
      <c r="AB7" s="193">
        <v>111.5</v>
      </c>
      <c r="AC7" s="193">
        <v>121.23</v>
      </c>
      <c r="AD7" s="193">
        <v>151.11000000000001</v>
      </c>
      <c r="AE7" s="193">
        <v>110.83</v>
      </c>
      <c r="AF7" s="193">
        <v>11.22</v>
      </c>
      <c r="AG7" s="193">
        <v>83.75</v>
      </c>
      <c r="AH7" s="193">
        <v>103.5</v>
      </c>
      <c r="AI7" s="193">
        <v>109.8</v>
      </c>
      <c r="AJ7" s="193">
        <v>117.88</v>
      </c>
      <c r="AK7" s="193">
        <v>157.66999999999999</v>
      </c>
      <c r="AL7" s="193">
        <v>111.85</v>
      </c>
      <c r="AM7" s="193">
        <v>11.68</v>
      </c>
      <c r="AN7" s="193">
        <v>81</v>
      </c>
      <c r="AO7" s="193">
        <v>103.75</v>
      </c>
      <c r="AP7" s="193">
        <v>110.5</v>
      </c>
      <c r="AQ7" s="193">
        <v>120.07</v>
      </c>
      <c r="AR7" s="193">
        <v>157.66999999999999</v>
      </c>
      <c r="AS7" s="210"/>
      <c r="AT7" s="195"/>
      <c r="AU7" s="196"/>
      <c r="AV7" s="196"/>
      <c r="AW7" s="196"/>
      <c r="AX7" s="196"/>
      <c r="AY7" s="198"/>
      <c r="AZ7" s="197"/>
      <c r="BA7" s="196"/>
      <c r="BB7" s="196"/>
      <c r="BC7" s="196"/>
      <c r="BD7" s="196"/>
      <c r="BE7" s="196"/>
      <c r="BF7" s="196"/>
      <c r="BG7" s="196"/>
      <c r="BH7" s="198"/>
      <c r="BI7" s="188"/>
    </row>
    <row r="8" spans="1:84" s="186" customFormat="1">
      <c r="A8" s="210"/>
      <c r="B8" s="220" t="s">
        <v>437</v>
      </c>
      <c r="C8" s="203">
        <v>84.9</v>
      </c>
      <c r="D8" s="203">
        <v>11.57</v>
      </c>
      <c r="E8" s="203">
        <v>57</v>
      </c>
      <c r="F8" s="203">
        <v>76.430000000000007</v>
      </c>
      <c r="G8" s="203">
        <v>82.77</v>
      </c>
      <c r="H8" s="203">
        <v>92</v>
      </c>
      <c r="I8" s="203">
        <v>147.57</v>
      </c>
      <c r="J8" s="203">
        <v>83.43</v>
      </c>
      <c r="K8" s="203">
        <v>11.43</v>
      </c>
      <c r="L8" s="203">
        <v>54</v>
      </c>
      <c r="M8" s="203">
        <v>75.5</v>
      </c>
      <c r="N8" s="203">
        <v>82.22</v>
      </c>
      <c r="O8" s="203">
        <v>89.57</v>
      </c>
      <c r="P8" s="203">
        <v>139.82</v>
      </c>
      <c r="Q8" s="203">
        <v>84.19</v>
      </c>
      <c r="R8" s="203">
        <v>11.52</v>
      </c>
      <c r="S8" s="203">
        <v>54</v>
      </c>
      <c r="T8" s="203">
        <v>76</v>
      </c>
      <c r="U8" s="203">
        <v>82.5</v>
      </c>
      <c r="V8" s="203">
        <v>91.12</v>
      </c>
      <c r="W8" s="203">
        <v>147.57</v>
      </c>
      <c r="X8" s="193">
        <v>80.37</v>
      </c>
      <c r="Y8" s="193">
        <v>9.19</v>
      </c>
      <c r="Z8" s="193">
        <v>57</v>
      </c>
      <c r="AA8" s="193">
        <v>73.67</v>
      </c>
      <c r="AB8" s="193">
        <v>79.33</v>
      </c>
      <c r="AC8" s="193">
        <v>86</v>
      </c>
      <c r="AD8" s="193">
        <v>120.33</v>
      </c>
      <c r="AE8" s="193">
        <v>80.13</v>
      </c>
      <c r="AF8" s="193">
        <v>9.15</v>
      </c>
      <c r="AG8" s="193">
        <v>54.67</v>
      </c>
      <c r="AH8" s="193">
        <v>73</v>
      </c>
      <c r="AI8" s="193">
        <v>79.38</v>
      </c>
      <c r="AJ8" s="193">
        <v>86.2</v>
      </c>
      <c r="AK8" s="193">
        <v>119</v>
      </c>
      <c r="AL8" s="193">
        <v>80.25</v>
      </c>
      <c r="AM8" s="193">
        <v>9.16</v>
      </c>
      <c r="AN8" s="193">
        <v>54.67</v>
      </c>
      <c r="AO8" s="193">
        <v>73.33</v>
      </c>
      <c r="AP8" s="193">
        <v>79.33</v>
      </c>
      <c r="AQ8" s="193">
        <v>86.14</v>
      </c>
      <c r="AR8" s="193">
        <v>120.33</v>
      </c>
      <c r="AS8" s="210"/>
      <c r="AT8" s="195"/>
      <c r="AU8" s="195"/>
      <c r="AV8" s="195"/>
      <c r="AW8" s="195"/>
      <c r="AX8" s="195"/>
      <c r="AY8" s="196"/>
      <c r="AZ8" s="197"/>
      <c r="BA8" s="195"/>
      <c r="BB8" s="195"/>
      <c r="BC8" s="195"/>
      <c r="BD8" s="195"/>
      <c r="BE8" s="195"/>
      <c r="BF8" s="195"/>
      <c r="BG8" s="195"/>
      <c r="BH8" s="196"/>
      <c r="BI8" s="188"/>
    </row>
    <row r="9" spans="1:84" s="186" customFormat="1">
      <c r="A9" s="210"/>
      <c r="B9" s="220" t="s">
        <v>438</v>
      </c>
      <c r="C9" s="203">
        <v>68.89</v>
      </c>
      <c r="D9" s="203">
        <v>11.54</v>
      </c>
      <c r="E9" s="203">
        <v>41.3</v>
      </c>
      <c r="F9" s="203">
        <v>60.67</v>
      </c>
      <c r="G9" s="203">
        <v>67</v>
      </c>
      <c r="H9" s="203">
        <v>75.64</v>
      </c>
      <c r="I9" s="203">
        <v>131.43</v>
      </c>
      <c r="J9" s="203">
        <v>67.69</v>
      </c>
      <c r="K9" s="203">
        <v>10.9</v>
      </c>
      <c r="L9" s="203">
        <v>36</v>
      </c>
      <c r="M9" s="203">
        <v>60</v>
      </c>
      <c r="N9" s="203">
        <v>66.599999999999994</v>
      </c>
      <c r="O9" s="203">
        <v>74</v>
      </c>
      <c r="P9" s="203">
        <v>110.73</v>
      </c>
      <c r="Q9" s="203">
        <v>68.31</v>
      </c>
      <c r="R9" s="203">
        <v>11.25</v>
      </c>
      <c r="S9" s="203">
        <v>36</v>
      </c>
      <c r="T9" s="203">
        <v>60.4</v>
      </c>
      <c r="U9" s="203">
        <v>66.87</v>
      </c>
      <c r="V9" s="203">
        <v>74.75</v>
      </c>
      <c r="W9" s="203">
        <v>131.43</v>
      </c>
      <c r="X9" s="193">
        <v>64.47</v>
      </c>
      <c r="Y9" s="193">
        <v>8.8699999999999992</v>
      </c>
      <c r="Z9" s="193">
        <v>41.3</v>
      </c>
      <c r="AA9" s="193">
        <v>58.25</v>
      </c>
      <c r="AB9" s="193">
        <v>63.38</v>
      </c>
      <c r="AC9" s="193">
        <v>69.44</v>
      </c>
      <c r="AD9" s="193">
        <v>106</v>
      </c>
      <c r="AE9" s="193">
        <v>65.040000000000006</v>
      </c>
      <c r="AF9" s="193">
        <v>8.91</v>
      </c>
      <c r="AG9" s="193">
        <v>38.67</v>
      </c>
      <c r="AH9" s="193">
        <v>58.5</v>
      </c>
      <c r="AI9" s="193">
        <v>64.400000000000006</v>
      </c>
      <c r="AJ9" s="193">
        <v>70.5</v>
      </c>
      <c r="AK9" s="193">
        <v>100.33</v>
      </c>
      <c r="AL9" s="193">
        <v>64.760000000000005</v>
      </c>
      <c r="AM9" s="193">
        <v>8.89</v>
      </c>
      <c r="AN9" s="193">
        <v>38.67</v>
      </c>
      <c r="AO9" s="193">
        <v>58.4</v>
      </c>
      <c r="AP9" s="193">
        <v>63.71</v>
      </c>
      <c r="AQ9" s="193">
        <v>70.25</v>
      </c>
      <c r="AR9" s="193">
        <v>106</v>
      </c>
      <c r="AS9" s="210"/>
      <c r="AT9" s="195"/>
      <c r="AU9" s="195"/>
      <c r="AV9" s="195"/>
      <c r="AW9" s="195"/>
      <c r="AX9" s="195"/>
      <c r="AY9" s="196"/>
      <c r="AZ9" s="197"/>
      <c r="BA9" s="195"/>
      <c r="BB9" s="195"/>
      <c r="BC9" s="195"/>
      <c r="BD9" s="195"/>
      <c r="BE9" s="195"/>
      <c r="BF9" s="195"/>
      <c r="BG9" s="195"/>
      <c r="BH9" s="196"/>
      <c r="BI9" s="188"/>
    </row>
    <row r="10" spans="1:84" s="186" customFormat="1">
      <c r="A10" s="210"/>
      <c r="B10" s="220" t="s">
        <v>439</v>
      </c>
      <c r="C10" s="203">
        <v>107.34</v>
      </c>
      <c r="D10" s="203">
        <v>17.690000000000001</v>
      </c>
      <c r="E10" s="203">
        <v>71</v>
      </c>
      <c r="F10" s="203">
        <v>93.5</v>
      </c>
      <c r="G10" s="203">
        <v>106.93</v>
      </c>
      <c r="H10" s="203">
        <v>119.11</v>
      </c>
      <c r="I10" s="203">
        <v>180</v>
      </c>
      <c r="J10" s="203">
        <v>102.32</v>
      </c>
      <c r="K10" s="203">
        <v>15.83</v>
      </c>
      <c r="L10" s="203">
        <v>71</v>
      </c>
      <c r="M10" s="203">
        <v>90.5</v>
      </c>
      <c r="N10" s="203">
        <v>100.67</v>
      </c>
      <c r="O10" s="203">
        <v>111.11</v>
      </c>
      <c r="P10" s="203">
        <v>185.09</v>
      </c>
      <c r="Q10" s="203">
        <v>104.89</v>
      </c>
      <c r="R10" s="203">
        <v>16.989999999999998</v>
      </c>
      <c r="S10" s="203">
        <v>71</v>
      </c>
      <c r="T10" s="203">
        <v>92</v>
      </c>
      <c r="U10" s="203">
        <v>103.78</v>
      </c>
      <c r="V10" s="203">
        <v>115.63</v>
      </c>
      <c r="W10" s="203">
        <v>185.09</v>
      </c>
      <c r="X10" s="193">
        <v>101.53</v>
      </c>
      <c r="Y10" s="193">
        <v>16.78</v>
      </c>
      <c r="Z10" s="193">
        <v>71</v>
      </c>
      <c r="AA10" s="193">
        <v>86.67</v>
      </c>
      <c r="AB10" s="193">
        <v>101</v>
      </c>
      <c r="AC10" s="193">
        <v>113.56</v>
      </c>
      <c r="AD10" s="193">
        <v>168.5</v>
      </c>
      <c r="AE10" s="193">
        <v>96.83</v>
      </c>
      <c r="AF10" s="193">
        <v>12.51</v>
      </c>
      <c r="AG10" s="193">
        <v>71</v>
      </c>
      <c r="AH10" s="193">
        <v>86.8</v>
      </c>
      <c r="AI10" s="193">
        <v>96.2</v>
      </c>
      <c r="AJ10" s="193">
        <v>104.78</v>
      </c>
      <c r="AK10" s="193">
        <v>157</v>
      </c>
      <c r="AL10" s="193">
        <v>99.13</v>
      </c>
      <c r="AM10" s="193">
        <v>14.93</v>
      </c>
      <c r="AN10" s="193">
        <v>71</v>
      </c>
      <c r="AO10" s="193">
        <v>86.73</v>
      </c>
      <c r="AP10" s="193">
        <v>97.5</v>
      </c>
      <c r="AQ10" s="193">
        <v>108.53</v>
      </c>
      <c r="AR10" s="193">
        <v>168.5</v>
      </c>
      <c r="AS10" s="210"/>
      <c r="AT10" s="195"/>
      <c r="AU10" s="195"/>
      <c r="AV10" s="195"/>
      <c r="AW10" s="195"/>
      <c r="AX10" s="195"/>
      <c r="AY10" s="196"/>
      <c r="AZ10" s="197"/>
      <c r="BA10" s="195"/>
      <c r="BB10" s="195"/>
      <c r="BC10" s="195"/>
      <c r="BD10" s="195"/>
      <c r="BE10" s="195"/>
      <c r="BF10" s="195"/>
      <c r="BG10" s="195"/>
      <c r="BH10" s="196"/>
      <c r="BI10" s="188"/>
    </row>
    <row r="11" spans="1:84" s="186" customFormat="1">
      <c r="A11" s="210"/>
      <c r="B11" s="220" t="s">
        <v>440</v>
      </c>
      <c r="C11" s="203">
        <v>70.27</v>
      </c>
      <c r="D11" s="203">
        <v>11.55</v>
      </c>
      <c r="E11" s="203">
        <v>41.1</v>
      </c>
      <c r="F11" s="203">
        <v>62.33</v>
      </c>
      <c r="G11" s="203">
        <v>68.55</v>
      </c>
      <c r="H11" s="203">
        <v>77.400000000000006</v>
      </c>
      <c r="I11" s="203">
        <v>133.13999999999999</v>
      </c>
      <c r="J11" s="203">
        <v>68.95</v>
      </c>
      <c r="K11" s="203">
        <v>10.89</v>
      </c>
      <c r="L11" s="203">
        <v>38</v>
      </c>
      <c r="M11" s="203">
        <v>60.8</v>
      </c>
      <c r="N11" s="203">
        <v>68.33</v>
      </c>
      <c r="O11" s="203">
        <v>75</v>
      </c>
      <c r="P11" s="203">
        <v>112.09</v>
      </c>
      <c r="Q11" s="203">
        <v>69.63</v>
      </c>
      <c r="R11" s="203">
        <v>11.25</v>
      </c>
      <c r="S11" s="203">
        <v>38</v>
      </c>
      <c r="T11" s="203">
        <v>61.83</v>
      </c>
      <c r="U11" s="203">
        <v>68.47</v>
      </c>
      <c r="V11" s="203">
        <v>76</v>
      </c>
      <c r="W11" s="203">
        <v>133.13999999999999</v>
      </c>
      <c r="X11" s="193">
        <v>65.78</v>
      </c>
      <c r="Y11" s="193">
        <v>8.94</v>
      </c>
      <c r="Z11" s="193">
        <v>41.1</v>
      </c>
      <c r="AA11" s="193">
        <v>59.25</v>
      </c>
      <c r="AB11" s="193">
        <v>64.5</v>
      </c>
      <c r="AC11" s="193">
        <v>71</v>
      </c>
      <c r="AD11" s="193">
        <v>109</v>
      </c>
      <c r="AE11" s="193">
        <v>66.37</v>
      </c>
      <c r="AF11" s="193">
        <v>8.91</v>
      </c>
      <c r="AG11" s="193">
        <v>39.33</v>
      </c>
      <c r="AH11" s="193">
        <v>59.5</v>
      </c>
      <c r="AI11" s="193">
        <v>65.67</v>
      </c>
      <c r="AJ11" s="193">
        <v>72</v>
      </c>
      <c r="AK11" s="193">
        <v>104</v>
      </c>
      <c r="AL11" s="193">
        <v>66.08</v>
      </c>
      <c r="AM11" s="193">
        <v>8.93</v>
      </c>
      <c r="AN11" s="193">
        <v>39.33</v>
      </c>
      <c r="AO11" s="193">
        <v>59.5</v>
      </c>
      <c r="AP11" s="193">
        <v>65</v>
      </c>
      <c r="AQ11" s="193">
        <v>71.61</v>
      </c>
      <c r="AR11" s="193">
        <v>109</v>
      </c>
      <c r="AS11" s="210"/>
      <c r="AT11" s="195"/>
      <c r="AU11" s="195"/>
      <c r="AV11" s="195"/>
      <c r="AW11" s="195"/>
      <c r="AX11" s="195"/>
      <c r="AY11" s="196"/>
      <c r="AZ11" s="197"/>
      <c r="BA11" s="195"/>
      <c r="BB11" s="195"/>
      <c r="BC11" s="195"/>
      <c r="BD11" s="195"/>
      <c r="BE11" s="195"/>
      <c r="BF11" s="195"/>
      <c r="BG11" s="195"/>
      <c r="BH11" s="196"/>
      <c r="BI11" s="188"/>
    </row>
    <row r="12" spans="1:84" s="186" customFormat="1">
      <c r="A12" s="210"/>
      <c r="B12" s="220" t="s">
        <v>451</v>
      </c>
      <c r="C12" s="203">
        <v>73.319999999999993</v>
      </c>
      <c r="D12" s="203">
        <v>15.39</v>
      </c>
      <c r="E12" s="203">
        <v>33.4</v>
      </c>
      <c r="F12" s="203">
        <v>61.27</v>
      </c>
      <c r="G12" s="203">
        <v>70.7</v>
      </c>
      <c r="H12" s="203">
        <v>84</v>
      </c>
      <c r="I12" s="203">
        <v>126.5</v>
      </c>
      <c r="J12" s="203">
        <v>78.180000000000007</v>
      </c>
      <c r="K12" s="203">
        <v>15.17</v>
      </c>
      <c r="L12" s="203">
        <v>41</v>
      </c>
      <c r="M12" s="203">
        <v>67.38</v>
      </c>
      <c r="N12" s="203">
        <v>76.33</v>
      </c>
      <c r="O12" s="203">
        <v>87.75</v>
      </c>
      <c r="P12" s="203">
        <v>135.25</v>
      </c>
      <c r="Q12" s="203">
        <v>75.680000000000007</v>
      </c>
      <c r="R12" s="203">
        <v>15.47</v>
      </c>
      <c r="S12" s="203">
        <v>33.4</v>
      </c>
      <c r="T12" s="203">
        <v>64</v>
      </c>
      <c r="U12" s="203">
        <v>73.47</v>
      </c>
      <c r="V12" s="203">
        <v>85.67</v>
      </c>
      <c r="W12" s="203">
        <v>135.25</v>
      </c>
      <c r="X12" s="193">
        <v>75.81</v>
      </c>
      <c r="Y12" s="193">
        <v>16.3</v>
      </c>
      <c r="Z12" s="193">
        <v>43.5</v>
      </c>
      <c r="AA12" s="193">
        <v>62.2</v>
      </c>
      <c r="AB12" s="193">
        <v>73.22</v>
      </c>
      <c r="AC12" s="193">
        <v>86.67</v>
      </c>
      <c r="AD12" s="193">
        <v>126.5</v>
      </c>
      <c r="AE12" s="193">
        <v>81.3</v>
      </c>
      <c r="AF12" s="193">
        <v>15.83</v>
      </c>
      <c r="AG12" s="193">
        <v>41</v>
      </c>
      <c r="AH12" s="193">
        <v>70.2</v>
      </c>
      <c r="AI12" s="193">
        <v>79.67</v>
      </c>
      <c r="AJ12" s="193">
        <v>91.2</v>
      </c>
      <c r="AK12" s="193">
        <v>135.25</v>
      </c>
      <c r="AL12" s="193">
        <v>78.599999999999994</v>
      </c>
      <c r="AM12" s="193">
        <v>16.29</v>
      </c>
      <c r="AN12" s="193">
        <v>41</v>
      </c>
      <c r="AO12" s="193">
        <v>66.75</v>
      </c>
      <c r="AP12" s="193">
        <v>76.75</v>
      </c>
      <c r="AQ12" s="193">
        <v>88.83</v>
      </c>
      <c r="AR12" s="193">
        <v>135.25</v>
      </c>
      <c r="AS12" s="210"/>
      <c r="AT12" s="195"/>
      <c r="AU12" s="195"/>
      <c r="AV12" s="195"/>
      <c r="AW12" s="195"/>
      <c r="AX12" s="195"/>
      <c r="AY12" s="196"/>
      <c r="AZ12" s="197"/>
      <c r="BA12" s="195"/>
      <c r="BB12" s="195"/>
      <c r="BC12" s="195"/>
      <c r="BD12" s="195"/>
      <c r="BE12" s="195"/>
      <c r="BF12" s="195"/>
      <c r="BG12" s="195"/>
      <c r="BH12" s="196"/>
      <c r="BI12" s="188"/>
    </row>
    <row r="13" spans="1:84" s="186" customFormat="1">
      <c r="A13" s="210"/>
      <c r="B13" s="220" t="s">
        <v>441</v>
      </c>
      <c r="C13" s="203">
        <v>6.63</v>
      </c>
      <c r="D13" s="203">
        <v>5.13</v>
      </c>
      <c r="E13" s="203">
        <v>1</v>
      </c>
      <c r="F13" s="203">
        <v>3.22</v>
      </c>
      <c r="G13" s="203">
        <v>4.8600000000000003</v>
      </c>
      <c r="H13" s="203">
        <v>8.2200000000000006</v>
      </c>
      <c r="I13" s="203">
        <v>36.5</v>
      </c>
      <c r="J13" s="203">
        <v>7.85</v>
      </c>
      <c r="K13" s="203">
        <v>5.57</v>
      </c>
      <c r="L13" s="203">
        <v>2</v>
      </c>
      <c r="M13" s="203">
        <v>4.3600000000000003</v>
      </c>
      <c r="N13" s="203">
        <v>6</v>
      </c>
      <c r="O13" s="203">
        <v>9</v>
      </c>
      <c r="P13" s="203">
        <v>37.6</v>
      </c>
      <c r="Q13" s="203">
        <v>7.22</v>
      </c>
      <c r="R13" s="203">
        <v>5.38</v>
      </c>
      <c r="S13" s="203">
        <v>1</v>
      </c>
      <c r="T13" s="203">
        <v>3.76</v>
      </c>
      <c r="U13" s="203">
        <v>5.39</v>
      </c>
      <c r="V13" s="203">
        <v>8.6300000000000008</v>
      </c>
      <c r="W13" s="203">
        <v>37.6</v>
      </c>
      <c r="X13" s="193">
        <v>5.68</v>
      </c>
      <c r="Y13" s="193">
        <v>4.04</v>
      </c>
      <c r="Z13" s="193">
        <v>1</v>
      </c>
      <c r="AA13" s="193">
        <v>3.14</v>
      </c>
      <c r="AB13" s="193">
        <v>4.3600000000000003</v>
      </c>
      <c r="AC13" s="193">
        <v>6.92</v>
      </c>
      <c r="AD13" s="193">
        <v>26.89</v>
      </c>
      <c r="AE13" s="193">
        <v>6.17</v>
      </c>
      <c r="AF13" s="193">
        <v>3.49</v>
      </c>
      <c r="AG13" s="193">
        <v>2</v>
      </c>
      <c r="AH13" s="193">
        <v>4</v>
      </c>
      <c r="AI13" s="193">
        <v>5.29</v>
      </c>
      <c r="AJ13" s="193">
        <v>7</v>
      </c>
      <c r="AK13" s="193">
        <v>32</v>
      </c>
      <c r="AL13" s="193">
        <v>5.93</v>
      </c>
      <c r="AM13" s="193">
        <v>3.77</v>
      </c>
      <c r="AN13" s="193">
        <v>1</v>
      </c>
      <c r="AO13" s="193">
        <v>3.62</v>
      </c>
      <c r="AP13" s="193">
        <v>5</v>
      </c>
      <c r="AQ13" s="193">
        <v>7</v>
      </c>
      <c r="AR13" s="193">
        <v>32</v>
      </c>
      <c r="AS13" s="210"/>
      <c r="AT13" s="195"/>
      <c r="AU13" s="195"/>
      <c r="AV13" s="195"/>
      <c r="AW13" s="195"/>
      <c r="AX13" s="195"/>
      <c r="AY13" s="196"/>
      <c r="AZ13" s="197"/>
      <c r="BA13" s="195"/>
      <c r="BB13" s="195"/>
      <c r="BC13" s="195"/>
      <c r="BD13" s="195"/>
      <c r="BE13" s="195"/>
      <c r="BF13" s="195"/>
      <c r="BG13" s="195"/>
      <c r="BH13" s="196"/>
      <c r="BI13" s="188"/>
    </row>
    <row r="14" spans="1:84" s="186" customFormat="1">
      <c r="A14" s="210"/>
      <c r="B14" s="220" t="s">
        <v>442</v>
      </c>
      <c r="C14" s="203">
        <v>16.68</v>
      </c>
      <c r="D14" s="203">
        <v>9.77</v>
      </c>
      <c r="E14" s="203">
        <v>2.33</v>
      </c>
      <c r="F14" s="203">
        <v>9.67</v>
      </c>
      <c r="G14" s="203">
        <v>14</v>
      </c>
      <c r="H14" s="203">
        <v>21.33</v>
      </c>
      <c r="I14" s="203">
        <v>53</v>
      </c>
      <c r="J14" s="203">
        <v>22.12</v>
      </c>
      <c r="K14" s="203">
        <v>10.51</v>
      </c>
      <c r="L14" s="203">
        <v>-7</v>
      </c>
      <c r="M14" s="203">
        <v>14.33</v>
      </c>
      <c r="N14" s="203">
        <v>19.329999999999998</v>
      </c>
      <c r="O14" s="203">
        <v>27.4</v>
      </c>
      <c r="P14" s="203">
        <v>60.82</v>
      </c>
      <c r="Q14" s="203">
        <v>19.329999999999998</v>
      </c>
      <c r="R14" s="203">
        <v>10.49</v>
      </c>
      <c r="S14" s="203">
        <v>-7</v>
      </c>
      <c r="T14" s="203">
        <v>11.57</v>
      </c>
      <c r="U14" s="203">
        <v>16.739999999999998</v>
      </c>
      <c r="V14" s="203">
        <v>24.39</v>
      </c>
      <c r="W14" s="203">
        <v>60.82</v>
      </c>
      <c r="X14" s="193">
        <v>15.2</v>
      </c>
      <c r="Y14" s="193">
        <v>8.0299999999999994</v>
      </c>
      <c r="Z14" s="193">
        <v>2.33</v>
      </c>
      <c r="AA14" s="193">
        <v>9.33</v>
      </c>
      <c r="AB14" s="193">
        <v>13.2</v>
      </c>
      <c r="AC14" s="193">
        <v>20</v>
      </c>
      <c r="AD14" s="193">
        <v>48</v>
      </c>
      <c r="AE14" s="193">
        <v>19.78</v>
      </c>
      <c r="AF14" s="193">
        <v>8.17</v>
      </c>
      <c r="AG14" s="193">
        <v>-7</v>
      </c>
      <c r="AH14" s="193">
        <v>13.86</v>
      </c>
      <c r="AI14" s="193">
        <v>18</v>
      </c>
      <c r="AJ14" s="193">
        <v>24</v>
      </c>
      <c r="AK14" s="193">
        <v>60</v>
      </c>
      <c r="AL14" s="193">
        <v>17.55</v>
      </c>
      <c r="AM14" s="193">
        <v>8.41</v>
      </c>
      <c r="AN14" s="193">
        <v>-7</v>
      </c>
      <c r="AO14" s="193">
        <v>11.24</v>
      </c>
      <c r="AP14" s="193">
        <v>16.170000000000002</v>
      </c>
      <c r="AQ14" s="193">
        <v>22.36</v>
      </c>
      <c r="AR14" s="193">
        <v>60</v>
      </c>
      <c r="AS14" s="210"/>
      <c r="AT14" s="195"/>
      <c r="AU14" s="195"/>
      <c r="AV14" s="195"/>
      <c r="AW14" s="195"/>
      <c r="AX14" s="195"/>
      <c r="AY14" s="196"/>
      <c r="AZ14" s="197"/>
      <c r="BA14" s="195"/>
      <c r="BB14" s="195"/>
      <c r="BC14" s="195"/>
      <c r="BD14" s="195"/>
      <c r="BE14" s="195"/>
      <c r="BF14" s="195"/>
      <c r="BG14" s="195"/>
      <c r="BH14" s="196"/>
      <c r="BI14" s="188"/>
    </row>
    <row r="15" spans="1:84" s="186" customFormat="1">
      <c r="A15" s="210"/>
      <c r="B15" s="220" t="s">
        <v>443</v>
      </c>
      <c r="C15" s="203">
        <v>15.62</v>
      </c>
      <c r="D15" s="203">
        <v>11.15</v>
      </c>
      <c r="E15" s="203">
        <v>-7.33</v>
      </c>
      <c r="F15" s="203">
        <v>7</v>
      </c>
      <c r="G15" s="203">
        <v>15</v>
      </c>
      <c r="H15" s="203">
        <v>23.67</v>
      </c>
      <c r="I15" s="203">
        <v>62.33</v>
      </c>
      <c r="J15" s="203">
        <v>23.94</v>
      </c>
      <c r="K15" s="203">
        <v>11.28</v>
      </c>
      <c r="L15" s="203">
        <v>-6</v>
      </c>
      <c r="M15" s="203">
        <v>15.2</v>
      </c>
      <c r="N15" s="203">
        <v>23.86</v>
      </c>
      <c r="O15" s="203">
        <v>31.5</v>
      </c>
      <c r="P15" s="203">
        <v>65</v>
      </c>
      <c r="Q15" s="203">
        <v>19.670000000000002</v>
      </c>
      <c r="R15" s="203">
        <v>11.95</v>
      </c>
      <c r="S15" s="203">
        <v>-7.33</v>
      </c>
      <c r="T15" s="203">
        <v>10.42</v>
      </c>
      <c r="U15" s="203">
        <v>19</v>
      </c>
      <c r="V15" s="203">
        <v>28.33</v>
      </c>
      <c r="W15" s="203">
        <v>65</v>
      </c>
      <c r="X15" s="193">
        <v>15.59</v>
      </c>
      <c r="Y15" s="193">
        <v>11.9</v>
      </c>
      <c r="Z15" s="193">
        <v>-7</v>
      </c>
      <c r="AA15" s="193">
        <v>6</v>
      </c>
      <c r="AB15" s="193">
        <v>14.57</v>
      </c>
      <c r="AC15" s="193">
        <v>24.67</v>
      </c>
      <c r="AD15" s="193">
        <v>62.33</v>
      </c>
      <c r="AE15" s="193">
        <v>23.38</v>
      </c>
      <c r="AF15" s="193">
        <v>11.48</v>
      </c>
      <c r="AG15" s="193">
        <v>-6</v>
      </c>
      <c r="AH15" s="193">
        <v>14.8</v>
      </c>
      <c r="AI15" s="193">
        <v>23.33</v>
      </c>
      <c r="AJ15" s="193">
        <v>31</v>
      </c>
      <c r="AK15" s="193">
        <v>65</v>
      </c>
      <c r="AL15" s="193">
        <v>19.57</v>
      </c>
      <c r="AM15" s="193">
        <v>12.31</v>
      </c>
      <c r="AN15" s="193">
        <v>-7</v>
      </c>
      <c r="AO15" s="193">
        <v>10</v>
      </c>
      <c r="AP15" s="193">
        <v>19.149999999999999</v>
      </c>
      <c r="AQ15" s="193">
        <v>28.42</v>
      </c>
      <c r="AR15" s="193">
        <v>65</v>
      </c>
      <c r="AS15" s="210"/>
      <c r="AT15" s="195"/>
      <c r="AU15" s="195"/>
      <c r="AV15" s="195"/>
      <c r="AW15" s="195"/>
      <c r="AX15" s="195"/>
      <c r="AY15" s="196"/>
      <c r="AZ15" s="197"/>
      <c r="BA15" s="195"/>
      <c r="BB15" s="195"/>
      <c r="BC15" s="195"/>
      <c r="BD15" s="195"/>
      <c r="BE15" s="195"/>
      <c r="BF15" s="195"/>
      <c r="BG15" s="195"/>
      <c r="BH15" s="196"/>
      <c r="BI15" s="188"/>
    </row>
    <row r="16" spans="1:84" s="186" customFormat="1">
      <c r="A16" s="210"/>
      <c r="B16" s="220" t="s">
        <v>444</v>
      </c>
      <c r="C16" s="203">
        <v>24.7</v>
      </c>
      <c r="D16" s="203">
        <v>8.35</v>
      </c>
      <c r="E16" s="203">
        <v>10.3</v>
      </c>
      <c r="F16" s="203">
        <v>18.78</v>
      </c>
      <c r="G16" s="203">
        <v>22.95</v>
      </c>
      <c r="H16" s="203">
        <v>28.5</v>
      </c>
      <c r="I16" s="203">
        <v>65.55</v>
      </c>
      <c r="J16" s="203">
        <v>21.97</v>
      </c>
      <c r="K16" s="203">
        <v>6.28</v>
      </c>
      <c r="L16" s="203">
        <v>11.3</v>
      </c>
      <c r="M16" s="203">
        <v>17.649999999999999</v>
      </c>
      <c r="N16" s="203">
        <v>20.97</v>
      </c>
      <c r="O16" s="203">
        <v>24.65</v>
      </c>
      <c r="P16" s="203">
        <v>53.44</v>
      </c>
      <c r="Q16" s="203">
        <v>23.37</v>
      </c>
      <c r="R16" s="203">
        <v>7.54</v>
      </c>
      <c r="S16" s="203">
        <v>10.3</v>
      </c>
      <c r="T16" s="203">
        <v>18.13</v>
      </c>
      <c r="U16" s="203">
        <v>21.94</v>
      </c>
      <c r="V16" s="203">
        <v>26.8</v>
      </c>
      <c r="W16" s="203">
        <v>65.55</v>
      </c>
      <c r="X16" s="193">
        <v>24.16</v>
      </c>
      <c r="Y16" s="193">
        <v>8.9600000000000009</v>
      </c>
      <c r="Z16" s="193">
        <v>10.3</v>
      </c>
      <c r="AA16" s="193">
        <v>17.3</v>
      </c>
      <c r="AB16" s="193">
        <v>22.32</v>
      </c>
      <c r="AC16" s="193">
        <v>28.72</v>
      </c>
      <c r="AD16" s="193">
        <v>65.55</v>
      </c>
      <c r="AE16" s="193">
        <v>20.47</v>
      </c>
      <c r="AF16" s="193">
        <v>5.65</v>
      </c>
      <c r="AG16" s="193">
        <v>11.3</v>
      </c>
      <c r="AH16" s="193">
        <v>16.87</v>
      </c>
      <c r="AI16" s="193">
        <v>19.649999999999999</v>
      </c>
      <c r="AJ16" s="193">
        <v>22.99</v>
      </c>
      <c r="AK16" s="193">
        <v>50.68</v>
      </c>
      <c r="AL16" s="193">
        <v>22.27</v>
      </c>
      <c r="AM16" s="193">
        <v>7.68</v>
      </c>
      <c r="AN16" s="193">
        <v>10.3</v>
      </c>
      <c r="AO16" s="193">
        <v>17.059999999999999</v>
      </c>
      <c r="AP16" s="193">
        <v>20.6</v>
      </c>
      <c r="AQ16" s="193">
        <v>25.25</v>
      </c>
      <c r="AR16" s="193">
        <v>65.55</v>
      </c>
      <c r="AS16" s="210"/>
      <c r="AT16" s="195"/>
      <c r="AU16" s="195"/>
      <c r="AV16" s="195"/>
      <c r="AW16" s="195"/>
      <c r="AX16" s="195"/>
      <c r="AY16" s="196"/>
      <c r="AZ16" s="197"/>
      <c r="BA16" s="195"/>
      <c r="BB16" s="195"/>
      <c r="BC16" s="195"/>
      <c r="BD16" s="195"/>
      <c r="BE16" s="195"/>
      <c r="BF16" s="195"/>
      <c r="BG16" s="195"/>
      <c r="BH16" s="196"/>
      <c r="BI16" s="188"/>
    </row>
    <row r="17" spans="1:61" s="186" customFormat="1">
      <c r="A17" s="208"/>
      <c r="B17" s="220" t="s">
        <v>445</v>
      </c>
      <c r="C17" s="203">
        <v>14.72</v>
      </c>
      <c r="D17" s="203">
        <v>5.61</v>
      </c>
      <c r="E17" s="203">
        <v>4.2</v>
      </c>
      <c r="F17" s="203">
        <v>10.65</v>
      </c>
      <c r="G17" s="203">
        <v>13.9</v>
      </c>
      <c r="H17" s="203">
        <v>17.510000000000002</v>
      </c>
      <c r="I17" s="203">
        <v>38.15</v>
      </c>
      <c r="J17" s="203">
        <v>13.06</v>
      </c>
      <c r="K17" s="203">
        <v>4.5199999999999996</v>
      </c>
      <c r="L17" s="203">
        <v>4.4000000000000004</v>
      </c>
      <c r="M17" s="203">
        <v>9.83</v>
      </c>
      <c r="N17" s="203">
        <v>12.46</v>
      </c>
      <c r="O17" s="203">
        <v>15.3</v>
      </c>
      <c r="P17" s="203">
        <v>35.020000000000003</v>
      </c>
      <c r="Q17" s="203">
        <v>13.91</v>
      </c>
      <c r="R17" s="203">
        <v>5.17</v>
      </c>
      <c r="S17" s="203">
        <v>4.2</v>
      </c>
      <c r="T17" s="203">
        <v>10.130000000000001</v>
      </c>
      <c r="U17" s="203">
        <v>13.1</v>
      </c>
      <c r="V17" s="203">
        <v>16.579999999999998</v>
      </c>
      <c r="W17" s="203">
        <v>38.15</v>
      </c>
      <c r="X17" s="193">
        <v>13.96</v>
      </c>
      <c r="Y17" s="193">
        <v>5.93</v>
      </c>
      <c r="Z17" s="193">
        <v>4.2</v>
      </c>
      <c r="AA17" s="193">
        <v>9.32</v>
      </c>
      <c r="AB17" s="193">
        <v>12.66</v>
      </c>
      <c r="AC17" s="193">
        <v>16.850000000000001</v>
      </c>
      <c r="AD17" s="193">
        <v>38.15</v>
      </c>
      <c r="AE17" s="193">
        <v>11.67</v>
      </c>
      <c r="AF17" s="193">
        <v>3.85</v>
      </c>
      <c r="AG17" s="193">
        <v>4.4000000000000004</v>
      </c>
      <c r="AH17" s="193">
        <v>8.9700000000000006</v>
      </c>
      <c r="AI17" s="193">
        <v>11.03</v>
      </c>
      <c r="AJ17" s="193">
        <v>13.67</v>
      </c>
      <c r="AK17" s="193">
        <v>30.85</v>
      </c>
      <c r="AL17" s="193">
        <v>12.79</v>
      </c>
      <c r="AM17" s="193">
        <v>5.0999999999999996</v>
      </c>
      <c r="AN17" s="193">
        <v>4.2</v>
      </c>
      <c r="AO17" s="193">
        <v>9.15</v>
      </c>
      <c r="AP17" s="193">
        <v>11.65</v>
      </c>
      <c r="AQ17" s="193">
        <v>15.23</v>
      </c>
      <c r="AR17" s="193">
        <v>38.15</v>
      </c>
      <c r="AS17" s="208"/>
      <c r="AT17" s="195"/>
      <c r="AU17" s="195"/>
      <c r="AV17" s="195"/>
      <c r="AW17" s="195"/>
      <c r="AX17" s="195"/>
      <c r="AY17" s="196"/>
      <c r="AZ17" s="197"/>
      <c r="BA17" s="195"/>
      <c r="BB17" s="195"/>
      <c r="BC17" s="195"/>
      <c r="BD17" s="195"/>
      <c r="BE17" s="195"/>
      <c r="BF17" s="195"/>
      <c r="BG17" s="195"/>
      <c r="BH17" s="196"/>
      <c r="BI17" s="188"/>
    </row>
    <row r="18" spans="1:61" s="186" customFormat="1">
      <c r="A18" s="208"/>
      <c r="B18" s="220" t="s">
        <v>153</v>
      </c>
      <c r="C18" s="217">
        <v>0.59</v>
      </c>
      <c r="D18" s="217">
        <v>0.1</v>
      </c>
      <c r="E18" s="217">
        <v>0.18</v>
      </c>
      <c r="F18" s="217">
        <v>0.54</v>
      </c>
      <c r="G18" s="217">
        <v>0.6</v>
      </c>
      <c r="H18" s="217">
        <v>0.66</v>
      </c>
      <c r="I18" s="217">
        <v>0.81</v>
      </c>
      <c r="J18" s="217">
        <v>0.59</v>
      </c>
      <c r="K18" s="217">
        <v>0.09</v>
      </c>
      <c r="L18" s="217">
        <v>0.19</v>
      </c>
      <c r="M18" s="217">
        <v>0.53</v>
      </c>
      <c r="N18" s="217">
        <v>0.59</v>
      </c>
      <c r="O18" s="217">
        <v>0.66</v>
      </c>
      <c r="P18" s="217">
        <v>0.8</v>
      </c>
      <c r="Q18" s="217">
        <v>0.59</v>
      </c>
      <c r="R18" s="217">
        <v>0.1</v>
      </c>
      <c r="S18" s="217">
        <v>0.18</v>
      </c>
      <c r="T18" s="217">
        <v>0.53</v>
      </c>
      <c r="U18" s="217">
        <v>0.6</v>
      </c>
      <c r="V18" s="217">
        <v>0.66</v>
      </c>
      <c r="W18" s="217">
        <v>0.81</v>
      </c>
      <c r="X18" s="207">
        <v>0.56999999999999995</v>
      </c>
      <c r="Y18" s="207">
        <v>0.09</v>
      </c>
      <c r="Z18" s="207">
        <v>0.18</v>
      </c>
      <c r="AA18" s="207">
        <v>0.52</v>
      </c>
      <c r="AB18" s="207">
        <v>0.57999999999999996</v>
      </c>
      <c r="AC18" s="207">
        <v>0.63</v>
      </c>
      <c r="AD18" s="207">
        <v>0.77</v>
      </c>
      <c r="AE18" s="207">
        <v>0.56999999999999995</v>
      </c>
      <c r="AF18" s="207">
        <v>0.09</v>
      </c>
      <c r="AG18" s="207">
        <v>0.19</v>
      </c>
      <c r="AH18" s="207">
        <v>0.51</v>
      </c>
      <c r="AI18" s="207">
        <v>0.57999999999999996</v>
      </c>
      <c r="AJ18" s="207">
        <v>0.63</v>
      </c>
      <c r="AK18" s="207">
        <v>0.8</v>
      </c>
      <c r="AL18" s="207">
        <v>0.56999999999999995</v>
      </c>
      <c r="AM18" s="207">
        <v>0.09</v>
      </c>
      <c r="AN18" s="207">
        <v>0.18</v>
      </c>
      <c r="AO18" s="207">
        <v>0.52</v>
      </c>
      <c r="AP18" s="207">
        <v>0.57999999999999996</v>
      </c>
      <c r="AQ18" s="207">
        <v>0.63</v>
      </c>
      <c r="AR18" s="207">
        <v>0.8</v>
      </c>
      <c r="AS18" s="208"/>
      <c r="AT18" s="188"/>
      <c r="AU18" s="195"/>
      <c r="AV18" s="195"/>
      <c r="AW18" s="195"/>
      <c r="AX18" s="195"/>
      <c r="AY18" s="196"/>
      <c r="AZ18" s="197"/>
      <c r="BA18" s="195"/>
      <c r="BB18" s="195"/>
      <c r="BC18" s="195"/>
      <c r="BD18" s="195"/>
      <c r="BE18" s="195"/>
      <c r="BF18" s="195"/>
      <c r="BG18" s="195"/>
      <c r="BH18" s="196"/>
      <c r="BI18" s="188"/>
    </row>
    <row r="19" spans="1:61" s="186" customFormat="1">
      <c r="A19" s="187"/>
      <c r="B19" s="220" t="s">
        <v>760</v>
      </c>
      <c r="C19" s="217">
        <v>0.37</v>
      </c>
      <c r="D19" s="217">
        <v>0.04</v>
      </c>
      <c r="E19" s="217">
        <v>0.15</v>
      </c>
      <c r="F19" s="217">
        <v>0.35</v>
      </c>
      <c r="G19" s="217">
        <v>0.38</v>
      </c>
      <c r="H19" s="217">
        <v>0.4</v>
      </c>
      <c r="I19" s="217">
        <v>0.45</v>
      </c>
      <c r="J19" s="217">
        <v>0.37</v>
      </c>
      <c r="K19" s="217">
        <v>0.04</v>
      </c>
      <c r="L19" s="217">
        <v>0.16</v>
      </c>
      <c r="M19" s="217">
        <v>0.35</v>
      </c>
      <c r="N19" s="217">
        <v>0.37</v>
      </c>
      <c r="O19" s="217">
        <v>0.4</v>
      </c>
      <c r="P19" s="217">
        <v>0.44</v>
      </c>
      <c r="Q19" s="217">
        <v>0.37</v>
      </c>
      <c r="R19" s="217">
        <v>0.04</v>
      </c>
      <c r="S19" s="217">
        <v>0.15</v>
      </c>
      <c r="T19" s="217">
        <v>0.35</v>
      </c>
      <c r="U19" s="217">
        <v>0.37</v>
      </c>
      <c r="V19" s="217">
        <v>0.4</v>
      </c>
      <c r="W19" s="217">
        <v>0.45</v>
      </c>
      <c r="X19" s="207">
        <v>0.36</v>
      </c>
      <c r="Y19" s="207">
        <v>0.04</v>
      </c>
      <c r="Z19" s="207">
        <v>0.15</v>
      </c>
      <c r="AA19" s="207">
        <v>0.34</v>
      </c>
      <c r="AB19" s="207">
        <v>0.37</v>
      </c>
      <c r="AC19" s="207">
        <v>0.39</v>
      </c>
      <c r="AD19" s="207">
        <v>0.44</v>
      </c>
      <c r="AE19" s="207">
        <v>0.36</v>
      </c>
      <c r="AF19" s="207">
        <v>0.04</v>
      </c>
      <c r="AG19" s="207">
        <v>0.16</v>
      </c>
      <c r="AH19" s="207">
        <v>0.34</v>
      </c>
      <c r="AI19" s="207">
        <v>0.37</v>
      </c>
      <c r="AJ19" s="207">
        <v>0.39</v>
      </c>
      <c r="AK19" s="207">
        <v>0.44</v>
      </c>
      <c r="AL19" s="207">
        <v>0.36</v>
      </c>
      <c r="AM19" s="207">
        <v>0.04</v>
      </c>
      <c r="AN19" s="207">
        <v>0.15</v>
      </c>
      <c r="AO19" s="207">
        <v>0.34</v>
      </c>
      <c r="AP19" s="207">
        <v>0.37</v>
      </c>
      <c r="AQ19" s="207">
        <v>0.39</v>
      </c>
      <c r="AR19" s="207">
        <v>0.44</v>
      </c>
      <c r="AS19" s="187"/>
      <c r="AT19" s="190"/>
      <c r="AU19" s="188"/>
      <c r="AV19" s="188"/>
      <c r="AW19" s="188"/>
      <c r="AX19" s="188"/>
      <c r="AY19" s="188"/>
      <c r="AZ19" s="188"/>
      <c r="BA19" s="188"/>
      <c r="BB19" s="188"/>
      <c r="BC19" s="188"/>
      <c r="BD19" s="188"/>
      <c r="BE19" s="188"/>
      <c r="BF19" s="188"/>
      <c r="BG19" s="188"/>
      <c r="BH19" s="188"/>
      <c r="BI19" s="188"/>
    </row>
    <row r="20" spans="1:61" s="186" customFormat="1">
      <c r="A20" s="208"/>
      <c r="B20" s="305" t="s">
        <v>755</v>
      </c>
      <c r="C20" s="305"/>
      <c r="D20" s="305"/>
      <c r="E20" s="305"/>
      <c r="F20" s="305"/>
      <c r="G20" s="305"/>
      <c r="H20" s="305"/>
      <c r="I20" s="305"/>
      <c r="J20" s="305"/>
      <c r="K20" s="305"/>
      <c r="L20" s="305"/>
      <c r="M20" s="305"/>
      <c r="N20" s="305"/>
      <c r="O20" s="305"/>
      <c r="P20" s="305"/>
      <c r="Q20" s="305"/>
      <c r="R20" s="305"/>
      <c r="S20" s="305"/>
      <c r="T20" s="305"/>
      <c r="U20" s="305"/>
      <c r="V20" s="305"/>
      <c r="W20" s="305"/>
      <c r="X20" s="305"/>
      <c r="Y20" s="305"/>
      <c r="Z20" s="305"/>
      <c r="AA20" s="305"/>
      <c r="AB20" s="305"/>
      <c r="AC20" s="305"/>
      <c r="AD20" s="305"/>
      <c r="AE20" s="305"/>
      <c r="AF20" s="305"/>
      <c r="AG20" s="305"/>
      <c r="AH20" s="305"/>
      <c r="AI20" s="305"/>
      <c r="AJ20" s="305"/>
      <c r="AK20" s="305"/>
      <c r="AL20" s="305"/>
      <c r="AM20" s="305"/>
      <c r="AN20" s="305"/>
      <c r="AO20" s="305"/>
      <c r="AP20" s="305"/>
      <c r="AQ20" s="305"/>
      <c r="AR20" s="305"/>
      <c r="AS20" s="208"/>
      <c r="AT20" s="188"/>
      <c r="AU20" s="190"/>
      <c r="AV20" s="190"/>
      <c r="AW20" s="190"/>
      <c r="AX20" s="190"/>
      <c r="AY20" s="190"/>
      <c r="AZ20" s="190"/>
      <c r="BA20" s="190"/>
      <c r="BB20" s="190"/>
      <c r="BC20" s="190"/>
      <c r="BD20" s="190"/>
      <c r="BE20" s="190"/>
      <c r="BF20" s="190"/>
      <c r="BG20" s="190"/>
      <c r="BH20" s="190"/>
      <c r="BI20" s="188"/>
    </row>
    <row r="21" spans="1:61" s="186" customFormat="1">
      <c r="A21" s="208"/>
      <c r="B21" s="220" t="s">
        <v>436</v>
      </c>
      <c r="C21" s="217">
        <v>121.27</v>
      </c>
      <c r="D21" s="217">
        <v>15.94</v>
      </c>
      <c r="E21" s="217">
        <v>77</v>
      </c>
      <c r="F21" s="217">
        <v>110</v>
      </c>
      <c r="G21" s="217">
        <v>121</v>
      </c>
      <c r="H21" s="217">
        <v>131</v>
      </c>
      <c r="I21" s="217">
        <v>190</v>
      </c>
      <c r="J21" s="217">
        <v>119.93</v>
      </c>
      <c r="K21" s="217">
        <v>17</v>
      </c>
      <c r="L21" s="217">
        <v>78</v>
      </c>
      <c r="M21" s="217">
        <v>108</v>
      </c>
      <c r="N21" s="217">
        <v>118</v>
      </c>
      <c r="O21" s="217">
        <v>130</v>
      </c>
      <c r="P21" s="217">
        <v>235</v>
      </c>
      <c r="Q21" s="217">
        <v>120.62</v>
      </c>
      <c r="R21" s="217">
        <v>16.48</v>
      </c>
      <c r="S21" s="217">
        <v>77</v>
      </c>
      <c r="T21" s="217">
        <v>109</v>
      </c>
      <c r="U21" s="217">
        <v>120</v>
      </c>
      <c r="V21" s="217">
        <v>130</v>
      </c>
      <c r="W21" s="217">
        <v>235</v>
      </c>
      <c r="X21" s="207">
        <v>115.29</v>
      </c>
      <c r="Y21" s="207">
        <v>14.18</v>
      </c>
      <c r="Z21" s="207">
        <v>80</v>
      </c>
      <c r="AA21" s="207">
        <v>105</v>
      </c>
      <c r="AB21" s="207">
        <v>115</v>
      </c>
      <c r="AC21" s="207">
        <v>125</v>
      </c>
      <c r="AD21" s="207">
        <v>159</v>
      </c>
      <c r="AE21" s="207">
        <v>113.28</v>
      </c>
      <c r="AF21" s="207">
        <v>12.88</v>
      </c>
      <c r="AG21" s="207">
        <v>78</v>
      </c>
      <c r="AH21" s="207">
        <v>104</v>
      </c>
      <c r="AI21" s="207">
        <v>113</v>
      </c>
      <c r="AJ21" s="207">
        <v>122</v>
      </c>
      <c r="AK21" s="207">
        <v>160</v>
      </c>
      <c r="AL21" s="207">
        <v>114.24</v>
      </c>
      <c r="AM21" s="207">
        <v>13.55</v>
      </c>
      <c r="AN21" s="207">
        <v>78</v>
      </c>
      <c r="AO21" s="207">
        <v>105</v>
      </c>
      <c r="AP21" s="207">
        <v>114</v>
      </c>
      <c r="AQ21" s="207">
        <v>124</v>
      </c>
      <c r="AR21" s="207">
        <v>160</v>
      </c>
      <c r="AS21" s="208"/>
      <c r="AT21" s="188"/>
      <c r="AU21" s="188"/>
      <c r="AV21" s="188"/>
      <c r="AW21" s="188"/>
      <c r="AX21" s="188"/>
      <c r="AY21" s="188"/>
      <c r="AZ21" s="188"/>
      <c r="BA21" s="188"/>
      <c r="BB21" s="188"/>
      <c r="BC21" s="188"/>
      <c r="BD21" s="188"/>
      <c r="BE21" s="188"/>
      <c r="BF21" s="188"/>
      <c r="BG21" s="188"/>
      <c r="BH21" s="188"/>
      <c r="BI21" s="188"/>
    </row>
    <row r="22" spans="1:61" s="186" customFormat="1">
      <c r="A22" s="208"/>
      <c r="B22" s="220" t="s">
        <v>437</v>
      </c>
      <c r="C22" s="217">
        <v>86.52</v>
      </c>
      <c r="D22" s="217">
        <v>11.76</v>
      </c>
      <c r="E22" s="217">
        <v>57</v>
      </c>
      <c r="F22" s="217">
        <v>78</v>
      </c>
      <c r="G22" s="217">
        <v>86</v>
      </c>
      <c r="H22" s="217">
        <v>94</v>
      </c>
      <c r="I22" s="217">
        <v>130</v>
      </c>
      <c r="J22" s="217">
        <v>85.98</v>
      </c>
      <c r="K22" s="217">
        <v>11.82</v>
      </c>
      <c r="L22" s="217">
        <v>56</v>
      </c>
      <c r="M22" s="217">
        <v>78</v>
      </c>
      <c r="N22" s="217">
        <v>85</v>
      </c>
      <c r="O22" s="217">
        <v>93.5</v>
      </c>
      <c r="P22" s="217">
        <v>158</v>
      </c>
      <c r="Q22" s="217">
        <v>86.25</v>
      </c>
      <c r="R22" s="217">
        <v>11.79</v>
      </c>
      <c r="S22" s="217">
        <v>56</v>
      </c>
      <c r="T22" s="217">
        <v>78</v>
      </c>
      <c r="U22" s="217">
        <v>86</v>
      </c>
      <c r="V22" s="217">
        <v>94</v>
      </c>
      <c r="W22" s="217">
        <v>158</v>
      </c>
      <c r="X22" s="207">
        <v>81.510000000000005</v>
      </c>
      <c r="Y22" s="207">
        <v>10.02</v>
      </c>
      <c r="Z22" s="207">
        <v>57</v>
      </c>
      <c r="AA22" s="207">
        <v>74</v>
      </c>
      <c r="AB22" s="207">
        <v>81</v>
      </c>
      <c r="AC22" s="207">
        <v>88</v>
      </c>
      <c r="AD22" s="207">
        <v>112</v>
      </c>
      <c r="AE22" s="207">
        <v>81.52</v>
      </c>
      <c r="AF22" s="207">
        <v>9.51</v>
      </c>
      <c r="AG22" s="207">
        <v>56</v>
      </c>
      <c r="AH22" s="207">
        <v>75</v>
      </c>
      <c r="AI22" s="207">
        <v>81</v>
      </c>
      <c r="AJ22" s="207">
        <v>88</v>
      </c>
      <c r="AK22" s="207">
        <v>114</v>
      </c>
      <c r="AL22" s="207">
        <v>81.52</v>
      </c>
      <c r="AM22" s="207">
        <v>9.75</v>
      </c>
      <c r="AN22" s="207">
        <v>56</v>
      </c>
      <c r="AO22" s="207">
        <v>74</v>
      </c>
      <c r="AP22" s="207">
        <v>81</v>
      </c>
      <c r="AQ22" s="207">
        <v>88</v>
      </c>
      <c r="AR22" s="207">
        <v>114</v>
      </c>
      <c r="AS22" s="208"/>
      <c r="AT22" s="188"/>
      <c r="AU22" s="188"/>
      <c r="AV22" s="188"/>
      <c r="AW22" s="188"/>
      <c r="AX22" s="188"/>
      <c r="AY22" s="188"/>
      <c r="AZ22" s="188"/>
      <c r="BA22" s="188"/>
      <c r="BB22" s="188"/>
      <c r="BC22" s="188"/>
      <c r="BD22" s="188"/>
      <c r="BE22" s="188"/>
      <c r="BF22" s="188"/>
      <c r="BG22" s="188"/>
      <c r="BH22" s="188"/>
      <c r="BI22" s="188"/>
    </row>
    <row r="23" spans="1:61" s="186" customFormat="1">
      <c r="A23" s="208"/>
      <c r="B23" s="220" t="s">
        <v>438</v>
      </c>
      <c r="C23" s="217">
        <v>69.150000000000006</v>
      </c>
      <c r="D23" s="217">
        <v>11.03</v>
      </c>
      <c r="E23" s="217">
        <v>37</v>
      </c>
      <c r="F23" s="217">
        <v>61</v>
      </c>
      <c r="G23" s="217">
        <v>69</v>
      </c>
      <c r="H23" s="217">
        <v>76</v>
      </c>
      <c r="I23" s="217">
        <v>110</v>
      </c>
      <c r="J23" s="217">
        <v>69.010000000000005</v>
      </c>
      <c r="K23" s="217">
        <v>10.68</v>
      </c>
      <c r="L23" s="217">
        <v>42</v>
      </c>
      <c r="M23" s="217">
        <v>61</v>
      </c>
      <c r="N23" s="217">
        <v>69</v>
      </c>
      <c r="O23" s="217">
        <v>76</v>
      </c>
      <c r="P23" s="217">
        <v>130</v>
      </c>
      <c r="Q23" s="217">
        <v>69.08</v>
      </c>
      <c r="R23" s="217">
        <v>10.86</v>
      </c>
      <c r="S23" s="217">
        <v>37</v>
      </c>
      <c r="T23" s="217">
        <v>61</v>
      </c>
      <c r="U23" s="217">
        <v>69</v>
      </c>
      <c r="V23" s="217">
        <v>76</v>
      </c>
      <c r="W23" s="217">
        <v>130</v>
      </c>
      <c r="X23" s="207">
        <v>64.63</v>
      </c>
      <c r="Y23" s="207">
        <v>9.36</v>
      </c>
      <c r="Z23" s="207">
        <v>43</v>
      </c>
      <c r="AA23" s="207">
        <v>58</v>
      </c>
      <c r="AB23" s="207">
        <v>64</v>
      </c>
      <c r="AC23" s="207">
        <v>70</v>
      </c>
      <c r="AD23" s="207">
        <v>93</v>
      </c>
      <c r="AE23" s="207">
        <v>65.67</v>
      </c>
      <c r="AF23" s="207">
        <v>9.2200000000000006</v>
      </c>
      <c r="AG23" s="207">
        <v>42</v>
      </c>
      <c r="AH23" s="207">
        <v>60</v>
      </c>
      <c r="AI23" s="207">
        <v>65</v>
      </c>
      <c r="AJ23" s="207">
        <v>72</v>
      </c>
      <c r="AK23" s="207">
        <v>95</v>
      </c>
      <c r="AL23" s="207">
        <v>65.17</v>
      </c>
      <c r="AM23" s="207">
        <v>9.2899999999999991</v>
      </c>
      <c r="AN23" s="207">
        <v>42</v>
      </c>
      <c r="AO23" s="207">
        <v>59</v>
      </c>
      <c r="AP23" s="207">
        <v>64</v>
      </c>
      <c r="AQ23" s="207">
        <v>71</v>
      </c>
      <c r="AR23" s="207">
        <v>95</v>
      </c>
      <c r="AS23" s="208"/>
      <c r="AT23" s="188"/>
      <c r="AU23" s="188"/>
      <c r="AV23" s="188"/>
      <c r="AW23" s="188"/>
      <c r="AX23" s="188"/>
      <c r="AY23" s="188"/>
      <c r="AZ23" s="188"/>
      <c r="BA23" s="188"/>
      <c r="BB23" s="188"/>
      <c r="BC23" s="188"/>
      <c r="BD23" s="188"/>
      <c r="BE23" s="188"/>
      <c r="BF23" s="188"/>
      <c r="BG23" s="188"/>
      <c r="BH23" s="188"/>
      <c r="BI23" s="188"/>
    </row>
    <row r="24" spans="1:61" s="186" customFormat="1">
      <c r="A24" s="208"/>
      <c r="B24" s="220" t="s">
        <v>439</v>
      </c>
      <c r="C24" s="217">
        <v>106.22</v>
      </c>
      <c r="D24" s="217">
        <v>16.07</v>
      </c>
      <c r="E24" s="217">
        <v>67</v>
      </c>
      <c r="F24" s="217">
        <v>95</v>
      </c>
      <c r="G24" s="217">
        <v>106</v>
      </c>
      <c r="H24" s="217">
        <v>116</v>
      </c>
      <c r="I24" s="217">
        <v>189</v>
      </c>
      <c r="J24" s="217">
        <v>104.85</v>
      </c>
      <c r="K24" s="217">
        <v>16.510000000000002</v>
      </c>
      <c r="L24" s="217">
        <v>64</v>
      </c>
      <c r="M24" s="217">
        <v>94</v>
      </c>
      <c r="N24" s="217">
        <v>104</v>
      </c>
      <c r="O24" s="217">
        <v>114</v>
      </c>
      <c r="P24" s="217">
        <v>208</v>
      </c>
      <c r="Q24" s="217">
        <v>105.55</v>
      </c>
      <c r="R24" s="217">
        <v>16.3</v>
      </c>
      <c r="S24" s="217">
        <v>64</v>
      </c>
      <c r="T24" s="217">
        <v>94</v>
      </c>
      <c r="U24" s="217">
        <v>105</v>
      </c>
      <c r="V24" s="217">
        <v>115</v>
      </c>
      <c r="W24" s="217">
        <v>208</v>
      </c>
      <c r="X24" s="207">
        <v>99.36</v>
      </c>
      <c r="Y24" s="207">
        <v>14.13</v>
      </c>
      <c r="Z24" s="207">
        <v>67</v>
      </c>
      <c r="AA24" s="207">
        <v>88</v>
      </c>
      <c r="AB24" s="207">
        <v>100</v>
      </c>
      <c r="AC24" s="207">
        <v>110</v>
      </c>
      <c r="AD24" s="207">
        <v>140</v>
      </c>
      <c r="AE24" s="207">
        <v>97.86</v>
      </c>
      <c r="AF24" s="207">
        <v>12.56</v>
      </c>
      <c r="AG24" s="207">
        <v>64</v>
      </c>
      <c r="AH24" s="207">
        <v>88</v>
      </c>
      <c r="AI24" s="207">
        <v>98</v>
      </c>
      <c r="AJ24" s="207">
        <v>107</v>
      </c>
      <c r="AK24" s="207">
        <v>138</v>
      </c>
      <c r="AL24" s="207">
        <v>98.57</v>
      </c>
      <c r="AM24" s="207">
        <v>13.35</v>
      </c>
      <c r="AN24" s="207">
        <v>64</v>
      </c>
      <c r="AO24" s="207">
        <v>88</v>
      </c>
      <c r="AP24" s="207">
        <v>99</v>
      </c>
      <c r="AQ24" s="207">
        <v>108</v>
      </c>
      <c r="AR24" s="207">
        <v>140</v>
      </c>
      <c r="AS24" s="208"/>
      <c r="AT24" s="188"/>
      <c r="AU24" s="188"/>
      <c r="AV24" s="188"/>
      <c r="AW24" s="188"/>
      <c r="AX24" s="188"/>
      <c r="AY24" s="188"/>
      <c r="AZ24" s="188"/>
      <c r="BA24" s="188"/>
      <c r="BB24" s="188"/>
      <c r="BC24" s="188"/>
      <c r="BD24" s="188"/>
      <c r="BE24" s="188"/>
      <c r="BF24" s="188"/>
      <c r="BG24" s="188"/>
      <c r="BH24" s="188"/>
      <c r="BI24" s="188"/>
    </row>
    <row r="25" spans="1:61" s="186" customFormat="1">
      <c r="A25" s="208"/>
      <c r="B25" s="220" t="s">
        <v>440</v>
      </c>
      <c r="C25" s="217">
        <v>70.260000000000005</v>
      </c>
      <c r="D25" s="217">
        <v>11.22</v>
      </c>
      <c r="E25" s="217">
        <v>17</v>
      </c>
      <c r="F25" s="217">
        <v>62</v>
      </c>
      <c r="G25" s="217">
        <v>70</v>
      </c>
      <c r="H25" s="217">
        <v>77</v>
      </c>
      <c r="I25" s="217">
        <v>112</v>
      </c>
      <c r="J25" s="217">
        <v>70.25</v>
      </c>
      <c r="K25" s="217">
        <v>10.68</v>
      </c>
      <c r="L25" s="217">
        <v>43</v>
      </c>
      <c r="M25" s="217">
        <v>62</v>
      </c>
      <c r="N25" s="217">
        <v>70</v>
      </c>
      <c r="O25" s="217">
        <v>77</v>
      </c>
      <c r="P25" s="217">
        <v>131</v>
      </c>
      <c r="Q25" s="217">
        <v>70.260000000000005</v>
      </c>
      <c r="R25" s="217">
        <v>10.96</v>
      </c>
      <c r="S25" s="217">
        <v>17</v>
      </c>
      <c r="T25" s="217">
        <v>62</v>
      </c>
      <c r="U25" s="217">
        <v>70</v>
      </c>
      <c r="V25" s="217">
        <v>77</v>
      </c>
      <c r="W25" s="217">
        <v>131</v>
      </c>
      <c r="X25" s="207">
        <v>65.95</v>
      </c>
      <c r="Y25" s="207">
        <v>9.2799999999999994</v>
      </c>
      <c r="Z25" s="207">
        <v>44</v>
      </c>
      <c r="AA25" s="207">
        <v>60</v>
      </c>
      <c r="AB25" s="207">
        <v>65</v>
      </c>
      <c r="AC25" s="207">
        <v>72</v>
      </c>
      <c r="AD25" s="207">
        <v>94</v>
      </c>
      <c r="AE25" s="207">
        <v>66.94</v>
      </c>
      <c r="AF25" s="207">
        <v>9.23</v>
      </c>
      <c r="AG25" s="207">
        <v>43</v>
      </c>
      <c r="AH25" s="207">
        <v>61</v>
      </c>
      <c r="AI25" s="207">
        <v>66</v>
      </c>
      <c r="AJ25" s="207">
        <v>73</v>
      </c>
      <c r="AK25" s="207">
        <v>97</v>
      </c>
      <c r="AL25" s="207">
        <v>66.47</v>
      </c>
      <c r="AM25" s="207">
        <v>9.27</v>
      </c>
      <c r="AN25" s="207">
        <v>43</v>
      </c>
      <c r="AO25" s="207">
        <v>60</v>
      </c>
      <c r="AP25" s="207">
        <v>65</v>
      </c>
      <c r="AQ25" s="207">
        <v>73</v>
      </c>
      <c r="AR25" s="207">
        <v>97</v>
      </c>
      <c r="AS25" s="208"/>
      <c r="AT25" s="188"/>
      <c r="AU25" s="188"/>
      <c r="AV25" s="188"/>
      <c r="AW25" s="188"/>
      <c r="AX25" s="188"/>
      <c r="AY25" s="188"/>
      <c r="AZ25" s="188"/>
      <c r="BA25" s="188"/>
      <c r="BB25" s="188"/>
      <c r="BC25" s="188"/>
      <c r="BD25" s="188"/>
      <c r="BE25" s="188"/>
      <c r="BF25" s="188"/>
      <c r="BG25" s="188"/>
      <c r="BH25" s="188"/>
      <c r="BI25" s="188"/>
    </row>
    <row r="26" spans="1:61" s="186" customFormat="1">
      <c r="A26" s="208"/>
      <c r="B26" s="220" t="s">
        <v>451</v>
      </c>
      <c r="C26" s="217">
        <v>71.09</v>
      </c>
      <c r="D26" s="217">
        <v>13.82</v>
      </c>
      <c r="E26" s="217">
        <v>35</v>
      </c>
      <c r="F26" s="217">
        <v>61</v>
      </c>
      <c r="G26" s="217">
        <v>69</v>
      </c>
      <c r="H26" s="217">
        <v>79</v>
      </c>
      <c r="I26" s="217">
        <v>126</v>
      </c>
      <c r="J26" s="217">
        <v>74.55</v>
      </c>
      <c r="K26" s="217">
        <v>14.08</v>
      </c>
      <c r="L26" s="217">
        <v>40</v>
      </c>
      <c r="M26" s="217">
        <v>65</v>
      </c>
      <c r="N26" s="217">
        <v>73</v>
      </c>
      <c r="O26" s="217">
        <v>83</v>
      </c>
      <c r="P26" s="217">
        <v>151</v>
      </c>
      <c r="Q26" s="217">
        <v>72.790000000000006</v>
      </c>
      <c r="R26" s="217">
        <v>14.05</v>
      </c>
      <c r="S26" s="217">
        <v>35</v>
      </c>
      <c r="T26" s="217">
        <v>63</v>
      </c>
      <c r="U26" s="217">
        <v>71</v>
      </c>
      <c r="V26" s="217">
        <v>82</v>
      </c>
      <c r="W26" s="217">
        <v>151</v>
      </c>
      <c r="X26" s="207">
        <v>74.08</v>
      </c>
      <c r="Y26" s="207">
        <v>15.31</v>
      </c>
      <c r="Z26" s="207">
        <v>38</v>
      </c>
      <c r="AA26" s="207">
        <v>63</v>
      </c>
      <c r="AB26" s="207">
        <v>72</v>
      </c>
      <c r="AC26" s="207">
        <v>84</v>
      </c>
      <c r="AD26" s="207">
        <v>126</v>
      </c>
      <c r="AE26" s="207">
        <v>76.900000000000006</v>
      </c>
      <c r="AF26" s="207">
        <v>15.22</v>
      </c>
      <c r="AG26" s="207">
        <v>40</v>
      </c>
      <c r="AH26" s="207">
        <v>66.5</v>
      </c>
      <c r="AI26" s="207">
        <v>75</v>
      </c>
      <c r="AJ26" s="207">
        <v>86</v>
      </c>
      <c r="AK26" s="207">
        <v>151</v>
      </c>
      <c r="AL26" s="207">
        <v>75.56</v>
      </c>
      <c r="AM26" s="207">
        <v>15.32</v>
      </c>
      <c r="AN26" s="207">
        <v>38</v>
      </c>
      <c r="AO26" s="207">
        <v>65</v>
      </c>
      <c r="AP26" s="207">
        <v>74</v>
      </c>
      <c r="AQ26" s="207">
        <v>85</v>
      </c>
      <c r="AR26" s="207">
        <v>151</v>
      </c>
      <c r="AS26" s="208"/>
      <c r="AT26" s="188"/>
      <c r="AU26" s="188"/>
      <c r="AV26" s="188"/>
      <c r="AW26" s="188"/>
      <c r="AX26" s="188"/>
      <c r="AY26" s="188"/>
      <c r="AZ26" s="188"/>
      <c r="BA26" s="188"/>
      <c r="BB26" s="188"/>
      <c r="BC26" s="188"/>
      <c r="BD26" s="188"/>
      <c r="BE26" s="188"/>
      <c r="BF26" s="188"/>
      <c r="BG26" s="188"/>
      <c r="BH26" s="188"/>
      <c r="BI26" s="188"/>
    </row>
    <row r="27" spans="1:61" s="186" customFormat="1">
      <c r="A27" s="208"/>
      <c r="B27" s="220" t="s">
        <v>441</v>
      </c>
      <c r="C27" s="217">
        <v>4.0999999999999996</v>
      </c>
      <c r="D27" s="217">
        <v>6.2</v>
      </c>
      <c r="E27" s="217">
        <v>-21</v>
      </c>
      <c r="F27" s="217">
        <v>0</v>
      </c>
      <c r="G27" s="217">
        <v>3</v>
      </c>
      <c r="H27" s="217">
        <v>8</v>
      </c>
      <c r="I27" s="217">
        <v>50</v>
      </c>
      <c r="J27" s="217">
        <v>5.79</v>
      </c>
      <c r="K27" s="217">
        <v>7.21</v>
      </c>
      <c r="L27" s="217">
        <v>-13</v>
      </c>
      <c r="M27" s="217">
        <v>1</v>
      </c>
      <c r="N27" s="217">
        <v>4</v>
      </c>
      <c r="O27" s="217">
        <v>10</v>
      </c>
      <c r="P27" s="217">
        <v>39</v>
      </c>
      <c r="Q27" s="217">
        <v>4.93</v>
      </c>
      <c r="R27" s="217">
        <v>6.76</v>
      </c>
      <c r="S27" s="217">
        <v>-21</v>
      </c>
      <c r="T27" s="217">
        <v>1</v>
      </c>
      <c r="U27" s="217">
        <v>4</v>
      </c>
      <c r="V27" s="217">
        <v>9</v>
      </c>
      <c r="W27" s="217">
        <v>50</v>
      </c>
      <c r="X27" s="207">
        <v>1.59</v>
      </c>
      <c r="Y27" s="207">
        <v>4.7</v>
      </c>
      <c r="Z27" s="207">
        <v>-21</v>
      </c>
      <c r="AA27" s="207">
        <v>-1</v>
      </c>
      <c r="AB27" s="207">
        <v>2</v>
      </c>
      <c r="AC27" s="207">
        <v>4</v>
      </c>
      <c r="AD27" s="207">
        <v>17</v>
      </c>
      <c r="AE27" s="207">
        <v>2.76</v>
      </c>
      <c r="AF27" s="207">
        <v>4.95</v>
      </c>
      <c r="AG27" s="207">
        <v>-12</v>
      </c>
      <c r="AH27" s="207">
        <v>0</v>
      </c>
      <c r="AI27" s="207">
        <v>2</v>
      </c>
      <c r="AJ27" s="207">
        <v>5</v>
      </c>
      <c r="AK27" s="207">
        <v>26</v>
      </c>
      <c r="AL27" s="207">
        <v>2.2000000000000002</v>
      </c>
      <c r="AM27" s="207">
        <v>4.87</v>
      </c>
      <c r="AN27" s="207">
        <v>-21</v>
      </c>
      <c r="AO27" s="207">
        <v>-1</v>
      </c>
      <c r="AP27" s="207">
        <v>2</v>
      </c>
      <c r="AQ27" s="207">
        <v>5</v>
      </c>
      <c r="AR27" s="207">
        <v>26</v>
      </c>
      <c r="AS27" s="208"/>
      <c r="AT27" s="188"/>
      <c r="AU27" s="188"/>
      <c r="AV27" s="188"/>
      <c r="AW27" s="188"/>
      <c r="AX27" s="188"/>
      <c r="AY27" s="188"/>
      <c r="AZ27" s="188"/>
      <c r="BA27" s="188"/>
      <c r="BB27" s="188"/>
      <c r="BC27" s="188"/>
      <c r="BD27" s="188"/>
      <c r="BE27" s="188"/>
      <c r="BF27" s="188"/>
      <c r="BG27" s="188"/>
      <c r="BH27" s="188"/>
      <c r="BI27" s="188"/>
    </row>
    <row r="28" spans="1:61" s="186" customFormat="1">
      <c r="A28" s="208"/>
      <c r="B28" s="220" t="s">
        <v>442</v>
      </c>
      <c r="C28" s="217">
        <v>10.99</v>
      </c>
      <c r="D28" s="217">
        <v>14.11</v>
      </c>
      <c r="E28" s="217">
        <v>-36</v>
      </c>
      <c r="F28" s="217">
        <v>1</v>
      </c>
      <c r="G28" s="217">
        <v>11</v>
      </c>
      <c r="H28" s="217">
        <v>22</v>
      </c>
      <c r="I28" s="217">
        <v>46</v>
      </c>
      <c r="J28" s="217">
        <v>15.5</v>
      </c>
      <c r="K28" s="217">
        <v>16.13</v>
      </c>
      <c r="L28" s="217">
        <v>-31</v>
      </c>
      <c r="M28" s="217">
        <v>3</v>
      </c>
      <c r="N28" s="217">
        <v>16</v>
      </c>
      <c r="O28" s="217">
        <v>30</v>
      </c>
      <c r="P28" s="217">
        <v>54</v>
      </c>
      <c r="Q28" s="217">
        <v>13.2</v>
      </c>
      <c r="R28" s="217">
        <v>15.3</v>
      </c>
      <c r="S28" s="217">
        <v>-36</v>
      </c>
      <c r="T28" s="217">
        <v>2</v>
      </c>
      <c r="U28" s="217">
        <v>13</v>
      </c>
      <c r="V28" s="217">
        <v>25</v>
      </c>
      <c r="W28" s="217">
        <v>54</v>
      </c>
      <c r="X28" s="207">
        <v>5.73</v>
      </c>
      <c r="Y28" s="207">
        <v>12.72</v>
      </c>
      <c r="Z28" s="207">
        <v>-36</v>
      </c>
      <c r="AA28" s="207">
        <v>-3</v>
      </c>
      <c r="AB28" s="207">
        <v>5</v>
      </c>
      <c r="AC28" s="207">
        <v>14</v>
      </c>
      <c r="AD28" s="207">
        <v>38</v>
      </c>
      <c r="AE28" s="207">
        <v>9.5</v>
      </c>
      <c r="AF28" s="207">
        <v>14.07</v>
      </c>
      <c r="AG28" s="207">
        <v>-31</v>
      </c>
      <c r="AH28" s="207">
        <v>-1</v>
      </c>
      <c r="AI28" s="207">
        <v>9</v>
      </c>
      <c r="AJ28" s="207">
        <v>18.5</v>
      </c>
      <c r="AK28" s="207">
        <v>46</v>
      </c>
      <c r="AL28" s="207">
        <v>7.71</v>
      </c>
      <c r="AM28" s="207">
        <v>13.57</v>
      </c>
      <c r="AN28" s="207">
        <v>-36</v>
      </c>
      <c r="AO28" s="207">
        <v>-2</v>
      </c>
      <c r="AP28" s="207">
        <v>7</v>
      </c>
      <c r="AQ28" s="207">
        <v>17</v>
      </c>
      <c r="AR28" s="207">
        <v>46</v>
      </c>
      <c r="AS28" s="208"/>
      <c r="AT28" s="188"/>
      <c r="AU28" s="188"/>
      <c r="AV28" s="188"/>
      <c r="AW28" s="188"/>
      <c r="AX28" s="188"/>
      <c r="AY28" s="188"/>
      <c r="AZ28" s="188"/>
      <c r="BA28" s="188"/>
      <c r="BB28" s="188"/>
      <c r="BC28" s="188"/>
      <c r="BD28" s="188"/>
      <c r="BE28" s="188"/>
      <c r="BF28" s="188"/>
      <c r="BG28" s="188"/>
      <c r="BH28" s="188"/>
      <c r="BI28" s="188"/>
    </row>
    <row r="29" spans="1:61" s="186" customFormat="1">
      <c r="A29" s="208"/>
      <c r="B29" s="220" t="s">
        <v>443</v>
      </c>
      <c r="C29" s="217">
        <v>9.0500000000000007</v>
      </c>
      <c r="D29" s="217">
        <v>13.28</v>
      </c>
      <c r="E29" s="217">
        <v>-37</v>
      </c>
      <c r="F29" s="217">
        <v>0</v>
      </c>
      <c r="G29" s="217">
        <v>10</v>
      </c>
      <c r="H29" s="217">
        <v>19</v>
      </c>
      <c r="I29" s="217">
        <v>48</v>
      </c>
      <c r="J29" s="217">
        <v>15.25</v>
      </c>
      <c r="K29" s="217">
        <v>15.15</v>
      </c>
      <c r="L29" s="217">
        <v>-34</v>
      </c>
      <c r="M29" s="217">
        <v>4</v>
      </c>
      <c r="N29" s="217">
        <v>17</v>
      </c>
      <c r="O29" s="217">
        <v>27</v>
      </c>
      <c r="P29" s="217">
        <v>49</v>
      </c>
      <c r="Q29" s="217">
        <v>12.08</v>
      </c>
      <c r="R29" s="217">
        <v>14.56</v>
      </c>
      <c r="S29" s="217">
        <v>-37</v>
      </c>
      <c r="T29" s="217">
        <v>1</v>
      </c>
      <c r="U29" s="217">
        <v>13</v>
      </c>
      <c r="V29" s="217">
        <v>23</v>
      </c>
      <c r="W29" s="217">
        <v>49</v>
      </c>
      <c r="X29" s="207">
        <v>5.14</v>
      </c>
      <c r="Y29" s="207">
        <v>13.37</v>
      </c>
      <c r="Z29" s="207">
        <v>-37</v>
      </c>
      <c r="AA29" s="207">
        <v>-4</v>
      </c>
      <c r="AB29" s="207">
        <v>5</v>
      </c>
      <c r="AC29" s="207">
        <v>15</v>
      </c>
      <c r="AD29" s="207">
        <v>38</v>
      </c>
      <c r="AE29" s="207">
        <v>10.199999999999999</v>
      </c>
      <c r="AF29" s="207">
        <v>14.64</v>
      </c>
      <c r="AG29" s="207">
        <v>-28</v>
      </c>
      <c r="AH29" s="207">
        <v>-1</v>
      </c>
      <c r="AI29" s="207">
        <v>11</v>
      </c>
      <c r="AJ29" s="207">
        <v>21</v>
      </c>
      <c r="AK29" s="207">
        <v>49</v>
      </c>
      <c r="AL29" s="207">
        <v>7.78</v>
      </c>
      <c r="AM29" s="207">
        <v>14.27</v>
      </c>
      <c r="AN29" s="207">
        <v>-37</v>
      </c>
      <c r="AO29" s="207">
        <v>-3</v>
      </c>
      <c r="AP29" s="207">
        <v>8</v>
      </c>
      <c r="AQ29" s="207">
        <v>18</v>
      </c>
      <c r="AR29" s="207">
        <v>49</v>
      </c>
      <c r="AS29" s="208"/>
      <c r="AT29" s="188"/>
      <c r="AU29" s="188"/>
      <c r="AV29" s="188"/>
      <c r="AW29" s="188"/>
      <c r="AX29" s="188"/>
      <c r="AY29" s="188"/>
      <c r="AZ29" s="188"/>
      <c r="BA29" s="188"/>
      <c r="BB29" s="188"/>
      <c r="BC29" s="188"/>
      <c r="BD29" s="188"/>
      <c r="BE29" s="188"/>
      <c r="BF29" s="188"/>
      <c r="BG29" s="188"/>
      <c r="BH29" s="188"/>
      <c r="BI29" s="188"/>
    </row>
    <row r="30" spans="1:61" s="186" customFormat="1">
      <c r="A30" s="208"/>
      <c r="B30" s="220" t="s">
        <v>444</v>
      </c>
      <c r="C30" s="217">
        <v>30.3</v>
      </c>
      <c r="D30" s="217">
        <v>9.18</v>
      </c>
      <c r="E30" s="217">
        <v>7</v>
      </c>
      <c r="F30" s="217">
        <v>24</v>
      </c>
      <c r="G30" s="217">
        <v>29</v>
      </c>
      <c r="H30" s="217">
        <v>36</v>
      </c>
      <c r="I30" s="217">
        <v>75</v>
      </c>
      <c r="J30" s="217">
        <v>27.91</v>
      </c>
      <c r="K30" s="217">
        <v>8.91</v>
      </c>
      <c r="L30" s="217">
        <v>10</v>
      </c>
      <c r="M30" s="217">
        <v>22</v>
      </c>
      <c r="N30" s="217">
        <v>26.25</v>
      </c>
      <c r="O30" s="217">
        <v>33</v>
      </c>
      <c r="P30" s="217">
        <v>89</v>
      </c>
      <c r="Q30" s="217">
        <v>29.13</v>
      </c>
      <c r="R30" s="217">
        <v>9.1300000000000008</v>
      </c>
      <c r="S30" s="217">
        <v>7</v>
      </c>
      <c r="T30" s="217">
        <v>23</v>
      </c>
      <c r="U30" s="217">
        <v>28</v>
      </c>
      <c r="V30" s="217">
        <v>34</v>
      </c>
      <c r="W30" s="217">
        <v>89</v>
      </c>
      <c r="X30" s="207">
        <v>30.3</v>
      </c>
      <c r="Y30" s="207">
        <v>10.14</v>
      </c>
      <c r="Z30" s="207">
        <v>7</v>
      </c>
      <c r="AA30" s="207">
        <v>22</v>
      </c>
      <c r="AB30" s="207">
        <v>29</v>
      </c>
      <c r="AC30" s="207">
        <v>37</v>
      </c>
      <c r="AD30" s="207">
        <v>71</v>
      </c>
      <c r="AE30" s="207">
        <v>27</v>
      </c>
      <c r="AF30" s="207">
        <v>8.93</v>
      </c>
      <c r="AG30" s="207">
        <v>10</v>
      </c>
      <c r="AH30" s="207">
        <v>21</v>
      </c>
      <c r="AI30" s="207">
        <v>25</v>
      </c>
      <c r="AJ30" s="207">
        <v>31</v>
      </c>
      <c r="AK30" s="207">
        <v>60</v>
      </c>
      <c r="AL30" s="207">
        <v>28.57</v>
      </c>
      <c r="AM30" s="207">
        <v>9.66</v>
      </c>
      <c r="AN30" s="207">
        <v>7</v>
      </c>
      <c r="AO30" s="207">
        <v>21</v>
      </c>
      <c r="AP30" s="207">
        <v>27</v>
      </c>
      <c r="AQ30" s="207">
        <v>34</v>
      </c>
      <c r="AR30" s="207">
        <v>71</v>
      </c>
      <c r="AS30" s="208"/>
      <c r="AT30" s="188"/>
      <c r="AU30" s="188"/>
      <c r="AV30" s="188"/>
      <c r="AW30" s="188"/>
      <c r="AX30" s="188"/>
      <c r="AY30" s="188"/>
      <c r="AZ30" s="188"/>
      <c r="BA30" s="188"/>
      <c r="BB30" s="188"/>
      <c r="BC30" s="188"/>
      <c r="BD30" s="188"/>
      <c r="BE30" s="188"/>
      <c r="BF30" s="188"/>
      <c r="BG30" s="188"/>
      <c r="BH30" s="188"/>
      <c r="BI30" s="188"/>
    </row>
    <row r="31" spans="1:61" s="186" customFormat="1">
      <c r="A31" s="208"/>
      <c r="B31" s="220" t="s">
        <v>445</v>
      </c>
      <c r="C31" s="217">
        <v>15.48</v>
      </c>
      <c r="D31" s="217">
        <v>5.32</v>
      </c>
      <c r="E31" s="217">
        <v>3</v>
      </c>
      <c r="F31" s="217">
        <v>12</v>
      </c>
      <c r="G31" s="217">
        <v>15</v>
      </c>
      <c r="H31" s="217">
        <v>18</v>
      </c>
      <c r="I31" s="217">
        <v>64</v>
      </c>
      <c r="J31" s="217">
        <v>15.46</v>
      </c>
      <c r="K31" s="217">
        <v>6.16</v>
      </c>
      <c r="L31" s="217">
        <v>4</v>
      </c>
      <c r="M31" s="217">
        <v>11</v>
      </c>
      <c r="N31" s="217">
        <v>14</v>
      </c>
      <c r="O31" s="217">
        <v>18</v>
      </c>
      <c r="P31" s="217">
        <v>78</v>
      </c>
      <c r="Q31" s="217">
        <v>15.47</v>
      </c>
      <c r="R31" s="217">
        <v>5.75</v>
      </c>
      <c r="S31" s="217">
        <v>3</v>
      </c>
      <c r="T31" s="217">
        <v>12</v>
      </c>
      <c r="U31" s="217">
        <v>14</v>
      </c>
      <c r="V31" s="217">
        <v>18</v>
      </c>
      <c r="W31" s="217">
        <v>78</v>
      </c>
      <c r="X31" s="207">
        <v>13.73</v>
      </c>
      <c r="Y31" s="207">
        <v>4.03</v>
      </c>
      <c r="Z31" s="207">
        <v>3</v>
      </c>
      <c r="AA31" s="207">
        <v>11</v>
      </c>
      <c r="AB31" s="207">
        <v>13</v>
      </c>
      <c r="AC31" s="207">
        <v>16</v>
      </c>
      <c r="AD31" s="207">
        <v>33</v>
      </c>
      <c r="AE31" s="207">
        <v>13.2</v>
      </c>
      <c r="AF31" s="207">
        <v>4.54</v>
      </c>
      <c r="AG31" s="207">
        <v>4</v>
      </c>
      <c r="AH31" s="207">
        <v>10</v>
      </c>
      <c r="AI31" s="207">
        <v>13</v>
      </c>
      <c r="AJ31" s="207">
        <v>15</v>
      </c>
      <c r="AK31" s="207">
        <v>78</v>
      </c>
      <c r="AL31" s="207">
        <v>13.45</v>
      </c>
      <c r="AM31" s="207">
        <v>4.3099999999999996</v>
      </c>
      <c r="AN31" s="207">
        <v>3</v>
      </c>
      <c r="AO31" s="207">
        <v>11</v>
      </c>
      <c r="AP31" s="207">
        <v>13</v>
      </c>
      <c r="AQ31" s="207">
        <v>16</v>
      </c>
      <c r="AR31" s="207">
        <v>78</v>
      </c>
      <c r="AS31" s="208"/>
      <c r="AT31" s="188"/>
      <c r="AU31" s="188"/>
      <c r="AV31" s="188"/>
      <c r="AW31" s="188"/>
      <c r="AX31" s="188"/>
      <c r="AY31" s="188"/>
      <c r="AZ31" s="188"/>
      <c r="BA31" s="188"/>
      <c r="BB31" s="188"/>
      <c r="BC31" s="188"/>
      <c r="BD31" s="188"/>
      <c r="BE31" s="188"/>
      <c r="BF31" s="188"/>
      <c r="BG31" s="188"/>
      <c r="BH31" s="188"/>
      <c r="BI31" s="188"/>
    </row>
    <row r="32" spans="1:61" s="186" customFormat="1">
      <c r="A32" s="208"/>
      <c r="B32" s="220" t="s">
        <v>153</v>
      </c>
      <c r="C32" s="217">
        <v>0.53</v>
      </c>
      <c r="D32" s="217">
        <v>0.16</v>
      </c>
      <c r="E32" s="217">
        <v>0.2</v>
      </c>
      <c r="F32" s="217">
        <v>0.41</v>
      </c>
      <c r="G32" s="217">
        <v>0.5</v>
      </c>
      <c r="H32" s="217">
        <v>0.63</v>
      </c>
      <c r="I32" s="217">
        <v>1</v>
      </c>
      <c r="J32" s="217">
        <v>0.56999999999999995</v>
      </c>
      <c r="K32" s="217">
        <v>0.19</v>
      </c>
      <c r="L32" s="217">
        <v>0.17</v>
      </c>
      <c r="M32" s="217">
        <v>0.43</v>
      </c>
      <c r="N32" s="217">
        <v>0.54</v>
      </c>
      <c r="O32" s="217">
        <v>0.69</v>
      </c>
      <c r="P32" s="217">
        <v>2.0499999999999998</v>
      </c>
      <c r="Q32" s="217">
        <v>0.55000000000000004</v>
      </c>
      <c r="R32" s="217">
        <v>0.17</v>
      </c>
      <c r="S32" s="217">
        <v>0.17</v>
      </c>
      <c r="T32" s="217">
        <v>0.42</v>
      </c>
      <c r="U32" s="217">
        <v>0.52</v>
      </c>
      <c r="V32" s="217">
        <v>0.65</v>
      </c>
      <c r="W32" s="217">
        <v>2.0499999999999998</v>
      </c>
      <c r="X32" s="207">
        <v>0.47</v>
      </c>
      <c r="Y32" s="207">
        <v>0.13</v>
      </c>
      <c r="Z32" s="207">
        <v>0.2</v>
      </c>
      <c r="AA32" s="207">
        <v>0.39</v>
      </c>
      <c r="AB32" s="207">
        <v>0.46</v>
      </c>
      <c r="AC32" s="207">
        <v>0.55000000000000004</v>
      </c>
      <c r="AD32" s="207">
        <v>0.96</v>
      </c>
      <c r="AE32" s="207">
        <v>0.51</v>
      </c>
      <c r="AF32" s="207">
        <v>0.16</v>
      </c>
      <c r="AG32" s="207">
        <v>0.17</v>
      </c>
      <c r="AH32" s="207">
        <v>0.41</v>
      </c>
      <c r="AI32" s="207">
        <v>0.48</v>
      </c>
      <c r="AJ32" s="207">
        <v>0.57999999999999996</v>
      </c>
      <c r="AK32" s="207">
        <v>2.0499999999999998</v>
      </c>
      <c r="AL32" s="207">
        <v>0.49</v>
      </c>
      <c r="AM32" s="207">
        <v>0.15</v>
      </c>
      <c r="AN32" s="207">
        <v>0.17</v>
      </c>
      <c r="AO32" s="207">
        <v>0.4</v>
      </c>
      <c r="AP32" s="207">
        <v>0.47</v>
      </c>
      <c r="AQ32" s="207">
        <v>0.56000000000000005</v>
      </c>
      <c r="AR32" s="207">
        <v>2.0499999999999998</v>
      </c>
      <c r="AS32" s="208"/>
      <c r="AT32" s="188"/>
      <c r="AU32" s="188"/>
      <c r="AV32" s="188"/>
      <c r="AW32" s="188"/>
      <c r="AX32" s="188"/>
      <c r="AY32" s="188"/>
      <c r="AZ32" s="188"/>
      <c r="BA32" s="188"/>
      <c r="BB32" s="188"/>
      <c r="BC32" s="188"/>
      <c r="BD32" s="188"/>
      <c r="BE32" s="188"/>
      <c r="BF32" s="188"/>
      <c r="BG32" s="188"/>
      <c r="BH32" s="188"/>
      <c r="BI32" s="188"/>
    </row>
    <row r="33" spans="1:61" s="186" customFormat="1">
      <c r="A33" s="187"/>
      <c r="B33" s="220" t="s">
        <v>760</v>
      </c>
      <c r="C33" s="217">
        <v>0.34</v>
      </c>
      <c r="D33" s="217">
        <v>7.0000000000000007E-2</v>
      </c>
      <c r="E33" s="217">
        <v>0.17</v>
      </c>
      <c r="F33" s="217">
        <v>0.28999999999999998</v>
      </c>
      <c r="G33" s="217">
        <v>0.33</v>
      </c>
      <c r="H33" s="217">
        <v>0.38</v>
      </c>
      <c r="I33" s="217">
        <v>0.5</v>
      </c>
      <c r="J33" s="217">
        <v>0.36</v>
      </c>
      <c r="K33" s="217">
        <v>7.0000000000000007E-2</v>
      </c>
      <c r="L33" s="217">
        <v>0.14000000000000001</v>
      </c>
      <c r="M33" s="217">
        <v>0.3</v>
      </c>
      <c r="N33" s="217">
        <v>0.35</v>
      </c>
      <c r="O33" s="217">
        <v>0.41</v>
      </c>
      <c r="P33" s="217">
        <v>0.67</v>
      </c>
      <c r="Q33" s="217">
        <v>0.35</v>
      </c>
      <c r="R33" s="217">
        <v>7.0000000000000007E-2</v>
      </c>
      <c r="S33" s="217">
        <v>0.14000000000000001</v>
      </c>
      <c r="T33" s="217">
        <v>0.3</v>
      </c>
      <c r="U33" s="217">
        <v>0.34</v>
      </c>
      <c r="V33" s="217">
        <v>0.4</v>
      </c>
      <c r="W33" s="217">
        <v>0.67</v>
      </c>
      <c r="X33" s="207">
        <v>0.32</v>
      </c>
      <c r="Y33" s="207">
        <v>0.06</v>
      </c>
      <c r="Z33" s="207">
        <v>0.17</v>
      </c>
      <c r="AA33" s="207">
        <v>0.28000000000000003</v>
      </c>
      <c r="AB33" s="207">
        <v>0.32</v>
      </c>
      <c r="AC33" s="207">
        <v>0.35</v>
      </c>
      <c r="AD33" s="207">
        <v>0.49</v>
      </c>
      <c r="AE33" s="207">
        <v>0.33</v>
      </c>
      <c r="AF33" s="207">
        <v>0.06</v>
      </c>
      <c r="AG33" s="207">
        <v>0.14000000000000001</v>
      </c>
      <c r="AH33" s="207">
        <v>0.28999999999999998</v>
      </c>
      <c r="AI33" s="207">
        <v>0.33</v>
      </c>
      <c r="AJ33" s="207">
        <v>0.37</v>
      </c>
      <c r="AK33" s="207">
        <v>0.67</v>
      </c>
      <c r="AL33" s="207">
        <v>0.33</v>
      </c>
      <c r="AM33" s="207">
        <v>0.06</v>
      </c>
      <c r="AN33" s="207">
        <v>0.14000000000000001</v>
      </c>
      <c r="AO33" s="207">
        <v>0.28000000000000003</v>
      </c>
      <c r="AP33" s="207">
        <v>0.32</v>
      </c>
      <c r="AQ33" s="207">
        <v>0.36</v>
      </c>
      <c r="AR33" s="207">
        <v>0.67</v>
      </c>
      <c r="AS33" s="187"/>
      <c r="AT33" s="190"/>
      <c r="AU33" s="188"/>
      <c r="AV33" s="188"/>
      <c r="AW33" s="188"/>
      <c r="AX33" s="188"/>
      <c r="AY33" s="188"/>
      <c r="AZ33" s="188"/>
      <c r="BA33" s="188"/>
      <c r="BB33" s="188"/>
      <c r="BC33" s="188"/>
      <c r="BD33" s="188"/>
      <c r="BE33" s="188"/>
      <c r="BF33" s="188"/>
      <c r="BG33" s="188"/>
      <c r="BH33" s="188"/>
      <c r="BI33" s="188"/>
    </row>
    <row r="34" spans="1:61" s="186" customFormat="1">
      <c r="A34" s="208"/>
      <c r="B34" s="306" t="s">
        <v>756</v>
      </c>
      <c r="C34" s="306"/>
      <c r="D34" s="306"/>
      <c r="E34" s="306"/>
      <c r="F34" s="306"/>
      <c r="G34" s="306"/>
      <c r="H34" s="306"/>
      <c r="I34" s="306"/>
      <c r="J34" s="306"/>
      <c r="K34" s="306"/>
      <c r="L34" s="306"/>
      <c r="M34" s="306"/>
      <c r="N34" s="306"/>
      <c r="O34" s="306"/>
      <c r="P34" s="306"/>
      <c r="Q34" s="306"/>
      <c r="R34" s="306"/>
      <c r="S34" s="306"/>
      <c r="T34" s="306"/>
      <c r="U34" s="306"/>
      <c r="V34" s="306"/>
      <c r="W34" s="306"/>
      <c r="X34" s="306"/>
      <c r="Y34" s="306"/>
      <c r="Z34" s="306"/>
      <c r="AA34" s="306"/>
      <c r="AB34" s="306"/>
      <c r="AC34" s="306"/>
      <c r="AD34" s="306"/>
      <c r="AE34" s="306"/>
      <c r="AF34" s="306"/>
      <c r="AG34" s="306"/>
      <c r="AH34" s="306"/>
      <c r="AI34" s="306"/>
      <c r="AJ34" s="306"/>
      <c r="AK34" s="306"/>
      <c r="AL34" s="306"/>
      <c r="AM34" s="306"/>
      <c r="AN34" s="306"/>
      <c r="AO34" s="306"/>
      <c r="AP34" s="306"/>
      <c r="AQ34" s="306"/>
      <c r="AR34" s="306"/>
      <c r="AS34" s="208"/>
      <c r="AT34" s="188"/>
      <c r="AU34" s="190"/>
      <c r="AV34" s="190"/>
      <c r="AW34" s="190"/>
      <c r="AX34" s="190"/>
      <c r="AY34" s="190"/>
      <c r="AZ34" s="190"/>
      <c r="BA34" s="190"/>
      <c r="BB34" s="190"/>
      <c r="BC34" s="190"/>
      <c r="BD34" s="190"/>
      <c r="BE34" s="190"/>
      <c r="BF34" s="190"/>
      <c r="BG34" s="190"/>
      <c r="BH34" s="190"/>
      <c r="BI34" s="188"/>
    </row>
    <row r="35" spans="1:61" s="186" customFormat="1">
      <c r="A35" s="208"/>
      <c r="B35" s="220" t="s">
        <v>436</v>
      </c>
      <c r="C35" s="217">
        <v>121.79</v>
      </c>
      <c r="D35" s="217">
        <v>17.36</v>
      </c>
      <c r="E35" s="217">
        <v>79</v>
      </c>
      <c r="F35" s="217">
        <v>110</v>
      </c>
      <c r="G35" s="217">
        <v>121</v>
      </c>
      <c r="H35" s="217">
        <v>132</v>
      </c>
      <c r="I35" s="217">
        <v>239</v>
      </c>
      <c r="J35" s="217">
        <v>119.88</v>
      </c>
      <c r="K35" s="217">
        <v>17.73</v>
      </c>
      <c r="L35" s="217">
        <v>78</v>
      </c>
      <c r="M35" s="217">
        <v>108</v>
      </c>
      <c r="N35" s="217">
        <v>118</v>
      </c>
      <c r="O35" s="217">
        <v>129.5</v>
      </c>
      <c r="P35" s="217">
        <v>211</v>
      </c>
      <c r="Q35" s="217">
        <v>120.94</v>
      </c>
      <c r="R35" s="217">
        <v>17.55</v>
      </c>
      <c r="S35" s="217">
        <v>78</v>
      </c>
      <c r="T35" s="217">
        <v>109</v>
      </c>
      <c r="U35" s="217">
        <v>120</v>
      </c>
      <c r="V35" s="217">
        <v>131</v>
      </c>
      <c r="W35" s="217">
        <v>239</v>
      </c>
      <c r="X35" s="207">
        <v>115.58</v>
      </c>
      <c r="Y35" s="207">
        <v>16.14</v>
      </c>
      <c r="Z35" s="207">
        <v>80</v>
      </c>
      <c r="AA35" s="207">
        <v>105</v>
      </c>
      <c r="AB35" s="207">
        <v>115</v>
      </c>
      <c r="AC35" s="207">
        <v>126</v>
      </c>
      <c r="AD35" s="207">
        <v>217</v>
      </c>
      <c r="AE35" s="207">
        <v>112.95</v>
      </c>
      <c r="AF35" s="207">
        <v>14.14</v>
      </c>
      <c r="AG35" s="207">
        <v>78</v>
      </c>
      <c r="AH35" s="207">
        <v>103</v>
      </c>
      <c r="AI35" s="207">
        <v>112</v>
      </c>
      <c r="AJ35" s="207">
        <v>122</v>
      </c>
      <c r="AK35" s="207">
        <v>188</v>
      </c>
      <c r="AL35" s="207">
        <v>114.35</v>
      </c>
      <c r="AM35" s="207">
        <v>15.29</v>
      </c>
      <c r="AN35" s="207">
        <v>78</v>
      </c>
      <c r="AO35" s="207">
        <v>104</v>
      </c>
      <c r="AP35" s="207">
        <v>114</v>
      </c>
      <c r="AQ35" s="207">
        <v>124</v>
      </c>
      <c r="AR35" s="207">
        <v>217</v>
      </c>
      <c r="AS35" s="208"/>
      <c r="AT35" s="188"/>
      <c r="AU35" s="188"/>
      <c r="AV35" s="188"/>
      <c r="AW35" s="188"/>
      <c r="AX35" s="188"/>
      <c r="AY35" s="188"/>
      <c r="AZ35" s="188"/>
      <c r="BA35" s="188"/>
      <c r="BB35" s="188"/>
      <c r="BC35" s="188"/>
      <c r="BD35" s="188"/>
      <c r="BE35" s="188"/>
      <c r="BF35" s="188"/>
      <c r="BG35" s="188"/>
      <c r="BH35" s="188"/>
      <c r="BI35" s="188"/>
    </row>
    <row r="36" spans="1:61" s="186" customFormat="1">
      <c r="A36" s="208"/>
      <c r="B36" s="220" t="s">
        <v>437</v>
      </c>
      <c r="C36" s="217">
        <v>86.81</v>
      </c>
      <c r="D36" s="217">
        <v>12.2</v>
      </c>
      <c r="E36" s="217">
        <v>56</v>
      </c>
      <c r="F36" s="217">
        <v>78</v>
      </c>
      <c r="G36" s="217">
        <v>86</v>
      </c>
      <c r="H36" s="217">
        <v>95</v>
      </c>
      <c r="I36" s="217">
        <v>141</v>
      </c>
      <c r="J36" s="217">
        <v>85.44</v>
      </c>
      <c r="K36" s="217">
        <v>11.96</v>
      </c>
      <c r="L36" s="217">
        <v>56</v>
      </c>
      <c r="M36" s="217">
        <v>77</v>
      </c>
      <c r="N36" s="217">
        <v>84.67</v>
      </c>
      <c r="O36" s="217">
        <v>93</v>
      </c>
      <c r="P36" s="217">
        <v>155</v>
      </c>
      <c r="Q36" s="217">
        <v>86.21</v>
      </c>
      <c r="R36" s="217">
        <v>12.11</v>
      </c>
      <c r="S36" s="217">
        <v>56</v>
      </c>
      <c r="T36" s="217">
        <v>77</v>
      </c>
      <c r="U36" s="217">
        <v>85.33</v>
      </c>
      <c r="V36" s="217">
        <v>94</v>
      </c>
      <c r="W36" s="217">
        <v>155</v>
      </c>
      <c r="X36" s="207">
        <v>81.510000000000005</v>
      </c>
      <c r="Y36" s="207">
        <v>10.51</v>
      </c>
      <c r="Z36" s="207">
        <v>56</v>
      </c>
      <c r="AA36" s="207">
        <v>74</v>
      </c>
      <c r="AB36" s="207">
        <v>80</v>
      </c>
      <c r="AC36" s="207">
        <v>88</v>
      </c>
      <c r="AD36" s="207">
        <v>119</v>
      </c>
      <c r="AE36" s="207">
        <v>80.63</v>
      </c>
      <c r="AF36" s="207">
        <v>9.51</v>
      </c>
      <c r="AG36" s="207">
        <v>56</v>
      </c>
      <c r="AH36" s="207">
        <v>73</v>
      </c>
      <c r="AI36" s="207">
        <v>80</v>
      </c>
      <c r="AJ36" s="207">
        <v>87</v>
      </c>
      <c r="AK36" s="207">
        <v>114</v>
      </c>
      <c r="AL36" s="207">
        <v>81.099999999999994</v>
      </c>
      <c r="AM36" s="207">
        <v>10.06</v>
      </c>
      <c r="AN36" s="207">
        <v>56</v>
      </c>
      <c r="AO36" s="207">
        <v>74</v>
      </c>
      <c r="AP36" s="207">
        <v>80</v>
      </c>
      <c r="AQ36" s="207">
        <v>88</v>
      </c>
      <c r="AR36" s="207">
        <v>119</v>
      </c>
      <c r="AS36" s="208"/>
      <c r="AT36" s="188"/>
      <c r="AU36" s="188"/>
      <c r="AV36" s="188"/>
      <c r="AW36" s="188"/>
      <c r="AX36" s="188"/>
      <c r="AY36" s="188"/>
      <c r="AZ36" s="188"/>
      <c r="BA36" s="188"/>
      <c r="BB36" s="188"/>
      <c r="BC36" s="188"/>
      <c r="BD36" s="188"/>
      <c r="BE36" s="188"/>
      <c r="BF36" s="188"/>
      <c r="BG36" s="188"/>
      <c r="BH36" s="188"/>
      <c r="BI36" s="188"/>
    </row>
    <row r="37" spans="1:61" s="186" customFormat="1">
      <c r="A37" s="208"/>
      <c r="B37" s="220" t="s">
        <v>438</v>
      </c>
      <c r="C37" s="217">
        <v>69.319999999999993</v>
      </c>
      <c r="D37" s="217">
        <v>11.18</v>
      </c>
      <c r="E37" s="217">
        <v>40</v>
      </c>
      <c r="F37" s="217">
        <v>60</v>
      </c>
      <c r="G37" s="217">
        <v>69</v>
      </c>
      <c r="H37" s="217">
        <v>77</v>
      </c>
      <c r="I37" s="217">
        <v>108</v>
      </c>
      <c r="J37" s="217">
        <v>68.22</v>
      </c>
      <c r="K37" s="217">
        <v>10.7</v>
      </c>
      <c r="L37" s="217">
        <v>38</v>
      </c>
      <c r="M37" s="217">
        <v>60</v>
      </c>
      <c r="N37" s="217">
        <v>67.5</v>
      </c>
      <c r="O37" s="217">
        <v>75</v>
      </c>
      <c r="P37" s="217">
        <v>127</v>
      </c>
      <c r="Q37" s="217">
        <v>68.84</v>
      </c>
      <c r="R37" s="217">
        <v>10.98</v>
      </c>
      <c r="S37" s="217">
        <v>38</v>
      </c>
      <c r="T37" s="217">
        <v>60</v>
      </c>
      <c r="U37" s="217">
        <v>68</v>
      </c>
      <c r="V37" s="217">
        <v>76</v>
      </c>
      <c r="W37" s="217">
        <v>127</v>
      </c>
      <c r="X37" s="207">
        <v>64.48</v>
      </c>
      <c r="Y37" s="207">
        <v>9.51</v>
      </c>
      <c r="Z37" s="207">
        <v>40</v>
      </c>
      <c r="AA37" s="207">
        <v>58</v>
      </c>
      <c r="AB37" s="207">
        <v>63</v>
      </c>
      <c r="AC37" s="207">
        <v>70</v>
      </c>
      <c r="AD37" s="207">
        <v>95</v>
      </c>
      <c r="AE37" s="207">
        <v>64.459999999999994</v>
      </c>
      <c r="AF37" s="207">
        <v>9.08</v>
      </c>
      <c r="AG37" s="207">
        <v>38</v>
      </c>
      <c r="AH37" s="207">
        <v>58</v>
      </c>
      <c r="AI37" s="207">
        <v>63</v>
      </c>
      <c r="AJ37" s="207">
        <v>70</v>
      </c>
      <c r="AK37" s="207">
        <v>100</v>
      </c>
      <c r="AL37" s="207">
        <v>64.47</v>
      </c>
      <c r="AM37" s="207">
        <v>9.31</v>
      </c>
      <c r="AN37" s="207">
        <v>38</v>
      </c>
      <c r="AO37" s="207">
        <v>58</v>
      </c>
      <c r="AP37" s="207">
        <v>63</v>
      </c>
      <c r="AQ37" s="207">
        <v>70</v>
      </c>
      <c r="AR37" s="207">
        <v>100</v>
      </c>
      <c r="AS37" s="208"/>
      <c r="AT37" s="188"/>
      <c r="AU37" s="188"/>
      <c r="AV37" s="188"/>
      <c r="AW37" s="188"/>
      <c r="AX37" s="188"/>
      <c r="AY37" s="188"/>
      <c r="AZ37" s="188"/>
      <c r="BA37" s="188"/>
      <c r="BB37" s="188"/>
      <c r="BC37" s="188"/>
      <c r="BD37" s="188"/>
      <c r="BE37" s="188"/>
      <c r="BF37" s="188"/>
      <c r="BG37" s="188"/>
      <c r="BH37" s="188"/>
      <c r="BI37" s="188"/>
    </row>
    <row r="38" spans="1:61" s="186" customFormat="1">
      <c r="A38" s="208"/>
      <c r="B38" s="220" t="s">
        <v>439</v>
      </c>
      <c r="C38" s="217">
        <v>113.43</v>
      </c>
      <c r="D38" s="217">
        <v>17.88</v>
      </c>
      <c r="E38" s="217">
        <v>69</v>
      </c>
      <c r="F38" s="217">
        <v>101</v>
      </c>
      <c r="G38" s="217">
        <v>113</v>
      </c>
      <c r="H38" s="217">
        <v>125</v>
      </c>
      <c r="I38" s="217">
        <v>216</v>
      </c>
      <c r="J38" s="217">
        <v>111.55</v>
      </c>
      <c r="K38" s="217">
        <v>18.48</v>
      </c>
      <c r="L38" s="217">
        <v>71</v>
      </c>
      <c r="M38" s="217">
        <v>98</v>
      </c>
      <c r="N38" s="217">
        <v>109</v>
      </c>
      <c r="O38" s="217">
        <v>122</v>
      </c>
      <c r="P38" s="217">
        <v>211</v>
      </c>
      <c r="Q38" s="217">
        <v>112.6</v>
      </c>
      <c r="R38" s="217">
        <v>18.170000000000002</v>
      </c>
      <c r="S38" s="217">
        <v>69</v>
      </c>
      <c r="T38" s="217">
        <v>100</v>
      </c>
      <c r="U38" s="217">
        <v>111</v>
      </c>
      <c r="V38" s="217">
        <v>124</v>
      </c>
      <c r="W38" s="217">
        <v>216</v>
      </c>
      <c r="X38" s="207">
        <v>106.76</v>
      </c>
      <c r="Y38" s="207">
        <v>16.75</v>
      </c>
      <c r="Z38" s="207">
        <v>69</v>
      </c>
      <c r="AA38" s="207">
        <v>95</v>
      </c>
      <c r="AB38" s="207">
        <v>107</v>
      </c>
      <c r="AC38" s="207">
        <v>117</v>
      </c>
      <c r="AD38" s="207">
        <v>216</v>
      </c>
      <c r="AE38" s="207">
        <v>104.02</v>
      </c>
      <c r="AF38" s="207">
        <v>15</v>
      </c>
      <c r="AG38" s="207">
        <v>71</v>
      </c>
      <c r="AH38" s="207">
        <v>94</v>
      </c>
      <c r="AI38" s="207">
        <v>102</v>
      </c>
      <c r="AJ38" s="207">
        <v>114</v>
      </c>
      <c r="AK38" s="207">
        <v>152</v>
      </c>
      <c r="AL38" s="207">
        <v>105.48</v>
      </c>
      <c r="AM38" s="207">
        <v>16</v>
      </c>
      <c r="AN38" s="207">
        <v>69</v>
      </c>
      <c r="AO38" s="207">
        <v>94</v>
      </c>
      <c r="AP38" s="207">
        <v>105</v>
      </c>
      <c r="AQ38" s="207">
        <v>116</v>
      </c>
      <c r="AR38" s="207">
        <v>216</v>
      </c>
      <c r="AS38" s="208"/>
      <c r="AT38" s="188"/>
      <c r="AU38" s="188"/>
      <c r="AV38" s="188"/>
      <c r="AW38" s="188"/>
      <c r="AX38" s="188"/>
      <c r="AY38" s="188"/>
      <c r="AZ38" s="188"/>
      <c r="BA38" s="188"/>
      <c r="BB38" s="188"/>
      <c r="BC38" s="188"/>
      <c r="BD38" s="188"/>
      <c r="BE38" s="188"/>
      <c r="BF38" s="188"/>
      <c r="BG38" s="188"/>
      <c r="BH38" s="188"/>
      <c r="BI38" s="188"/>
    </row>
    <row r="39" spans="1:61" s="186" customFormat="1">
      <c r="A39" s="208"/>
      <c r="B39" s="220" t="s">
        <v>440</v>
      </c>
      <c r="C39" s="217">
        <v>69.319999999999993</v>
      </c>
      <c r="D39" s="217">
        <v>11.18</v>
      </c>
      <c r="E39" s="217">
        <v>40</v>
      </c>
      <c r="F39" s="217">
        <v>60</v>
      </c>
      <c r="G39" s="217">
        <v>69</v>
      </c>
      <c r="H39" s="217">
        <v>77</v>
      </c>
      <c r="I39" s="217">
        <v>108</v>
      </c>
      <c r="J39" s="217">
        <v>68.22</v>
      </c>
      <c r="K39" s="217">
        <v>10.7</v>
      </c>
      <c r="L39" s="217">
        <v>38</v>
      </c>
      <c r="M39" s="217">
        <v>60</v>
      </c>
      <c r="N39" s="217">
        <v>67.5</v>
      </c>
      <c r="O39" s="217">
        <v>75</v>
      </c>
      <c r="P39" s="217">
        <v>127</v>
      </c>
      <c r="Q39" s="217">
        <v>68.84</v>
      </c>
      <c r="R39" s="217">
        <v>10.98</v>
      </c>
      <c r="S39" s="217">
        <v>38</v>
      </c>
      <c r="T39" s="217">
        <v>60</v>
      </c>
      <c r="U39" s="217">
        <v>68</v>
      </c>
      <c r="V39" s="217">
        <v>76</v>
      </c>
      <c r="W39" s="217">
        <v>127</v>
      </c>
      <c r="X39" s="207">
        <v>64.48</v>
      </c>
      <c r="Y39" s="207">
        <v>9.51</v>
      </c>
      <c r="Z39" s="207">
        <v>40</v>
      </c>
      <c r="AA39" s="207">
        <v>58</v>
      </c>
      <c r="AB39" s="207">
        <v>63</v>
      </c>
      <c r="AC39" s="207">
        <v>70</v>
      </c>
      <c r="AD39" s="207">
        <v>95</v>
      </c>
      <c r="AE39" s="207">
        <v>64.459999999999994</v>
      </c>
      <c r="AF39" s="207">
        <v>9.08</v>
      </c>
      <c r="AG39" s="207">
        <v>38</v>
      </c>
      <c r="AH39" s="207">
        <v>58</v>
      </c>
      <c r="AI39" s="207">
        <v>63</v>
      </c>
      <c r="AJ39" s="207">
        <v>70</v>
      </c>
      <c r="AK39" s="207">
        <v>100</v>
      </c>
      <c r="AL39" s="207">
        <v>64.47</v>
      </c>
      <c r="AM39" s="207">
        <v>9.31</v>
      </c>
      <c r="AN39" s="207">
        <v>38</v>
      </c>
      <c r="AO39" s="207">
        <v>58</v>
      </c>
      <c r="AP39" s="207">
        <v>63</v>
      </c>
      <c r="AQ39" s="207">
        <v>70</v>
      </c>
      <c r="AR39" s="207">
        <v>100</v>
      </c>
      <c r="AS39" s="208"/>
      <c r="AT39" s="188"/>
      <c r="AU39" s="188"/>
      <c r="AV39" s="188"/>
      <c r="AW39" s="188"/>
      <c r="AX39" s="188"/>
      <c r="AY39" s="188"/>
      <c r="AZ39" s="188"/>
      <c r="BA39" s="188"/>
      <c r="BB39" s="188"/>
      <c r="BC39" s="188"/>
      <c r="BD39" s="188"/>
      <c r="BE39" s="188"/>
      <c r="BF39" s="188"/>
      <c r="BG39" s="188"/>
      <c r="BH39" s="188"/>
      <c r="BI39" s="188"/>
    </row>
    <row r="40" spans="1:61" s="186" customFormat="1">
      <c r="A40" s="208"/>
      <c r="B40" s="220" t="s">
        <v>451</v>
      </c>
      <c r="C40" s="217">
        <v>70.86</v>
      </c>
      <c r="D40" s="217">
        <v>13.84</v>
      </c>
      <c r="E40" s="217">
        <v>32</v>
      </c>
      <c r="F40" s="217">
        <v>60</v>
      </c>
      <c r="G40" s="217">
        <v>69</v>
      </c>
      <c r="H40" s="217">
        <v>79</v>
      </c>
      <c r="I40" s="217">
        <v>126</v>
      </c>
      <c r="J40" s="217">
        <v>72.87</v>
      </c>
      <c r="K40" s="217">
        <v>14.45</v>
      </c>
      <c r="L40" s="217">
        <v>40</v>
      </c>
      <c r="M40" s="217">
        <v>62</v>
      </c>
      <c r="N40" s="217">
        <v>71</v>
      </c>
      <c r="O40" s="217">
        <v>81</v>
      </c>
      <c r="P40" s="217">
        <v>145</v>
      </c>
      <c r="Q40" s="217">
        <v>71.75</v>
      </c>
      <c r="R40" s="217">
        <v>14.15</v>
      </c>
      <c r="S40" s="217">
        <v>32</v>
      </c>
      <c r="T40" s="217">
        <v>61</v>
      </c>
      <c r="U40" s="217">
        <v>70</v>
      </c>
      <c r="V40" s="217">
        <v>80</v>
      </c>
      <c r="W40" s="217">
        <v>145</v>
      </c>
      <c r="X40" s="207">
        <v>74.12</v>
      </c>
      <c r="Y40" s="207">
        <v>15.15</v>
      </c>
      <c r="Z40" s="207">
        <v>40</v>
      </c>
      <c r="AA40" s="207">
        <v>63</v>
      </c>
      <c r="AB40" s="207">
        <v>74</v>
      </c>
      <c r="AC40" s="207">
        <v>84</v>
      </c>
      <c r="AD40" s="207">
        <v>126</v>
      </c>
      <c r="AE40" s="207">
        <v>76.23</v>
      </c>
      <c r="AF40" s="207">
        <v>15.71</v>
      </c>
      <c r="AG40" s="207">
        <v>41</v>
      </c>
      <c r="AH40" s="207">
        <v>65</v>
      </c>
      <c r="AI40" s="207">
        <v>75</v>
      </c>
      <c r="AJ40" s="207">
        <v>84.5</v>
      </c>
      <c r="AK40" s="207">
        <v>145</v>
      </c>
      <c r="AL40" s="207">
        <v>75.11</v>
      </c>
      <c r="AM40" s="207">
        <v>15.44</v>
      </c>
      <c r="AN40" s="207">
        <v>40</v>
      </c>
      <c r="AO40" s="207">
        <v>64</v>
      </c>
      <c r="AP40" s="207">
        <v>74</v>
      </c>
      <c r="AQ40" s="207">
        <v>84</v>
      </c>
      <c r="AR40" s="207">
        <v>145</v>
      </c>
      <c r="AS40" s="208"/>
      <c r="AT40" s="188"/>
      <c r="AU40" s="188"/>
      <c r="AV40" s="188"/>
      <c r="AW40" s="188"/>
      <c r="AX40" s="188"/>
      <c r="AY40" s="188"/>
      <c r="AZ40" s="188"/>
      <c r="BA40" s="188"/>
      <c r="BB40" s="188"/>
      <c r="BC40" s="188"/>
      <c r="BD40" s="188"/>
      <c r="BE40" s="188"/>
      <c r="BF40" s="188"/>
      <c r="BG40" s="188"/>
      <c r="BH40" s="188"/>
      <c r="BI40" s="188"/>
    </row>
    <row r="41" spans="1:61" s="186" customFormat="1">
      <c r="A41" s="208"/>
      <c r="B41" s="220" t="s">
        <v>441</v>
      </c>
      <c r="C41" s="217">
        <v>-2.52</v>
      </c>
      <c r="D41" s="217">
        <v>10.92</v>
      </c>
      <c r="E41" s="217">
        <v>-64</v>
      </c>
      <c r="F41" s="217">
        <v>-9</v>
      </c>
      <c r="G41" s="217">
        <v>-3</v>
      </c>
      <c r="H41" s="217">
        <v>5</v>
      </c>
      <c r="I41" s="217">
        <v>36</v>
      </c>
      <c r="J41" s="217">
        <v>0.92</v>
      </c>
      <c r="K41" s="217">
        <v>12.34</v>
      </c>
      <c r="L41" s="217">
        <v>-50</v>
      </c>
      <c r="M41" s="217">
        <v>-7</v>
      </c>
      <c r="N41" s="217">
        <v>0</v>
      </c>
      <c r="O41" s="217">
        <v>9</v>
      </c>
      <c r="P41" s="217">
        <v>49</v>
      </c>
      <c r="Q41" s="217">
        <v>-1</v>
      </c>
      <c r="R41" s="217">
        <v>11.69</v>
      </c>
      <c r="S41" s="217">
        <v>-64</v>
      </c>
      <c r="T41" s="217">
        <v>-8</v>
      </c>
      <c r="U41" s="217">
        <v>-2</v>
      </c>
      <c r="V41" s="217">
        <v>7</v>
      </c>
      <c r="W41" s="217">
        <v>49</v>
      </c>
      <c r="X41" s="207">
        <v>-6.55</v>
      </c>
      <c r="Y41" s="207">
        <v>9.4499999999999993</v>
      </c>
      <c r="Z41" s="207">
        <v>-64</v>
      </c>
      <c r="AA41" s="207">
        <v>-12</v>
      </c>
      <c r="AB41" s="207">
        <v>-6</v>
      </c>
      <c r="AC41" s="207">
        <v>-1</v>
      </c>
      <c r="AD41" s="207">
        <v>24</v>
      </c>
      <c r="AE41" s="207">
        <v>-4.04</v>
      </c>
      <c r="AF41" s="207">
        <v>9.6</v>
      </c>
      <c r="AG41" s="207">
        <v>-34</v>
      </c>
      <c r="AH41" s="207">
        <v>-9</v>
      </c>
      <c r="AI41" s="207">
        <v>-4</v>
      </c>
      <c r="AJ41" s="207">
        <v>1</v>
      </c>
      <c r="AK41" s="207">
        <v>25</v>
      </c>
      <c r="AL41" s="207">
        <v>-5.38</v>
      </c>
      <c r="AM41" s="207">
        <v>9.6</v>
      </c>
      <c r="AN41" s="207">
        <v>-64</v>
      </c>
      <c r="AO41" s="207">
        <v>-10</v>
      </c>
      <c r="AP41" s="207">
        <v>-5</v>
      </c>
      <c r="AQ41" s="207">
        <v>0</v>
      </c>
      <c r="AR41" s="207">
        <v>25</v>
      </c>
      <c r="AS41" s="208"/>
      <c r="AT41" s="188"/>
      <c r="AU41" s="188"/>
      <c r="AV41" s="188"/>
      <c r="AW41" s="188"/>
      <c r="AX41" s="188"/>
      <c r="AY41" s="188"/>
      <c r="AZ41" s="188"/>
      <c r="BA41" s="188"/>
      <c r="BB41" s="188"/>
      <c r="BC41" s="188"/>
      <c r="BD41" s="188"/>
      <c r="BE41" s="188"/>
      <c r="BF41" s="188"/>
      <c r="BG41" s="188"/>
      <c r="BH41" s="188"/>
      <c r="BI41" s="188"/>
    </row>
    <row r="42" spans="1:61" s="186" customFormat="1">
      <c r="A42" s="208"/>
      <c r="B42" s="220" t="s">
        <v>442</v>
      </c>
      <c r="C42" s="217">
        <v>-5.47</v>
      </c>
      <c r="D42" s="217">
        <v>21.18</v>
      </c>
      <c r="E42" s="217">
        <v>-63</v>
      </c>
      <c r="F42" s="217">
        <v>-22</v>
      </c>
      <c r="G42" s="217">
        <v>-7</v>
      </c>
      <c r="H42" s="217">
        <v>11</v>
      </c>
      <c r="I42" s="217">
        <v>55</v>
      </c>
      <c r="J42" s="217">
        <v>1.24</v>
      </c>
      <c r="K42" s="217">
        <v>24.51</v>
      </c>
      <c r="L42" s="217">
        <v>-59</v>
      </c>
      <c r="M42" s="217">
        <v>-19</v>
      </c>
      <c r="N42" s="217">
        <v>0.5</v>
      </c>
      <c r="O42" s="217">
        <v>22</v>
      </c>
      <c r="P42" s="217">
        <v>56</v>
      </c>
      <c r="Q42" s="217">
        <v>-2.5099999999999998</v>
      </c>
      <c r="R42" s="217">
        <v>22.95</v>
      </c>
      <c r="S42" s="217">
        <v>-63</v>
      </c>
      <c r="T42" s="217">
        <v>-21</v>
      </c>
      <c r="U42" s="217">
        <v>-5</v>
      </c>
      <c r="V42" s="217">
        <v>17</v>
      </c>
      <c r="W42" s="217">
        <v>56</v>
      </c>
      <c r="X42" s="207">
        <v>-14.19</v>
      </c>
      <c r="Y42" s="207">
        <v>17.7</v>
      </c>
      <c r="Z42" s="207">
        <v>-55</v>
      </c>
      <c r="AA42" s="207">
        <v>-27</v>
      </c>
      <c r="AB42" s="207">
        <v>-16</v>
      </c>
      <c r="AC42" s="207">
        <v>-3</v>
      </c>
      <c r="AD42" s="207">
        <v>39</v>
      </c>
      <c r="AE42" s="207">
        <v>-9.1199999999999992</v>
      </c>
      <c r="AF42" s="207">
        <v>20.09</v>
      </c>
      <c r="AG42" s="207">
        <v>-49</v>
      </c>
      <c r="AH42" s="207">
        <v>-24</v>
      </c>
      <c r="AI42" s="207">
        <v>-12</v>
      </c>
      <c r="AJ42" s="207">
        <v>2</v>
      </c>
      <c r="AK42" s="207">
        <v>44</v>
      </c>
      <c r="AL42" s="207">
        <v>-11.82</v>
      </c>
      <c r="AM42" s="207">
        <v>19.02</v>
      </c>
      <c r="AN42" s="207">
        <v>-55</v>
      </c>
      <c r="AO42" s="207">
        <v>-25</v>
      </c>
      <c r="AP42" s="207">
        <v>-14</v>
      </c>
      <c r="AQ42" s="207">
        <v>0</v>
      </c>
      <c r="AR42" s="207">
        <v>44</v>
      </c>
      <c r="AS42" s="208"/>
      <c r="AT42" s="188"/>
      <c r="AU42" s="188"/>
      <c r="AV42" s="188"/>
      <c r="AW42" s="188"/>
      <c r="AX42" s="188"/>
      <c r="AY42" s="188"/>
      <c r="AZ42" s="188"/>
      <c r="BA42" s="188"/>
      <c r="BB42" s="188"/>
      <c r="BC42" s="188"/>
      <c r="BD42" s="188"/>
      <c r="BE42" s="188"/>
      <c r="BF42" s="188"/>
      <c r="BG42" s="188"/>
      <c r="BH42" s="188"/>
      <c r="BI42" s="188"/>
    </row>
    <row r="43" spans="1:61" s="186" customFormat="1">
      <c r="A43" s="208"/>
      <c r="B43" s="220" t="s">
        <v>443</v>
      </c>
      <c r="C43" s="217">
        <v>-7.44</v>
      </c>
      <c r="D43" s="217">
        <v>19.04</v>
      </c>
      <c r="E43" s="217">
        <v>-60</v>
      </c>
      <c r="F43" s="217">
        <v>-21</v>
      </c>
      <c r="G43" s="217">
        <v>-8</v>
      </c>
      <c r="H43" s="217">
        <v>6</v>
      </c>
      <c r="I43" s="217">
        <v>45</v>
      </c>
      <c r="J43" s="217">
        <v>0.33</v>
      </c>
      <c r="K43" s="217">
        <v>22.33</v>
      </c>
      <c r="L43" s="217">
        <v>-52</v>
      </c>
      <c r="M43" s="217">
        <v>-17</v>
      </c>
      <c r="N43" s="217">
        <v>2</v>
      </c>
      <c r="O43" s="217">
        <v>19</v>
      </c>
      <c r="P43" s="217">
        <v>53</v>
      </c>
      <c r="Q43" s="217">
        <v>-4.0199999999999996</v>
      </c>
      <c r="R43" s="217">
        <v>20.91</v>
      </c>
      <c r="S43" s="217">
        <v>-60</v>
      </c>
      <c r="T43" s="217">
        <v>-20</v>
      </c>
      <c r="U43" s="217">
        <v>-5</v>
      </c>
      <c r="V43" s="217">
        <v>12</v>
      </c>
      <c r="W43" s="217">
        <v>53</v>
      </c>
      <c r="X43" s="207">
        <v>-14.67</v>
      </c>
      <c r="Y43" s="207">
        <v>16.41</v>
      </c>
      <c r="Z43" s="207">
        <v>-56</v>
      </c>
      <c r="AA43" s="207">
        <v>-26</v>
      </c>
      <c r="AB43" s="207">
        <v>-15</v>
      </c>
      <c r="AC43" s="207">
        <v>-4</v>
      </c>
      <c r="AD43" s="207">
        <v>43</v>
      </c>
      <c r="AE43" s="207">
        <v>-8.5399999999999991</v>
      </c>
      <c r="AF43" s="207">
        <v>19.239999999999998</v>
      </c>
      <c r="AG43" s="207">
        <v>-52</v>
      </c>
      <c r="AH43" s="207">
        <v>-22</v>
      </c>
      <c r="AI43" s="207">
        <v>-9</v>
      </c>
      <c r="AJ43" s="207">
        <v>5</v>
      </c>
      <c r="AK43" s="207">
        <v>40</v>
      </c>
      <c r="AL43" s="207">
        <v>-11.81</v>
      </c>
      <c r="AM43" s="207">
        <v>18.04</v>
      </c>
      <c r="AN43" s="207">
        <v>-56</v>
      </c>
      <c r="AO43" s="207">
        <v>-24</v>
      </c>
      <c r="AP43" s="207">
        <v>-12</v>
      </c>
      <c r="AQ43" s="207">
        <v>-1</v>
      </c>
      <c r="AR43" s="207">
        <v>43</v>
      </c>
      <c r="AS43" s="208"/>
      <c r="AT43" s="188"/>
      <c r="AU43" s="188"/>
      <c r="AV43" s="188"/>
      <c r="AW43" s="188"/>
      <c r="AX43" s="188"/>
      <c r="AY43" s="188"/>
      <c r="AZ43" s="188"/>
      <c r="BA43" s="188"/>
      <c r="BB43" s="188"/>
      <c r="BC43" s="188"/>
      <c r="BD43" s="188"/>
      <c r="BE43" s="188"/>
      <c r="BF43" s="188"/>
      <c r="BG43" s="188"/>
      <c r="BH43" s="188"/>
      <c r="BI43" s="188"/>
    </row>
    <row r="44" spans="1:61" s="186" customFormat="1">
      <c r="A44" s="208"/>
      <c r="B44" s="220" t="s">
        <v>444</v>
      </c>
      <c r="C44" s="217">
        <v>41.04</v>
      </c>
      <c r="D44" s="217">
        <v>13.32</v>
      </c>
      <c r="E44" s="217">
        <v>10</v>
      </c>
      <c r="F44" s="217">
        <v>32</v>
      </c>
      <c r="G44" s="217">
        <v>39</v>
      </c>
      <c r="H44" s="217">
        <v>48</v>
      </c>
      <c r="I44" s="217">
        <v>114</v>
      </c>
      <c r="J44" s="217">
        <v>38.11</v>
      </c>
      <c r="K44" s="217">
        <v>13</v>
      </c>
      <c r="L44" s="217">
        <v>8</v>
      </c>
      <c r="M44" s="217">
        <v>28</v>
      </c>
      <c r="N44" s="217">
        <v>36</v>
      </c>
      <c r="O44" s="217">
        <v>45</v>
      </c>
      <c r="P44" s="217">
        <v>107</v>
      </c>
      <c r="Q44" s="217">
        <v>39.78</v>
      </c>
      <c r="R44" s="217">
        <v>13.26</v>
      </c>
      <c r="S44" s="217">
        <v>8</v>
      </c>
      <c r="T44" s="217">
        <v>31</v>
      </c>
      <c r="U44" s="217">
        <v>37</v>
      </c>
      <c r="V44" s="217">
        <v>47</v>
      </c>
      <c r="W44" s="217">
        <v>114</v>
      </c>
      <c r="X44" s="207">
        <v>41.68</v>
      </c>
      <c r="Y44" s="207">
        <v>14.01</v>
      </c>
      <c r="Z44" s="207">
        <v>10</v>
      </c>
      <c r="AA44" s="207">
        <v>32</v>
      </c>
      <c r="AB44" s="207">
        <v>39</v>
      </c>
      <c r="AC44" s="207">
        <v>49</v>
      </c>
      <c r="AD44" s="207">
        <v>114</v>
      </c>
      <c r="AE44" s="207">
        <v>38.159999999999997</v>
      </c>
      <c r="AF44" s="207">
        <v>13.39</v>
      </c>
      <c r="AG44" s="207">
        <v>8</v>
      </c>
      <c r="AH44" s="207">
        <v>28</v>
      </c>
      <c r="AI44" s="207">
        <v>36</v>
      </c>
      <c r="AJ44" s="207">
        <v>46</v>
      </c>
      <c r="AK44" s="207">
        <v>87</v>
      </c>
      <c r="AL44" s="207">
        <v>40.06</v>
      </c>
      <c r="AM44" s="207">
        <v>13.83</v>
      </c>
      <c r="AN44" s="207">
        <v>8</v>
      </c>
      <c r="AO44" s="207">
        <v>30</v>
      </c>
      <c r="AP44" s="207">
        <v>38</v>
      </c>
      <c r="AQ44" s="207">
        <v>47</v>
      </c>
      <c r="AR44" s="207">
        <v>114</v>
      </c>
      <c r="AS44" s="208"/>
      <c r="AT44" s="188"/>
      <c r="AU44" s="188"/>
      <c r="AV44" s="188"/>
      <c r="AW44" s="188"/>
      <c r="AX44" s="188"/>
      <c r="AY44" s="188"/>
      <c r="AZ44" s="188"/>
      <c r="BA44" s="188"/>
      <c r="BB44" s="188"/>
      <c r="BC44" s="188"/>
      <c r="BD44" s="188"/>
      <c r="BE44" s="188"/>
      <c r="BF44" s="188"/>
      <c r="BG44" s="188"/>
      <c r="BH44" s="188"/>
      <c r="BI44" s="188"/>
    </row>
    <row r="45" spans="1:61" s="186" customFormat="1">
      <c r="A45" s="208"/>
      <c r="B45" s="220" t="s">
        <v>445</v>
      </c>
      <c r="C45" s="217">
        <v>18.600000000000001</v>
      </c>
      <c r="D45" s="217">
        <v>6.57</v>
      </c>
      <c r="E45" s="217">
        <v>5</v>
      </c>
      <c r="F45" s="217">
        <v>14</v>
      </c>
      <c r="G45" s="217">
        <v>18</v>
      </c>
      <c r="H45" s="217">
        <v>23</v>
      </c>
      <c r="I45" s="217">
        <v>53</v>
      </c>
      <c r="J45" s="217">
        <v>18.95</v>
      </c>
      <c r="K45" s="217">
        <v>7.29</v>
      </c>
      <c r="L45" s="217">
        <v>6</v>
      </c>
      <c r="M45" s="217">
        <v>13</v>
      </c>
      <c r="N45" s="217">
        <v>18</v>
      </c>
      <c r="O45" s="217">
        <v>23</v>
      </c>
      <c r="P45" s="217">
        <v>47</v>
      </c>
      <c r="Q45" s="217">
        <v>18.75</v>
      </c>
      <c r="R45" s="217">
        <v>6.89</v>
      </c>
      <c r="S45" s="217">
        <v>5</v>
      </c>
      <c r="T45" s="217">
        <v>14</v>
      </c>
      <c r="U45" s="217">
        <v>18</v>
      </c>
      <c r="V45" s="217">
        <v>23</v>
      </c>
      <c r="W45" s="217">
        <v>53</v>
      </c>
      <c r="X45" s="207">
        <v>16.21</v>
      </c>
      <c r="Y45" s="207">
        <v>5.4</v>
      </c>
      <c r="Z45" s="207">
        <v>5</v>
      </c>
      <c r="AA45" s="207">
        <v>12</v>
      </c>
      <c r="AB45" s="207">
        <v>16</v>
      </c>
      <c r="AC45" s="207">
        <v>19</v>
      </c>
      <c r="AD45" s="207">
        <v>39</v>
      </c>
      <c r="AE45" s="207">
        <v>15.81</v>
      </c>
      <c r="AF45" s="207">
        <v>5.45</v>
      </c>
      <c r="AG45" s="207">
        <v>6</v>
      </c>
      <c r="AH45" s="207">
        <v>12</v>
      </c>
      <c r="AI45" s="207">
        <v>15</v>
      </c>
      <c r="AJ45" s="207">
        <v>19</v>
      </c>
      <c r="AK45" s="207">
        <v>36</v>
      </c>
      <c r="AL45" s="207">
        <v>16.03</v>
      </c>
      <c r="AM45" s="207">
        <v>5.42</v>
      </c>
      <c r="AN45" s="207">
        <v>5</v>
      </c>
      <c r="AO45" s="207">
        <v>12</v>
      </c>
      <c r="AP45" s="207">
        <v>15</v>
      </c>
      <c r="AQ45" s="207">
        <v>19</v>
      </c>
      <c r="AR45" s="207">
        <v>39</v>
      </c>
      <c r="AS45" s="208"/>
      <c r="AT45" s="188"/>
      <c r="AU45" s="188"/>
      <c r="AV45" s="188"/>
      <c r="AW45" s="188"/>
      <c r="AX45" s="188"/>
      <c r="AY45" s="188"/>
      <c r="AZ45" s="188"/>
      <c r="BA45" s="188"/>
      <c r="BB45" s="188"/>
      <c r="BC45" s="188"/>
      <c r="BD45" s="188"/>
      <c r="BE45" s="188"/>
      <c r="BF45" s="188"/>
      <c r="BG45" s="188"/>
      <c r="BH45" s="188"/>
      <c r="BI45" s="188"/>
    </row>
    <row r="46" spans="1:61" s="186" customFormat="1">
      <c r="A46" s="208"/>
      <c r="B46" s="220" t="s">
        <v>153</v>
      </c>
      <c r="C46" s="217">
        <v>0.48</v>
      </c>
      <c r="D46" s="217">
        <v>0.17</v>
      </c>
      <c r="E46" s="217">
        <v>0.11</v>
      </c>
      <c r="F46" s="217">
        <v>0.36</v>
      </c>
      <c r="G46" s="217">
        <v>0.46</v>
      </c>
      <c r="H46" s="217">
        <v>0.59</v>
      </c>
      <c r="I46" s="217">
        <v>1</v>
      </c>
      <c r="J46" s="217">
        <v>0.53</v>
      </c>
      <c r="K46" s="217">
        <v>0.2</v>
      </c>
      <c r="L46" s="217">
        <v>0.13</v>
      </c>
      <c r="M46" s="217">
        <v>0.37</v>
      </c>
      <c r="N46" s="217">
        <v>0.5</v>
      </c>
      <c r="O46" s="217">
        <v>0.69</v>
      </c>
      <c r="P46" s="217">
        <v>1</v>
      </c>
      <c r="Q46" s="217">
        <v>0.5</v>
      </c>
      <c r="R46" s="217">
        <v>0.18</v>
      </c>
      <c r="S46" s="217">
        <v>0.11</v>
      </c>
      <c r="T46" s="217">
        <v>0.36</v>
      </c>
      <c r="U46" s="217">
        <v>0.47</v>
      </c>
      <c r="V46" s="217">
        <v>0.63</v>
      </c>
      <c r="W46" s="217">
        <v>1</v>
      </c>
      <c r="X46" s="207">
        <v>0.41</v>
      </c>
      <c r="Y46" s="207">
        <v>0.13</v>
      </c>
      <c r="Z46" s="207">
        <v>0.11</v>
      </c>
      <c r="AA46" s="207">
        <v>0.32</v>
      </c>
      <c r="AB46" s="207">
        <v>0.4</v>
      </c>
      <c r="AC46" s="207">
        <v>0.48</v>
      </c>
      <c r="AD46" s="207">
        <v>0.94</v>
      </c>
      <c r="AE46" s="207">
        <v>0.44</v>
      </c>
      <c r="AF46" s="207">
        <v>0.16</v>
      </c>
      <c r="AG46" s="207">
        <v>0.13</v>
      </c>
      <c r="AH46" s="207">
        <v>0.34</v>
      </c>
      <c r="AI46" s="207">
        <v>0.41</v>
      </c>
      <c r="AJ46" s="207">
        <v>0.52</v>
      </c>
      <c r="AK46" s="207">
        <v>0.97</v>
      </c>
      <c r="AL46" s="207">
        <v>0.43</v>
      </c>
      <c r="AM46" s="207">
        <v>0.15</v>
      </c>
      <c r="AN46" s="207">
        <v>0.11</v>
      </c>
      <c r="AO46" s="207">
        <v>0.33</v>
      </c>
      <c r="AP46" s="207">
        <v>0.41</v>
      </c>
      <c r="AQ46" s="207">
        <v>0.5</v>
      </c>
      <c r="AR46" s="207">
        <v>0.97</v>
      </c>
      <c r="AS46" s="208"/>
      <c r="AT46" s="188"/>
      <c r="AU46" s="188"/>
      <c r="AV46" s="188"/>
      <c r="AW46" s="188"/>
      <c r="AX46" s="188"/>
      <c r="AY46" s="188"/>
      <c r="AZ46" s="188"/>
      <c r="BA46" s="188"/>
      <c r="BB46" s="188"/>
      <c r="BC46" s="188"/>
      <c r="BD46" s="188"/>
      <c r="BE46" s="188"/>
      <c r="BF46" s="188"/>
      <c r="BG46" s="188"/>
      <c r="BH46" s="188"/>
      <c r="BI46" s="188"/>
    </row>
    <row r="47" spans="1:61" s="186" customFormat="1">
      <c r="A47" s="209"/>
      <c r="B47" s="240" t="s">
        <v>759</v>
      </c>
      <c r="C47" s="218">
        <v>0.31</v>
      </c>
      <c r="D47" s="218">
        <v>0.08</v>
      </c>
      <c r="E47" s="218">
        <v>0.1</v>
      </c>
      <c r="F47" s="218">
        <v>0.26</v>
      </c>
      <c r="G47" s="218">
        <v>0.31</v>
      </c>
      <c r="H47" s="218">
        <v>0.37</v>
      </c>
      <c r="I47" s="218">
        <v>0.5</v>
      </c>
      <c r="J47" s="218">
        <v>0.33</v>
      </c>
      <c r="K47" s="218">
        <v>0.09</v>
      </c>
      <c r="L47" s="218">
        <v>0.12</v>
      </c>
      <c r="M47" s="218">
        <v>0.27</v>
      </c>
      <c r="N47" s="218">
        <v>0.33</v>
      </c>
      <c r="O47" s="218">
        <v>0.41</v>
      </c>
      <c r="P47" s="218">
        <v>0.5</v>
      </c>
      <c r="Q47" s="218">
        <v>0.32</v>
      </c>
      <c r="R47" s="218">
        <v>0.08</v>
      </c>
      <c r="S47" s="218">
        <v>0.1</v>
      </c>
      <c r="T47" s="218">
        <v>0.27</v>
      </c>
      <c r="U47" s="218">
        <v>0.32</v>
      </c>
      <c r="V47" s="218">
        <v>0.38</v>
      </c>
      <c r="W47" s="218">
        <v>0.5</v>
      </c>
      <c r="X47" s="219">
        <v>0.28000000000000003</v>
      </c>
      <c r="Y47" s="219">
        <v>7.0000000000000007E-2</v>
      </c>
      <c r="Z47" s="219">
        <v>0.1</v>
      </c>
      <c r="AA47" s="219">
        <v>0.24</v>
      </c>
      <c r="AB47" s="219">
        <v>0.28999999999999998</v>
      </c>
      <c r="AC47" s="219">
        <v>0.33</v>
      </c>
      <c r="AD47" s="219">
        <v>0.48</v>
      </c>
      <c r="AE47" s="219">
        <v>0.3</v>
      </c>
      <c r="AF47" s="219">
        <v>7.0000000000000007E-2</v>
      </c>
      <c r="AG47" s="219">
        <v>0.12</v>
      </c>
      <c r="AH47" s="219">
        <v>0.25</v>
      </c>
      <c r="AI47" s="219">
        <v>0.28999999999999998</v>
      </c>
      <c r="AJ47" s="219">
        <v>0.34</v>
      </c>
      <c r="AK47" s="219">
        <v>0.49</v>
      </c>
      <c r="AL47" s="219">
        <v>0.28999999999999998</v>
      </c>
      <c r="AM47" s="219">
        <v>7.0000000000000007E-2</v>
      </c>
      <c r="AN47" s="219">
        <v>0.1</v>
      </c>
      <c r="AO47" s="219">
        <v>0.25</v>
      </c>
      <c r="AP47" s="219">
        <v>0.28999999999999998</v>
      </c>
      <c r="AQ47" s="219">
        <v>0.33</v>
      </c>
      <c r="AR47" s="219">
        <v>0.49</v>
      </c>
      <c r="AS47" s="209"/>
      <c r="AT47" s="188"/>
      <c r="AU47" s="188"/>
      <c r="AV47" s="188"/>
      <c r="AW47" s="188"/>
      <c r="AX47" s="188"/>
      <c r="AY47" s="188"/>
      <c r="AZ47" s="188"/>
      <c r="BA47" s="188"/>
      <c r="BB47" s="188"/>
      <c r="BC47" s="188"/>
      <c r="BD47" s="188"/>
      <c r="BE47" s="188"/>
      <c r="BF47" s="188"/>
      <c r="BG47" s="188"/>
      <c r="BH47" s="188"/>
      <c r="BI47" s="188"/>
    </row>
    <row r="48" spans="1:61" s="186" customFormat="1">
      <c r="A48" s="199"/>
      <c r="B48" s="307" t="s">
        <v>796</v>
      </c>
      <c r="C48" s="307"/>
      <c r="D48" s="307"/>
      <c r="E48" s="307"/>
      <c r="F48" s="307"/>
      <c r="G48" s="307"/>
      <c r="H48" s="307"/>
      <c r="I48" s="307"/>
      <c r="J48" s="307"/>
      <c r="K48" s="307"/>
      <c r="L48" s="307"/>
      <c r="M48" s="307"/>
      <c r="N48" s="307"/>
      <c r="O48" s="307"/>
      <c r="P48" s="307"/>
      <c r="Q48" s="307"/>
      <c r="R48" s="307"/>
      <c r="S48" s="307"/>
      <c r="T48" s="307"/>
      <c r="U48" s="307"/>
      <c r="V48" s="307"/>
      <c r="W48" s="307"/>
      <c r="X48" s="307"/>
      <c r="Y48" s="307"/>
      <c r="Z48" s="307"/>
      <c r="AA48" s="307"/>
      <c r="AB48" s="307"/>
      <c r="AC48" s="307"/>
      <c r="AD48" s="307"/>
      <c r="AE48" s="307"/>
      <c r="AF48" s="307"/>
      <c r="AG48" s="307"/>
      <c r="AH48" s="307"/>
      <c r="AI48" s="307"/>
      <c r="AJ48" s="307"/>
      <c r="AK48" s="307"/>
      <c r="AL48" s="307"/>
      <c r="AM48" s="307"/>
      <c r="AN48" s="307"/>
      <c r="AO48" s="307"/>
      <c r="AP48" s="307"/>
      <c r="AQ48" s="307"/>
      <c r="AR48" s="307"/>
      <c r="AS48" s="199"/>
      <c r="AT48" s="196"/>
      <c r="AU48" s="188"/>
      <c r="AV48" s="188"/>
      <c r="AW48" s="188"/>
      <c r="AX48" s="188"/>
      <c r="AY48" s="188"/>
      <c r="AZ48" s="188"/>
      <c r="BA48" s="188"/>
      <c r="BB48" s="188"/>
      <c r="BC48" s="188"/>
      <c r="BD48" s="188"/>
      <c r="BE48" s="188"/>
      <c r="BF48" s="188"/>
      <c r="BG48" s="188"/>
      <c r="BH48" s="188"/>
      <c r="BI48" s="188"/>
    </row>
    <row r="49" spans="1:61" s="186" customFormat="1">
      <c r="A49" s="183"/>
      <c r="B49" s="308"/>
      <c r="C49" s="308"/>
      <c r="D49" s="308"/>
      <c r="E49" s="308"/>
      <c r="F49" s="308"/>
      <c r="G49" s="308"/>
      <c r="H49" s="308"/>
      <c r="I49" s="308"/>
      <c r="J49" s="308"/>
      <c r="K49" s="308"/>
      <c r="L49" s="308"/>
      <c r="M49" s="308"/>
      <c r="N49" s="308"/>
      <c r="O49" s="308"/>
      <c r="P49" s="308"/>
      <c r="Q49" s="308"/>
      <c r="R49" s="308"/>
      <c r="S49" s="308"/>
      <c r="T49" s="308"/>
      <c r="U49" s="308"/>
      <c r="V49" s="308"/>
      <c r="W49" s="308"/>
      <c r="X49" s="308"/>
      <c r="Y49" s="308"/>
      <c r="Z49" s="308"/>
      <c r="AA49" s="308"/>
      <c r="AB49" s="308"/>
      <c r="AC49" s="308"/>
      <c r="AD49" s="308"/>
      <c r="AE49" s="308"/>
      <c r="AF49" s="308"/>
      <c r="AG49" s="308"/>
      <c r="AH49" s="308"/>
      <c r="AI49" s="308"/>
      <c r="AJ49" s="308"/>
      <c r="AK49" s="308"/>
      <c r="AL49" s="308"/>
      <c r="AM49" s="308"/>
      <c r="AN49" s="308"/>
      <c r="AO49" s="308"/>
      <c r="AP49" s="308"/>
      <c r="AQ49" s="308"/>
      <c r="AR49" s="308"/>
      <c r="AS49" s="183"/>
      <c r="AU49" s="196"/>
      <c r="AV49" s="196"/>
      <c r="AW49" s="196"/>
      <c r="AX49" s="196"/>
      <c r="AY49" s="198"/>
      <c r="AZ49" s="197"/>
      <c r="BA49" s="196"/>
      <c r="BB49" s="196"/>
      <c r="BC49" s="196"/>
      <c r="BD49" s="196"/>
      <c r="BE49" s="196"/>
      <c r="BF49" s="196"/>
      <c r="BG49" s="196"/>
      <c r="BH49" s="198"/>
      <c r="BI49" s="188"/>
    </row>
    <row r="50" spans="1:61" s="186" customFormat="1">
      <c r="A50" s="183"/>
      <c r="B50" s="211"/>
      <c r="C50" s="185"/>
      <c r="D50" s="185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5"/>
      <c r="V50" s="185"/>
      <c r="W50" s="185"/>
      <c r="X50" s="183"/>
      <c r="Y50" s="183"/>
      <c r="Z50" s="183"/>
      <c r="AA50" s="183"/>
      <c r="AB50" s="183"/>
      <c r="AC50" s="183"/>
      <c r="AD50" s="183"/>
      <c r="AE50" s="183"/>
      <c r="AF50" s="183"/>
      <c r="AG50" s="183"/>
      <c r="AH50" s="183"/>
      <c r="AI50" s="183"/>
      <c r="AJ50" s="183"/>
      <c r="AK50" s="183"/>
      <c r="AL50" s="183"/>
      <c r="AM50" s="183"/>
      <c r="AN50" s="183"/>
      <c r="AO50" s="183"/>
      <c r="AP50" s="183"/>
      <c r="AQ50" s="183"/>
      <c r="AR50" s="183"/>
      <c r="AS50" s="183"/>
    </row>
    <row r="51" spans="1:61" s="186" customFormat="1">
      <c r="A51" s="182"/>
      <c r="B51" s="211"/>
      <c r="C51" s="185"/>
      <c r="D51" s="185"/>
      <c r="E51" s="185"/>
      <c r="F51" s="185"/>
      <c r="G51" s="185"/>
      <c r="H51" s="185"/>
      <c r="I51" s="185"/>
      <c r="J51" s="185"/>
      <c r="K51" s="185"/>
      <c r="L51" s="185"/>
      <c r="M51" s="185"/>
      <c r="N51" s="185"/>
      <c r="O51" s="185"/>
      <c r="P51" s="185"/>
      <c r="Q51" s="185"/>
      <c r="R51" s="185"/>
      <c r="S51" s="185"/>
      <c r="T51" s="185"/>
      <c r="U51" s="185"/>
      <c r="V51" s="185"/>
      <c r="W51" s="185"/>
      <c r="X51" s="183"/>
      <c r="Y51" s="183"/>
      <c r="Z51" s="183"/>
      <c r="AA51" s="183"/>
      <c r="AB51" s="183"/>
      <c r="AC51" s="183"/>
      <c r="AD51" s="183"/>
      <c r="AE51" s="183"/>
      <c r="AF51" s="183"/>
      <c r="AG51" s="183"/>
      <c r="AH51" s="183"/>
      <c r="AI51" s="183"/>
      <c r="AJ51" s="183"/>
      <c r="AK51" s="183"/>
      <c r="AL51" s="183"/>
      <c r="AM51" s="183"/>
      <c r="AN51" s="183"/>
      <c r="AO51" s="183"/>
      <c r="AP51" s="183"/>
      <c r="AQ51" s="183"/>
      <c r="AR51" s="182"/>
      <c r="AS51" s="182"/>
    </row>
  </sheetData>
  <mergeCells count="13">
    <mergeCell ref="B2:AR2"/>
    <mergeCell ref="B6:AR6"/>
    <mergeCell ref="B20:AR20"/>
    <mergeCell ref="B34:AR34"/>
    <mergeCell ref="B48:AR49"/>
    <mergeCell ref="C3:W3"/>
    <mergeCell ref="C4:I4"/>
    <mergeCell ref="J4:P4"/>
    <mergeCell ref="Q4:W4"/>
    <mergeCell ref="X4:AD4"/>
    <mergeCell ref="AE4:AK4"/>
    <mergeCell ref="X3:AR3"/>
    <mergeCell ref="AL4:AR4"/>
  </mergeCells>
  <hyperlinks>
    <hyperlink ref="B15" r:id="rId1"/>
    <hyperlink ref="B29" r:id="rId2"/>
    <hyperlink ref="B43" r:id="rId3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R24"/>
  <sheetViews>
    <sheetView zoomScale="70" zoomScaleNormal="70" workbookViewId="0">
      <selection activeCell="B20" sqref="B20:F22"/>
    </sheetView>
  </sheetViews>
  <sheetFormatPr baseColWidth="10" defaultRowHeight="15"/>
  <cols>
    <col min="1" max="1" width="11.42578125" style="20"/>
    <col min="2" max="2" width="10.140625" style="20" bestFit="1" customWidth="1"/>
    <col min="3" max="3" width="6.5703125" style="20" bestFit="1" customWidth="1"/>
    <col min="4" max="4" width="30.42578125" style="20" customWidth="1"/>
    <col min="5" max="5" width="27" style="20" customWidth="1"/>
    <col min="6" max="6" width="27.28515625" style="20" customWidth="1"/>
    <col min="7" max="16384" width="11.42578125" style="20"/>
  </cols>
  <sheetData>
    <row r="1" spans="1:7">
      <c r="A1" s="21"/>
      <c r="B1" s="21"/>
      <c r="C1" s="21"/>
      <c r="D1" s="21"/>
      <c r="E1" s="21"/>
      <c r="F1" s="21"/>
      <c r="G1" s="21"/>
    </row>
    <row r="2" spans="1:7" ht="45.75" customHeight="1">
      <c r="A2" s="21"/>
      <c r="B2" s="309" t="s">
        <v>757</v>
      </c>
      <c r="C2" s="309"/>
      <c r="D2" s="309"/>
      <c r="E2" s="309"/>
      <c r="F2" s="309"/>
      <c r="G2" s="21"/>
    </row>
    <row r="3" spans="1:7">
      <c r="A3" s="21"/>
      <c r="B3" s="23"/>
      <c r="C3" s="23"/>
      <c r="D3" s="23"/>
      <c r="E3" s="23"/>
      <c r="F3" s="23"/>
      <c r="G3" s="21"/>
    </row>
    <row r="4" spans="1:7">
      <c r="A4" s="21"/>
      <c r="B4" s="22"/>
      <c r="C4" s="22"/>
      <c r="D4" s="312" t="s">
        <v>152</v>
      </c>
      <c r="E4" s="312"/>
      <c r="F4" s="312"/>
      <c r="G4" s="21"/>
    </row>
    <row r="5" spans="1:7" ht="24.75">
      <c r="A5" s="21"/>
      <c r="B5" s="24"/>
      <c r="C5" s="24"/>
      <c r="D5" s="159" t="s">
        <v>758</v>
      </c>
      <c r="E5" s="160" t="s">
        <v>286</v>
      </c>
      <c r="F5" s="159" t="s">
        <v>287</v>
      </c>
      <c r="G5" s="21"/>
    </row>
    <row r="6" spans="1:7">
      <c r="A6" s="21"/>
      <c r="B6" s="310" t="s">
        <v>452</v>
      </c>
      <c r="C6" s="157" t="s">
        <v>150</v>
      </c>
      <c r="D6" s="153">
        <v>-1.3164285846971093E-2</v>
      </c>
      <c r="E6" s="155">
        <v>9.2906086203650123E-2</v>
      </c>
      <c r="F6" s="153">
        <v>0.10234774543945054</v>
      </c>
      <c r="G6" s="21"/>
    </row>
    <row r="7" spans="1:7">
      <c r="A7" s="21"/>
      <c r="B7" s="311"/>
      <c r="C7" s="158" t="s">
        <v>151</v>
      </c>
      <c r="D7" s="154">
        <v>0.83922547506516898</v>
      </c>
      <c r="E7" s="156">
        <v>0.15131965069812589</v>
      </c>
      <c r="F7" s="154">
        <v>0.11377700095401232</v>
      </c>
      <c r="G7" s="21"/>
    </row>
    <row r="8" spans="1:7">
      <c r="A8" s="21"/>
      <c r="B8" s="310" t="s">
        <v>453</v>
      </c>
      <c r="C8" s="157" t="s">
        <v>150</v>
      </c>
      <c r="D8" s="153">
        <v>-4.3405400055481272E-4</v>
      </c>
      <c r="E8" s="155">
        <v>7.7716419828020314E-2</v>
      </c>
      <c r="F8" s="153">
        <v>6.208130558454393E-2</v>
      </c>
      <c r="G8" s="21"/>
    </row>
    <row r="9" spans="1:7">
      <c r="A9" s="21"/>
      <c r="B9" s="311"/>
      <c r="C9" s="158" t="s">
        <v>151</v>
      </c>
      <c r="D9" s="154">
        <v>0.99466280716062005</v>
      </c>
      <c r="E9" s="156">
        <v>0.23033092705911598</v>
      </c>
      <c r="F9" s="154">
        <v>0.33823305984219743</v>
      </c>
      <c r="G9" s="21"/>
    </row>
    <row r="10" spans="1:7" ht="15" customHeight="1">
      <c r="A10" s="21"/>
      <c r="B10" s="310" t="s">
        <v>149</v>
      </c>
      <c r="C10" s="157" t="s">
        <v>150</v>
      </c>
      <c r="D10" s="153">
        <v>0.11210431690084477</v>
      </c>
      <c r="E10" s="155">
        <v>0.1330581760356862</v>
      </c>
      <c r="F10" s="153">
        <v>0.10443748614790226</v>
      </c>
      <c r="G10" s="21"/>
    </row>
    <row r="11" spans="1:7">
      <c r="A11" s="21"/>
      <c r="B11" s="311"/>
      <c r="C11" s="158" t="s">
        <v>151</v>
      </c>
      <c r="D11" s="154">
        <v>8.3075648707903904E-2</v>
      </c>
      <c r="E11" s="156">
        <v>5.9423991455773803E-2</v>
      </c>
      <c r="F11" s="154">
        <v>0.10654738989851721</v>
      </c>
      <c r="G11" s="21"/>
    </row>
    <row r="12" spans="1:7">
      <c r="A12" s="21"/>
      <c r="B12" s="310" t="s">
        <v>454</v>
      </c>
      <c r="C12" s="157" t="s">
        <v>150</v>
      </c>
      <c r="D12" s="153">
        <v>-2.4946657134408849E-2</v>
      </c>
      <c r="E12" s="155">
        <v>-4.7317040799968388E-2</v>
      </c>
      <c r="F12" s="153">
        <v>-1.2997785264713844E-2</v>
      </c>
      <c r="G12" s="21"/>
    </row>
    <row r="13" spans="1:7">
      <c r="A13" s="21"/>
      <c r="B13" s="311"/>
      <c r="C13" s="158" t="s">
        <v>151</v>
      </c>
      <c r="D13" s="154">
        <v>0.70059745592167544</v>
      </c>
      <c r="E13" s="156">
        <v>0.46562605563967152</v>
      </c>
      <c r="F13" s="154">
        <v>0.84123187835913615</v>
      </c>
      <c r="G13" s="21"/>
    </row>
    <row r="14" spans="1:7">
      <c r="A14" s="21"/>
      <c r="B14" s="310" t="s">
        <v>455</v>
      </c>
      <c r="C14" s="157" t="s">
        <v>150</v>
      </c>
      <c r="D14" s="153">
        <v>-5.8924386983730918E-2</v>
      </c>
      <c r="E14" s="155">
        <v>-2.7894792773535425E-2</v>
      </c>
      <c r="F14" s="153">
        <v>3.2867568672226455E-2</v>
      </c>
      <c r="G14" s="21"/>
    </row>
    <row r="15" spans="1:7">
      <c r="A15" s="21"/>
      <c r="B15" s="311"/>
      <c r="C15" s="158" t="s">
        <v>151</v>
      </c>
      <c r="D15" s="154">
        <v>0.36341516222118253</v>
      </c>
      <c r="E15" s="156">
        <v>0.6672161584122871</v>
      </c>
      <c r="F15" s="154">
        <v>0.61239288382846413</v>
      </c>
      <c r="G15" s="21"/>
    </row>
    <row r="16" spans="1:7">
      <c r="A16" s="21"/>
      <c r="B16" s="310" t="s">
        <v>153</v>
      </c>
      <c r="C16" s="157" t="s">
        <v>150</v>
      </c>
      <c r="D16" s="153">
        <v>-0.12506663835731677</v>
      </c>
      <c r="E16" s="155">
        <v>-6.3886563392908944E-3</v>
      </c>
      <c r="F16" s="153">
        <v>4.068800932483272E-2</v>
      </c>
      <c r="G16" s="21"/>
    </row>
    <row r="17" spans="1:44">
      <c r="A17" s="21"/>
      <c r="B17" s="311"/>
      <c r="C17" s="158" t="s">
        <v>151</v>
      </c>
      <c r="D17" s="154">
        <v>5.2988742125757056E-2</v>
      </c>
      <c r="E17" s="156">
        <v>0.92156947809705025</v>
      </c>
      <c r="F17" s="154">
        <v>0.53045940815144288</v>
      </c>
      <c r="G17" s="21"/>
    </row>
    <row r="18" spans="1:44">
      <c r="A18" s="21"/>
      <c r="B18" s="310" t="s">
        <v>760</v>
      </c>
      <c r="C18" s="157" t="s">
        <v>150</v>
      </c>
      <c r="D18" s="153">
        <v>-0.11778054993127676</v>
      </c>
      <c r="E18" s="155">
        <v>6.3194683347250679E-3</v>
      </c>
      <c r="F18" s="153">
        <v>2.3268553135261969E-2</v>
      </c>
      <c r="G18" s="21"/>
    </row>
    <row r="19" spans="1:44">
      <c r="A19" s="21"/>
      <c r="B19" s="311"/>
      <c r="C19" s="157" t="s">
        <v>151</v>
      </c>
      <c r="D19" s="153">
        <v>6.8535878890854413E-2</v>
      </c>
      <c r="E19" s="155">
        <v>0.92241618685372384</v>
      </c>
      <c r="F19" s="153">
        <v>0.71986333170581351</v>
      </c>
      <c r="G19" s="21"/>
    </row>
    <row r="20" spans="1:44" ht="15" customHeight="1">
      <c r="A20" s="21"/>
      <c r="B20" s="307" t="s">
        <v>761</v>
      </c>
      <c r="C20" s="307"/>
      <c r="D20" s="307"/>
      <c r="E20" s="307"/>
      <c r="F20" s="307"/>
      <c r="G20" s="247"/>
      <c r="H20" s="247"/>
      <c r="I20" s="247"/>
      <c r="J20" s="247"/>
      <c r="K20" s="247"/>
      <c r="L20" s="247"/>
      <c r="M20" s="247"/>
      <c r="N20" s="247"/>
      <c r="O20" s="247"/>
      <c r="P20" s="247"/>
      <c r="Q20" s="247"/>
      <c r="R20" s="247"/>
      <c r="S20" s="247"/>
      <c r="T20" s="247"/>
      <c r="U20" s="247"/>
      <c r="V20" s="247"/>
      <c r="W20" s="247"/>
      <c r="X20" s="247"/>
      <c r="Y20" s="247"/>
      <c r="Z20" s="247"/>
      <c r="AA20" s="247"/>
      <c r="AB20" s="247"/>
      <c r="AC20" s="247"/>
      <c r="AD20" s="247"/>
      <c r="AE20" s="247"/>
      <c r="AF20" s="247"/>
      <c r="AG20" s="247"/>
      <c r="AH20" s="247"/>
      <c r="AI20" s="247"/>
      <c r="AJ20" s="247"/>
      <c r="AK20" s="247"/>
      <c r="AL20" s="247"/>
      <c r="AM20" s="247"/>
      <c r="AN20" s="247"/>
      <c r="AO20" s="247"/>
      <c r="AP20" s="247"/>
      <c r="AQ20" s="247"/>
      <c r="AR20" s="247"/>
    </row>
    <row r="21" spans="1:44">
      <c r="A21" s="21"/>
      <c r="B21" s="308"/>
      <c r="C21" s="308"/>
      <c r="D21" s="308"/>
      <c r="E21" s="308"/>
      <c r="F21" s="308"/>
      <c r="G21" s="247"/>
      <c r="H21" s="247"/>
      <c r="I21" s="247"/>
      <c r="J21" s="247"/>
      <c r="K21" s="247"/>
      <c r="L21" s="247"/>
      <c r="M21" s="247"/>
      <c r="N21" s="247"/>
      <c r="O21" s="247"/>
      <c r="P21" s="247"/>
      <c r="Q21" s="247"/>
      <c r="R21" s="247"/>
      <c r="S21" s="247"/>
      <c r="T21" s="247"/>
      <c r="U21" s="247"/>
      <c r="V21" s="247"/>
      <c r="W21" s="247"/>
      <c r="X21" s="247"/>
      <c r="Y21" s="247"/>
      <c r="Z21" s="247"/>
      <c r="AA21" s="247"/>
      <c r="AB21" s="247"/>
      <c r="AC21" s="247"/>
      <c r="AD21" s="247"/>
      <c r="AE21" s="247"/>
      <c r="AF21" s="247"/>
      <c r="AG21" s="247"/>
      <c r="AH21" s="247"/>
      <c r="AI21" s="247"/>
      <c r="AJ21" s="247"/>
      <c r="AK21" s="247"/>
      <c r="AL21" s="247"/>
      <c r="AM21" s="247"/>
      <c r="AN21" s="247"/>
      <c r="AO21" s="247"/>
      <c r="AP21" s="247"/>
      <c r="AQ21" s="247"/>
      <c r="AR21" s="247"/>
    </row>
    <row r="22" spans="1:44">
      <c r="A22" s="21"/>
      <c r="B22" s="308"/>
      <c r="C22" s="308"/>
      <c r="D22" s="308"/>
      <c r="E22" s="308"/>
      <c r="F22" s="308"/>
      <c r="G22" s="21"/>
    </row>
    <row r="23" spans="1:44">
      <c r="A23" s="21"/>
      <c r="B23" s="21"/>
      <c r="C23" s="21"/>
      <c r="D23" s="21"/>
      <c r="E23" s="21"/>
      <c r="F23" s="21"/>
      <c r="G23" s="21"/>
    </row>
    <row r="24" spans="1:44">
      <c r="A24" s="21"/>
      <c r="B24" s="21"/>
      <c r="C24" s="21"/>
      <c r="D24" s="21"/>
      <c r="E24" s="21"/>
      <c r="F24" s="21"/>
      <c r="G24" s="21"/>
    </row>
  </sheetData>
  <mergeCells count="10">
    <mergeCell ref="B20:F22"/>
    <mergeCell ref="B2:F2"/>
    <mergeCell ref="B16:B17"/>
    <mergeCell ref="B18:B19"/>
    <mergeCell ref="D4:F4"/>
    <mergeCell ref="B6:B7"/>
    <mergeCell ref="B8:B9"/>
    <mergeCell ref="B10:B11"/>
    <mergeCell ref="B14:B15"/>
    <mergeCell ref="B12:B13"/>
  </mergeCells>
  <conditionalFormatting sqref="D19:F19 D7:F7 D9:F9 D13:F13 D15:F15 D17:F17 D11:F11">
    <cfRule type="cellIs" dxfId="2" priority="240" operator="lessThan">
      <formula>0.05</formula>
    </cfRule>
    <cfRule type="cellIs" dxfId="1" priority="261" operator="lessThan">
      <formula>0.05</formula>
    </cfRule>
  </conditionalFormatting>
  <conditionalFormatting sqref="E7:F7 D19:F19 D9:F9 D13:F13 D15:F15 D17:F17 D11:F11">
    <cfRule type="cellIs" dxfId="0" priority="260" operator="lessThan">
      <formula>0.05</formula>
    </cfRule>
  </conditionalFormatting>
  <hyperlinks>
    <hyperlink ref="B10" r:id="rId1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I81"/>
  <sheetViews>
    <sheetView topLeftCell="A2" zoomScale="70" zoomScaleNormal="70" workbookViewId="0">
      <selection activeCell="K10" sqref="K10"/>
    </sheetView>
  </sheetViews>
  <sheetFormatPr baseColWidth="10" defaultRowHeight="12.75"/>
  <cols>
    <col min="1" max="1" width="19.5703125" style="12" bestFit="1" customWidth="1"/>
    <col min="2" max="2" width="34.28515625" style="11" bestFit="1" customWidth="1"/>
    <col min="3" max="3" width="18.5703125" style="12" bestFit="1" customWidth="1"/>
    <col min="4" max="4" width="19.28515625" style="12" bestFit="1" customWidth="1"/>
    <col min="5" max="5" width="19.5703125" style="12" bestFit="1" customWidth="1"/>
    <col min="6" max="6" width="23" style="12" bestFit="1" customWidth="1"/>
    <col min="7" max="8" width="24.140625" style="12" bestFit="1" customWidth="1"/>
    <col min="9" max="9" width="19.5703125" style="12" bestFit="1" customWidth="1"/>
    <col min="10" max="16384" width="11.42578125" style="11"/>
  </cols>
  <sheetData>
    <row r="1" spans="1:9">
      <c r="A1" s="14"/>
      <c r="B1" s="13"/>
      <c r="C1" s="14"/>
      <c r="D1" s="14"/>
      <c r="E1" s="14"/>
      <c r="F1" s="14"/>
      <c r="G1" s="14"/>
      <c r="H1" s="14"/>
      <c r="I1" s="14"/>
    </row>
    <row r="2" spans="1:9" ht="33.75" customHeight="1">
      <c r="A2" s="14"/>
      <c r="B2" s="314" t="s">
        <v>765</v>
      </c>
      <c r="C2" s="314"/>
      <c r="D2" s="314"/>
      <c r="E2" s="314"/>
      <c r="F2" s="314"/>
      <c r="G2" s="314"/>
      <c r="H2" s="314"/>
      <c r="I2" s="14"/>
    </row>
    <row r="3" spans="1:9">
      <c r="A3" s="14"/>
      <c r="B3" s="13"/>
      <c r="C3" s="14"/>
      <c r="D3" s="14"/>
      <c r="E3" s="14"/>
      <c r="F3" s="14"/>
      <c r="G3" s="14"/>
      <c r="H3" s="14"/>
      <c r="I3" s="14"/>
    </row>
    <row r="4" spans="1:9">
      <c r="A4" s="13"/>
      <c r="B4" s="16"/>
      <c r="C4" s="315" t="s">
        <v>73</v>
      </c>
      <c r="D4" s="315"/>
      <c r="E4" s="315"/>
      <c r="F4" s="315" t="s">
        <v>767</v>
      </c>
      <c r="G4" s="315"/>
      <c r="H4" s="315"/>
      <c r="I4" s="13"/>
    </row>
    <row r="5" spans="1:9">
      <c r="A5" s="13"/>
      <c r="B5" s="1" t="s">
        <v>0</v>
      </c>
      <c r="C5" s="2" t="s">
        <v>11</v>
      </c>
      <c r="D5" s="2" t="s">
        <v>11</v>
      </c>
      <c r="E5" s="2" t="s">
        <v>2</v>
      </c>
      <c r="F5" s="3" t="s">
        <v>27</v>
      </c>
      <c r="G5" s="3" t="s">
        <v>27</v>
      </c>
      <c r="H5" s="3" t="s">
        <v>28</v>
      </c>
      <c r="I5" s="13"/>
    </row>
    <row r="6" spans="1:9">
      <c r="A6" s="13"/>
      <c r="B6" s="1" t="s">
        <v>1</v>
      </c>
      <c r="C6" s="2" t="s">
        <v>2</v>
      </c>
      <c r="D6" s="2" t="s">
        <v>13</v>
      </c>
      <c r="E6" s="2" t="s">
        <v>13</v>
      </c>
      <c r="F6" s="3" t="s">
        <v>28</v>
      </c>
      <c r="G6" s="3" t="s">
        <v>36</v>
      </c>
      <c r="H6" s="3" t="s">
        <v>36</v>
      </c>
      <c r="I6" s="13"/>
    </row>
    <row r="7" spans="1:9">
      <c r="A7" s="13"/>
      <c r="B7" s="178" t="s">
        <v>384</v>
      </c>
      <c r="C7" s="179"/>
      <c r="D7" s="179"/>
      <c r="E7" s="179"/>
      <c r="F7" s="179"/>
      <c r="G7" s="179"/>
      <c r="H7" s="179"/>
      <c r="I7" s="13"/>
    </row>
    <row r="8" spans="1:9">
      <c r="A8" s="13"/>
      <c r="B8" s="6" t="s">
        <v>379</v>
      </c>
      <c r="C8" s="7">
        <v>0.42459999999999998</v>
      </c>
      <c r="D8" s="7">
        <v>0.21390000000000001</v>
      </c>
      <c r="E8" s="7">
        <v>0.55210000000000004</v>
      </c>
      <c r="F8" s="8">
        <v>0.33160000000000001</v>
      </c>
      <c r="G8" s="8">
        <v>0.1163</v>
      </c>
      <c r="H8" s="8">
        <v>0.47710000000000002</v>
      </c>
      <c r="I8" s="13"/>
    </row>
    <row r="9" spans="1:9">
      <c r="A9" s="13"/>
      <c r="B9" s="6" t="s">
        <v>380</v>
      </c>
      <c r="C9" s="7" t="s">
        <v>386</v>
      </c>
      <c r="D9" s="7" t="s">
        <v>387</v>
      </c>
      <c r="E9" s="7" t="s">
        <v>388</v>
      </c>
      <c r="F9" s="8" t="s">
        <v>389</v>
      </c>
      <c r="G9" s="8" t="s">
        <v>390</v>
      </c>
      <c r="H9" s="8" t="s">
        <v>391</v>
      </c>
      <c r="I9" s="13"/>
    </row>
    <row r="10" spans="1:9">
      <c r="A10" s="13"/>
      <c r="B10" s="1" t="s">
        <v>381</v>
      </c>
      <c r="C10" s="7">
        <v>0.51980000000000004</v>
      </c>
      <c r="D10" s="7">
        <v>0.4587</v>
      </c>
      <c r="E10" s="7">
        <v>0.76749999999999996</v>
      </c>
      <c r="F10" s="8">
        <v>0.42180000000000001</v>
      </c>
      <c r="G10" s="8">
        <v>0.31840000000000002</v>
      </c>
      <c r="H10" s="8">
        <v>0.70899999999999996</v>
      </c>
      <c r="I10" s="13"/>
    </row>
    <row r="11" spans="1:9">
      <c r="A11" s="13"/>
      <c r="B11" s="1" t="s">
        <v>383</v>
      </c>
      <c r="C11" s="7">
        <v>0.81689999999999996</v>
      </c>
      <c r="D11" s="7">
        <v>0.4662</v>
      </c>
      <c r="E11" s="7">
        <v>0.71930000000000005</v>
      </c>
      <c r="F11" s="8">
        <v>0.78620000000000001</v>
      </c>
      <c r="G11" s="8">
        <v>0.36530000000000001</v>
      </c>
      <c r="H11" s="8">
        <v>0.67290000000000005</v>
      </c>
      <c r="I11" s="13"/>
    </row>
    <row r="12" spans="1:9">
      <c r="A12" s="13"/>
      <c r="B12" s="178" t="s">
        <v>382</v>
      </c>
      <c r="C12" s="179"/>
      <c r="D12" s="179"/>
      <c r="E12" s="179"/>
      <c r="F12" s="179"/>
      <c r="G12" s="179"/>
      <c r="H12" s="179"/>
      <c r="I12" s="13"/>
    </row>
    <row r="13" spans="1:9">
      <c r="A13" s="13"/>
      <c r="B13" s="6" t="s">
        <v>385</v>
      </c>
      <c r="C13" s="7">
        <v>3.8532999999999999</v>
      </c>
      <c r="D13" s="7">
        <v>10.5921</v>
      </c>
      <c r="E13" s="7">
        <v>5.9382999999999999</v>
      </c>
      <c r="F13" s="8">
        <v>8.8827999999999996</v>
      </c>
      <c r="G13" s="8">
        <v>26.797499999999999</v>
      </c>
      <c r="H13" s="8">
        <v>15.9068</v>
      </c>
      <c r="I13" s="13"/>
    </row>
    <row r="14" spans="1:9">
      <c r="A14" s="13"/>
      <c r="B14" s="1" t="s">
        <v>137</v>
      </c>
      <c r="C14" s="2" t="s">
        <v>3</v>
      </c>
      <c r="D14" s="2" t="s">
        <v>14</v>
      </c>
      <c r="E14" s="2" t="s">
        <v>19</v>
      </c>
      <c r="F14" s="3" t="s">
        <v>29</v>
      </c>
      <c r="G14" s="3" t="s">
        <v>39</v>
      </c>
      <c r="H14" s="3" t="s">
        <v>48</v>
      </c>
      <c r="I14" s="13"/>
    </row>
    <row r="15" spans="1:9" ht="14.25">
      <c r="A15" s="13"/>
      <c r="B15" s="1" t="s">
        <v>138</v>
      </c>
      <c r="C15" s="9" t="s">
        <v>4</v>
      </c>
      <c r="D15" s="9" t="s">
        <v>4</v>
      </c>
      <c r="E15" s="9" t="s">
        <v>4</v>
      </c>
      <c r="F15" s="10" t="s">
        <v>4</v>
      </c>
      <c r="G15" s="10" t="s">
        <v>4</v>
      </c>
      <c r="H15" s="10" t="s">
        <v>4</v>
      </c>
      <c r="I15" s="13"/>
    </row>
    <row r="16" spans="1:9">
      <c r="A16" s="13"/>
      <c r="B16" s="6" t="s">
        <v>139</v>
      </c>
      <c r="C16" s="7">
        <v>-7.3201999999999998</v>
      </c>
      <c r="D16" s="7">
        <v>-9.3520000000000003</v>
      </c>
      <c r="E16" s="7">
        <v>-9.4158000000000008</v>
      </c>
      <c r="F16" s="8">
        <v>-18.869900000000001</v>
      </c>
      <c r="G16" s="8">
        <v>-12.0174</v>
      </c>
      <c r="H16" s="8">
        <v>-13.021800000000001</v>
      </c>
      <c r="I16" s="13"/>
    </row>
    <row r="17" spans="1:9">
      <c r="A17" s="13"/>
      <c r="B17" s="1" t="s">
        <v>135</v>
      </c>
      <c r="C17" s="2" t="s">
        <v>5</v>
      </c>
      <c r="D17" s="2" t="s">
        <v>15</v>
      </c>
      <c r="E17" s="2" t="s">
        <v>20</v>
      </c>
      <c r="F17" s="3" t="s">
        <v>30</v>
      </c>
      <c r="G17" s="3" t="s">
        <v>40</v>
      </c>
      <c r="H17" s="3" t="s">
        <v>49</v>
      </c>
      <c r="I17" s="13"/>
    </row>
    <row r="18" spans="1:9">
      <c r="A18" s="13"/>
      <c r="B18" s="6" t="s">
        <v>140</v>
      </c>
      <c r="C18" s="7">
        <v>15.0267</v>
      </c>
      <c r="D18" s="7">
        <v>30.536200000000001</v>
      </c>
      <c r="E18" s="7">
        <v>21.292400000000001</v>
      </c>
      <c r="F18" s="8">
        <v>36.6355</v>
      </c>
      <c r="G18" s="8">
        <v>65.612399999999994</v>
      </c>
      <c r="H18" s="8">
        <v>44.8354</v>
      </c>
      <c r="I18" s="13"/>
    </row>
    <row r="19" spans="1:9">
      <c r="A19" s="13"/>
      <c r="B19" s="1" t="s">
        <v>136</v>
      </c>
      <c r="C19" s="2" t="s">
        <v>6</v>
      </c>
      <c r="D19" s="2" t="s">
        <v>16</v>
      </c>
      <c r="E19" s="2" t="s">
        <v>21</v>
      </c>
      <c r="F19" s="3" t="s">
        <v>31</v>
      </c>
      <c r="G19" s="3" t="s">
        <v>41</v>
      </c>
      <c r="H19" s="3" t="s">
        <v>50</v>
      </c>
      <c r="I19" s="13"/>
    </row>
    <row r="20" spans="1:9">
      <c r="A20" s="13"/>
      <c r="B20" s="1" t="s">
        <v>7</v>
      </c>
      <c r="C20" s="2" t="s">
        <v>12</v>
      </c>
      <c r="D20" s="2" t="s">
        <v>44</v>
      </c>
      <c r="E20" s="2" t="s">
        <v>45</v>
      </c>
      <c r="F20" s="3" t="s">
        <v>46</v>
      </c>
      <c r="G20" s="3" t="s">
        <v>47</v>
      </c>
      <c r="H20" s="3" t="s">
        <v>53</v>
      </c>
      <c r="I20" s="13"/>
    </row>
    <row r="21" spans="1:9">
      <c r="A21" s="13"/>
      <c r="B21" s="4" t="s">
        <v>141</v>
      </c>
      <c r="C21" s="2">
        <v>4.4233000000000002</v>
      </c>
      <c r="D21" s="2">
        <v>12.5586</v>
      </c>
      <c r="E21" s="2">
        <v>7.1544999999999996</v>
      </c>
      <c r="F21" s="3">
        <v>13.8253</v>
      </c>
      <c r="G21" s="3">
        <v>31.075099999999999</v>
      </c>
      <c r="H21" s="3">
        <v>17.587</v>
      </c>
      <c r="I21" s="13"/>
    </row>
    <row r="22" spans="1:9">
      <c r="A22" s="13"/>
      <c r="B22" s="1" t="s">
        <v>142</v>
      </c>
      <c r="C22" s="2">
        <v>0.24160000000000001</v>
      </c>
      <c r="D22" s="2">
        <v>0.23760000000000001</v>
      </c>
      <c r="E22" s="2">
        <v>0.12670000000000001</v>
      </c>
      <c r="F22" s="3">
        <v>0.64710000000000001</v>
      </c>
      <c r="G22" s="3">
        <v>0.53639999999999999</v>
      </c>
      <c r="H22" s="3">
        <v>0.28999999999999998</v>
      </c>
      <c r="I22" s="13"/>
    </row>
    <row r="23" spans="1:9">
      <c r="A23" s="13"/>
      <c r="B23" s="1" t="s">
        <v>147</v>
      </c>
      <c r="C23" s="2" t="s">
        <v>9</v>
      </c>
      <c r="D23" s="2" t="s">
        <v>17</v>
      </c>
      <c r="E23" s="2" t="s">
        <v>22</v>
      </c>
      <c r="F23" s="3" t="s">
        <v>32</v>
      </c>
      <c r="G23" s="3" t="s">
        <v>42</v>
      </c>
      <c r="H23" s="3" t="s">
        <v>51</v>
      </c>
      <c r="I23" s="13"/>
    </row>
    <row r="24" spans="1:9">
      <c r="A24" s="13"/>
      <c r="B24" s="1" t="s">
        <v>143</v>
      </c>
      <c r="C24" s="9" t="s">
        <v>4</v>
      </c>
      <c r="D24" s="9" t="s">
        <v>4</v>
      </c>
      <c r="E24" s="9" t="s">
        <v>4</v>
      </c>
      <c r="F24" s="10" t="s">
        <v>4</v>
      </c>
      <c r="G24" s="10" t="s">
        <v>4</v>
      </c>
      <c r="H24" s="10" t="s">
        <v>4</v>
      </c>
      <c r="I24" s="13"/>
    </row>
    <row r="25" spans="1:9">
      <c r="A25" s="13"/>
      <c r="B25" s="4" t="s">
        <v>144</v>
      </c>
      <c r="C25" s="2">
        <v>-0.1036</v>
      </c>
      <c r="D25" s="2">
        <v>-0.90249999999999997</v>
      </c>
      <c r="E25" s="2">
        <v>-0.61499999999999999</v>
      </c>
      <c r="F25" s="3">
        <v>-0.34899999999999998</v>
      </c>
      <c r="G25" s="3">
        <v>-0.82089999999999996</v>
      </c>
      <c r="H25" s="3">
        <v>-0.4234</v>
      </c>
      <c r="I25" s="13"/>
    </row>
    <row r="26" spans="1:9">
      <c r="A26" s="13"/>
      <c r="B26" s="1" t="s">
        <v>145</v>
      </c>
      <c r="C26" s="2">
        <v>3.2320000000000002E-2</v>
      </c>
      <c r="D26" s="2">
        <v>3.0689999999999999E-2</v>
      </c>
      <c r="E26" s="2">
        <v>1.4279999999999999E-2</v>
      </c>
      <c r="F26" s="3">
        <v>3.6179999999999997E-2</v>
      </c>
      <c r="G26" s="3">
        <v>3.8100000000000002E-2</v>
      </c>
      <c r="H26" s="3">
        <v>1.7180000000000001E-2</v>
      </c>
      <c r="I26" s="13"/>
    </row>
    <row r="27" spans="1:9">
      <c r="A27" s="13"/>
      <c r="B27" s="1" t="s">
        <v>148</v>
      </c>
      <c r="C27" s="2" t="s">
        <v>10</v>
      </c>
      <c r="D27" s="2" t="s">
        <v>18</v>
      </c>
      <c r="E27" s="2" t="s">
        <v>23</v>
      </c>
      <c r="F27" s="3" t="s">
        <v>33</v>
      </c>
      <c r="G27" s="3" t="s">
        <v>43</v>
      </c>
      <c r="H27" s="3" t="s">
        <v>52</v>
      </c>
      <c r="I27" s="13"/>
    </row>
    <row r="28" spans="1:9">
      <c r="A28" s="13"/>
      <c r="B28" s="1" t="s">
        <v>146</v>
      </c>
      <c r="C28" s="9">
        <v>1.4E-3</v>
      </c>
      <c r="D28" s="9" t="s">
        <v>4</v>
      </c>
      <c r="E28" s="9" t="s">
        <v>4</v>
      </c>
      <c r="F28" s="10" t="s">
        <v>4</v>
      </c>
      <c r="G28" s="10" t="s">
        <v>4</v>
      </c>
      <c r="H28" s="10" t="s">
        <v>4</v>
      </c>
      <c r="I28" s="13"/>
    </row>
    <row r="29" spans="1:9">
      <c r="A29" s="13"/>
      <c r="B29" s="16"/>
      <c r="C29" s="315" t="s">
        <v>74</v>
      </c>
      <c r="D29" s="315"/>
      <c r="E29" s="315"/>
      <c r="F29" s="315" t="s">
        <v>94</v>
      </c>
      <c r="G29" s="315"/>
      <c r="H29" s="315"/>
      <c r="I29" s="13"/>
    </row>
    <row r="30" spans="1:9">
      <c r="A30" s="15"/>
      <c r="B30" s="1" t="s">
        <v>0</v>
      </c>
      <c r="C30" s="2" t="s">
        <v>54</v>
      </c>
      <c r="D30" s="2" t="s">
        <v>54</v>
      </c>
      <c r="E30" s="2" t="s">
        <v>34</v>
      </c>
      <c r="F30" s="3" t="s">
        <v>75</v>
      </c>
      <c r="G30" s="3" t="s">
        <v>75</v>
      </c>
      <c r="H30" s="3" t="s">
        <v>35</v>
      </c>
      <c r="I30" s="15"/>
    </row>
    <row r="31" spans="1:9">
      <c r="A31" s="3"/>
      <c r="B31" s="1" t="s">
        <v>1</v>
      </c>
      <c r="C31" s="2" t="s">
        <v>34</v>
      </c>
      <c r="D31" s="2" t="s">
        <v>37</v>
      </c>
      <c r="E31" s="2" t="s">
        <v>37</v>
      </c>
      <c r="F31" s="3" t="s">
        <v>35</v>
      </c>
      <c r="G31" s="3" t="s">
        <v>38</v>
      </c>
      <c r="H31" s="3" t="s">
        <v>38</v>
      </c>
      <c r="I31" s="3"/>
    </row>
    <row r="32" spans="1:9">
      <c r="A32" s="3"/>
      <c r="B32" s="178" t="s">
        <v>384</v>
      </c>
      <c r="C32" s="179"/>
      <c r="D32" s="179"/>
      <c r="E32" s="179"/>
      <c r="F32" s="179"/>
      <c r="G32" s="179"/>
      <c r="H32" s="179"/>
      <c r="I32" s="3"/>
    </row>
    <row r="33" spans="1:9">
      <c r="A33" s="5"/>
      <c r="B33" s="6" t="s">
        <v>379</v>
      </c>
      <c r="C33" s="7">
        <v>0.28589999999999999</v>
      </c>
      <c r="D33" s="7">
        <v>8.1839999999999996E-2</v>
      </c>
      <c r="E33" s="7">
        <v>0.36699999999999999</v>
      </c>
      <c r="F33" s="8">
        <v>0.43059999999999998</v>
      </c>
      <c r="G33" s="8">
        <v>0.30320000000000003</v>
      </c>
      <c r="H33" s="8">
        <v>0.61870000000000003</v>
      </c>
      <c r="I33" s="5"/>
    </row>
    <row r="34" spans="1:9">
      <c r="A34" s="8"/>
      <c r="B34" s="6" t="s">
        <v>380</v>
      </c>
      <c r="C34" s="7" t="s">
        <v>392</v>
      </c>
      <c r="D34" s="7" t="s">
        <v>393</v>
      </c>
      <c r="E34" s="7" t="s">
        <v>394</v>
      </c>
      <c r="F34" s="8" t="s">
        <v>395</v>
      </c>
      <c r="G34" s="8" t="s">
        <v>396</v>
      </c>
      <c r="H34" s="8" t="s">
        <v>397</v>
      </c>
      <c r="I34" s="8"/>
    </row>
    <row r="35" spans="1:9">
      <c r="A35" s="3"/>
      <c r="B35" s="1" t="s">
        <v>381</v>
      </c>
      <c r="C35" s="7">
        <v>0.35010000000000002</v>
      </c>
      <c r="D35" s="7">
        <v>0.21970000000000001</v>
      </c>
      <c r="E35" s="7">
        <v>0.57199999999999995</v>
      </c>
      <c r="F35" s="8">
        <v>0.43290000000000001</v>
      </c>
      <c r="G35" s="8">
        <v>0.36880000000000002</v>
      </c>
      <c r="H35" s="8">
        <v>0.71550000000000002</v>
      </c>
      <c r="I35" s="3"/>
    </row>
    <row r="36" spans="1:9">
      <c r="A36" s="10"/>
      <c r="B36" s="1" t="s">
        <v>383</v>
      </c>
      <c r="C36" s="7">
        <v>0.81659999999999999</v>
      </c>
      <c r="D36" s="7">
        <v>0.3725</v>
      </c>
      <c r="E36" s="7">
        <v>0.64170000000000005</v>
      </c>
      <c r="F36" s="8">
        <v>0.99470000000000003</v>
      </c>
      <c r="G36" s="8">
        <v>0.82220000000000004</v>
      </c>
      <c r="H36" s="8">
        <v>0.86470000000000002</v>
      </c>
      <c r="I36" s="10"/>
    </row>
    <row r="37" spans="1:9">
      <c r="A37" s="8"/>
      <c r="B37" s="178" t="s">
        <v>382</v>
      </c>
      <c r="C37" s="179"/>
      <c r="D37" s="179"/>
      <c r="E37" s="179"/>
      <c r="F37" s="179"/>
      <c r="G37" s="179"/>
      <c r="H37" s="179"/>
      <c r="I37" s="8"/>
    </row>
    <row r="38" spans="1:9">
      <c r="A38" s="3"/>
      <c r="B38" s="6" t="s">
        <v>385</v>
      </c>
      <c r="C38" s="7">
        <v>-5.3220999999999998</v>
      </c>
      <c r="D38" s="7">
        <v>-17.723500000000001</v>
      </c>
      <c r="E38" s="7">
        <v>-10.5389</v>
      </c>
      <c r="F38" s="8">
        <v>-0.113</v>
      </c>
      <c r="G38" s="8">
        <v>-3.5821000000000001</v>
      </c>
      <c r="H38" s="8">
        <v>-2.9946000000000002</v>
      </c>
      <c r="I38" s="3"/>
    </row>
    <row r="39" spans="1:9">
      <c r="A39" s="8"/>
      <c r="B39" s="1" t="s">
        <v>137</v>
      </c>
      <c r="C39" s="2" t="s">
        <v>55</v>
      </c>
      <c r="D39" s="2" t="s">
        <v>61</v>
      </c>
      <c r="E39" s="2" t="s">
        <v>67</v>
      </c>
      <c r="F39" s="3" t="s">
        <v>76</v>
      </c>
      <c r="G39" s="3" t="s">
        <v>82</v>
      </c>
      <c r="H39" s="3" t="s">
        <v>88</v>
      </c>
      <c r="I39" s="8"/>
    </row>
    <row r="40" spans="1:9" ht="14.25">
      <c r="A40" s="3"/>
      <c r="B40" s="1" t="s">
        <v>138</v>
      </c>
      <c r="C40" s="9" t="s">
        <v>4</v>
      </c>
      <c r="D40" s="9" t="s">
        <v>4</v>
      </c>
      <c r="E40" s="9" t="s">
        <v>4</v>
      </c>
      <c r="F40" s="10">
        <v>0.46139999999999998</v>
      </c>
      <c r="G40" s="10" t="s">
        <v>4</v>
      </c>
      <c r="H40" s="10" t="s">
        <v>4</v>
      </c>
      <c r="I40" s="3"/>
    </row>
    <row r="41" spans="1:9">
      <c r="A41" s="3"/>
      <c r="B41" s="6" t="s">
        <v>139</v>
      </c>
      <c r="C41" s="7">
        <v>-24.597799999999999</v>
      </c>
      <c r="D41" s="7">
        <v>-45.659599999999998</v>
      </c>
      <c r="E41" s="7">
        <v>-31.907499999999999</v>
      </c>
      <c r="F41" s="8">
        <v>-10.492599999999999</v>
      </c>
      <c r="G41" s="8">
        <v>-17.072800000000001</v>
      </c>
      <c r="H41" s="8">
        <v>-12.4717</v>
      </c>
      <c r="I41" s="3"/>
    </row>
    <row r="42" spans="1:9">
      <c r="A42" s="3"/>
      <c r="B42" s="1" t="s">
        <v>135</v>
      </c>
      <c r="C42" s="2" t="s">
        <v>56</v>
      </c>
      <c r="D42" s="2" t="s">
        <v>62</v>
      </c>
      <c r="E42" s="2" t="s">
        <v>68</v>
      </c>
      <c r="F42" s="3" t="s">
        <v>77</v>
      </c>
      <c r="G42" s="3" t="s">
        <v>83</v>
      </c>
      <c r="H42" s="3" t="s">
        <v>89</v>
      </c>
      <c r="I42" s="3"/>
    </row>
    <row r="43" spans="1:9">
      <c r="A43" s="3"/>
      <c r="B43" s="6" t="s">
        <v>140</v>
      </c>
      <c r="C43" s="7">
        <v>13.9536</v>
      </c>
      <c r="D43" s="7">
        <v>10.2126</v>
      </c>
      <c r="E43" s="7">
        <v>10.829599999999999</v>
      </c>
      <c r="F43" s="8">
        <v>10.266500000000001</v>
      </c>
      <c r="G43" s="8">
        <v>9.9086999999999996</v>
      </c>
      <c r="H43" s="8">
        <v>6.4825999999999997</v>
      </c>
      <c r="I43" s="3"/>
    </row>
    <row r="44" spans="1:9">
      <c r="A44" s="3"/>
      <c r="B44" s="1" t="s">
        <v>136</v>
      </c>
      <c r="C44" s="2" t="s">
        <v>57</v>
      </c>
      <c r="D44" s="2" t="s">
        <v>63</v>
      </c>
      <c r="E44" s="2" t="s">
        <v>69</v>
      </c>
      <c r="F44" s="3" t="s">
        <v>78</v>
      </c>
      <c r="G44" s="3" t="s">
        <v>84</v>
      </c>
      <c r="H44" s="3" t="s">
        <v>90</v>
      </c>
      <c r="I44" s="3"/>
    </row>
    <row r="45" spans="1:9">
      <c r="A45" s="10"/>
      <c r="B45" s="1" t="s">
        <v>7</v>
      </c>
      <c r="C45" s="2" t="s">
        <v>60</v>
      </c>
      <c r="D45" s="2" t="s">
        <v>66</v>
      </c>
      <c r="E45" s="2" t="s">
        <v>72</v>
      </c>
      <c r="F45" s="3" t="s">
        <v>81</v>
      </c>
      <c r="G45" s="3" t="s">
        <v>87</v>
      </c>
      <c r="H45" s="3" t="s">
        <v>93</v>
      </c>
      <c r="I45" s="10"/>
    </row>
    <row r="46" spans="1:9">
      <c r="A46" s="3"/>
      <c r="B46" s="4" t="s">
        <v>141</v>
      </c>
      <c r="C46" s="2">
        <v>3.5276999999999998</v>
      </c>
      <c r="D46" s="2">
        <v>12.007899999999999</v>
      </c>
      <c r="E46" s="2">
        <v>6.6482999999999999</v>
      </c>
      <c r="F46" s="3">
        <v>-2.1171000000000002</v>
      </c>
      <c r="G46" s="3">
        <v>2.6637</v>
      </c>
      <c r="H46" s="3">
        <v>2.2141000000000002</v>
      </c>
      <c r="I46" s="3"/>
    </row>
    <row r="47" spans="1:9">
      <c r="A47" s="3"/>
      <c r="B47" s="1" t="s">
        <v>142</v>
      </c>
      <c r="C47" s="2">
        <v>1.0762</v>
      </c>
      <c r="D47" s="2">
        <v>1.5204</v>
      </c>
      <c r="E47" s="2">
        <v>0.82679999999999998</v>
      </c>
      <c r="F47" s="3">
        <v>0.54239999999999999</v>
      </c>
      <c r="G47" s="3">
        <v>0.73240000000000005</v>
      </c>
      <c r="H47" s="3">
        <v>0.33800000000000002</v>
      </c>
      <c r="I47" s="3"/>
    </row>
    <row r="48" spans="1:9">
      <c r="A48" s="3"/>
      <c r="B48" s="1" t="s">
        <v>147</v>
      </c>
      <c r="C48" s="2" t="s">
        <v>58</v>
      </c>
      <c r="D48" s="2" t="s">
        <v>64</v>
      </c>
      <c r="E48" s="2" t="s">
        <v>70</v>
      </c>
      <c r="F48" s="3" t="s">
        <v>79</v>
      </c>
      <c r="G48" s="3" t="s">
        <v>85</v>
      </c>
      <c r="H48" s="3" t="s">
        <v>91</v>
      </c>
      <c r="I48" s="3"/>
    </row>
    <row r="49" spans="1:9">
      <c r="A49" s="10"/>
      <c r="B49" s="1" t="s">
        <v>143</v>
      </c>
      <c r="C49" s="9">
        <v>1.1000000000000001E-3</v>
      </c>
      <c r="D49" s="9" t="s">
        <v>4</v>
      </c>
      <c r="E49" s="9" t="s">
        <v>4</v>
      </c>
      <c r="F49" s="10">
        <v>1E-4</v>
      </c>
      <c r="G49" s="10">
        <v>2.9100000000000003E-4</v>
      </c>
      <c r="H49" s="10">
        <v>7.3899999999999998E-11</v>
      </c>
      <c r="I49" s="10"/>
    </row>
    <row r="50" spans="1:9">
      <c r="A50" s="13"/>
      <c r="B50" s="4" t="s">
        <v>144</v>
      </c>
      <c r="C50" s="2">
        <v>-0.33579999999999999</v>
      </c>
      <c r="D50" s="2">
        <v>-0.9093</v>
      </c>
      <c r="E50" s="2">
        <v>-0.49890000000000001</v>
      </c>
      <c r="F50" s="3">
        <v>0.14000000000000001</v>
      </c>
      <c r="G50" s="3">
        <v>-0.38300000000000001</v>
      </c>
      <c r="H50" s="3">
        <v>-0.30149999999999999</v>
      </c>
      <c r="I50" s="13"/>
    </row>
    <row r="51" spans="1:9">
      <c r="A51" s="13"/>
      <c r="B51" s="1" t="s">
        <v>145</v>
      </c>
      <c r="C51" s="2">
        <v>3.9469999999999998E-2</v>
      </c>
      <c r="D51" s="2">
        <v>4.4979999999999999E-2</v>
      </c>
      <c r="E51" s="2">
        <v>2.308E-2</v>
      </c>
      <c r="F51" s="3">
        <v>3.6360000000000003E-2</v>
      </c>
      <c r="G51" s="3">
        <v>4.2950000000000002E-2</v>
      </c>
      <c r="H51" s="3">
        <v>1.8589999999999999E-2</v>
      </c>
      <c r="I51" s="13"/>
    </row>
    <row r="52" spans="1:9">
      <c r="A52" s="13"/>
      <c r="B52" s="1" t="s">
        <v>148</v>
      </c>
      <c r="C52" s="2" t="s">
        <v>59</v>
      </c>
      <c r="D52" s="2" t="s">
        <v>65</v>
      </c>
      <c r="E52" s="2" t="s">
        <v>71</v>
      </c>
      <c r="F52" s="3" t="s">
        <v>80</v>
      </c>
      <c r="G52" s="3" t="s">
        <v>86</v>
      </c>
      <c r="H52" s="3" t="s">
        <v>92</v>
      </c>
      <c r="I52" s="13"/>
    </row>
    <row r="53" spans="1:9">
      <c r="A53" s="13"/>
      <c r="B53" s="1" t="s">
        <v>146</v>
      </c>
      <c r="C53" s="9" t="s">
        <v>4</v>
      </c>
      <c r="D53" s="9" t="s">
        <v>4</v>
      </c>
      <c r="E53" s="9" t="s">
        <v>4</v>
      </c>
      <c r="F53" s="10">
        <v>1.2400000000000001E-4</v>
      </c>
      <c r="G53" s="10" t="s">
        <v>4</v>
      </c>
      <c r="H53" s="10" t="s">
        <v>4</v>
      </c>
      <c r="I53" s="13"/>
    </row>
    <row r="54" spans="1:9">
      <c r="A54" s="13"/>
      <c r="B54" s="16"/>
      <c r="C54" s="315" t="s">
        <v>134</v>
      </c>
      <c r="D54" s="315"/>
      <c r="E54" s="315"/>
      <c r="F54" s="315" t="s">
        <v>766</v>
      </c>
      <c r="G54" s="315"/>
      <c r="H54" s="315"/>
      <c r="I54" s="13"/>
    </row>
    <row r="55" spans="1:9">
      <c r="A55" s="13"/>
      <c r="B55" s="1" t="s">
        <v>0</v>
      </c>
      <c r="C55" s="2" t="s">
        <v>95</v>
      </c>
      <c r="D55" s="2" t="s">
        <v>95</v>
      </c>
      <c r="E55" s="2" t="s">
        <v>96</v>
      </c>
      <c r="F55" s="3" t="s">
        <v>762</v>
      </c>
      <c r="G55" s="3" t="s">
        <v>762</v>
      </c>
      <c r="H55" s="3" t="s">
        <v>763</v>
      </c>
      <c r="I55" s="13"/>
    </row>
    <row r="56" spans="1:9">
      <c r="A56" s="13"/>
      <c r="B56" s="1" t="s">
        <v>1</v>
      </c>
      <c r="C56" s="2" t="s">
        <v>96</v>
      </c>
      <c r="D56" s="2" t="s">
        <v>103</v>
      </c>
      <c r="E56" s="2" t="s">
        <v>103</v>
      </c>
      <c r="F56" s="3" t="s">
        <v>763</v>
      </c>
      <c r="G56" s="3" t="s">
        <v>764</v>
      </c>
      <c r="H56" s="3" t="s">
        <v>764</v>
      </c>
      <c r="I56" s="13"/>
    </row>
    <row r="57" spans="1:9">
      <c r="A57" s="13"/>
      <c r="B57" s="178" t="s">
        <v>384</v>
      </c>
      <c r="C57" s="179"/>
      <c r="D57" s="179"/>
      <c r="E57" s="179"/>
      <c r="F57" s="179"/>
      <c r="G57" s="179"/>
      <c r="H57" s="179"/>
      <c r="I57" s="13"/>
    </row>
    <row r="58" spans="1:9">
      <c r="A58" s="13"/>
      <c r="B58" s="6" t="s">
        <v>379</v>
      </c>
      <c r="C58" s="7">
        <v>0.307</v>
      </c>
      <c r="D58" s="7">
        <v>0.2321</v>
      </c>
      <c r="E58" s="7">
        <v>0.65920000000000001</v>
      </c>
      <c r="F58" s="8">
        <v>0.27589999999999998</v>
      </c>
      <c r="G58" s="8">
        <v>0.2016</v>
      </c>
      <c r="H58" s="8">
        <v>0.62860000000000005</v>
      </c>
      <c r="I58" s="13"/>
    </row>
    <row r="59" spans="1:9">
      <c r="A59" s="13"/>
      <c r="B59" s="6" t="s">
        <v>380</v>
      </c>
      <c r="C59" s="7" t="s">
        <v>398</v>
      </c>
      <c r="D59" s="7" t="s">
        <v>399</v>
      </c>
      <c r="E59" s="7" t="s">
        <v>400</v>
      </c>
      <c r="F59" s="8" t="s">
        <v>401</v>
      </c>
      <c r="G59" s="8" t="s">
        <v>402</v>
      </c>
      <c r="H59" s="8" t="s">
        <v>403</v>
      </c>
      <c r="I59" s="13"/>
    </row>
    <row r="60" spans="1:9">
      <c r="A60" s="13"/>
      <c r="B60" s="1" t="s">
        <v>381</v>
      </c>
      <c r="C60" s="7">
        <v>0.41299999999999998</v>
      </c>
      <c r="D60" s="7">
        <v>0.43219999999999997</v>
      </c>
      <c r="E60" s="7">
        <v>0.70140000000000002</v>
      </c>
      <c r="F60" s="8">
        <v>0.38719999999999999</v>
      </c>
      <c r="G60" s="8">
        <v>0.41639999999999999</v>
      </c>
      <c r="H60" s="8">
        <v>0.68520000000000003</v>
      </c>
      <c r="I60" s="13"/>
    </row>
    <row r="61" spans="1:9">
      <c r="A61" s="13"/>
      <c r="B61" s="1" t="s">
        <v>383</v>
      </c>
      <c r="C61" s="7">
        <v>0.74319999999999997</v>
      </c>
      <c r="D61" s="7">
        <v>0.53700000000000003</v>
      </c>
      <c r="E61" s="7">
        <v>0.93969999999999998</v>
      </c>
      <c r="F61" s="8">
        <v>0.71250000000000002</v>
      </c>
      <c r="G61" s="8">
        <v>0.48399999999999999</v>
      </c>
      <c r="H61" s="8">
        <v>0.91749999999999998</v>
      </c>
      <c r="I61" s="13"/>
    </row>
    <row r="62" spans="1:9">
      <c r="A62" s="13"/>
      <c r="B62" s="178" t="s">
        <v>382</v>
      </c>
      <c r="C62" s="179"/>
      <c r="D62" s="179"/>
      <c r="E62" s="179"/>
      <c r="F62" s="179"/>
      <c r="G62" s="179"/>
      <c r="H62" s="179"/>
      <c r="I62" s="13"/>
    </row>
    <row r="63" spans="1:9">
      <c r="A63" s="13"/>
      <c r="B63" s="6" t="s">
        <v>385</v>
      </c>
      <c r="C63" s="7">
        <v>8.0049999999999996E-2</v>
      </c>
      <c r="D63" s="7">
        <v>0.14799999999999999</v>
      </c>
      <c r="E63" s="7">
        <v>6.2109999999999999E-2</v>
      </c>
      <c r="F63" s="8">
        <v>3.7569999999999999E-2</v>
      </c>
      <c r="G63" s="8">
        <v>6.9849999999999995E-2</v>
      </c>
      <c r="H63" s="8">
        <v>2.8830000000000001E-2</v>
      </c>
      <c r="I63" s="13"/>
    </row>
    <row r="64" spans="1:9">
      <c r="A64" s="13"/>
      <c r="B64" s="1" t="s">
        <v>137</v>
      </c>
      <c r="C64" s="2" t="s">
        <v>97</v>
      </c>
      <c r="D64" s="2" t="s">
        <v>104</v>
      </c>
      <c r="E64" s="2" t="s">
        <v>110</v>
      </c>
      <c r="F64" s="3" t="s">
        <v>116</v>
      </c>
      <c r="G64" s="3" t="s">
        <v>122</v>
      </c>
      <c r="H64" s="3" t="s">
        <v>128</v>
      </c>
      <c r="I64" s="13"/>
    </row>
    <row r="65" spans="1:9" ht="14.25">
      <c r="A65" s="13"/>
      <c r="B65" s="1" t="s">
        <v>138</v>
      </c>
      <c r="C65" s="9" t="s">
        <v>4</v>
      </c>
      <c r="D65" s="9" t="s">
        <v>4</v>
      </c>
      <c r="E65" s="9" t="s">
        <v>4</v>
      </c>
      <c r="F65" s="10" t="s">
        <v>4</v>
      </c>
      <c r="G65" s="10" t="s">
        <v>4</v>
      </c>
      <c r="H65" s="10" t="s">
        <v>4</v>
      </c>
      <c r="I65" s="13"/>
    </row>
    <row r="66" spans="1:9">
      <c r="A66" s="13"/>
      <c r="B66" s="6" t="s">
        <v>139</v>
      </c>
      <c r="C66" s="7">
        <v>-0.21379999999999999</v>
      </c>
      <c r="D66" s="7">
        <v>-0.1578</v>
      </c>
      <c r="E66" s="7">
        <v>-0.20669999999999999</v>
      </c>
      <c r="F66" s="8">
        <v>-8.566E-2</v>
      </c>
      <c r="G66" s="8">
        <v>-6.8580000000000002E-2</v>
      </c>
      <c r="H66" s="8">
        <v>-8.8819999999999996E-2</v>
      </c>
      <c r="I66" s="13"/>
    </row>
    <row r="67" spans="1:9">
      <c r="A67" s="13"/>
      <c r="B67" s="1" t="s">
        <v>135</v>
      </c>
      <c r="C67" s="2" t="s">
        <v>98</v>
      </c>
      <c r="D67" s="2" t="s">
        <v>105</v>
      </c>
      <c r="E67" s="2" t="s">
        <v>111</v>
      </c>
      <c r="F67" s="3" t="s">
        <v>117</v>
      </c>
      <c r="G67" s="3" t="s">
        <v>123</v>
      </c>
      <c r="H67" s="3" t="s">
        <v>129</v>
      </c>
      <c r="I67" s="13"/>
    </row>
    <row r="68" spans="1:9">
      <c r="A68" s="13"/>
      <c r="B68" s="6" t="s">
        <v>140</v>
      </c>
      <c r="C68" s="7">
        <v>0.37390000000000001</v>
      </c>
      <c r="D68" s="7">
        <v>0.45390000000000003</v>
      </c>
      <c r="E68" s="7">
        <v>0.33100000000000002</v>
      </c>
      <c r="F68" s="8">
        <v>0.1608</v>
      </c>
      <c r="G68" s="8">
        <v>0.20830000000000001</v>
      </c>
      <c r="H68" s="8">
        <v>0.14649999999999999</v>
      </c>
      <c r="I68" s="13"/>
    </row>
    <row r="69" spans="1:9">
      <c r="A69" s="13"/>
      <c r="B69" s="1" t="s">
        <v>136</v>
      </c>
      <c r="C69" s="2" t="s">
        <v>99</v>
      </c>
      <c r="D69" s="2" t="s">
        <v>106</v>
      </c>
      <c r="E69" s="2" t="s">
        <v>112</v>
      </c>
      <c r="F69" s="3" t="s">
        <v>118</v>
      </c>
      <c r="G69" s="3" t="s">
        <v>124</v>
      </c>
      <c r="H69" s="3" t="s">
        <v>130</v>
      </c>
      <c r="I69" s="13"/>
    </row>
    <row r="70" spans="1:9">
      <c r="A70" s="14"/>
      <c r="B70" s="1" t="s">
        <v>7</v>
      </c>
      <c r="C70" s="2" t="s">
        <v>102</v>
      </c>
      <c r="D70" s="2" t="s">
        <v>109</v>
      </c>
      <c r="E70" s="2" t="s">
        <v>115</v>
      </c>
      <c r="F70" s="3" t="s">
        <v>121</v>
      </c>
      <c r="G70" s="3" t="s">
        <v>127</v>
      </c>
      <c r="H70" s="3" t="s">
        <v>133</v>
      </c>
      <c r="I70" s="14"/>
    </row>
    <row r="71" spans="1:9">
      <c r="A71" s="14"/>
      <c r="B71" s="4" t="s">
        <v>141</v>
      </c>
      <c r="C71" s="2">
        <v>0.47249999999999998</v>
      </c>
      <c r="D71" s="2">
        <v>0.56669999999999998</v>
      </c>
      <c r="E71" s="2">
        <v>0.1052</v>
      </c>
      <c r="F71" s="3">
        <v>0.2878</v>
      </c>
      <c r="G71" s="3">
        <v>0.37640000000000001</v>
      </c>
      <c r="H71" s="3">
        <v>9.5780000000000004E-2</v>
      </c>
      <c r="I71" s="14"/>
    </row>
    <row r="72" spans="1:9">
      <c r="A72" s="14"/>
      <c r="B72" s="1" t="s">
        <v>142</v>
      </c>
      <c r="C72" s="2">
        <v>1.942E-2</v>
      </c>
      <c r="D72" s="2">
        <v>1.975E-2</v>
      </c>
      <c r="E72" s="2">
        <v>1.082E-2</v>
      </c>
      <c r="F72" s="3">
        <v>1.252E-2</v>
      </c>
      <c r="G72" s="3">
        <v>1.2200000000000001E-2</v>
      </c>
      <c r="H72" s="3">
        <v>6.8830000000000002E-3</v>
      </c>
      <c r="I72" s="14"/>
    </row>
    <row r="73" spans="1:9">
      <c r="A73" s="14"/>
      <c r="B73" s="1" t="s">
        <v>147</v>
      </c>
      <c r="C73" s="2" t="s">
        <v>100</v>
      </c>
      <c r="D73" s="2" t="s">
        <v>107</v>
      </c>
      <c r="E73" s="2" t="s">
        <v>113</v>
      </c>
      <c r="F73" s="3" t="s">
        <v>119</v>
      </c>
      <c r="G73" s="3" t="s">
        <v>125</v>
      </c>
      <c r="H73" s="3" t="s">
        <v>131</v>
      </c>
      <c r="I73" s="14"/>
    </row>
    <row r="74" spans="1:9">
      <c r="A74" s="14"/>
      <c r="B74" s="1" t="s">
        <v>143</v>
      </c>
      <c r="C74" s="9" t="s">
        <v>4</v>
      </c>
      <c r="D74" s="9" t="s">
        <v>4</v>
      </c>
      <c r="E74" s="9" t="s">
        <v>4</v>
      </c>
      <c r="F74" s="10" t="s">
        <v>4</v>
      </c>
      <c r="G74" s="10" t="s">
        <v>4</v>
      </c>
      <c r="H74" s="10" t="s">
        <v>4</v>
      </c>
      <c r="I74" s="14"/>
    </row>
    <row r="75" spans="1:9">
      <c r="A75" s="14"/>
      <c r="B75" s="4" t="s">
        <v>144</v>
      </c>
      <c r="C75" s="2">
        <v>-0.7016</v>
      </c>
      <c r="D75" s="2">
        <v>-0.78520000000000001</v>
      </c>
      <c r="E75" s="2">
        <v>-8.1180000000000002E-2</v>
      </c>
      <c r="F75" s="3">
        <v>-0.70750000000000002</v>
      </c>
      <c r="G75" s="3">
        <v>-0.89990000000000003</v>
      </c>
      <c r="H75" s="3">
        <v>-0.19800000000000001</v>
      </c>
      <c r="I75" s="14"/>
    </row>
    <row r="76" spans="1:9">
      <c r="A76" s="14"/>
      <c r="B76" s="1" t="s">
        <v>145</v>
      </c>
      <c r="C76" s="2">
        <v>3.406E-2</v>
      </c>
      <c r="D76" s="2">
        <v>3.6220000000000002E-2</v>
      </c>
      <c r="E76" s="2">
        <v>1.9480000000000001E-2</v>
      </c>
      <c r="F76" s="3">
        <v>3.5119999999999998E-2</v>
      </c>
      <c r="G76" s="3">
        <v>3.542E-2</v>
      </c>
      <c r="H76" s="3">
        <v>1.9959999999999999E-2</v>
      </c>
      <c r="I76" s="14"/>
    </row>
    <row r="77" spans="1:9">
      <c r="A77" s="14"/>
      <c r="B77" s="1" t="s">
        <v>148</v>
      </c>
      <c r="C77" s="2" t="s">
        <v>101</v>
      </c>
      <c r="D77" s="2" t="s">
        <v>108</v>
      </c>
      <c r="E77" s="2" t="s">
        <v>114</v>
      </c>
      <c r="F77" s="3" t="s">
        <v>120</v>
      </c>
      <c r="G77" s="3" t="s">
        <v>126</v>
      </c>
      <c r="H77" s="3" t="s">
        <v>132</v>
      </c>
      <c r="I77" s="14"/>
    </row>
    <row r="78" spans="1:9">
      <c r="A78" s="14"/>
      <c r="B78" s="17" t="s">
        <v>146</v>
      </c>
      <c r="C78" s="18" t="s">
        <v>4</v>
      </c>
      <c r="D78" s="18" t="s">
        <v>4</v>
      </c>
      <c r="E78" s="18">
        <v>3.2100000000000001E-5</v>
      </c>
      <c r="F78" s="19" t="s">
        <v>4</v>
      </c>
      <c r="G78" s="19" t="s">
        <v>4</v>
      </c>
      <c r="H78" s="19" t="s">
        <v>4</v>
      </c>
      <c r="I78" s="14"/>
    </row>
    <row r="79" spans="1:9">
      <c r="A79" s="14"/>
      <c r="B79" s="313" t="s">
        <v>768</v>
      </c>
      <c r="C79" s="313"/>
      <c r="D79" s="313"/>
      <c r="E79" s="313"/>
      <c r="F79" s="313"/>
      <c r="G79" s="313"/>
      <c r="H79" s="313"/>
      <c r="I79" s="14"/>
    </row>
    <row r="80" spans="1:9">
      <c r="A80" s="14"/>
      <c r="B80" s="13"/>
      <c r="C80" s="14"/>
      <c r="D80" s="14"/>
      <c r="E80" s="14"/>
      <c r="F80" s="14"/>
      <c r="G80" s="14"/>
      <c r="H80" s="14"/>
      <c r="I80" s="14"/>
    </row>
    <row r="81" spans="1:9">
      <c r="A81" s="14"/>
      <c r="B81" s="13"/>
      <c r="C81" s="14"/>
      <c r="D81" s="14"/>
      <c r="E81" s="14"/>
      <c r="F81" s="14"/>
      <c r="G81" s="14"/>
      <c r="H81" s="14"/>
      <c r="I81" s="14"/>
    </row>
  </sheetData>
  <mergeCells count="8">
    <mergeCell ref="B79:H79"/>
    <mergeCell ref="B2:H2"/>
    <mergeCell ref="C4:E4"/>
    <mergeCell ref="F4:H4"/>
    <mergeCell ref="C29:E29"/>
    <mergeCell ref="F29:H29"/>
    <mergeCell ref="C54:E54"/>
    <mergeCell ref="F54:H54"/>
  </mergeCells>
  <hyperlinks>
    <hyperlink ref="F4" r:id="rId1" display="AIx@75 (%)"/>
  </hyperlinks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BC255"/>
  <sheetViews>
    <sheetView topLeftCell="AB1" zoomScale="50" zoomScaleNormal="50" workbookViewId="0">
      <selection activeCell="AU40" sqref="AU40"/>
    </sheetView>
  </sheetViews>
  <sheetFormatPr baseColWidth="10" defaultRowHeight="15"/>
  <cols>
    <col min="1" max="1" width="11.42578125" style="27"/>
    <col min="2" max="2" width="23.28515625" style="27" bestFit="1" customWidth="1"/>
    <col min="3" max="3" width="8.42578125" style="27" bestFit="1" customWidth="1"/>
    <col min="4" max="4" width="6.42578125" style="27" bestFit="1" customWidth="1"/>
    <col min="5" max="5" width="7.85546875" style="27" bestFit="1" customWidth="1"/>
    <col min="6" max="6" width="21.28515625" style="27" customWidth="1"/>
    <col min="7" max="7" width="21.28515625" style="27" bestFit="1" customWidth="1"/>
    <col min="8" max="8" width="11.42578125" style="27"/>
    <col min="9" max="9" width="23.28515625" style="27" bestFit="1" customWidth="1"/>
    <col min="10" max="11" width="8.140625" style="27" bestFit="1" customWidth="1"/>
    <col min="12" max="12" width="9" style="27" bestFit="1" customWidth="1"/>
    <col min="13" max="14" width="21.28515625" style="27" bestFit="1" customWidth="1"/>
    <col min="15" max="15" width="11.42578125" style="27"/>
    <col min="16" max="16" width="23.28515625" style="27" bestFit="1" customWidth="1"/>
    <col min="17" max="17" width="8.140625" style="27" bestFit="1" customWidth="1"/>
    <col min="18" max="18" width="6.42578125" style="27" bestFit="1" customWidth="1"/>
    <col min="19" max="19" width="9" style="27" bestFit="1" customWidth="1"/>
    <col min="20" max="21" width="21.28515625" style="27" bestFit="1" customWidth="1"/>
    <col min="22" max="23" width="11.42578125" style="27"/>
    <col min="24" max="24" width="23.28515625" style="27" bestFit="1" customWidth="1"/>
    <col min="25" max="25" width="10.140625" style="27" bestFit="1" customWidth="1"/>
    <col min="26" max="26" width="8.140625" style="27" bestFit="1" customWidth="1"/>
    <col min="27" max="27" width="9" style="27" bestFit="1" customWidth="1"/>
    <col min="28" max="29" width="21.28515625" style="27" bestFit="1" customWidth="1"/>
    <col min="30" max="30" width="8.140625" style="27" customWidth="1"/>
    <col min="31" max="31" width="23.28515625" style="27" bestFit="1" customWidth="1"/>
    <col min="32" max="32" width="8.42578125" style="27" bestFit="1" customWidth="1"/>
    <col min="33" max="33" width="6.42578125" style="27" bestFit="1" customWidth="1"/>
    <col min="34" max="34" width="7.85546875" style="27" bestFit="1" customWidth="1"/>
    <col min="35" max="36" width="21.28515625" style="27" bestFit="1" customWidth="1"/>
    <col min="37" max="37" width="11.42578125" style="27"/>
    <col min="38" max="38" width="23.28515625" style="27" bestFit="1" customWidth="1"/>
    <col min="39" max="39" width="8.7109375" style="27" bestFit="1" customWidth="1"/>
    <col min="40" max="40" width="7.5703125" style="27" bestFit="1" customWidth="1"/>
    <col min="41" max="41" width="9" style="27" customWidth="1"/>
    <col min="42" max="43" width="21.28515625" style="27" bestFit="1" customWidth="1"/>
    <col min="44" max="44" width="11.42578125" style="27"/>
    <col min="45" max="45" width="15.28515625" style="26" bestFit="1" customWidth="1"/>
    <col min="46" max="46" width="13" style="26" bestFit="1" customWidth="1"/>
    <col min="47" max="47" width="7" style="26" bestFit="1" customWidth="1"/>
    <col min="48" max="48" width="25" style="26" bestFit="1" customWidth="1"/>
    <col min="49" max="49" width="5.85546875" style="26" bestFit="1" customWidth="1"/>
    <col min="50" max="50" width="15.28515625" style="27" bestFit="1" customWidth="1"/>
    <col min="51" max="51" width="13.5703125" style="27" bestFit="1" customWidth="1"/>
    <col min="52" max="52" width="24.7109375" style="27" bestFit="1" customWidth="1"/>
    <col min="53" max="53" width="5.85546875" style="27" bestFit="1" customWidth="1"/>
    <col min="54" max="54" width="13" style="27" bestFit="1" customWidth="1"/>
    <col min="55" max="16384" width="11.42578125" style="27"/>
  </cols>
  <sheetData>
    <row r="1" spans="1:55" ht="15.75">
      <c r="A1" s="225"/>
      <c r="B1" s="45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45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86"/>
      <c r="AT1" s="86"/>
      <c r="AU1" s="86"/>
      <c r="AV1" s="86"/>
      <c r="AW1" s="86"/>
      <c r="AX1" s="28"/>
      <c r="AY1" s="28"/>
      <c r="AZ1" s="28"/>
      <c r="BA1" s="28"/>
      <c r="BB1" s="28"/>
      <c r="BC1" s="28"/>
    </row>
    <row r="2" spans="1:55" ht="66.75" customHeight="1">
      <c r="A2" s="28"/>
      <c r="B2" s="316" t="s">
        <v>769</v>
      </c>
      <c r="C2" s="316"/>
      <c r="D2" s="316"/>
      <c r="E2" s="316"/>
      <c r="F2" s="316"/>
      <c r="G2" s="316"/>
      <c r="I2" s="316" t="s">
        <v>459</v>
      </c>
      <c r="J2" s="316"/>
      <c r="K2" s="316"/>
      <c r="L2" s="316"/>
      <c r="M2" s="316"/>
      <c r="N2" s="316"/>
      <c r="O2" s="28"/>
      <c r="P2" s="316" t="s">
        <v>460</v>
      </c>
      <c r="Q2" s="316"/>
      <c r="R2" s="316"/>
      <c r="S2" s="316"/>
      <c r="T2" s="316"/>
      <c r="U2" s="316"/>
      <c r="V2" s="28"/>
      <c r="W2" s="28"/>
      <c r="X2" s="316" t="s">
        <v>458</v>
      </c>
      <c r="Y2" s="316"/>
      <c r="Z2" s="316"/>
      <c r="AA2" s="316"/>
      <c r="AB2" s="316"/>
      <c r="AC2" s="316"/>
      <c r="AE2" s="316" t="s">
        <v>461</v>
      </c>
      <c r="AF2" s="316"/>
      <c r="AG2" s="316"/>
      <c r="AH2" s="316"/>
      <c r="AI2" s="316"/>
      <c r="AJ2" s="316"/>
      <c r="AL2" s="316" t="s">
        <v>462</v>
      </c>
      <c r="AM2" s="316"/>
      <c r="AN2" s="316"/>
      <c r="AO2" s="316"/>
      <c r="AP2" s="316"/>
      <c r="AQ2" s="316"/>
      <c r="AR2" s="28"/>
      <c r="AS2" s="316" t="s">
        <v>463</v>
      </c>
      <c r="AT2" s="316"/>
      <c r="AU2" s="316"/>
      <c r="AV2" s="316"/>
      <c r="AW2" s="316"/>
      <c r="AX2" s="316"/>
      <c r="AY2" s="316"/>
      <c r="AZ2" s="316"/>
      <c r="BA2" s="316"/>
      <c r="BB2" s="316"/>
      <c r="BC2" s="28"/>
    </row>
    <row r="3" spans="1:55">
      <c r="A3" s="28"/>
      <c r="B3" s="29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9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28"/>
      <c r="AQ3" s="28"/>
      <c r="AR3" s="28"/>
      <c r="AS3" s="86"/>
      <c r="AT3" s="86"/>
      <c r="AU3" s="86"/>
      <c r="AV3" s="86"/>
      <c r="AW3" s="86"/>
      <c r="AX3" s="28"/>
      <c r="AY3" s="28"/>
      <c r="AZ3" s="28"/>
      <c r="BA3" s="28"/>
      <c r="BB3" s="28"/>
      <c r="BC3" s="28"/>
    </row>
    <row r="4" spans="1:55" ht="12.75">
      <c r="A4" s="28"/>
      <c r="B4" s="299" t="s">
        <v>11</v>
      </c>
      <c r="C4" s="299"/>
      <c r="D4" s="299"/>
      <c r="E4" s="299"/>
      <c r="F4" s="299"/>
      <c r="G4" s="299"/>
      <c r="H4" s="28"/>
      <c r="I4" s="299" t="s">
        <v>2</v>
      </c>
      <c r="J4" s="299"/>
      <c r="K4" s="299"/>
      <c r="L4" s="299"/>
      <c r="M4" s="299"/>
      <c r="N4" s="299"/>
      <c r="O4" s="28"/>
      <c r="P4" s="299" t="s">
        <v>13</v>
      </c>
      <c r="Q4" s="299"/>
      <c r="R4" s="299"/>
      <c r="S4" s="299"/>
      <c r="T4" s="299"/>
      <c r="U4" s="299"/>
      <c r="V4" s="28"/>
      <c r="W4" s="28"/>
      <c r="X4" s="299" t="s">
        <v>11</v>
      </c>
      <c r="Y4" s="299"/>
      <c r="Z4" s="299"/>
      <c r="AA4" s="299"/>
      <c r="AB4" s="299"/>
      <c r="AC4" s="299"/>
      <c r="AD4" s="28"/>
      <c r="AE4" s="299" t="s">
        <v>2</v>
      </c>
      <c r="AF4" s="299"/>
      <c r="AG4" s="299"/>
      <c r="AH4" s="299"/>
      <c r="AI4" s="299"/>
      <c r="AJ4" s="299"/>
      <c r="AK4" s="28"/>
      <c r="AL4" s="299" t="s">
        <v>13</v>
      </c>
      <c r="AM4" s="299"/>
      <c r="AN4" s="299"/>
      <c r="AO4" s="299"/>
      <c r="AP4" s="299"/>
      <c r="AQ4" s="299"/>
      <c r="AR4" s="28"/>
      <c r="AS4" s="299" t="s">
        <v>165</v>
      </c>
      <c r="AT4" s="299"/>
      <c r="AU4" s="299"/>
      <c r="AV4" s="299"/>
      <c r="AW4" s="299"/>
      <c r="AX4" s="299" t="s">
        <v>192</v>
      </c>
      <c r="AY4" s="299"/>
      <c r="AZ4" s="299"/>
      <c r="BA4" s="299"/>
      <c r="BB4" s="299"/>
      <c r="BC4" s="28"/>
    </row>
    <row r="5" spans="1:55" ht="12.75">
      <c r="A5" s="28"/>
      <c r="B5" s="321" t="s">
        <v>165</v>
      </c>
      <c r="C5" s="321"/>
      <c r="D5" s="321"/>
      <c r="E5" s="321"/>
      <c r="F5" s="321"/>
      <c r="G5" s="321"/>
      <c r="H5" s="28"/>
      <c r="I5" s="321" t="s">
        <v>165</v>
      </c>
      <c r="J5" s="321"/>
      <c r="K5" s="321"/>
      <c r="L5" s="321"/>
      <c r="M5" s="321"/>
      <c r="N5" s="321"/>
      <c r="O5" s="28"/>
      <c r="P5" s="321" t="s">
        <v>165</v>
      </c>
      <c r="Q5" s="321"/>
      <c r="R5" s="321"/>
      <c r="S5" s="321"/>
      <c r="T5" s="321"/>
      <c r="U5" s="321"/>
      <c r="V5" s="28"/>
      <c r="W5" s="28"/>
      <c r="X5" s="321" t="s">
        <v>192</v>
      </c>
      <c r="Y5" s="321"/>
      <c r="Z5" s="321"/>
      <c r="AA5" s="321"/>
      <c r="AB5" s="321"/>
      <c r="AC5" s="321"/>
      <c r="AD5" s="28"/>
      <c r="AE5" s="321" t="s">
        <v>192</v>
      </c>
      <c r="AF5" s="321"/>
      <c r="AG5" s="321"/>
      <c r="AH5" s="321"/>
      <c r="AI5" s="321"/>
      <c r="AJ5" s="321"/>
      <c r="AK5" s="28"/>
      <c r="AL5" s="321" t="s">
        <v>192</v>
      </c>
      <c r="AM5" s="321"/>
      <c r="AN5" s="321"/>
      <c r="AO5" s="321"/>
      <c r="AP5" s="321"/>
      <c r="AQ5" s="321"/>
      <c r="AR5" s="28"/>
      <c r="AS5" s="71"/>
      <c r="AT5" s="74" t="s">
        <v>178</v>
      </c>
      <c r="AU5" s="74" t="s">
        <v>179</v>
      </c>
      <c r="AV5" s="74" t="s">
        <v>163</v>
      </c>
      <c r="AW5" s="74" t="s">
        <v>456</v>
      </c>
      <c r="AX5" s="103"/>
      <c r="AY5" s="101" t="s">
        <v>178</v>
      </c>
      <c r="AZ5" s="101" t="s">
        <v>457</v>
      </c>
      <c r="BA5" s="101" t="s">
        <v>456</v>
      </c>
      <c r="BB5" s="101" t="s">
        <v>179</v>
      </c>
      <c r="BC5" s="28"/>
    </row>
    <row r="6" spans="1:55" ht="15" customHeight="1">
      <c r="A6" s="28"/>
      <c r="B6" s="319" t="s">
        <v>155</v>
      </c>
      <c r="C6" s="319"/>
      <c r="D6" s="327" t="s">
        <v>157</v>
      </c>
      <c r="E6" s="327"/>
      <c r="F6" s="327" t="s">
        <v>156</v>
      </c>
      <c r="G6" s="327"/>
      <c r="H6" s="28"/>
      <c r="I6" s="319" t="s">
        <v>155</v>
      </c>
      <c r="J6" s="319"/>
      <c r="K6" s="327" t="s">
        <v>157</v>
      </c>
      <c r="L6" s="327"/>
      <c r="M6" s="327" t="s">
        <v>156</v>
      </c>
      <c r="N6" s="327"/>
      <c r="O6" s="28"/>
      <c r="P6" s="319" t="s">
        <v>155</v>
      </c>
      <c r="Q6" s="319"/>
      <c r="R6" s="327" t="s">
        <v>157</v>
      </c>
      <c r="S6" s="327"/>
      <c r="T6" s="327" t="s">
        <v>156</v>
      </c>
      <c r="U6" s="327"/>
      <c r="V6" s="28"/>
      <c r="W6" s="28"/>
      <c r="X6" s="319" t="s">
        <v>155</v>
      </c>
      <c r="Y6" s="319"/>
      <c r="Z6" s="327" t="s">
        <v>157</v>
      </c>
      <c r="AA6" s="327"/>
      <c r="AB6" s="327" t="s">
        <v>156</v>
      </c>
      <c r="AC6" s="327"/>
      <c r="AD6" s="28"/>
      <c r="AE6" s="319" t="s">
        <v>155</v>
      </c>
      <c r="AF6" s="319"/>
      <c r="AG6" s="327" t="s">
        <v>157</v>
      </c>
      <c r="AH6" s="327"/>
      <c r="AI6" s="327" t="s">
        <v>156</v>
      </c>
      <c r="AJ6" s="327"/>
      <c r="AK6" s="28"/>
      <c r="AL6" s="319" t="s">
        <v>155</v>
      </c>
      <c r="AM6" s="319"/>
      <c r="AN6" s="327" t="s">
        <v>157</v>
      </c>
      <c r="AO6" s="327"/>
      <c r="AP6" s="327" t="s">
        <v>156</v>
      </c>
      <c r="AQ6" s="327"/>
      <c r="AR6" s="28"/>
      <c r="AS6" s="70" t="s">
        <v>175</v>
      </c>
      <c r="AT6" s="72"/>
      <c r="AU6" s="72"/>
      <c r="AV6" s="72"/>
      <c r="AW6" s="72"/>
      <c r="AX6" s="70" t="s">
        <v>175</v>
      </c>
      <c r="AY6" s="72"/>
      <c r="AZ6" s="72"/>
      <c r="BA6" s="72"/>
      <c r="BB6" s="72"/>
      <c r="BC6" s="28"/>
    </row>
    <row r="7" spans="1:55" ht="15" customHeight="1">
      <c r="A7" s="28"/>
      <c r="B7" s="320">
        <v>0.40920000000000001</v>
      </c>
      <c r="C7" s="320"/>
      <c r="D7" s="326">
        <v>0.16750000000000001</v>
      </c>
      <c r="E7" s="326"/>
      <c r="F7" s="317" t="s">
        <v>170</v>
      </c>
      <c r="G7" s="317"/>
      <c r="H7" s="28"/>
      <c r="I7" s="320">
        <v>0.66039999999999999</v>
      </c>
      <c r="J7" s="320"/>
      <c r="K7" s="326">
        <v>0.43609999999999999</v>
      </c>
      <c r="L7" s="326"/>
      <c r="M7" s="317" t="s">
        <v>170</v>
      </c>
      <c r="N7" s="317"/>
      <c r="O7" s="28"/>
      <c r="P7" s="320">
        <v>0.59470000000000001</v>
      </c>
      <c r="Q7" s="320"/>
      <c r="R7" s="326">
        <v>0.35360000000000003</v>
      </c>
      <c r="S7" s="326"/>
      <c r="T7" s="317" t="s">
        <v>170</v>
      </c>
      <c r="U7" s="317"/>
      <c r="V7" s="28"/>
      <c r="W7" s="28"/>
      <c r="X7" s="320">
        <v>0.41360000000000002</v>
      </c>
      <c r="Y7" s="320"/>
      <c r="Z7" s="326">
        <v>0.1711</v>
      </c>
      <c r="AA7" s="326"/>
      <c r="AB7" s="317" t="s">
        <v>170</v>
      </c>
      <c r="AC7" s="317"/>
      <c r="AD7" s="28"/>
      <c r="AE7" s="320">
        <v>0.65820000000000001</v>
      </c>
      <c r="AF7" s="320"/>
      <c r="AG7" s="326">
        <v>0.43319999999999997</v>
      </c>
      <c r="AH7" s="326"/>
      <c r="AI7" s="317" t="s">
        <v>170</v>
      </c>
      <c r="AJ7" s="317"/>
      <c r="AK7" s="28"/>
      <c r="AL7" s="320">
        <v>0.59440000000000004</v>
      </c>
      <c r="AM7" s="320"/>
      <c r="AN7" s="326">
        <v>0.35339999999999999</v>
      </c>
      <c r="AO7" s="326"/>
      <c r="AP7" s="317" t="s">
        <v>170</v>
      </c>
      <c r="AQ7" s="317"/>
      <c r="AR7" s="28"/>
      <c r="AS7" s="28" t="s">
        <v>452</v>
      </c>
      <c r="AT7" s="31" t="s">
        <v>181</v>
      </c>
      <c r="AU7" s="36" t="s">
        <v>180</v>
      </c>
      <c r="AV7" s="31" t="s">
        <v>181</v>
      </c>
      <c r="AW7" s="31" t="s">
        <v>181</v>
      </c>
      <c r="AX7" s="224" t="s">
        <v>452</v>
      </c>
      <c r="AY7" s="104" t="s">
        <v>180</v>
      </c>
      <c r="AZ7" s="104" t="s">
        <v>198</v>
      </c>
      <c r="BA7" s="105" t="s">
        <v>181</v>
      </c>
      <c r="BB7" s="104" t="s">
        <v>180</v>
      </c>
      <c r="BC7" s="28"/>
    </row>
    <row r="8" spans="1:55" ht="12.75">
      <c r="A8" s="28"/>
      <c r="B8" s="318" t="s">
        <v>154</v>
      </c>
      <c r="C8" s="318"/>
      <c r="D8" s="318"/>
      <c r="E8" s="318"/>
      <c r="F8" s="318"/>
      <c r="G8" s="318"/>
      <c r="H8" s="28"/>
      <c r="I8" s="318" t="s">
        <v>154</v>
      </c>
      <c r="J8" s="318"/>
      <c r="K8" s="318"/>
      <c r="L8" s="318"/>
      <c r="M8" s="318"/>
      <c r="N8" s="318"/>
      <c r="O8" s="28"/>
      <c r="P8" s="318" t="s">
        <v>154</v>
      </c>
      <c r="Q8" s="318"/>
      <c r="R8" s="318"/>
      <c r="S8" s="318"/>
      <c r="T8" s="318"/>
      <c r="U8" s="318"/>
      <c r="V8" s="28"/>
      <c r="W8" s="28"/>
      <c r="X8" s="318" t="s">
        <v>154</v>
      </c>
      <c r="Y8" s="318"/>
      <c r="Z8" s="318"/>
      <c r="AA8" s="318"/>
      <c r="AB8" s="318"/>
      <c r="AC8" s="318"/>
      <c r="AD8" s="28"/>
      <c r="AE8" s="318" t="s">
        <v>154</v>
      </c>
      <c r="AF8" s="318"/>
      <c r="AG8" s="318"/>
      <c r="AH8" s="318"/>
      <c r="AI8" s="318"/>
      <c r="AJ8" s="318"/>
      <c r="AK8" s="28"/>
      <c r="AL8" s="318" t="s">
        <v>154</v>
      </c>
      <c r="AM8" s="318"/>
      <c r="AN8" s="318"/>
      <c r="AO8" s="318"/>
      <c r="AP8" s="318"/>
      <c r="AQ8" s="318"/>
      <c r="AR8" s="28"/>
      <c r="AS8" s="28" t="s">
        <v>453</v>
      </c>
      <c r="AT8" s="36" t="s">
        <v>180</v>
      </c>
      <c r="AU8" s="36" t="s">
        <v>180</v>
      </c>
      <c r="AV8" s="31" t="s">
        <v>181</v>
      </c>
      <c r="AW8" s="36" t="s">
        <v>180</v>
      </c>
      <c r="AX8" s="224" t="s">
        <v>453</v>
      </c>
      <c r="AY8" s="104" t="s">
        <v>180</v>
      </c>
      <c r="AZ8" s="105" t="s">
        <v>181</v>
      </c>
      <c r="BA8" s="104" t="s">
        <v>180</v>
      </c>
      <c r="BB8" s="104" t="s">
        <v>180</v>
      </c>
      <c r="BC8" s="28"/>
    </row>
    <row r="9" spans="1:55" ht="12.75">
      <c r="A9" s="28"/>
      <c r="B9" s="33"/>
      <c r="C9" s="34" t="s">
        <v>158</v>
      </c>
      <c r="D9" s="34" t="s">
        <v>159</v>
      </c>
      <c r="E9" s="34" t="s">
        <v>151</v>
      </c>
      <c r="F9" s="34" t="s">
        <v>171</v>
      </c>
      <c r="G9" s="34" t="s">
        <v>172</v>
      </c>
      <c r="H9" s="28"/>
      <c r="I9" s="33"/>
      <c r="J9" s="34" t="s">
        <v>158</v>
      </c>
      <c r="K9" s="34" t="s">
        <v>159</v>
      </c>
      <c r="L9" s="34" t="s">
        <v>151</v>
      </c>
      <c r="M9" s="34" t="s">
        <v>171</v>
      </c>
      <c r="N9" s="34" t="s">
        <v>172</v>
      </c>
      <c r="O9" s="28"/>
      <c r="P9" s="33"/>
      <c r="Q9" s="34" t="s">
        <v>158</v>
      </c>
      <c r="R9" s="34" t="s">
        <v>159</v>
      </c>
      <c r="S9" s="34" t="s">
        <v>151</v>
      </c>
      <c r="T9" s="34" t="s">
        <v>171</v>
      </c>
      <c r="U9" s="34" t="s">
        <v>172</v>
      </c>
      <c r="V9" s="28"/>
      <c r="W9" s="28"/>
      <c r="X9" s="33"/>
      <c r="Y9" s="34" t="s">
        <v>158</v>
      </c>
      <c r="Z9" s="34" t="s">
        <v>159</v>
      </c>
      <c r="AA9" s="34" t="s">
        <v>151</v>
      </c>
      <c r="AB9" s="34" t="s">
        <v>171</v>
      </c>
      <c r="AC9" s="34" t="s">
        <v>172</v>
      </c>
      <c r="AD9" s="28"/>
      <c r="AE9" s="33"/>
      <c r="AF9" s="34" t="s">
        <v>158</v>
      </c>
      <c r="AG9" s="34" t="s">
        <v>159</v>
      </c>
      <c r="AH9" s="34" t="s">
        <v>151</v>
      </c>
      <c r="AI9" s="34" t="s">
        <v>171</v>
      </c>
      <c r="AJ9" s="34" t="s">
        <v>172</v>
      </c>
      <c r="AK9" s="28"/>
      <c r="AL9" s="33"/>
      <c r="AM9" s="34" t="s">
        <v>158</v>
      </c>
      <c r="AN9" s="34" t="s">
        <v>159</v>
      </c>
      <c r="AO9" s="34" t="s">
        <v>151</v>
      </c>
      <c r="AP9" s="34" t="s">
        <v>171</v>
      </c>
      <c r="AQ9" s="34" t="s">
        <v>172</v>
      </c>
      <c r="AR9" s="28"/>
      <c r="AS9" s="28" t="s">
        <v>149</v>
      </c>
      <c r="AT9" s="36" t="s">
        <v>180</v>
      </c>
      <c r="AU9" s="36" t="s">
        <v>180</v>
      </c>
      <c r="AV9" s="31" t="s">
        <v>181</v>
      </c>
      <c r="AW9" s="36" t="s">
        <v>180</v>
      </c>
      <c r="AX9" s="224" t="s">
        <v>149</v>
      </c>
      <c r="AY9" s="106" t="s">
        <v>199</v>
      </c>
      <c r="AZ9" s="105" t="s">
        <v>181</v>
      </c>
      <c r="BA9" s="104" t="s">
        <v>180</v>
      </c>
      <c r="BB9" s="104" t="s">
        <v>180</v>
      </c>
      <c r="BC9" s="28"/>
    </row>
    <row r="10" spans="1:55" ht="12.75">
      <c r="A10" s="28"/>
      <c r="B10" s="40" t="s">
        <v>160</v>
      </c>
      <c r="C10" s="38">
        <v>4.3061999999999996</v>
      </c>
      <c r="D10" s="38">
        <v>0.81169999999999998</v>
      </c>
      <c r="E10" s="41">
        <v>0</v>
      </c>
      <c r="F10" s="38">
        <v>2.7128000000000001</v>
      </c>
      <c r="G10" s="38">
        <v>5.8997000000000002</v>
      </c>
      <c r="H10" s="28"/>
      <c r="I10" s="40" t="s">
        <v>160</v>
      </c>
      <c r="J10" s="38">
        <v>10.7865</v>
      </c>
      <c r="K10" s="38">
        <v>0.77490000000000003</v>
      </c>
      <c r="L10" s="38">
        <v>0</v>
      </c>
      <c r="M10" s="38">
        <v>9.2661999999999995</v>
      </c>
      <c r="N10" s="38">
        <v>12.306800000000001</v>
      </c>
      <c r="O10" s="28"/>
      <c r="P10" s="40" t="s">
        <v>160</v>
      </c>
      <c r="Q10" s="38">
        <v>6.5677000000000003</v>
      </c>
      <c r="R10" s="38">
        <v>1.8225</v>
      </c>
      <c r="S10" s="38">
        <v>2.9999999999999997E-4</v>
      </c>
      <c r="T10" s="38">
        <v>2.9910999999999999</v>
      </c>
      <c r="U10" s="38">
        <v>10.144399999999999</v>
      </c>
      <c r="V10" s="28"/>
      <c r="W10" s="28"/>
      <c r="X10" s="40" t="s">
        <v>160</v>
      </c>
      <c r="Y10" s="77">
        <v>3.2545000000000002</v>
      </c>
      <c r="Z10" s="77">
        <v>0.98119999999999996</v>
      </c>
      <c r="AA10" s="77">
        <v>1E-3</v>
      </c>
      <c r="AB10" s="77">
        <v>1.3285</v>
      </c>
      <c r="AC10" s="77">
        <v>5.1806000000000001</v>
      </c>
      <c r="AD10" s="28"/>
      <c r="AE10" s="40" t="s">
        <v>160</v>
      </c>
      <c r="AF10" s="85">
        <v>10.9254</v>
      </c>
      <c r="AG10" s="85">
        <v>0.95899999999999996</v>
      </c>
      <c r="AH10" s="85">
        <v>0</v>
      </c>
      <c r="AI10" s="85">
        <v>9.0440000000000005</v>
      </c>
      <c r="AJ10" s="85">
        <v>12.806800000000001</v>
      </c>
      <c r="AK10" s="28"/>
      <c r="AL10" s="40" t="s">
        <v>160</v>
      </c>
      <c r="AM10" s="95">
        <v>5.5869999999999997</v>
      </c>
      <c r="AN10" s="95">
        <v>2.1894</v>
      </c>
      <c r="AO10" s="95">
        <v>1.09E-2</v>
      </c>
      <c r="AP10" s="95">
        <v>1.2902</v>
      </c>
      <c r="AQ10" s="95">
        <v>9.8838000000000008</v>
      </c>
      <c r="AR10" s="28"/>
      <c r="AS10" s="28" t="s">
        <v>454</v>
      </c>
      <c r="AT10" s="36" t="s">
        <v>180</v>
      </c>
      <c r="AU10" s="36" t="s">
        <v>180</v>
      </c>
      <c r="AV10" s="31" t="s">
        <v>181</v>
      </c>
      <c r="AW10" s="36" t="s">
        <v>180</v>
      </c>
      <c r="AX10" s="224" t="s">
        <v>454</v>
      </c>
      <c r="AY10" s="104" t="s">
        <v>180</v>
      </c>
      <c r="AZ10" s="104" t="s">
        <v>200</v>
      </c>
      <c r="BA10" s="104" t="s">
        <v>180</v>
      </c>
      <c r="BB10" s="104" t="s">
        <v>180</v>
      </c>
      <c r="BC10" s="28"/>
    </row>
    <row r="11" spans="1:55" ht="12.75">
      <c r="A11" s="28"/>
      <c r="B11" s="32" t="s">
        <v>161</v>
      </c>
      <c r="C11" s="38">
        <v>0.29010000000000002</v>
      </c>
      <c r="D11" s="38">
        <v>0.37859999999999999</v>
      </c>
      <c r="E11" s="38">
        <v>0.44390000000000002</v>
      </c>
      <c r="F11" s="38">
        <v>-0.45319999999999999</v>
      </c>
      <c r="G11" s="38">
        <v>1.0333000000000001</v>
      </c>
      <c r="H11" s="28"/>
      <c r="I11" s="32" t="s">
        <v>161</v>
      </c>
      <c r="J11" s="38">
        <v>5.9799999999999999E-2</v>
      </c>
      <c r="K11" s="38">
        <v>0.3468</v>
      </c>
      <c r="L11" s="38">
        <v>0.86309999999999998</v>
      </c>
      <c r="M11" s="38">
        <v>-0.62060000000000004</v>
      </c>
      <c r="N11" s="38">
        <v>0.74019999999999997</v>
      </c>
      <c r="O11" s="28"/>
      <c r="P11" s="32" t="s">
        <v>161</v>
      </c>
      <c r="Q11" s="38">
        <v>1.1899</v>
      </c>
      <c r="R11" s="38">
        <v>0.80410000000000004</v>
      </c>
      <c r="S11" s="38">
        <v>0.13930000000000001</v>
      </c>
      <c r="T11" s="38">
        <v>-0.38819999999999999</v>
      </c>
      <c r="U11" s="38">
        <v>2.7679999999999998</v>
      </c>
      <c r="V11" s="28"/>
      <c r="W11" s="28"/>
      <c r="X11" s="39" t="s">
        <v>161</v>
      </c>
      <c r="Y11" s="49">
        <v>2.9533999999999998</v>
      </c>
      <c r="Z11" s="49">
        <v>1.3912</v>
      </c>
      <c r="AA11" s="63">
        <v>3.4099999999999998E-2</v>
      </c>
      <c r="AB11" s="49">
        <v>0.22259999999999999</v>
      </c>
      <c r="AC11" s="49">
        <v>5.6843000000000004</v>
      </c>
      <c r="AD11" s="28"/>
      <c r="AE11" s="40" t="s">
        <v>161</v>
      </c>
      <c r="AF11" s="85">
        <v>0.15260000000000001</v>
      </c>
      <c r="AG11" s="85">
        <v>1.3966000000000001</v>
      </c>
      <c r="AH11" s="85">
        <v>0.91300000000000003</v>
      </c>
      <c r="AI11" s="85">
        <v>-2.5874000000000001</v>
      </c>
      <c r="AJ11" s="85">
        <v>2.8925999999999998</v>
      </c>
      <c r="AK11" s="28"/>
      <c r="AL11" s="40" t="s">
        <v>161</v>
      </c>
      <c r="AM11" s="85">
        <v>4.2148000000000003</v>
      </c>
      <c r="AN11" s="85">
        <v>3.2553000000000001</v>
      </c>
      <c r="AO11" s="85">
        <v>0.19570000000000001</v>
      </c>
      <c r="AP11" s="85">
        <v>-2.1739000000000002</v>
      </c>
      <c r="AQ11" s="85">
        <v>10.603400000000001</v>
      </c>
      <c r="AR11" s="28"/>
      <c r="AS11" s="28" t="s">
        <v>455</v>
      </c>
      <c r="AT11" s="36" t="s">
        <v>180</v>
      </c>
      <c r="AU11" s="31" t="s">
        <v>181</v>
      </c>
      <c r="AV11" s="31" t="s">
        <v>181</v>
      </c>
      <c r="AW11" s="36" t="s">
        <v>180</v>
      </c>
      <c r="AX11" s="224" t="s">
        <v>455</v>
      </c>
      <c r="AY11" s="104" t="s">
        <v>180</v>
      </c>
      <c r="AZ11" s="104" t="s">
        <v>201</v>
      </c>
      <c r="BA11" s="104" t="s">
        <v>180</v>
      </c>
      <c r="BB11" s="105" t="s">
        <v>195</v>
      </c>
      <c r="BC11" s="28"/>
    </row>
    <row r="12" spans="1:55" ht="12.75">
      <c r="A12" s="28"/>
      <c r="B12" s="39" t="s">
        <v>162</v>
      </c>
      <c r="C12" s="38">
        <v>0.1061</v>
      </c>
      <c r="D12" s="38">
        <v>1.5699999999999999E-2</v>
      </c>
      <c r="E12" s="37">
        <v>0</v>
      </c>
      <c r="F12" s="38">
        <v>7.5300000000000006E-2</v>
      </c>
      <c r="G12" s="38">
        <v>0.13700000000000001</v>
      </c>
      <c r="H12" s="28"/>
      <c r="I12" s="39" t="s">
        <v>162</v>
      </c>
      <c r="J12" s="38">
        <v>0.2087</v>
      </c>
      <c r="K12" s="38">
        <v>1.01E-2</v>
      </c>
      <c r="L12" s="37">
        <v>0</v>
      </c>
      <c r="M12" s="38">
        <v>0.18890000000000001</v>
      </c>
      <c r="N12" s="38">
        <v>0.22850000000000001</v>
      </c>
      <c r="O12" s="28"/>
      <c r="P12" s="39" t="s">
        <v>162</v>
      </c>
      <c r="Q12" s="38">
        <v>0.36370000000000002</v>
      </c>
      <c r="R12" s="38">
        <v>2.2700000000000001E-2</v>
      </c>
      <c r="S12" s="37">
        <v>0</v>
      </c>
      <c r="T12" s="38">
        <v>0.31909999999999999</v>
      </c>
      <c r="U12" s="38">
        <v>0.4083</v>
      </c>
      <c r="V12" s="28"/>
      <c r="W12" s="28"/>
      <c r="X12" s="32" t="s">
        <v>164</v>
      </c>
      <c r="Y12" s="49">
        <v>0.42830000000000001</v>
      </c>
      <c r="Z12" s="49">
        <v>0.70879999999999999</v>
      </c>
      <c r="AA12" s="49">
        <v>0.54579999999999995</v>
      </c>
      <c r="AB12" s="49">
        <v>-0.96299999999999997</v>
      </c>
      <c r="AC12" s="49">
        <v>1.8196000000000001</v>
      </c>
      <c r="AD12" s="28"/>
      <c r="AE12" s="39" t="s">
        <v>164</v>
      </c>
      <c r="AF12" s="85">
        <v>-9.2317999999999998</v>
      </c>
      <c r="AG12" s="85">
        <v>0.65280000000000005</v>
      </c>
      <c r="AH12" s="63">
        <v>0</v>
      </c>
      <c r="AI12" s="85">
        <v>-10.512600000000001</v>
      </c>
      <c r="AJ12" s="85">
        <v>-7.9509999999999996</v>
      </c>
      <c r="AK12" s="28"/>
      <c r="AL12" s="39" t="s">
        <v>164</v>
      </c>
      <c r="AM12" s="85">
        <v>-13.4208</v>
      </c>
      <c r="AN12" s="85">
        <v>1.5047999999999999</v>
      </c>
      <c r="AO12" s="63">
        <v>0</v>
      </c>
      <c r="AP12" s="85">
        <v>-16.373899999999999</v>
      </c>
      <c r="AQ12" s="85">
        <v>-10.467700000000001</v>
      </c>
      <c r="AR12" s="28"/>
      <c r="AS12" s="28" t="s">
        <v>153</v>
      </c>
      <c r="AT12" s="31" t="s">
        <v>181</v>
      </c>
      <c r="AU12" s="36" t="s">
        <v>180</v>
      </c>
      <c r="AV12" s="31" t="s">
        <v>181</v>
      </c>
      <c r="AW12" s="31" t="s">
        <v>181</v>
      </c>
      <c r="AX12" s="224" t="s">
        <v>153</v>
      </c>
      <c r="AY12" s="105" t="s">
        <v>181</v>
      </c>
      <c r="AZ12" s="105" t="s">
        <v>181</v>
      </c>
      <c r="BA12" s="105" t="s">
        <v>181</v>
      </c>
      <c r="BB12" s="104" t="s">
        <v>180</v>
      </c>
      <c r="BC12" s="28"/>
    </row>
    <row r="13" spans="1:55" ht="12.75">
      <c r="A13" s="28"/>
      <c r="B13" s="32" t="s">
        <v>163</v>
      </c>
      <c r="C13" s="38">
        <v>6.4000000000000003E-3</v>
      </c>
      <c r="D13" s="38">
        <v>1.77E-2</v>
      </c>
      <c r="E13" s="38">
        <v>0.71619999999999995</v>
      </c>
      <c r="F13" s="38">
        <v>-2.8299999999999999E-2</v>
      </c>
      <c r="G13" s="38">
        <v>4.1099999999999998E-2</v>
      </c>
      <c r="H13" s="28"/>
      <c r="I13" s="39" t="s">
        <v>163</v>
      </c>
      <c r="J13" s="38">
        <v>3.2000000000000001E-2</v>
      </c>
      <c r="K13" s="38">
        <v>1.2500000000000001E-2</v>
      </c>
      <c r="L13" s="37">
        <v>1.06E-2</v>
      </c>
      <c r="M13" s="38">
        <v>7.4000000000000003E-3</v>
      </c>
      <c r="N13" s="38">
        <v>5.6500000000000002E-2</v>
      </c>
      <c r="O13" s="28"/>
      <c r="P13" s="40" t="s">
        <v>163</v>
      </c>
      <c r="Q13" s="38">
        <v>2.7300000000000001E-2</v>
      </c>
      <c r="R13" s="38">
        <v>2.8299999999999999E-2</v>
      </c>
      <c r="S13" s="38">
        <v>0.33450000000000002</v>
      </c>
      <c r="T13" s="38">
        <v>-2.8199999999999999E-2</v>
      </c>
      <c r="U13" s="38">
        <v>8.2799999999999999E-2</v>
      </c>
      <c r="V13" s="28"/>
      <c r="W13" s="28"/>
      <c r="X13" s="39" t="s">
        <v>193</v>
      </c>
      <c r="Y13" s="49">
        <v>-1.7903</v>
      </c>
      <c r="Z13" s="49">
        <v>0.95689999999999997</v>
      </c>
      <c r="AA13" s="92">
        <v>6.1699999999999998E-2</v>
      </c>
      <c r="AB13" s="49">
        <v>-3.6686999999999999</v>
      </c>
      <c r="AC13" s="49">
        <v>8.8099999999999998E-2</v>
      </c>
      <c r="AD13" s="28"/>
      <c r="AE13" s="32" t="s">
        <v>193</v>
      </c>
      <c r="AF13" s="85">
        <v>0.3982</v>
      </c>
      <c r="AG13" s="85">
        <v>0.90820000000000001</v>
      </c>
      <c r="AH13" s="85">
        <v>0.66110000000000002</v>
      </c>
      <c r="AI13" s="85">
        <v>-1.3835999999999999</v>
      </c>
      <c r="AJ13" s="85">
        <v>2.1800000000000002</v>
      </c>
      <c r="AK13" s="28"/>
      <c r="AL13" s="32" t="s">
        <v>193</v>
      </c>
      <c r="AM13" s="85">
        <v>-1.6266</v>
      </c>
      <c r="AN13" s="85">
        <v>2.1490999999999998</v>
      </c>
      <c r="AO13" s="85">
        <v>0.44929999999999998</v>
      </c>
      <c r="AP13" s="85">
        <v>-5.8441999999999998</v>
      </c>
      <c r="AQ13" s="85">
        <v>2.5910000000000002</v>
      </c>
      <c r="AR13" s="28"/>
      <c r="AS13" s="28" t="s">
        <v>760</v>
      </c>
      <c r="AT13" s="31" t="s">
        <v>181</v>
      </c>
      <c r="AU13" s="36" t="s">
        <v>180</v>
      </c>
      <c r="AV13" s="31" t="s">
        <v>181</v>
      </c>
      <c r="AW13" s="31" t="s">
        <v>181</v>
      </c>
      <c r="AX13" s="102" t="s">
        <v>759</v>
      </c>
      <c r="AY13" s="105" t="s">
        <v>181</v>
      </c>
      <c r="AZ13" s="105" t="s">
        <v>181</v>
      </c>
      <c r="BA13" s="105" t="s">
        <v>181</v>
      </c>
      <c r="BB13" s="104" t="s">
        <v>180</v>
      </c>
      <c r="BC13" s="28"/>
    </row>
    <row r="14" spans="1:55" ht="12.75">
      <c r="A14" s="28"/>
      <c r="B14" s="35" t="s">
        <v>164</v>
      </c>
      <c r="C14" s="46">
        <v>-0.2243</v>
      </c>
      <c r="D14" s="46">
        <v>0.6149</v>
      </c>
      <c r="E14" s="46">
        <v>0.71540000000000004</v>
      </c>
      <c r="F14" s="46">
        <v>-1.4314</v>
      </c>
      <c r="G14" s="46">
        <v>0.9829</v>
      </c>
      <c r="H14" s="28"/>
      <c r="I14" s="42" t="s">
        <v>164</v>
      </c>
      <c r="J14" s="46">
        <v>-8.8991000000000007</v>
      </c>
      <c r="K14" s="46">
        <v>0.54590000000000005</v>
      </c>
      <c r="L14" s="44">
        <v>0</v>
      </c>
      <c r="M14" s="46">
        <v>-9.9702000000000002</v>
      </c>
      <c r="N14" s="46">
        <v>-7.8281000000000001</v>
      </c>
      <c r="O14" s="28"/>
      <c r="P14" s="42" t="s">
        <v>164</v>
      </c>
      <c r="Q14" s="46">
        <v>-13.8446</v>
      </c>
      <c r="R14" s="46">
        <v>1.298</v>
      </c>
      <c r="S14" s="44">
        <v>0</v>
      </c>
      <c r="T14" s="46">
        <v>-16.3919</v>
      </c>
      <c r="U14" s="46">
        <v>-11.2973</v>
      </c>
      <c r="V14" s="28"/>
      <c r="W14" s="28"/>
      <c r="X14" s="42" t="s">
        <v>162</v>
      </c>
      <c r="Y14" s="78">
        <v>0.1119</v>
      </c>
      <c r="Z14" s="78">
        <v>1.12E-2</v>
      </c>
      <c r="AA14" s="64">
        <v>0</v>
      </c>
      <c r="AB14" s="78">
        <v>8.9899999999999994E-2</v>
      </c>
      <c r="AC14" s="78">
        <v>0.1338</v>
      </c>
      <c r="AD14" s="28"/>
      <c r="AE14" s="42" t="s">
        <v>162</v>
      </c>
      <c r="AF14" s="91">
        <v>0.2258</v>
      </c>
      <c r="AG14" s="91">
        <v>7.6E-3</v>
      </c>
      <c r="AH14" s="64">
        <v>0</v>
      </c>
      <c r="AI14" s="91">
        <v>0.2109</v>
      </c>
      <c r="AJ14" s="91">
        <v>0.24060000000000001</v>
      </c>
      <c r="AK14" s="28"/>
      <c r="AL14" s="42" t="s">
        <v>162</v>
      </c>
      <c r="AM14" s="91">
        <v>0.37809999999999999</v>
      </c>
      <c r="AN14" s="91">
        <v>1.7399999999999999E-2</v>
      </c>
      <c r="AO14" s="64">
        <v>0</v>
      </c>
      <c r="AP14" s="91">
        <v>0.34399999999999997</v>
      </c>
      <c r="AQ14" s="91">
        <v>0.41220000000000001</v>
      </c>
      <c r="AR14" s="28"/>
      <c r="AS14" s="70" t="s">
        <v>176</v>
      </c>
      <c r="AT14" s="72"/>
      <c r="AU14" s="72"/>
      <c r="AV14" s="72"/>
      <c r="AW14" s="72"/>
      <c r="AX14" s="70" t="s">
        <v>176</v>
      </c>
      <c r="AY14" s="72"/>
      <c r="AZ14" s="72"/>
      <c r="BA14" s="72"/>
      <c r="BB14" s="72"/>
      <c r="BC14" s="28"/>
    </row>
    <row r="15" spans="1:55" ht="12.75">
      <c r="A15" s="28"/>
      <c r="B15" s="55" t="s">
        <v>174</v>
      </c>
      <c r="C15" s="55" t="s">
        <v>174</v>
      </c>
      <c r="D15" s="55" t="s">
        <v>174</v>
      </c>
      <c r="E15" s="55" t="s">
        <v>174</v>
      </c>
      <c r="F15" s="55" t="s">
        <v>174</v>
      </c>
      <c r="G15" s="55" t="s">
        <v>174</v>
      </c>
      <c r="H15" s="28"/>
      <c r="I15" s="323" t="s">
        <v>173</v>
      </c>
      <c r="J15" s="323"/>
      <c r="K15" s="323"/>
      <c r="L15" s="323"/>
      <c r="M15" s="323"/>
      <c r="N15" s="323"/>
      <c r="O15" s="28"/>
      <c r="P15" s="55" t="s">
        <v>174</v>
      </c>
      <c r="Q15" s="55" t="s">
        <v>174</v>
      </c>
      <c r="R15" s="55" t="s">
        <v>174</v>
      </c>
      <c r="S15" s="55" t="s">
        <v>174</v>
      </c>
      <c r="T15" s="55" t="s">
        <v>174</v>
      </c>
      <c r="U15" s="55" t="s">
        <v>174</v>
      </c>
      <c r="V15" s="28"/>
      <c r="W15" s="28"/>
      <c r="X15" s="323" t="s">
        <v>194</v>
      </c>
      <c r="Y15" s="323"/>
      <c r="Z15" s="323"/>
      <c r="AA15" s="323"/>
      <c r="AB15" s="323"/>
      <c r="AC15" s="323"/>
      <c r="AD15" s="28"/>
      <c r="AE15" s="55" t="s">
        <v>174</v>
      </c>
      <c r="AF15" s="55" t="s">
        <v>174</v>
      </c>
      <c r="AG15" s="55" t="s">
        <v>174</v>
      </c>
      <c r="AH15" s="55" t="s">
        <v>174</v>
      </c>
      <c r="AI15" s="55" t="s">
        <v>174</v>
      </c>
      <c r="AJ15" s="55" t="s">
        <v>174</v>
      </c>
      <c r="AK15" s="28"/>
      <c r="AL15" s="55" t="s">
        <v>174</v>
      </c>
      <c r="AM15" s="55" t="s">
        <v>174</v>
      </c>
      <c r="AN15" s="55" t="s">
        <v>174</v>
      </c>
      <c r="AO15" s="55" t="s">
        <v>174</v>
      </c>
      <c r="AP15" s="55" t="s">
        <v>174</v>
      </c>
      <c r="AQ15" s="55" t="s">
        <v>174</v>
      </c>
      <c r="AR15" s="28"/>
      <c r="AS15" s="28" t="s">
        <v>452</v>
      </c>
      <c r="AT15" s="31" t="s">
        <v>181</v>
      </c>
      <c r="AU15" s="36" t="s">
        <v>180</v>
      </c>
      <c r="AV15" s="36" t="s">
        <v>183</v>
      </c>
      <c r="AW15" s="36" t="s">
        <v>180</v>
      </c>
      <c r="AX15" s="224" t="s">
        <v>452</v>
      </c>
      <c r="AY15" s="105" t="s">
        <v>181</v>
      </c>
      <c r="AZ15" s="106" t="s">
        <v>181</v>
      </c>
      <c r="BA15" s="104" t="s">
        <v>180</v>
      </c>
      <c r="BB15" s="104" t="s">
        <v>180</v>
      </c>
      <c r="BC15" s="28"/>
    </row>
    <row r="16" spans="1:55" ht="12.75">
      <c r="A16" s="28"/>
      <c r="B16" s="55" t="s">
        <v>174</v>
      </c>
      <c r="C16" s="55" t="s">
        <v>174</v>
      </c>
      <c r="D16" s="55" t="s">
        <v>174</v>
      </c>
      <c r="E16" s="55" t="s">
        <v>174</v>
      </c>
      <c r="F16" s="55" t="s">
        <v>174</v>
      </c>
      <c r="G16" s="55" t="s">
        <v>174</v>
      </c>
      <c r="H16" s="28"/>
      <c r="I16" s="53" t="s">
        <v>162</v>
      </c>
      <c r="J16" s="43" t="s">
        <v>167</v>
      </c>
      <c r="K16" s="43" t="s">
        <v>8</v>
      </c>
      <c r="L16" s="43" t="s">
        <v>156</v>
      </c>
      <c r="M16" s="43" t="s">
        <v>168</v>
      </c>
      <c r="N16" s="43" t="s">
        <v>169</v>
      </c>
      <c r="O16" s="28"/>
      <c r="P16" s="55" t="s">
        <v>174</v>
      </c>
      <c r="Q16" s="55" t="s">
        <v>174</v>
      </c>
      <c r="R16" s="55" t="s">
        <v>174</v>
      </c>
      <c r="S16" s="55" t="s">
        <v>174</v>
      </c>
      <c r="T16" s="55" t="s">
        <v>174</v>
      </c>
      <c r="U16" s="55" t="s">
        <v>174</v>
      </c>
      <c r="V16" s="28"/>
      <c r="W16" s="28"/>
      <c r="X16" s="33" t="s">
        <v>164</v>
      </c>
      <c r="Y16" s="34" t="s">
        <v>167</v>
      </c>
      <c r="Z16" s="34" t="s">
        <v>8</v>
      </c>
      <c r="AA16" s="34" t="s">
        <v>156</v>
      </c>
      <c r="AB16" s="34" t="s">
        <v>168</v>
      </c>
      <c r="AC16" s="34" t="s">
        <v>169</v>
      </c>
      <c r="AD16" s="28"/>
      <c r="AE16" s="55" t="s">
        <v>174</v>
      </c>
      <c r="AF16" s="55" t="s">
        <v>174</v>
      </c>
      <c r="AG16" s="55" t="s">
        <v>174</v>
      </c>
      <c r="AH16" s="55" t="s">
        <v>174</v>
      </c>
      <c r="AI16" s="55" t="s">
        <v>174</v>
      </c>
      <c r="AJ16" s="55" t="s">
        <v>174</v>
      </c>
      <c r="AK16" s="28"/>
      <c r="AL16" s="55" t="s">
        <v>174</v>
      </c>
      <c r="AM16" s="55" t="s">
        <v>174</v>
      </c>
      <c r="AN16" s="55" t="s">
        <v>174</v>
      </c>
      <c r="AO16" s="55" t="s">
        <v>174</v>
      </c>
      <c r="AP16" s="55" t="s">
        <v>174</v>
      </c>
      <c r="AQ16" s="55" t="s">
        <v>174</v>
      </c>
      <c r="AR16" s="28"/>
      <c r="AS16" s="28" t="s">
        <v>453</v>
      </c>
      <c r="AT16" s="31" t="s">
        <v>181</v>
      </c>
      <c r="AU16" s="36" t="s">
        <v>180</v>
      </c>
      <c r="AV16" s="36" t="s">
        <v>184</v>
      </c>
      <c r="AW16" s="36" t="s">
        <v>180</v>
      </c>
      <c r="AX16" s="224" t="s">
        <v>453</v>
      </c>
      <c r="AY16" s="105" t="s">
        <v>181</v>
      </c>
      <c r="AZ16" s="106" t="s">
        <v>181</v>
      </c>
      <c r="BA16" s="104" t="s">
        <v>180</v>
      </c>
      <c r="BB16" s="104" t="s">
        <v>180</v>
      </c>
      <c r="BC16" s="28"/>
    </row>
    <row r="17" spans="1:55">
      <c r="A17" s="28"/>
      <c r="B17" s="55" t="s">
        <v>174</v>
      </c>
      <c r="C17" s="55" t="s">
        <v>174</v>
      </c>
      <c r="D17" s="55" t="s">
        <v>174</v>
      </c>
      <c r="E17" s="55" t="s">
        <v>174</v>
      </c>
      <c r="F17" s="55" t="s">
        <v>174</v>
      </c>
      <c r="G17" s="55" t="s">
        <v>174</v>
      </c>
      <c r="H17" s="28"/>
      <c r="I17" s="65">
        <v>2.8</v>
      </c>
      <c r="J17" s="38">
        <v>0.14929999999999999</v>
      </c>
      <c r="K17" s="38">
        <v>0.32</v>
      </c>
      <c r="L17" s="38">
        <v>0.64090000000000003</v>
      </c>
      <c r="M17" s="38">
        <v>-0.47860000000000003</v>
      </c>
      <c r="N17" s="38">
        <v>0.7772</v>
      </c>
      <c r="O17" s="28"/>
      <c r="P17" s="55" t="s">
        <v>174</v>
      </c>
      <c r="Q17" s="55" t="s">
        <v>174</v>
      </c>
      <c r="R17" s="55" t="s">
        <v>174</v>
      </c>
      <c r="S17" s="55" t="s">
        <v>174</v>
      </c>
      <c r="T17" s="55" t="s">
        <v>174</v>
      </c>
      <c r="U17" s="55" t="s">
        <v>174</v>
      </c>
      <c r="V17" s="28"/>
      <c r="W17" s="28"/>
      <c r="X17" s="88">
        <v>0.97</v>
      </c>
      <c r="Y17" s="83">
        <v>1.2168000000000001</v>
      </c>
      <c r="Z17" s="83">
        <v>0.50649999999999995</v>
      </c>
      <c r="AA17" s="84">
        <v>1.6500000000000001E-2</v>
      </c>
      <c r="AB17" s="83">
        <v>0.22259999999999999</v>
      </c>
      <c r="AC17" s="83">
        <v>2.2111000000000001</v>
      </c>
      <c r="AD17" s="28"/>
      <c r="AE17" s="55" t="s">
        <v>174</v>
      </c>
      <c r="AF17" s="55" t="s">
        <v>174</v>
      </c>
      <c r="AG17" s="55" t="s">
        <v>174</v>
      </c>
      <c r="AH17" s="55" t="s">
        <v>174</v>
      </c>
      <c r="AI17" s="55" t="s">
        <v>174</v>
      </c>
      <c r="AJ17" s="55" t="s">
        <v>174</v>
      </c>
      <c r="AK17" s="28"/>
      <c r="AL17" s="55" t="s">
        <v>174</v>
      </c>
      <c r="AM17" s="55" t="s">
        <v>174</v>
      </c>
      <c r="AN17" s="55" t="s">
        <v>174</v>
      </c>
      <c r="AO17" s="55" t="s">
        <v>174</v>
      </c>
      <c r="AP17" s="55" t="s">
        <v>174</v>
      </c>
      <c r="AQ17" s="55" t="s">
        <v>174</v>
      </c>
      <c r="AR17" s="28"/>
      <c r="AS17" s="28" t="s">
        <v>149</v>
      </c>
      <c r="AT17" s="31" t="s">
        <v>181</v>
      </c>
      <c r="AU17" s="36" t="s">
        <v>180</v>
      </c>
      <c r="AV17" s="36" t="s">
        <v>185</v>
      </c>
      <c r="AW17" s="36" t="s">
        <v>180</v>
      </c>
      <c r="AX17" s="224" t="s">
        <v>149</v>
      </c>
      <c r="AY17" s="104" t="s">
        <v>196</v>
      </c>
      <c r="AZ17" s="105" t="s">
        <v>181</v>
      </c>
      <c r="BA17" s="104" t="s">
        <v>180</v>
      </c>
      <c r="BB17" s="104" t="s">
        <v>180</v>
      </c>
      <c r="BC17" s="28"/>
    </row>
    <row r="18" spans="1:55">
      <c r="A18" s="28"/>
      <c r="B18" s="55" t="s">
        <v>174</v>
      </c>
      <c r="C18" s="55" t="s">
        <v>174</v>
      </c>
      <c r="D18" s="55" t="s">
        <v>174</v>
      </c>
      <c r="E18" s="55" t="s">
        <v>174</v>
      </c>
      <c r="F18" s="55" t="s">
        <v>174</v>
      </c>
      <c r="G18" s="55" t="s">
        <v>174</v>
      </c>
      <c r="H18" s="28"/>
      <c r="I18" s="65">
        <v>6.87</v>
      </c>
      <c r="J18" s="38">
        <v>0.27939999999999998</v>
      </c>
      <c r="K18" s="38">
        <v>0.2843</v>
      </c>
      <c r="L18" s="38">
        <v>0.32600000000000001</v>
      </c>
      <c r="M18" s="38">
        <v>-0.27839999999999998</v>
      </c>
      <c r="N18" s="38">
        <v>0.83709999999999996</v>
      </c>
      <c r="O18" s="28"/>
      <c r="P18" s="55" t="s">
        <v>174</v>
      </c>
      <c r="Q18" s="55" t="s">
        <v>174</v>
      </c>
      <c r="R18" s="55" t="s">
        <v>174</v>
      </c>
      <c r="S18" s="55" t="s">
        <v>174</v>
      </c>
      <c r="T18" s="55" t="s">
        <v>174</v>
      </c>
      <c r="U18" s="55" t="s">
        <v>174</v>
      </c>
      <c r="V18" s="28"/>
      <c r="W18" s="28"/>
      <c r="X18" s="88">
        <v>1.0185</v>
      </c>
      <c r="Y18" s="83">
        <v>1.1299999999999999</v>
      </c>
      <c r="Z18" s="83">
        <v>0.4667</v>
      </c>
      <c r="AA18" s="84">
        <v>1.5699999999999999E-2</v>
      </c>
      <c r="AB18" s="83">
        <v>0.21390000000000001</v>
      </c>
      <c r="AC18" s="83">
        <v>2.0461999999999998</v>
      </c>
      <c r="AD18" s="28"/>
      <c r="AE18" s="55" t="s">
        <v>174</v>
      </c>
      <c r="AF18" s="55" t="s">
        <v>174</v>
      </c>
      <c r="AG18" s="55" t="s">
        <v>174</v>
      </c>
      <c r="AH18" s="55" t="s">
        <v>174</v>
      </c>
      <c r="AI18" s="55" t="s">
        <v>174</v>
      </c>
      <c r="AJ18" s="55" t="s">
        <v>174</v>
      </c>
      <c r="AK18" s="28"/>
      <c r="AL18" s="55" t="s">
        <v>174</v>
      </c>
      <c r="AM18" s="55" t="s">
        <v>174</v>
      </c>
      <c r="AN18" s="55" t="s">
        <v>174</v>
      </c>
      <c r="AO18" s="55" t="s">
        <v>174</v>
      </c>
      <c r="AP18" s="55" t="s">
        <v>174</v>
      </c>
      <c r="AQ18" s="55" t="s">
        <v>174</v>
      </c>
      <c r="AR18" s="28"/>
      <c r="AS18" s="28" t="s">
        <v>454</v>
      </c>
      <c r="AT18" s="31" t="s">
        <v>182</v>
      </c>
      <c r="AU18" s="36" t="s">
        <v>180</v>
      </c>
      <c r="AV18" s="31" t="s">
        <v>181</v>
      </c>
      <c r="AW18" s="36" t="s">
        <v>180</v>
      </c>
      <c r="AX18" s="224" t="s">
        <v>454</v>
      </c>
      <c r="AY18" s="105" t="s">
        <v>181</v>
      </c>
      <c r="AZ18" s="104" t="s">
        <v>197</v>
      </c>
      <c r="BA18" s="104" t="s">
        <v>180</v>
      </c>
      <c r="BB18" s="104" t="s">
        <v>180</v>
      </c>
      <c r="BC18" s="28"/>
    </row>
    <row r="19" spans="1:55">
      <c r="A19" s="28"/>
      <c r="B19" s="55" t="s">
        <v>174</v>
      </c>
      <c r="C19" s="55" t="s">
        <v>174</v>
      </c>
      <c r="D19" s="55" t="s">
        <v>174</v>
      </c>
      <c r="E19" s="55" t="s">
        <v>174</v>
      </c>
      <c r="F19" s="55" t="s">
        <v>174</v>
      </c>
      <c r="G19" s="55" t="s">
        <v>174</v>
      </c>
      <c r="H19" s="28"/>
      <c r="I19" s="65">
        <v>10.94</v>
      </c>
      <c r="J19" s="38">
        <v>0.40939999999999999</v>
      </c>
      <c r="K19" s="38">
        <v>0.25380000000000003</v>
      </c>
      <c r="L19" s="38">
        <v>0.1069</v>
      </c>
      <c r="M19" s="38">
        <v>-8.8400000000000006E-2</v>
      </c>
      <c r="N19" s="38">
        <v>0.9073</v>
      </c>
      <c r="O19" s="28"/>
      <c r="P19" s="55" t="s">
        <v>174</v>
      </c>
      <c r="Q19" s="55" t="s">
        <v>174</v>
      </c>
      <c r="R19" s="55" t="s">
        <v>174</v>
      </c>
      <c r="S19" s="55" t="s">
        <v>174</v>
      </c>
      <c r="T19" s="55" t="s">
        <v>174</v>
      </c>
      <c r="U19" s="55" t="s">
        <v>174</v>
      </c>
      <c r="V19" s="28"/>
      <c r="W19" s="28"/>
      <c r="X19" s="88">
        <v>1.0669999999999999</v>
      </c>
      <c r="Y19" s="83">
        <v>1.0431999999999999</v>
      </c>
      <c r="Z19" s="83">
        <v>0.42830000000000001</v>
      </c>
      <c r="AA19" s="84">
        <v>1.5100000000000001E-2</v>
      </c>
      <c r="AB19" s="83">
        <v>0.20250000000000001</v>
      </c>
      <c r="AC19" s="83">
        <v>1.8838999999999999</v>
      </c>
      <c r="AD19" s="28"/>
      <c r="AE19" s="55" t="s">
        <v>174</v>
      </c>
      <c r="AF19" s="55" t="s">
        <v>174</v>
      </c>
      <c r="AG19" s="55" t="s">
        <v>174</v>
      </c>
      <c r="AH19" s="55" t="s">
        <v>174</v>
      </c>
      <c r="AI19" s="55" t="s">
        <v>174</v>
      </c>
      <c r="AJ19" s="55" t="s">
        <v>174</v>
      </c>
      <c r="AK19" s="28"/>
      <c r="AL19" s="55" t="s">
        <v>174</v>
      </c>
      <c r="AM19" s="55" t="s">
        <v>174</v>
      </c>
      <c r="AN19" s="55" t="s">
        <v>174</v>
      </c>
      <c r="AO19" s="55" t="s">
        <v>174</v>
      </c>
      <c r="AP19" s="55" t="s">
        <v>174</v>
      </c>
      <c r="AQ19" s="55" t="s">
        <v>174</v>
      </c>
      <c r="AR19" s="28"/>
      <c r="AS19" s="28" t="s">
        <v>455</v>
      </c>
      <c r="AT19" s="31" t="s">
        <v>181</v>
      </c>
      <c r="AU19" s="36" t="s">
        <v>180</v>
      </c>
      <c r="AV19" s="31" t="s">
        <v>181</v>
      </c>
      <c r="AW19" s="36" t="s">
        <v>180</v>
      </c>
      <c r="AX19" s="224" t="s">
        <v>455</v>
      </c>
      <c r="AY19" s="105" t="s">
        <v>181</v>
      </c>
      <c r="AZ19" s="105" t="s">
        <v>181</v>
      </c>
      <c r="BA19" s="104" t="s">
        <v>180</v>
      </c>
      <c r="BB19" s="104" t="s">
        <v>180</v>
      </c>
      <c r="BC19" s="28"/>
    </row>
    <row r="20" spans="1:55">
      <c r="A20" s="28"/>
      <c r="B20" s="55" t="s">
        <v>174</v>
      </c>
      <c r="C20" s="55" t="s">
        <v>174</v>
      </c>
      <c r="D20" s="55" t="s">
        <v>174</v>
      </c>
      <c r="E20" s="55" t="s">
        <v>174</v>
      </c>
      <c r="F20" s="55" t="s">
        <v>174</v>
      </c>
      <c r="G20" s="55" t="s">
        <v>174</v>
      </c>
      <c r="H20" s="28"/>
      <c r="I20" s="66">
        <v>12.941000000000001</v>
      </c>
      <c r="J20" s="38">
        <v>0.47339999999999999</v>
      </c>
      <c r="K20" s="38">
        <v>0.24129999999999999</v>
      </c>
      <c r="L20" s="37">
        <v>0.05</v>
      </c>
      <c r="M20" s="38">
        <v>0</v>
      </c>
      <c r="N20" s="38">
        <v>0.94669999999999999</v>
      </c>
      <c r="O20" s="28"/>
      <c r="P20" s="55" t="s">
        <v>174</v>
      </c>
      <c r="Q20" s="55" t="s">
        <v>174</v>
      </c>
      <c r="R20" s="55" t="s">
        <v>174</v>
      </c>
      <c r="S20" s="55" t="s">
        <v>174</v>
      </c>
      <c r="T20" s="55" t="s">
        <v>174</v>
      </c>
      <c r="U20" s="55" t="s">
        <v>174</v>
      </c>
      <c r="V20" s="28"/>
      <c r="W20" s="28"/>
      <c r="X20" s="88">
        <v>1.1154999999999999</v>
      </c>
      <c r="Y20" s="83">
        <v>0.95640000000000003</v>
      </c>
      <c r="Z20" s="83">
        <v>0.3916</v>
      </c>
      <c r="AA20" s="84">
        <v>1.4800000000000001E-2</v>
      </c>
      <c r="AB20" s="83">
        <v>0.18770000000000001</v>
      </c>
      <c r="AC20" s="83">
        <v>1.7250000000000001</v>
      </c>
      <c r="AD20" s="28"/>
      <c r="AE20" s="55" t="s">
        <v>174</v>
      </c>
      <c r="AF20" s="55" t="s">
        <v>174</v>
      </c>
      <c r="AG20" s="55" t="s">
        <v>174</v>
      </c>
      <c r="AH20" s="55" t="s">
        <v>174</v>
      </c>
      <c r="AI20" s="55" t="s">
        <v>174</v>
      </c>
      <c r="AJ20" s="55" t="s">
        <v>174</v>
      </c>
      <c r="AK20" s="28"/>
      <c r="AL20" s="55" t="s">
        <v>174</v>
      </c>
      <c r="AM20" s="55" t="s">
        <v>174</v>
      </c>
      <c r="AN20" s="55" t="s">
        <v>174</v>
      </c>
      <c r="AO20" s="55" t="s">
        <v>174</v>
      </c>
      <c r="AP20" s="55" t="s">
        <v>174</v>
      </c>
      <c r="AQ20" s="55" t="s">
        <v>174</v>
      </c>
      <c r="AR20" s="28"/>
      <c r="AS20" s="28" t="s">
        <v>153</v>
      </c>
      <c r="AT20" s="31" t="s">
        <v>181</v>
      </c>
      <c r="AU20" s="36" t="s">
        <v>180</v>
      </c>
      <c r="AV20" s="36" t="s">
        <v>186</v>
      </c>
      <c r="AW20" s="36" t="s">
        <v>180</v>
      </c>
      <c r="AX20" s="224" t="s">
        <v>153</v>
      </c>
      <c r="AY20" s="105" t="s">
        <v>181</v>
      </c>
      <c r="AZ20" s="105" t="s">
        <v>181</v>
      </c>
      <c r="BA20" s="104" t="s">
        <v>180</v>
      </c>
      <c r="BB20" s="104" t="s">
        <v>180</v>
      </c>
      <c r="BC20" s="28"/>
    </row>
    <row r="21" spans="1:55">
      <c r="A21" s="28"/>
      <c r="B21" s="55" t="s">
        <v>174</v>
      </c>
      <c r="C21" s="55" t="s">
        <v>174</v>
      </c>
      <c r="D21" s="55" t="s">
        <v>174</v>
      </c>
      <c r="E21" s="55" t="s">
        <v>174</v>
      </c>
      <c r="F21" s="55" t="s">
        <v>174</v>
      </c>
      <c r="G21" s="55" t="s">
        <v>174</v>
      </c>
      <c r="H21" s="28"/>
      <c r="I21" s="66">
        <v>15.01</v>
      </c>
      <c r="J21" s="38">
        <v>0.53949999999999998</v>
      </c>
      <c r="K21" s="38">
        <v>0.23050000000000001</v>
      </c>
      <c r="L21" s="37">
        <v>1.9400000000000001E-2</v>
      </c>
      <c r="M21" s="38">
        <v>8.72E-2</v>
      </c>
      <c r="N21" s="38">
        <v>0.99180000000000001</v>
      </c>
      <c r="O21" s="28"/>
      <c r="P21" s="55" t="s">
        <v>174</v>
      </c>
      <c r="Q21" s="55" t="s">
        <v>174</v>
      </c>
      <c r="R21" s="55" t="s">
        <v>174</v>
      </c>
      <c r="S21" s="55" t="s">
        <v>174</v>
      </c>
      <c r="T21" s="55" t="s">
        <v>174</v>
      </c>
      <c r="U21" s="55" t="s">
        <v>174</v>
      </c>
      <c r="V21" s="28"/>
      <c r="W21" s="28"/>
      <c r="X21" s="88">
        <v>1.1639999999999999</v>
      </c>
      <c r="Y21" s="83">
        <v>0.86950000000000005</v>
      </c>
      <c r="Z21" s="83">
        <v>0.35709999999999997</v>
      </c>
      <c r="AA21" s="84">
        <v>1.5100000000000001E-2</v>
      </c>
      <c r="AB21" s="83">
        <v>0.16850000000000001</v>
      </c>
      <c r="AC21" s="83">
        <v>1.5705</v>
      </c>
      <c r="AD21" s="28"/>
      <c r="AE21" s="55" t="s">
        <v>174</v>
      </c>
      <c r="AF21" s="55" t="s">
        <v>174</v>
      </c>
      <c r="AG21" s="55" t="s">
        <v>174</v>
      </c>
      <c r="AH21" s="55" t="s">
        <v>174</v>
      </c>
      <c r="AI21" s="55" t="s">
        <v>174</v>
      </c>
      <c r="AJ21" s="55" t="s">
        <v>174</v>
      </c>
      <c r="AK21" s="28"/>
      <c r="AL21" s="55" t="s">
        <v>174</v>
      </c>
      <c r="AM21" s="55" t="s">
        <v>174</v>
      </c>
      <c r="AN21" s="55" t="s">
        <v>174</v>
      </c>
      <c r="AO21" s="55" t="s">
        <v>174</v>
      </c>
      <c r="AP21" s="55" t="s">
        <v>174</v>
      </c>
      <c r="AQ21" s="55" t="s">
        <v>174</v>
      </c>
      <c r="AR21" s="28"/>
      <c r="AS21" s="28" t="s">
        <v>760</v>
      </c>
      <c r="AT21" s="31" t="s">
        <v>181</v>
      </c>
      <c r="AU21" s="36" t="s">
        <v>180</v>
      </c>
      <c r="AV21" s="36" t="s">
        <v>187</v>
      </c>
      <c r="AW21" s="36" t="s">
        <v>180</v>
      </c>
      <c r="AX21" s="102" t="s">
        <v>760</v>
      </c>
      <c r="AY21" s="105" t="s">
        <v>181</v>
      </c>
      <c r="AZ21" s="105" t="s">
        <v>181</v>
      </c>
      <c r="BA21" s="104" t="s">
        <v>180</v>
      </c>
      <c r="BB21" s="104" t="s">
        <v>180</v>
      </c>
      <c r="BC21" s="28"/>
    </row>
    <row r="22" spans="1:55">
      <c r="A22" s="28"/>
      <c r="B22" s="55" t="s">
        <v>174</v>
      </c>
      <c r="C22" s="55" t="s">
        <v>174</v>
      </c>
      <c r="D22" s="55" t="s">
        <v>174</v>
      </c>
      <c r="E22" s="55" t="s">
        <v>174</v>
      </c>
      <c r="F22" s="55" t="s">
        <v>174</v>
      </c>
      <c r="G22" s="55" t="s">
        <v>174</v>
      </c>
      <c r="H22" s="28"/>
      <c r="I22" s="66">
        <v>19.079999999999998</v>
      </c>
      <c r="J22" s="38">
        <v>0.66959999999999997</v>
      </c>
      <c r="K22" s="38">
        <v>0.21690000000000001</v>
      </c>
      <c r="L22" s="37">
        <v>2.0999999999999999E-3</v>
      </c>
      <c r="M22" s="38">
        <v>0.24399999999999999</v>
      </c>
      <c r="N22" s="38">
        <v>1.0951</v>
      </c>
      <c r="O22" s="28"/>
      <c r="P22" s="55" t="s">
        <v>174</v>
      </c>
      <c r="Q22" s="55" t="s">
        <v>174</v>
      </c>
      <c r="R22" s="55" t="s">
        <v>174</v>
      </c>
      <c r="S22" s="55" t="s">
        <v>174</v>
      </c>
      <c r="T22" s="55" t="s">
        <v>174</v>
      </c>
      <c r="U22" s="55" t="s">
        <v>174</v>
      </c>
      <c r="V22" s="28"/>
      <c r="W22" s="28"/>
      <c r="X22" s="88">
        <v>1.2124999999999999</v>
      </c>
      <c r="Y22" s="83">
        <v>0.78269999999999995</v>
      </c>
      <c r="Z22" s="83">
        <v>0.32569999999999999</v>
      </c>
      <c r="AA22" s="84">
        <v>1.6500000000000001E-2</v>
      </c>
      <c r="AB22" s="83">
        <v>0.1434</v>
      </c>
      <c r="AC22" s="83">
        <v>1.4219999999999999</v>
      </c>
      <c r="AD22" s="28"/>
      <c r="AE22" s="55" t="s">
        <v>174</v>
      </c>
      <c r="AF22" s="55" t="s">
        <v>174</v>
      </c>
      <c r="AG22" s="55" t="s">
        <v>174</v>
      </c>
      <c r="AH22" s="55" t="s">
        <v>174</v>
      </c>
      <c r="AI22" s="55" t="s">
        <v>174</v>
      </c>
      <c r="AJ22" s="55" t="s">
        <v>174</v>
      </c>
      <c r="AK22" s="28"/>
      <c r="AL22" s="55" t="s">
        <v>174</v>
      </c>
      <c r="AM22" s="55" t="s">
        <v>174</v>
      </c>
      <c r="AN22" s="55" t="s">
        <v>174</v>
      </c>
      <c r="AO22" s="55" t="s">
        <v>174</v>
      </c>
      <c r="AP22" s="55" t="s">
        <v>174</v>
      </c>
      <c r="AQ22" s="55" t="s">
        <v>174</v>
      </c>
      <c r="AR22" s="28"/>
      <c r="AS22" s="70" t="s">
        <v>177</v>
      </c>
      <c r="AT22" s="72"/>
      <c r="AU22" s="72"/>
      <c r="AV22" s="72"/>
      <c r="AW22" s="72"/>
      <c r="AX22" s="70" t="s">
        <v>177</v>
      </c>
      <c r="AY22" s="72"/>
      <c r="AZ22" s="72"/>
      <c r="BA22" s="72"/>
      <c r="BB22" s="72"/>
      <c r="BC22" s="28"/>
    </row>
    <row r="23" spans="1:55">
      <c r="A23" s="28"/>
      <c r="B23" s="55" t="s">
        <v>174</v>
      </c>
      <c r="C23" s="55" t="s">
        <v>174</v>
      </c>
      <c r="D23" s="55" t="s">
        <v>174</v>
      </c>
      <c r="E23" s="55" t="s">
        <v>174</v>
      </c>
      <c r="F23" s="55" t="s">
        <v>174</v>
      </c>
      <c r="G23" s="55" t="s">
        <v>174</v>
      </c>
      <c r="H23" s="28"/>
      <c r="I23" s="66">
        <v>23.15</v>
      </c>
      <c r="J23" s="38">
        <v>0.79959999999999998</v>
      </c>
      <c r="K23" s="38">
        <v>0.21479999999999999</v>
      </c>
      <c r="L23" s="37">
        <v>2.0000000000000001E-4</v>
      </c>
      <c r="M23" s="38">
        <v>0.37819999999999998</v>
      </c>
      <c r="N23" s="38">
        <v>1.2210000000000001</v>
      </c>
      <c r="O23" s="28"/>
      <c r="P23" s="55" t="s">
        <v>174</v>
      </c>
      <c r="Q23" s="55" t="s">
        <v>174</v>
      </c>
      <c r="R23" s="55" t="s">
        <v>174</v>
      </c>
      <c r="S23" s="55" t="s">
        <v>174</v>
      </c>
      <c r="T23" s="55" t="s">
        <v>174</v>
      </c>
      <c r="U23" s="55" t="s">
        <v>174</v>
      </c>
      <c r="V23" s="28"/>
      <c r="W23" s="28"/>
      <c r="X23" s="88">
        <v>1.2609999999999999</v>
      </c>
      <c r="Y23" s="83">
        <v>0.69589999999999996</v>
      </c>
      <c r="Z23" s="83">
        <v>0.29809999999999998</v>
      </c>
      <c r="AA23" s="84">
        <v>1.9800000000000002E-2</v>
      </c>
      <c r="AB23" s="83">
        <v>0.1106</v>
      </c>
      <c r="AC23" s="83">
        <v>1.2810999999999999</v>
      </c>
      <c r="AD23" s="28"/>
      <c r="AE23" s="55" t="s">
        <v>174</v>
      </c>
      <c r="AF23" s="55" t="s">
        <v>174</v>
      </c>
      <c r="AG23" s="55" t="s">
        <v>174</v>
      </c>
      <c r="AH23" s="55" t="s">
        <v>174</v>
      </c>
      <c r="AI23" s="55" t="s">
        <v>174</v>
      </c>
      <c r="AJ23" s="55" t="s">
        <v>174</v>
      </c>
      <c r="AK23" s="28"/>
      <c r="AL23" s="55" t="s">
        <v>174</v>
      </c>
      <c r="AM23" s="55" t="s">
        <v>174</v>
      </c>
      <c r="AN23" s="55" t="s">
        <v>174</v>
      </c>
      <c r="AO23" s="55" t="s">
        <v>174</v>
      </c>
      <c r="AP23" s="55" t="s">
        <v>174</v>
      </c>
      <c r="AQ23" s="55" t="s">
        <v>174</v>
      </c>
      <c r="AR23" s="28"/>
      <c r="AS23" s="28" t="s">
        <v>452</v>
      </c>
      <c r="AT23" s="31" t="s">
        <v>181</v>
      </c>
      <c r="AU23" s="36" t="s">
        <v>180</v>
      </c>
      <c r="AV23" s="31" t="s">
        <v>181</v>
      </c>
      <c r="AW23" s="36" t="s">
        <v>180</v>
      </c>
      <c r="AX23" s="224" t="s">
        <v>452</v>
      </c>
      <c r="AY23" s="105" t="s">
        <v>181</v>
      </c>
      <c r="AZ23" s="105" t="s">
        <v>181</v>
      </c>
      <c r="BA23" s="104" t="s">
        <v>180</v>
      </c>
      <c r="BB23" s="104" t="s">
        <v>180</v>
      </c>
      <c r="BC23" s="28"/>
    </row>
    <row r="24" spans="1:55">
      <c r="A24" s="28"/>
      <c r="B24" s="55" t="s">
        <v>174</v>
      </c>
      <c r="C24" s="55" t="s">
        <v>174</v>
      </c>
      <c r="D24" s="55" t="s">
        <v>174</v>
      </c>
      <c r="E24" s="55" t="s">
        <v>174</v>
      </c>
      <c r="F24" s="55" t="s">
        <v>174</v>
      </c>
      <c r="G24" s="55" t="s">
        <v>174</v>
      </c>
      <c r="H24" s="28"/>
      <c r="I24" s="66">
        <v>27.22</v>
      </c>
      <c r="J24" s="38">
        <v>0.92969999999999997</v>
      </c>
      <c r="K24" s="38">
        <v>0.22450000000000001</v>
      </c>
      <c r="L24" s="37">
        <v>0</v>
      </c>
      <c r="M24" s="38">
        <v>0.48930000000000001</v>
      </c>
      <c r="N24" s="38">
        <v>1.3701000000000001</v>
      </c>
      <c r="O24" s="28"/>
      <c r="P24" s="55" t="s">
        <v>174</v>
      </c>
      <c r="Q24" s="55" t="s">
        <v>174</v>
      </c>
      <c r="R24" s="55" t="s">
        <v>174</v>
      </c>
      <c r="S24" s="55" t="s">
        <v>174</v>
      </c>
      <c r="T24" s="55" t="s">
        <v>174</v>
      </c>
      <c r="U24" s="55" t="s">
        <v>174</v>
      </c>
      <c r="V24" s="28"/>
      <c r="W24" s="28"/>
      <c r="X24" s="88">
        <v>1.3095000000000001</v>
      </c>
      <c r="Y24" s="83">
        <v>0.60899999999999999</v>
      </c>
      <c r="Z24" s="83">
        <v>0.2757</v>
      </c>
      <c r="AA24" s="84">
        <v>2.75E-2</v>
      </c>
      <c r="AB24" s="83">
        <v>6.7799999999999999E-2</v>
      </c>
      <c r="AC24" s="83">
        <v>1.1503000000000001</v>
      </c>
      <c r="AD24" s="28"/>
      <c r="AE24" s="55" t="s">
        <v>174</v>
      </c>
      <c r="AF24" s="55" t="s">
        <v>174</v>
      </c>
      <c r="AG24" s="55" t="s">
        <v>174</v>
      </c>
      <c r="AH24" s="55" t="s">
        <v>174</v>
      </c>
      <c r="AI24" s="55" t="s">
        <v>174</v>
      </c>
      <c r="AJ24" s="55" t="s">
        <v>174</v>
      </c>
      <c r="AK24" s="28"/>
      <c r="AL24" s="55" t="s">
        <v>174</v>
      </c>
      <c r="AM24" s="55" t="s">
        <v>174</v>
      </c>
      <c r="AN24" s="55" t="s">
        <v>174</v>
      </c>
      <c r="AO24" s="55" t="s">
        <v>174</v>
      </c>
      <c r="AP24" s="55" t="s">
        <v>174</v>
      </c>
      <c r="AQ24" s="55" t="s">
        <v>174</v>
      </c>
      <c r="AR24" s="28"/>
      <c r="AS24" s="28" t="s">
        <v>453</v>
      </c>
      <c r="AT24" s="31" t="s">
        <v>181</v>
      </c>
      <c r="AU24" s="36" t="s">
        <v>180</v>
      </c>
      <c r="AV24" s="36" t="s">
        <v>188</v>
      </c>
      <c r="AW24" s="36" t="s">
        <v>180</v>
      </c>
      <c r="AX24" s="224" t="s">
        <v>453</v>
      </c>
      <c r="AY24" s="105" t="s">
        <v>202</v>
      </c>
      <c r="AZ24" s="105" t="s">
        <v>181</v>
      </c>
      <c r="BA24" s="104" t="s">
        <v>180</v>
      </c>
      <c r="BB24" s="104" t="s">
        <v>180</v>
      </c>
      <c r="BC24" s="28"/>
    </row>
    <row r="25" spans="1:55">
      <c r="A25" s="28"/>
      <c r="B25" s="55" t="s">
        <v>174</v>
      </c>
      <c r="C25" s="55" t="s">
        <v>174</v>
      </c>
      <c r="D25" s="55" t="s">
        <v>174</v>
      </c>
      <c r="E25" s="55" t="s">
        <v>174</v>
      </c>
      <c r="F25" s="55" t="s">
        <v>174</v>
      </c>
      <c r="G25" s="55" t="s">
        <v>174</v>
      </c>
      <c r="H25" s="28"/>
      <c r="I25" s="66">
        <v>31.29</v>
      </c>
      <c r="J25" s="38">
        <v>1.0597000000000001</v>
      </c>
      <c r="K25" s="38">
        <v>0.24460000000000001</v>
      </c>
      <c r="L25" s="37">
        <v>0</v>
      </c>
      <c r="M25" s="38">
        <v>0.57989999999999997</v>
      </c>
      <c r="N25" s="38">
        <v>1.5395000000000001</v>
      </c>
      <c r="O25" s="28"/>
      <c r="P25" s="55" t="s">
        <v>174</v>
      </c>
      <c r="Q25" s="55" t="s">
        <v>174</v>
      </c>
      <c r="R25" s="55" t="s">
        <v>174</v>
      </c>
      <c r="S25" s="55" t="s">
        <v>174</v>
      </c>
      <c r="T25" s="55" t="s">
        <v>174</v>
      </c>
      <c r="U25" s="55" t="s">
        <v>174</v>
      </c>
      <c r="V25" s="28"/>
      <c r="W25" s="28"/>
      <c r="X25" s="88">
        <v>1.3580000000000001</v>
      </c>
      <c r="Y25" s="83">
        <v>0.5222</v>
      </c>
      <c r="Z25" s="83">
        <v>0.25969999999999999</v>
      </c>
      <c r="AA25" s="84">
        <v>4.4699999999999997E-2</v>
      </c>
      <c r="AB25" s="83">
        <v>1.23E-2</v>
      </c>
      <c r="AC25" s="83">
        <v>1.0321</v>
      </c>
      <c r="AD25" s="28"/>
      <c r="AE25" s="55" t="s">
        <v>174</v>
      </c>
      <c r="AF25" s="55" t="s">
        <v>174</v>
      </c>
      <c r="AG25" s="55" t="s">
        <v>174</v>
      </c>
      <c r="AH25" s="55" t="s">
        <v>174</v>
      </c>
      <c r="AI25" s="55" t="s">
        <v>174</v>
      </c>
      <c r="AJ25" s="55" t="s">
        <v>174</v>
      </c>
      <c r="AK25" s="28"/>
      <c r="AL25" s="55" t="s">
        <v>174</v>
      </c>
      <c r="AM25" s="55" t="s">
        <v>174</v>
      </c>
      <c r="AN25" s="55" t="s">
        <v>174</v>
      </c>
      <c r="AO25" s="55" t="s">
        <v>174</v>
      </c>
      <c r="AP25" s="55" t="s">
        <v>174</v>
      </c>
      <c r="AQ25" s="55" t="s">
        <v>174</v>
      </c>
      <c r="AR25" s="28"/>
      <c r="AS25" s="28" t="s">
        <v>149</v>
      </c>
      <c r="AT25" s="31" t="s">
        <v>181</v>
      </c>
      <c r="AU25" s="36" t="s">
        <v>180</v>
      </c>
      <c r="AV25" s="36" t="s">
        <v>189</v>
      </c>
      <c r="AW25" s="36" t="s">
        <v>180</v>
      </c>
      <c r="AX25" s="224" t="s">
        <v>149</v>
      </c>
      <c r="AY25" s="104" t="s">
        <v>180</v>
      </c>
      <c r="AZ25" s="104" t="s">
        <v>203</v>
      </c>
      <c r="BA25" s="104" t="s">
        <v>180</v>
      </c>
      <c r="BB25" s="104" t="s">
        <v>180</v>
      </c>
      <c r="BC25" s="28"/>
    </row>
    <row r="26" spans="1:55">
      <c r="A26" s="28"/>
      <c r="B26" s="55" t="s">
        <v>174</v>
      </c>
      <c r="C26" s="55" t="s">
        <v>174</v>
      </c>
      <c r="D26" s="55" t="s">
        <v>174</v>
      </c>
      <c r="E26" s="55" t="s">
        <v>174</v>
      </c>
      <c r="F26" s="55" t="s">
        <v>174</v>
      </c>
      <c r="G26" s="55" t="s">
        <v>174</v>
      </c>
      <c r="H26" s="28"/>
      <c r="I26" s="66">
        <v>35.36</v>
      </c>
      <c r="J26" s="38">
        <v>1.1898</v>
      </c>
      <c r="K26" s="38">
        <v>0.27279999999999999</v>
      </c>
      <c r="L26" s="37">
        <v>0</v>
      </c>
      <c r="M26" s="38">
        <v>0.65469999999999995</v>
      </c>
      <c r="N26" s="38">
        <v>1.7249000000000001</v>
      </c>
      <c r="O26" s="28"/>
      <c r="P26" s="55" t="s">
        <v>174</v>
      </c>
      <c r="Q26" s="55" t="s">
        <v>174</v>
      </c>
      <c r="R26" s="55" t="s">
        <v>174</v>
      </c>
      <c r="S26" s="55" t="s">
        <v>174</v>
      </c>
      <c r="T26" s="55" t="s">
        <v>174</v>
      </c>
      <c r="U26" s="55" t="s">
        <v>174</v>
      </c>
      <c r="V26" s="28"/>
      <c r="W26" s="28"/>
      <c r="X26" s="88">
        <v>1.3673</v>
      </c>
      <c r="Y26" s="83">
        <v>0.50549999999999995</v>
      </c>
      <c r="Z26" s="83">
        <v>0.25750000000000001</v>
      </c>
      <c r="AA26" s="84">
        <v>0.05</v>
      </c>
      <c r="AB26" s="83">
        <v>0</v>
      </c>
      <c r="AC26" s="83">
        <v>1.0109999999999999</v>
      </c>
      <c r="AD26" s="28"/>
      <c r="AE26" s="55" t="s">
        <v>174</v>
      </c>
      <c r="AF26" s="55" t="s">
        <v>174</v>
      </c>
      <c r="AG26" s="55" t="s">
        <v>174</v>
      </c>
      <c r="AH26" s="55" t="s">
        <v>174</v>
      </c>
      <c r="AI26" s="55" t="s">
        <v>174</v>
      </c>
      <c r="AJ26" s="55" t="s">
        <v>174</v>
      </c>
      <c r="AK26" s="28"/>
      <c r="AL26" s="55" t="s">
        <v>174</v>
      </c>
      <c r="AM26" s="55" t="s">
        <v>174</v>
      </c>
      <c r="AN26" s="55" t="s">
        <v>174</v>
      </c>
      <c r="AO26" s="55" t="s">
        <v>174</v>
      </c>
      <c r="AP26" s="55" t="s">
        <v>174</v>
      </c>
      <c r="AQ26" s="55" t="s">
        <v>174</v>
      </c>
      <c r="AR26" s="28"/>
      <c r="AS26" s="28" t="s">
        <v>454</v>
      </c>
      <c r="AT26" s="31" t="s">
        <v>181</v>
      </c>
      <c r="AU26" s="36" t="s">
        <v>180</v>
      </c>
      <c r="AV26" s="31" t="s">
        <v>181</v>
      </c>
      <c r="AW26" s="36" t="s">
        <v>180</v>
      </c>
      <c r="AX26" s="224" t="s">
        <v>454</v>
      </c>
      <c r="AY26" s="105" t="s">
        <v>181</v>
      </c>
      <c r="AZ26" s="105" t="s">
        <v>181</v>
      </c>
      <c r="BA26" s="104" t="s">
        <v>180</v>
      </c>
      <c r="BB26" s="104" t="s">
        <v>180</v>
      </c>
      <c r="BC26" s="28"/>
    </row>
    <row r="27" spans="1:55">
      <c r="A27" s="28"/>
      <c r="B27" s="55" t="s">
        <v>174</v>
      </c>
      <c r="C27" s="55" t="s">
        <v>174</v>
      </c>
      <c r="D27" s="55" t="s">
        <v>174</v>
      </c>
      <c r="E27" s="55" t="s">
        <v>174</v>
      </c>
      <c r="F27" s="55" t="s">
        <v>174</v>
      </c>
      <c r="G27" s="55" t="s">
        <v>174</v>
      </c>
      <c r="H27" s="28"/>
      <c r="I27" s="66">
        <v>39.43</v>
      </c>
      <c r="J27" s="38">
        <v>1.3199000000000001</v>
      </c>
      <c r="K27" s="38">
        <v>0.30680000000000002</v>
      </c>
      <c r="L27" s="37">
        <v>0</v>
      </c>
      <c r="M27" s="38">
        <v>0.71789999999999998</v>
      </c>
      <c r="N27" s="38">
        <v>1.9218999999999999</v>
      </c>
      <c r="O27" s="28"/>
      <c r="P27" s="55" t="s">
        <v>174</v>
      </c>
      <c r="Q27" s="55" t="s">
        <v>174</v>
      </c>
      <c r="R27" s="55" t="s">
        <v>174</v>
      </c>
      <c r="S27" s="55" t="s">
        <v>174</v>
      </c>
      <c r="T27" s="55" t="s">
        <v>174</v>
      </c>
      <c r="U27" s="55" t="s">
        <v>174</v>
      </c>
      <c r="V27" s="28"/>
      <c r="W27" s="28"/>
      <c r="X27" s="82">
        <v>1.4065000000000001</v>
      </c>
      <c r="Y27" s="83">
        <v>0.43540000000000001</v>
      </c>
      <c r="Z27" s="83">
        <v>0.25140000000000001</v>
      </c>
      <c r="AA27" s="83">
        <v>8.3699999999999997E-2</v>
      </c>
      <c r="AB27" s="83">
        <v>-5.8200000000000002E-2</v>
      </c>
      <c r="AC27" s="83">
        <v>0.92889999999999995</v>
      </c>
      <c r="AD27" s="28"/>
      <c r="AE27" s="55" t="s">
        <v>174</v>
      </c>
      <c r="AF27" s="55" t="s">
        <v>174</v>
      </c>
      <c r="AG27" s="55" t="s">
        <v>174</v>
      </c>
      <c r="AH27" s="55" t="s">
        <v>174</v>
      </c>
      <c r="AI27" s="55" t="s">
        <v>174</v>
      </c>
      <c r="AJ27" s="55" t="s">
        <v>174</v>
      </c>
      <c r="AK27" s="28"/>
      <c r="AL27" s="55" t="s">
        <v>174</v>
      </c>
      <c r="AM27" s="55" t="s">
        <v>174</v>
      </c>
      <c r="AN27" s="55" t="s">
        <v>174</v>
      </c>
      <c r="AO27" s="55" t="s">
        <v>174</v>
      </c>
      <c r="AP27" s="55" t="s">
        <v>174</v>
      </c>
      <c r="AQ27" s="55" t="s">
        <v>174</v>
      </c>
      <c r="AR27" s="28"/>
      <c r="AS27" s="28" t="s">
        <v>455</v>
      </c>
      <c r="AT27" s="31" t="s">
        <v>181</v>
      </c>
      <c r="AU27" s="36" t="s">
        <v>180</v>
      </c>
      <c r="AV27" s="31" t="s">
        <v>181</v>
      </c>
      <c r="AW27" s="36" t="s">
        <v>180</v>
      </c>
      <c r="AX27" s="224" t="s">
        <v>455</v>
      </c>
      <c r="AY27" s="105" t="s">
        <v>181</v>
      </c>
      <c r="AZ27" s="105" t="s">
        <v>181</v>
      </c>
      <c r="BA27" s="104" t="s">
        <v>180</v>
      </c>
      <c r="BB27" s="104" t="s">
        <v>180</v>
      </c>
      <c r="BC27" s="28"/>
    </row>
    <row r="28" spans="1:55">
      <c r="A28" s="28"/>
      <c r="B28" s="55" t="s">
        <v>174</v>
      </c>
      <c r="C28" s="55" t="s">
        <v>174</v>
      </c>
      <c r="D28" s="55" t="s">
        <v>174</v>
      </c>
      <c r="E28" s="55" t="s">
        <v>174</v>
      </c>
      <c r="F28" s="55" t="s">
        <v>174</v>
      </c>
      <c r="G28" s="55" t="s">
        <v>174</v>
      </c>
      <c r="H28" s="28"/>
      <c r="I28" s="66">
        <v>43.5</v>
      </c>
      <c r="J28" s="38">
        <v>1.4499</v>
      </c>
      <c r="K28" s="38">
        <v>0.34510000000000002</v>
      </c>
      <c r="L28" s="37">
        <v>0</v>
      </c>
      <c r="M28" s="38">
        <v>0.77290000000000003</v>
      </c>
      <c r="N28" s="38">
        <v>2.1269</v>
      </c>
      <c r="O28" s="28"/>
      <c r="P28" s="55" t="s">
        <v>174</v>
      </c>
      <c r="Q28" s="55" t="s">
        <v>174</v>
      </c>
      <c r="R28" s="55" t="s">
        <v>174</v>
      </c>
      <c r="S28" s="55" t="s">
        <v>174</v>
      </c>
      <c r="T28" s="55" t="s">
        <v>174</v>
      </c>
      <c r="U28" s="55" t="s">
        <v>174</v>
      </c>
      <c r="V28" s="28"/>
      <c r="W28" s="28"/>
      <c r="X28" s="82">
        <v>1.4550000000000001</v>
      </c>
      <c r="Y28" s="83">
        <v>0.34849999999999998</v>
      </c>
      <c r="Z28" s="83">
        <v>0.2515</v>
      </c>
      <c r="AA28" s="83">
        <v>0.1663</v>
      </c>
      <c r="AB28" s="83">
        <v>-0.1452</v>
      </c>
      <c r="AC28" s="83">
        <v>0.84230000000000005</v>
      </c>
      <c r="AD28" s="28"/>
      <c r="AE28" s="55" t="s">
        <v>174</v>
      </c>
      <c r="AF28" s="55" t="s">
        <v>174</v>
      </c>
      <c r="AG28" s="55" t="s">
        <v>174</v>
      </c>
      <c r="AH28" s="55" t="s">
        <v>174</v>
      </c>
      <c r="AI28" s="55" t="s">
        <v>174</v>
      </c>
      <c r="AJ28" s="55" t="s">
        <v>174</v>
      </c>
      <c r="AK28" s="28"/>
      <c r="AL28" s="55" t="s">
        <v>174</v>
      </c>
      <c r="AM28" s="55" t="s">
        <v>174</v>
      </c>
      <c r="AN28" s="55" t="s">
        <v>174</v>
      </c>
      <c r="AO28" s="55" t="s">
        <v>174</v>
      </c>
      <c r="AP28" s="55" t="s">
        <v>174</v>
      </c>
      <c r="AQ28" s="55" t="s">
        <v>174</v>
      </c>
      <c r="AR28" s="28"/>
      <c r="AS28" s="28" t="s">
        <v>153</v>
      </c>
      <c r="AT28" s="31" t="s">
        <v>181</v>
      </c>
      <c r="AU28" s="36" t="s">
        <v>180</v>
      </c>
      <c r="AV28" s="36" t="s">
        <v>190</v>
      </c>
      <c r="AW28" s="36" t="s">
        <v>180</v>
      </c>
      <c r="AX28" s="224" t="s">
        <v>153</v>
      </c>
      <c r="AY28" s="105" t="s">
        <v>181</v>
      </c>
      <c r="AZ28" s="105" t="s">
        <v>181</v>
      </c>
      <c r="BA28" s="104" t="s">
        <v>180</v>
      </c>
      <c r="BB28" s="104" t="s">
        <v>180</v>
      </c>
      <c r="BC28" s="28"/>
    </row>
    <row r="29" spans="1:55">
      <c r="A29" s="28"/>
      <c r="B29" s="55" t="s">
        <v>174</v>
      </c>
      <c r="C29" s="55" t="s">
        <v>174</v>
      </c>
      <c r="D29" s="55" t="s">
        <v>174</v>
      </c>
      <c r="E29" s="55" t="s">
        <v>174</v>
      </c>
      <c r="F29" s="55" t="s">
        <v>174</v>
      </c>
      <c r="G29" s="55" t="s">
        <v>174</v>
      </c>
      <c r="H29" s="28"/>
      <c r="I29" s="66">
        <v>47.57</v>
      </c>
      <c r="J29" s="38">
        <v>1.58</v>
      </c>
      <c r="K29" s="38">
        <v>0.38619999999999999</v>
      </c>
      <c r="L29" s="37">
        <v>0</v>
      </c>
      <c r="M29" s="38">
        <v>0.82220000000000004</v>
      </c>
      <c r="N29" s="38">
        <v>2.3376999999999999</v>
      </c>
      <c r="O29" s="28"/>
      <c r="P29" s="55" t="s">
        <v>174</v>
      </c>
      <c r="Q29" s="55" t="s">
        <v>174</v>
      </c>
      <c r="R29" s="55" t="s">
        <v>174</v>
      </c>
      <c r="S29" s="55" t="s">
        <v>174</v>
      </c>
      <c r="T29" s="55" t="s">
        <v>174</v>
      </c>
      <c r="U29" s="55" t="s">
        <v>174</v>
      </c>
      <c r="V29" s="28"/>
      <c r="W29" s="28"/>
      <c r="X29" s="82">
        <v>1.5035000000000001</v>
      </c>
      <c r="Y29" s="83">
        <v>0.26169999999999999</v>
      </c>
      <c r="Z29" s="83">
        <v>0.2601</v>
      </c>
      <c r="AA29" s="83">
        <v>0.31459999999999999</v>
      </c>
      <c r="AB29" s="83">
        <v>-0.24879999999999999</v>
      </c>
      <c r="AC29" s="83">
        <v>0.7722</v>
      </c>
      <c r="AD29" s="28"/>
      <c r="AE29" s="55" t="s">
        <v>174</v>
      </c>
      <c r="AF29" s="55" t="s">
        <v>174</v>
      </c>
      <c r="AG29" s="55" t="s">
        <v>174</v>
      </c>
      <c r="AH29" s="55" t="s">
        <v>174</v>
      </c>
      <c r="AI29" s="55" t="s">
        <v>174</v>
      </c>
      <c r="AJ29" s="55" t="s">
        <v>174</v>
      </c>
      <c r="AK29" s="28"/>
      <c r="AL29" s="55" t="s">
        <v>174</v>
      </c>
      <c r="AM29" s="55" t="s">
        <v>174</v>
      </c>
      <c r="AN29" s="55" t="s">
        <v>174</v>
      </c>
      <c r="AO29" s="55" t="s">
        <v>174</v>
      </c>
      <c r="AP29" s="55" t="s">
        <v>174</v>
      </c>
      <c r="AQ29" s="55" t="s">
        <v>174</v>
      </c>
      <c r="AR29" s="28"/>
      <c r="AS29" s="43" t="s">
        <v>759</v>
      </c>
      <c r="AT29" s="222" t="s">
        <v>181</v>
      </c>
      <c r="AU29" s="73" t="s">
        <v>180</v>
      </c>
      <c r="AV29" s="73" t="s">
        <v>191</v>
      </c>
      <c r="AW29" s="73" t="s">
        <v>180</v>
      </c>
      <c r="AX29" s="102" t="s">
        <v>760</v>
      </c>
      <c r="AY29" s="107" t="s">
        <v>181</v>
      </c>
      <c r="AZ29" s="107" t="s">
        <v>181</v>
      </c>
      <c r="BA29" s="108" t="s">
        <v>180</v>
      </c>
      <c r="BB29" s="108" t="s">
        <v>180</v>
      </c>
      <c r="BC29" s="28"/>
    </row>
    <row r="30" spans="1:55" ht="15" customHeight="1">
      <c r="A30" s="28"/>
      <c r="B30" s="55" t="s">
        <v>174</v>
      </c>
      <c r="C30" s="55" t="s">
        <v>174</v>
      </c>
      <c r="D30" s="55" t="s">
        <v>174</v>
      </c>
      <c r="E30" s="55" t="s">
        <v>174</v>
      </c>
      <c r="F30" s="55" t="s">
        <v>174</v>
      </c>
      <c r="G30" s="55" t="s">
        <v>174</v>
      </c>
      <c r="H30" s="28"/>
      <c r="I30" s="66">
        <v>51.64</v>
      </c>
      <c r="J30" s="38">
        <v>1.71</v>
      </c>
      <c r="K30" s="38">
        <v>0.42949999999999999</v>
      </c>
      <c r="L30" s="37">
        <v>1E-4</v>
      </c>
      <c r="M30" s="38">
        <v>0.86750000000000005</v>
      </c>
      <c r="N30" s="38">
        <v>2.5526</v>
      </c>
      <c r="O30" s="28"/>
      <c r="P30" s="55" t="s">
        <v>174</v>
      </c>
      <c r="Q30" s="55" t="s">
        <v>174</v>
      </c>
      <c r="R30" s="55" t="s">
        <v>174</v>
      </c>
      <c r="S30" s="55" t="s">
        <v>174</v>
      </c>
      <c r="T30" s="55" t="s">
        <v>174</v>
      </c>
      <c r="U30" s="55" t="s">
        <v>174</v>
      </c>
      <c r="V30" s="28"/>
      <c r="W30" s="28"/>
      <c r="X30" s="82">
        <v>1.552</v>
      </c>
      <c r="Y30" s="83">
        <v>0.1749</v>
      </c>
      <c r="Z30" s="83">
        <v>0.2762</v>
      </c>
      <c r="AA30" s="83">
        <v>0.52690000000000003</v>
      </c>
      <c r="AB30" s="83">
        <v>-0.3674</v>
      </c>
      <c r="AC30" s="83">
        <v>0.71719999999999995</v>
      </c>
      <c r="AD30" s="28"/>
      <c r="AE30" s="55" t="s">
        <v>174</v>
      </c>
      <c r="AF30" s="55" t="s">
        <v>174</v>
      </c>
      <c r="AG30" s="55" t="s">
        <v>174</v>
      </c>
      <c r="AH30" s="55" t="s">
        <v>174</v>
      </c>
      <c r="AI30" s="55" t="s">
        <v>174</v>
      </c>
      <c r="AJ30" s="55" t="s">
        <v>174</v>
      </c>
      <c r="AK30" s="28"/>
      <c r="AL30" s="55" t="s">
        <v>174</v>
      </c>
      <c r="AM30" s="55" t="s">
        <v>174</v>
      </c>
      <c r="AN30" s="55" t="s">
        <v>174</v>
      </c>
      <c r="AO30" s="55" t="s">
        <v>174</v>
      </c>
      <c r="AP30" s="55" t="s">
        <v>174</v>
      </c>
      <c r="AQ30" s="55" t="s">
        <v>174</v>
      </c>
      <c r="AR30" s="28"/>
      <c r="AS30" s="307" t="s">
        <v>761</v>
      </c>
      <c r="AT30" s="307"/>
      <c r="AU30" s="307"/>
      <c r="AV30" s="307"/>
      <c r="AW30" s="307"/>
      <c r="AX30" s="307"/>
      <c r="AY30" s="307"/>
      <c r="AZ30" s="307"/>
      <c r="BA30" s="307"/>
      <c r="BB30" s="307"/>
      <c r="BC30" s="28"/>
    </row>
    <row r="31" spans="1:55">
      <c r="A31" s="28"/>
      <c r="B31" s="55" t="s">
        <v>174</v>
      </c>
      <c r="C31" s="55" t="s">
        <v>174</v>
      </c>
      <c r="D31" s="55" t="s">
        <v>174</v>
      </c>
      <c r="E31" s="55" t="s">
        <v>174</v>
      </c>
      <c r="F31" s="55" t="s">
        <v>174</v>
      </c>
      <c r="G31" s="55" t="s">
        <v>174</v>
      </c>
      <c r="H31" s="28"/>
      <c r="I31" s="66">
        <v>55.71</v>
      </c>
      <c r="J31" s="38">
        <v>1.8401000000000001</v>
      </c>
      <c r="K31" s="38">
        <v>0.47420000000000001</v>
      </c>
      <c r="L31" s="37">
        <v>1E-4</v>
      </c>
      <c r="M31" s="38">
        <v>0.90969999999999995</v>
      </c>
      <c r="N31" s="38">
        <v>2.7705000000000002</v>
      </c>
      <c r="O31" s="28"/>
      <c r="P31" s="55" t="s">
        <v>174</v>
      </c>
      <c r="Q31" s="55" t="s">
        <v>174</v>
      </c>
      <c r="R31" s="55" t="s">
        <v>174</v>
      </c>
      <c r="S31" s="55" t="s">
        <v>174</v>
      </c>
      <c r="T31" s="55" t="s">
        <v>174</v>
      </c>
      <c r="U31" s="55" t="s">
        <v>174</v>
      </c>
      <c r="V31" s="28"/>
      <c r="W31" s="28"/>
      <c r="X31" s="82">
        <v>1.6005</v>
      </c>
      <c r="Y31" s="83">
        <v>8.8099999999999998E-2</v>
      </c>
      <c r="Z31" s="83">
        <v>0.29880000000000001</v>
      </c>
      <c r="AA31" s="83">
        <v>0.76829999999999998</v>
      </c>
      <c r="AB31" s="83">
        <v>-0.4985</v>
      </c>
      <c r="AC31" s="83">
        <v>0.67469999999999997</v>
      </c>
      <c r="AD31" s="28"/>
      <c r="AE31" s="55" t="s">
        <v>174</v>
      </c>
      <c r="AF31" s="55" t="s">
        <v>174</v>
      </c>
      <c r="AG31" s="55" t="s">
        <v>174</v>
      </c>
      <c r="AH31" s="55" t="s">
        <v>174</v>
      </c>
      <c r="AI31" s="55" t="s">
        <v>174</v>
      </c>
      <c r="AJ31" s="55" t="s">
        <v>174</v>
      </c>
      <c r="AK31" s="28"/>
      <c r="AL31" s="55" t="s">
        <v>174</v>
      </c>
      <c r="AM31" s="55" t="s">
        <v>174</v>
      </c>
      <c r="AN31" s="55" t="s">
        <v>174</v>
      </c>
      <c r="AO31" s="55" t="s">
        <v>174</v>
      </c>
      <c r="AP31" s="55" t="s">
        <v>174</v>
      </c>
      <c r="AQ31" s="55" t="s">
        <v>174</v>
      </c>
      <c r="AR31" s="28"/>
      <c r="AS31" s="308"/>
      <c r="AT31" s="308"/>
      <c r="AU31" s="308"/>
      <c r="AV31" s="308"/>
      <c r="AW31" s="308"/>
      <c r="AX31" s="308"/>
      <c r="AY31" s="308"/>
      <c r="AZ31" s="308"/>
      <c r="BA31" s="308"/>
      <c r="BB31" s="308"/>
      <c r="BC31" s="28"/>
    </row>
    <row r="32" spans="1:55">
      <c r="A32" s="28"/>
      <c r="B32" s="55" t="s">
        <v>174</v>
      </c>
      <c r="C32" s="55" t="s">
        <v>174</v>
      </c>
      <c r="D32" s="55" t="s">
        <v>174</v>
      </c>
      <c r="E32" s="55" t="s">
        <v>174</v>
      </c>
      <c r="F32" s="55" t="s">
        <v>174</v>
      </c>
      <c r="G32" s="55" t="s">
        <v>174</v>
      </c>
      <c r="H32" s="28"/>
      <c r="I32" s="66">
        <v>59.78</v>
      </c>
      <c r="J32" s="38">
        <v>1.9702</v>
      </c>
      <c r="K32" s="38">
        <v>0.52010000000000001</v>
      </c>
      <c r="L32" s="37">
        <v>2.0000000000000001E-4</v>
      </c>
      <c r="M32" s="38">
        <v>0.94979999999999998</v>
      </c>
      <c r="N32" s="38">
        <v>2.9904999999999999</v>
      </c>
      <c r="O32" s="28"/>
      <c r="P32" s="55" t="s">
        <v>174</v>
      </c>
      <c r="Q32" s="55" t="s">
        <v>174</v>
      </c>
      <c r="R32" s="55" t="s">
        <v>174</v>
      </c>
      <c r="S32" s="55" t="s">
        <v>174</v>
      </c>
      <c r="T32" s="55" t="s">
        <v>174</v>
      </c>
      <c r="U32" s="55" t="s">
        <v>174</v>
      </c>
      <c r="V32" s="28"/>
      <c r="W32" s="28"/>
      <c r="X32" s="82">
        <v>1.649</v>
      </c>
      <c r="Y32" s="83">
        <v>1.1999999999999999E-3</v>
      </c>
      <c r="Z32" s="83">
        <v>0.32650000000000001</v>
      </c>
      <c r="AA32" s="83">
        <v>0.997</v>
      </c>
      <c r="AB32" s="83">
        <v>-0.63959999999999995</v>
      </c>
      <c r="AC32" s="83">
        <v>0.6421</v>
      </c>
      <c r="AD32" s="28"/>
      <c r="AE32" s="55" t="s">
        <v>174</v>
      </c>
      <c r="AF32" s="55" t="s">
        <v>174</v>
      </c>
      <c r="AG32" s="55" t="s">
        <v>174</v>
      </c>
      <c r="AH32" s="55" t="s">
        <v>174</v>
      </c>
      <c r="AI32" s="55" t="s">
        <v>174</v>
      </c>
      <c r="AJ32" s="55" t="s">
        <v>174</v>
      </c>
      <c r="AK32" s="28"/>
      <c r="AL32" s="55" t="s">
        <v>174</v>
      </c>
      <c r="AM32" s="55" t="s">
        <v>174</v>
      </c>
      <c r="AN32" s="55" t="s">
        <v>174</v>
      </c>
      <c r="AO32" s="55" t="s">
        <v>174</v>
      </c>
      <c r="AP32" s="55" t="s">
        <v>174</v>
      </c>
      <c r="AQ32" s="55" t="s">
        <v>174</v>
      </c>
      <c r="AR32" s="28"/>
      <c r="AS32" s="308"/>
      <c r="AT32" s="308"/>
      <c r="AU32" s="308"/>
      <c r="AV32" s="308"/>
      <c r="AW32" s="308"/>
      <c r="AX32" s="308"/>
      <c r="AY32" s="308"/>
      <c r="AZ32" s="308"/>
      <c r="BA32" s="308"/>
      <c r="BB32" s="308"/>
      <c r="BC32" s="28"/>
    </row>
    <row r="33" spans="1:55">
      <c r="A33" s="28"/>
      <c r="B33" s="55" t="s">
        <v>174</v>
      </c>
      <c r="C33" s="55" t="s">
        <v>174</v>
      </c>
      <c r="D33" s="55" t="s">
        <v>174</v>
      </c>
      <c r="E33" s="55" t="s">
        <v>174</v>
      </c>
      <c r="F33" s="55" t="s">
        <v>174</v>
      </c>
      <c r="G33" s="55" t="s">
        <v>174</v>
      </c>
      <c r="H33" s="28"/>
      <c r="I33" s="66">
        <v>63.85</v>
      </c>
      <c r="J33" s="38">
        <v>2.1002000000000001</v>
      </c>
      <c r="K33" s="38">
        <v>0.56679999999999997</v>
      </c>
      <c r="L33" s="37">
        <v>2.0000000000000001E-4</v>
      </c>
      <c r="M33" s="38">
        <v>0.98819999999999997</v>
      </c>
      <c r="N33" s="38">
        <v>3.2122000000000002</v>
      </c>
      <c r="O33" s="28"/>
      <c r="P33" s="55" t="s">
        <v>174</v>
      </c>
      <c r="Q33" s="55" t="s">
        <v>174</v>
      </c>
      <c r="R33" s="55" t="s">
        <v>174</v>
      </c>
      <c r="S33" s="55" t="s">
        <v>174</v>
      </c>
      <c r="T33" s="55" t="s">
        <v>174</v>
      </c>
      <c r="U33" s="55" t="s">
        <v>174</v>
      </c>
      <c r="V33" s="28"/>
      <c r="W33" s="28"/>
      <c r="X33" s="82">
        <v>1.6975</v>
      </c>
      <c r="Y33" s="83">
        <v>-8.5599999999999996E-2</v>
      </c>
      <c r="Z33" s="83">
        <v>0.35799999999999998</v>
      </c>
      <c r="AA33" s="83">
        <v>0.81110000000000004</v>
      </c>
      <c r="AB33" s="83">
        <v>-0.78839999999999999</v>
      </c>
      <c r="AC33" s="83">
        <v>0.61719999999999997</v>
      </c>
      <c r="AD33" s="28"/>
      <c r="AE33" s="55" t="s">
        <v>174</v>
      </c>
      <c r="AF33" s="55" t="s">
        <v>174</v>
      </c>
      <c r="AG33" s="55" t="s">
        <v>174</v>
      </c>
      <c r="AH33" s="55" t="s">
        <v>174</v>
      </c>
      <c r="AI33" s="55" t="s">
        <v>174</v>
      </c>
      <c r="AJ33" s="55" t="s">
        <v>174</v>
      </c>
      <c r="AK33" s="28"/>
      <c r="AL33" s="55" t="s">
        <v>174</v>
      </c>
      <c r="AM33" s="55" t="s">
        <v>174</v>
      </c>
      <c r="AN33" s="55" t="s">
        <v>174</v>
      </c>
      <c r="AO33" s="55" t="s">
        <v>174</v>
      </c>
      <c r="AP33" s="55" t="s">
        <v>174</v>
      </c>
      <c r="AQ33" s="55" t="s">
        <v>174</v>
      </c>
      <c r="AR33" s="28"/>
      <c r="BC33" s="28"/>
    </row>
    <row r="34" spans="1:55">
      <c r="A34" s="28"/>
      <c r="B34" s="55" t="s">
        <v>174</v>
      </c>
      <c r="C34" s="55" t="s">
        <v>174</v>
      </c>
      <c r="D34" s="55" t="s">
        <v>174</v>
      </c>
      <c r="E34" s="55" t="s">
        <v>174</v>
      </c>
      <c r="F34" s="55" t="s">
        <v>174</v>
      </c>
      <c r="G34" s="55" t="s">
        <v>174</v>
      </c>
      <c r="H34" s="28"/>
      <c r="I34" s="66">
        <v>67.92</v>
      </c>
      <c r="J34" s="38">
        <v>2.2303000000000002</v>
      </c>
      <c r="K34" s="38">
        <v>0.61419999999999997</v>
      </c>
      <c r="L34" s="37">
        <v>2.9999999999999997E-4</v>
      </c>
      <c r="M34" s="38">
        <v>1.0253000000000001</v>
      </c>
      <c r="N34" s="38">
        <v>3.4352</v>
      </c>
      <c r="O34" s="28"/>
      <c r="P34" s="55" t="s">
        <v>174</v>
      </c>
      <c r="Q34" s="55" t="s">
        <v>174</v>
      </c>
      <c r="R34" s="55" t="s">
        <v>174</v>
      </c>
      <c r="S34" s="55" t="s">
        <v>174</v>
      </c>
      <c r="T34" s="55" t="s">
        <v>174</v>
      </c>
      <c r="U34" s="55" t="s">
        <v>174</v>
      </c>
      <c r="V34" s="28"/>
      <c r="W34" s="28"/>
      <c r="X34" s="82">
        <v>1.746</v>
      </c>
      <c r="Y34" s="83">
        <v>-0.1724</v>
      </c>
      <c r="Z34" s="83">
        <v>0.39250000000000002</v>
      </c>
      <c r="AA34" s="83">
        <v>0.66059999999999997</v>
      </c>
      <c r="AB34" s="83">
        <v>-0.94299999999999995</v>
      </c>
      <c r="AC34" s="83">
        <v>0.59809999999999997</v>
      </c>
      <c r="AD34" s="28"/>
      <c r="AE34" s="55" t="s">
        <v>174</v>
      </c>
      <c r="AF34" s="55" t="s">
        <v>174</v>
      </c>
      <c r="AG34" s="55" t="s">
        <v>174</v>
      </c>
      <c r="AH34" s="55" t="s">
        <v>174</v>
      </c>
      <c r="AI34" s="55" t="s">
        <v>174</v>
      </c>
      <c r="AJ34" s="55" t="s">
        <v>174</v>
      </c>
      <c r="AK34" s="28"/>
      <c r="AL34" s="55" t="s">
        <v>174</v>
      </c>
      <c r="AM34" s="55" t="s">
        <v>174</v>
      </c>
      <c r="AN34" s="55" t="s">
        <v>174</v>
      </c>
      <c r="AO34" s="55" t="s">
        <v>174</v>
      </c>
      <c r="AP34" s="55" t="s">
        <v>174</v>
      </c>
      <c r="AQ34" s="55" t="s">
        <v>174</v>
      </c>
      <c r="AR34" s="28"/>
    </row>
    <row r="35" spans="1:55" ht="15.75" customHeight="1">
      <c r="A35" s="28"/>
      <c r="B35" s="55" t="s">
        <v>174</v>
      </c>
      <c r="C35" s="55" t="s">
        <v>174</v>
      </c>
      <c r="D35" s="55" t="s">
        <v>174</v>
      </c>
      <c r="E35" s="55" t="s">
        <v>174</v>
      </c>
      <c r="F35" s="55" t="s">
        <v>174</v>
      </c>
      <c r="G35" s="55" t="s">
        <v>174</v>
      </c>
      <c r="H35" s="28"/>
      <c r="I35" s="66">
        <v>71.989999999999995</v>
      </c>
      <c r="J35" s="38">
        <v>2.3603000000000001</v>
      </c>
      <c r="K35" s="38">
        <v>0.66200000000000003</v>
      </c>
      <c r="L35" s="37">
        <v>4.0000000000000002E-4</v>
      </c>
      <c r="M35" s="38">
        <v>1.0613999999999999</v>
      </c>
      <c r="N35" s="38">
        <v>3.6591999999999998</v>
      </c>
      <c r="O35" s="28"/>
      <c r="P35" s="55" t="s">
        <v>174</v>
      </c>
      <c r="Q35" s="55" t="s">
        <v>174</v>
      </c>
      <c r="R35" s="55" t="s">
        <v>174</v>
      </c>
      <c r="S35" s="55" t="s">
        <v>174</v>
      </c>
      <c r="T35" s="55" t="s">
        <v>174</v>
      </c>
      <c r="U35" s="55" t="s">
        <v>174</v>
      </c>
      <c r="V35" s="28"/>
      <c r="W35" s="28"/>
      <c r="X35" s="82">
        <v>1.7945</v>
      </c>
      <c r="Y35" s="83">
        <v>-0.25929999999999997</v>
      </c>
      <c r="Z35" s="83">
        <v>0.42930000000000001</v>
      </c>
      <c r="AA35" s="83">
        <v>0.54610000000000003</v>
      </c>
      <c r="AB35" s="83">
        <v>-1.1020000000000001</v>
      </c>
      <c r="AC35" s="83">
        <v>0.58350000000000002</v>
      </c>
      <c r="AD35" s="28"/>
      <c r="AE35" s="55" t="s">
        <v>174</v>
      </c>
      <c r="AF35" s="55" t="s">
        <v>174</v>
      </c>
      <c r="AG35" s="55" t="s">
        <v>174</v>
      </c>
      <c r="AH35" s="55" t="s">
        <v>174</v>
      </c>
      <c r="AI35" s="55" t="s">
        <v>174</v>
      </c>
      <c r="AJ35" s="55" t="s">
        <v>174</v>
      </c>
      <c r="AK35" s="28"/>
      <c r="AL35" s="55" t="s">
        <v>174</v>
      </c>
      <c r="AM35" s="55" t="s">
        <v>174</v>
      </c>
      <c r="AN35" s="55" t="s">
        <v>174</v>
      </c>
      <c r="AO35" s="55" t="s">
        <v>174</v>
      </c>
      <c r="AP35" s="55" t="s">
        <v>174</v>
      </c>
      <c r="AQ35" s="55" t="s">
        <v>174</v>
      </c>
      <c r="AR35" s="28"/>
    </row>
    <row r="36" spans="1:55">
      <c r="A36" s="28"/>
      <c r="B36" s="55" t="s">
        <v>174</v>
      </c>
      <c r="C36" s="55" t="s">
        <v>174</v>
      </c>
      <c r="D36" s="55" t="s">
        <v>174</v>
      </c>
      <c r="E36" s="55" t="s">
        <v>174</v>
      </c>
      <c r="F36" s="55" t="s">
        <v>174</v>
      </c>
      <c r="G36" s="55" t="s">
        <v>174</v>
      </c>
      <c r="H36" s="28"/>
      <c r="I36" s="66">
        <v>76.06</v>
      </c>
      <c r="J36" s="38">
        <v>2.4904000000000002</v>
      </c>
      <c r="K36" s="38">
        <v>0.71030000000000004</v>
      </c>
      <c r="L36" s="37">
        <v>5.0000000000000001E-4</v>
      </c>
      <c r="M36" s="38">
        <v>1.0968</v>
      </c>
      <c r="N36" s="38">
        <v>3.8839999999999999</v>
      </c>
      <c r="O36" s="28"/>
      <c r="P36" s="55" t="s">
        <v>174</v>
      </c>
      <c r="Q36" s="55" t="s">
        <v>174</v>
      </c>
      <c r="R36" s="55" t="s">
        <v>174</v>
      </c>
      <c r="S36" s="55" t="s">
        <v>174</v>
      </c>
      <c r="T36" s="55" t="s">
        <v>174</v>
      </c>
      <c r="U36" s="55" t="s">
        <v>174</v>
      </c>
      <c r="V36" s="28"/>
      <c r="W36" s="28"/>
      <c r="X36" s="82">
        <v>1.843</v>
      </c>
      <c r="Y36" s="83">
        <v>-0.34610000000000002</v>
      </c>
      <c r="Z36" s="83">
        <v>0.46779999999999999</v>
      </c>
      <c r="AA36" s="83">
        <v>0.45960000000000001</v>
      </c>
      <c r="AB36" s="83">
        <v>-1.2643</v>
      </c>
      <c r="AC36" s="83">
        <v>0.57220000000000004</v>
      </c>
      <c r="AD36" s="28"/>
      <c r="AE36" s="55" t="s">
        <v>174</v>
      </c>
      <c r="AF36" s="55" t="s">
        <v>174</v>
      </c>
      <c r="AG36" s="55" t="s">
        <v>174</v>
      </c>
      <c r="AH36" s="55" t="s">
        <v>174</v>
      </c>
      <c r="AI36" s="55" t="s">
        <v>174</v>
      </c>
      <c r="AJ36" s="55" t="s">
        <v>174</v>
      </c>
      <c r="AK36" s="28"/>
      <c r="AL36" s="55" t="s">
        <v>174</v>
      </c>
      <c r="AM36" s="55" t="s">
        <v>174</v>
      </c>
      <c r="AN36" s="55" t="s">
        <v>174</v>
      </c>
      <c r="AO36" s="55" t="s">
        <v>174</v>
      </c>
      <c r="AP36" s="55" t="s">
        <v>174</v>
      </c>
      <c r="AQ36" s="55" t="s">
        <v>174</v>
      </c>
      <c r="AR36" s="28"/>
    </row>
    <row r="37" spans="1:55" ht="15.75" customHeight="1">
      <c r="A37" s="28"/>
      <c r="B37" s="55" t="s">
        <v>174</v>
      </c>
      <c r="C37" s="55" t="s">
        <v>174</v>
      </c>
      <c r="D37" s="55" t="s">
        <v>174</v>
      </c>
      <c r="E37" s="55" t="s">
        <v>174</v>
      </c>
      <c r="F37" s="55" t="s">
        <v>174</v>
      </c>
      <c r="G37" s="55" t="s">
        <v>174</v>
      </c>
      <c r="H37" s="28"/>
      <c r="I37" s="66">
        <v>80.13</v>
      </c>
      <c r="J37" s="38">
        <v>2.6204999999999998</v>
      </c>
      <c r="K37" s="38">
        <v>0.75900000000000001</v>
      </c>
      <c r="L37" s="37">
        <v>5.9999999999999995E-4</v>
      </c>
      <c r="M37" s="38">
        <v>1.1314</v>
      </c>
      <c r="N37" s="38">
        <v>4.1094999999999997</v>
      </c>
      <c r="O37" s="28"/>
      <c r="P37" s="55" t="s">
        <v>174</v>
      </c>
      <c r="Q37" s="55" t="s">
        <v>174</v>
      </c>
      <c r="R37" s="55" t="s">
        <v>174</v>
      </c>
      <c r="S37" s="55" t="s">
        <v>174</v>
      </c>
      <c r="T37" s="55" t="s">
        <v>174</v>
      </c>
      <c r="U37" s="55" t="s">
        <v>174</v>
      </c>
      <c r="V37" s="28"/>
      <c r="W37" s="28"/>
      <c r="X37" s="82">
        <v>1.8915</v>
      </c>
      <c r="Y37" s="83">
        <v>-0.43290000000000001</v>
      </c>
      <c r="Z37" s="83">
        <v>0.50760000000000005</v>
      </c>
      <c r="AA37" s="83">
        <v>0.39400000000000002</v>
      </c>
      <c r="AB37" s="83">
        <v>-1.4293</v>
      </c>
      <c r="AC37" s="83">
        <v>0.5635</v>
      </c>
      <c r="AD37" s="28"/>
      <c r="AE37" s="55" t="s">
        <v>174</v>
      </c>
      <c r="AF37" s="55" t="s">
        <v>174</v>
      </c>
      <c r="AG37" s="55" t="s">
        <v>174</v>
      </c>
      <c r="AH37" s="55" t="s">
        <v>174</v>
      </c>
      <c r="AI37" s="55" t="s">
        <v>174</v>
      </c>
      <c r="AJ37" s="55" t="s">
        <v>174</v>
      </c>
      <c r="AK37" s="28"/>
      <c r="AL37" s="55" t="s">
        <v>174</v>
      </c>
      <c r="AM37" s="55" t="s">
        <v>174</v>
      </c>
      <c r="AN37" s="55" t="s">
        <v>174</v>
      </c>
      <c r="AO37" s="55" t="s">
        <v>174</v>
      </c>
      <c r="AP37" s="55" t="s">
        <v>174</v>
      </c>
      <c r="AQ37" s="55" t="s">
        <v>174</v>
      </c>
      <c r="AR37" s="28"/>
    </row>
    <row r="38" spans="1:55">
      <c r="A38" s="28"/>
      <c r="B38" s="55" t="s">
        <v>174</v>
      </c>
      <c r="C38" s="55" t="s">
        <v>174</v>
      </c>
      <c r="D38" s="55" t="s">
        <v>174</v>
      </c>
      <c r="E38" s="55" t="s">
        <v>174</v>
      </c>
      <c r="F38" s="55" t="s">
        <v>174</v>
      </c>
      <c r="G38" s="55" t="s">
        <v>174</v>
      </c>
      <c r="H38" s="28"/>
      <c r="I38" s="67">
        <v>84.2</v>
      </c>
      <c r="J38" s="46">
        <v>2.7505000000000002</v>
      </c>
      <c r="K38" s="46">
        <v>0.80789999999999995</v>
      </c>
      <c r="L38" s="44">
        <v>6.9999999999999999E-4</v>
      </c>
      <c r="M38" s="46">
        <v>1.1655</v>
      </c>
      <c r="N38" s="46">
        <v>4.3354999999999997</v>
      </c>
      <c r="O38" s="28"/>
      <c r="P38" s="55" t="s">
        <v>174</v>
      </c>
      <c r="Q38" s="55" t="s">
        <v>174</v>
      </c>
      <c r="R38" s="55" t="s">
        <v>174</v>
      </c>
      <c r="S38" s="55" t="s">
        <v>174</v>
      </c>
      <c r="T38" s="55" t="s">
        <v>174</v>
      </c>
      <c r="U38" s="55" t="s">
        <v>174</v>
      </c>
      <c r="V38" s="28"/>
      <c r="W38" s="28"/>
      <c r="X38" s="82">
        <v>1.94</v>
      </c>
      <c r="Y38" s="83">
        <v>-0.51970000000000005</v>
      </c>
      <c r="Z38" s="83">
        <v>0.5484</v>
      </c>
      <c r="AA38" s="83">
        <v>0.34360000000000002</v>
      </c>
      <c r="AB38" s="83">
        <v>-1.5963000000000001</v>
      </c>
      <c r="AC38" s="83">
        <v>0.55679999999999996</v>
      </c>
      <c r="AD38" s="28"/>
      <c r="AE38" s="55" t="s">
        <v>174</v>
      </c>
      <c r="AF38" s="55" t="s">
        <v>174</v>
      </c>
      <c r="AG38" s="55" t="s">
        <v>174</v>
      </c>
      <c r="AH38" s="55" t="s">
        <v>174</v>
      </c>
      <c r="AI38" s="55" t="s">
        <v>174</v>
      </c>
      <c r="AJ38" s="55" t="s">
        <v>174</v>
      </c>
      <c r="AK38" s="28"/>
      <c r="AL38" s="55" t="s">
        <v>174</v>
      </c>
      <c r="AM38" s="55" t="s">
        <v>174</v>
      </c>
      <c r="AN38" s="55" t="s">
        <v>174</v>
      </c>
      <c r="AO38" s="55" t="s">
        <v>174</v>
      </c>
      <c r="AP38" s="55" t="s">
        <v>174</v>
      </c>
      <c r="AQ38" s="55" t="s">
        <v>174</v>
      </c>
      <c r="AR38" s="28"/>
    </row>
    <row r="39" spans="1:55">
      <c r="A39" s="28"/>
      <c r="B39" s="299" t="s">
        <v>24</v>
      </c>
      <c r="C39" s="299"/>
      <c r="D39" s="299"/>
      <c r="E39" s="299"/>
      <c r="F39" s="299"/>
      <c r="G39" s="299"/>
      <c r="H39" s="28"/>
      <c r="I39" s="299" t="s">
        <v>25</v>
      </c>
      <c r="J39" s="299"/>
      <c r="K39" s="299"/>
      <c r="L39" s="299"/>
      <c r="M39" s="299"/>
      <c r="N39" s="299"/>
      <c r="O39" s="28"/>
      <c r="P39" s="299" t="s">
        <v>26</v>
      </c>
      <c r="Q39" s="299"/>
      <c r="R39" s="299"/>
      <c r="S39" s="299"/>
      <c r="T39" s="299"/>
      <c r="U39" s="299"/>
      <c r="V39" s="28"/>
      <c r="W39" s="28"/>
      <c r="X39" s="299" t="s">
        <v>24</v>
      </c>
      <c r="Y39" s="299"/>
      <c r="Z39" s="299"/>
      <c r="AA39" s="299"/>
      <c r="AB39" s="299"/>
      <c r="AC39" s="299"/>
      <c r="AD39" s="28"/>
      <c r="AE39" s="299" t="s">
        <v>25</v>
      </c>
      <c r="AF39" s="299"/>
      <c r="AG39" s="299"/>
      <c r="AH39" s="299"/>
      <c r="AI39" s="299"/>
      <c r="AJ39" s="299"/>
      <c r="AK39" s="28"/>
      <c r="AL39" s="299" t="s">
        <v>26</v>
      </c>
      <c r="AM39" s="299"/>
      <c r="AN39" s="299"/>
      <c r="AO39" s="299"/>
      <c r="AP39" s="299"/>
      <c r="AQ39" s="299"/>
      <c r="AR39" s="28"/>
    </row>
    <row r="40" spans="1:55">
      <c r="A40" s="28"/>
      <c r="B40" s="321" t="s">
        <v>165</v>
      </c>
      <c r="C40" s="321"/>
      <c r="D40" s="321"/>
      <c r="E40" s="321"/>
      <c r="F40" s="321"/>
      <c r="G40" s="321"/>
      <c r="H40" s="28"/>
      <c r="I40" s="321" t="s">
        <v>165</v>
      </c>
      <c r="J40" s="321"/>
      <c r="K40" s="321"/>
      <c r="L40" s="321"/>
      <c r="M40" s="321"/>
      <c r="N40" s="321"/>
      <c r="O40" s="28"/>
      <c r="P40" s="321" t="s">
        <v>165</v>
      </c>
      <c r="Q40" s="321"/>
      <c r="R40" s="321"/>
      <c r="S40" s="321"/>
      <c r="T40" s="321"/>
      <c r="U40" s="321"/>
      <c r="V40" s="28"/>
      <c r="W40" s="28"/>
      <c r="X40" s="321" t="s">
        <v>192</v>
      </c>
      <c r="Y40" s="321"/>
      <c r="Z40" s="321"/>
      <c r="AA40" s="321"/>
      <c r="AB40" s="321"/>
      <c r="AC40" s="321"/>
      <c r="AD40" s="28"/>
      <c r="AE40" s="321" t="s">
        <v>192</v>
      </c>
      <c r="AF40" s="321"/>
      <c r="AG40" s="321"/>
      <c r="AH40" s="321"/>
      <c r="AI40" s="321"/>
      <c r="AJ40" s="321"/>
      <c r="AK40" s="28"/>
      <c r="AL40" s="321" t="s">
        <v>192</v>
      </c>
      <c r="AM40" s="321"/>
      <c r="AN40" s="321"/>
      <c r="AO40" s="321"/>
      <c r="AP40" s="321"/>
      <c r="AQ40" s="321"/>
      <c r="AR40" s="28"/>
    </row>
    <row r="41" spans="1:55" ht="15.75">
      <c r="A41" s="28"/>
      <c r="B41" s="319" t="s">
        <v>155</v>
      </c>
      <c r="C41" s="319"/>
      <c r="D41" s="319" t="s">
        <v>166</v>
      </c>
      <c r="E41" s="319"/>
      <c r="F41" s="319" t="s">
        <v>156</v>
      </c>
      <c r="G41" s="319"/>
      <c r="H41" s="28"/>
      <c r="I41" s="319" t="s">
        <v>155</v>
      </c>
      <c r="J41" s="319"/>
      <c r="K41" s="319" t="s">
        <v>166</v>
      </c>
      <c r="L41" s="319"/>
      <c r="M41" s="319" t="s">
        <v>156</v>
      </c>
      <c r="N41" s="319"/>
      <c r="O41" s="28"/>
      <c r="P41" s="319" t="s">
        <v>155</v>
      </c>
      <c r="Q41" s="319"/>
      <c r="R41" s="319" t="s">
        <v>166</v>
      </c>
      <c r="S41" s="319"/>
      <c r="T41" s="319" t="s">
        <v>156</v>
      </c>
      <c r="U41" s="319"/>
      <c r="V41" s="28"/>
      <c r="W41" s="28"/>
      <c r="X41" s="319" t="s">
        <v>155</v>
      </c>
      <c r="Y41" s="319"/>
      <c r="Z41" s="319" t="s">
        <v>166</v>
      </c>
      <c r="AA41" s="319"/>
      <c r="AB41" s="319" t="s">
        <v>156</v>
      </c>
      <c r="AC41" s="319"/>
      <c r="AD41" s="28"/>
      <c r="AE41" s="319" t="s">
        <v>155</v>
      </c>
      <c r="AF41" s="319"/>
      <c r="AG41" s="319" t="s">
        <v>166</v>
      </c>
      <c r="AH41" s="319"/>
      <c r="AI41" s="319" t="s">
        <v>156</v>
      </c>
      <c r="AJ41" s="319"/>
      <c r="AK41" s="28"/>
      <c r="AL41" s="319" t="s">
        <v>155</v>
      </c>
      <c r="AM41" s="319"/>
      <c r="AN41" s="319" t="s">
        <v>166</v>
      </c>
      <c r="AO41" s="319"/>
      <c r="AP41" s="319" t="s">
        <v>156</v>
      </c>
      <c r="AQ41" s="319"/>
      <c r="AR41" s="28"/>
    </row>
    <row r="42" spans="1:55">
      <c r="A42" s="28"/>
      <c r="B42" s="320">
        <v>0.49349999999999999</v>
      </c>
      <c r="C42" s="320"/>
      <c r="D42" s="320">
        <v>0.24349999999999999</v>
      </c>
      <c r="E42" s="320"/>
      <c r="F42" s="317" t="s">
        <v>170</v>
      </c>
      <c r="G42" s="317"/>
      <c r="H42" s="28"/>
      <c r="I42" s="320">
        <v>0.63849999999999996</v>
      </c>
      <c r="J42" s="320"/>
      <c r="K42" s="320">
        <v>0.40770000000000001</v>
      </c>
      <c r="L42" s="320"/>
      <c r="M42" s="317" t="s">
        <v>170</v>
      </c>
      <c r="N42" s="317"/>
      <c r="O42" s="28"/>
      <c r="P42" s="320">
        <v>0.65910000000000002</v>
      </c>
      <c r="Q42" s="320"/>
      <c r="R42" s="320">
        <v>0.43440000000000001</v>
      </c>
      <c r="S42" s="320"/>
      <c r="T42" s="317" t="s">
        <v>170</v>
      </c>
      <c r="U42" s="317"/>
      <c r="V42" s="28"/>
      <c r="W42" s="28"/>
      <c r="X42" s="320">
        <v>0.49419999999999997</v>
      </c>
      <c r="Y42" s="320"/>
      <c r="Z42" s="320">
        <v>0.2442</v>
      </c>
      <c r="AA42" s="320"/>
      <c r="AB42" s="317" t="s">
        <v>170</v>
      </c>
      <c r="AC42" s="317"/>
      <c r="AD42" s="28"/>
      <c r="AE42" s="320">
        <v>0.6371</v>
      </c>
      <c r="AF42" s="320"/>
      <c r="AG42" s="320">
        <v>0.40579999999999999</v>
      </c>
      <c r="AH42" s="320"/>
      <c r="AI42" s="317" t="s">
        <v>170</v>
      </c>
      <c r="AJ42" s="317"/>
      <c r="AK42" s="28"/>
      <c r="AL42" s="320">
        <v>0.65810000000000002</v>
      </c>
      <c r="AM42" s="320"/>
      <c r="AN42" s="320">
        <v>0.43309999999999998</v>
      </c>
      <c r="AO42" s="320"/>
      <c r="AP42" s="317" t="s">
        <v>170</v>
      </c>
      <c r="AQ42" s="317"/>
      <c r="AR42" s="28"/>
    </row>
    <row r="43" spans="1:55">
      <c r="A43" s="28"/>
      <c r="B43" s="318" t="s">
        <v>154</v>
      </c>
      <c r="C43" s="318"/>
      <c r="D43" s="318"/>
      <c r="E43" s="318"/>
      <c r="F43" s="318"/>
      <c r="G43" s="318"/>
      <c r="H43" s="28"/>
      <c r="I43" s="318" t="s">
        <v>154</v>
      </c>
      <c r="J43" s="318"/>
      <c r="K43" s="318"/>
      <c r="L43" s="318"/>
      <c r="M43" s="318"/>
      <c r="N43" s="318"/>
      <c r="O43" s="28"/>
      <c r="P43" s="318" t="s">
        <v>154</v>
      </c>
      <c r="Q43" s="318"/>
      <c r="R43" s="318"/>
      <c r="S43" s="318"/>
      <c r="T43" s="318"/>
      <c r="U43" s="318"/>
      <c r="V43" s="28"/>
      <c r="W43" s="28"/>
      <c r="X43" s="318" t="s">
        <v>154</v>
      </c>
      <c r="Y43" s="318"/>
      <c r="Z43" s="318"/>
      <c r="AA43" s="318"/>
      <c r="AB43" s="318"/>
      <c r="AC43" s="318"/>
      <c r="AD43" s="28"/>
      <c r="AE43" s="318" t="s">
        <v>154</v>
      </c>
      <c r="AF43" s="318"/>
      <c r="AG43" s="318"/>
      <c r="AH43" s="318"/>
      <c r="AI43" s="318"/>
      <c r="AJ43" s="318"/>
      <c r="AK43" s="28"/>
      <c r="AL43" s="318" t="s">
        <v>154</v>
      </c>
      <c r="AM43" s="318"/>
      <c r="AN43" s="318"/>
      <c r="AO43" s="318"/>
      <c r="AP43" s="318"/>
      <c r="AQ43" s="318"/>
      <c r="AR43" s="28"/>
    </row>
    <row r="44" spans="1:55">
      <c r="A44" s="28"/>
      <c r="B44" s="33"/>
      <c r="C44" s="34" t="s">
        <v>158</v>
      </c>
      <c r="D44" s="34" t="s">
        <v>159</v>
      </c>
      <c r="E44" s="34" t="s">
        <v>151</v>
      </c>
      <c r="F44" s="34" t="s">
        <v>171</v>
      </c>
      <c r="G44" s="34" t="s">
        <v>172</v>
      </c>
      <c r="H44" s="28"/>
      <c r="I44" s="33"/>
      <c r="J44" s="34" t="s">
        <v>158</v>
      </c>
      <c r="K44" s="34" t="s">
        <v>159</v>
      </c>
      <c r="L44" s="34" t="s">
        <v>151</v>
      </c>
      <c r="M44" s="34" t="s">
        <v>171</v>
      </c>
      <c r="N44" s="34" t="s">
        <v>172</v>
      </c>
      <c r="O44" s="28"/>
      <c r="P44" s="33"/>
      <c r="Q44" s="34" t="s">
        <v>158</v>
      </c>
      <c r="R44" s="34" t="s">
        <v>159</v>
      </c>
      <c r="S44" s="34" t="s">
        <v>151</v>
      </c>
      <c r="T44" s="34" t="s">
        <v>171</v>
      </c>
      <c r="U44" s="34" t="s">
        <v>172</v>
      </c>
      <c r="V44" s="28"/>
      <c r="W44" s="28"/>
      <c r="X44" s="33"/>
      <c r="Y44" s="34" t="s">
        <v>158</v>
      </c>
      <c r="Z44" s="34" t="s">
        <v>159</v>
      </c>
      <c r="AA44" s="34" t="s">
        <v>151</v>
      </c>
      <c r="AB44" s="34" t="s">
        <v>171</v>
      </c>
      <c r="AC44" s="34" t="s">
        <v>172</v>
      </c>
      <c r="AD44" s="28"/>
      <c r="AE44" s="33"/>
      <c r="AF44" s="34" t="s">
        <v>158</v>
      </c>
      <c r="AG44" s="34" t="s">
        <v>159</v>
      </c>
      <c r="AH44" s="34" t="s">
        <v>151</v>
      </c>
      <c r="AI44" s="34" t="s">
        <v>171</v>
      </c>
      <c r="AJ44" s="34" t="s">
        <v>172</v>
      </c>
      <c r="AK44" s="28"/>
      <c r="AL44" s="33"/>
      <c r="AM44" s="34" t="s">
        <v>158</v>
      </c>
      <c r="AN44" s="34" t="s">
        <v>159</v>
      </c>
      <c r="AO44" s="34" t="s">
        <v>151</v>
      </c>
      <c r="AP44" s="34" t="s">
        <v>171</v>
      </c>
      <c r="AQ44" s="34" t="s">
        <v>172</v>
      </c>
      <c r="AR44" s="28"/>
    </row>
    <row r="45" spans="1:55">
      <c r="A45" s="28"/>
      <c r="B45" s="32" t="s">
        <v>160</v>
      </c>
      <c r="C45" s="38">
        <v>32.2517</v>
      </c>
      <c r="D45" s="38">
        <v>1.7189000000000001</v>
      </c>
      <c r="E45" s="38">
        <v>0</v>
      </c>
      <c r="F45" s="38">
        <v>28.877400000000002</v>
      </c>
      <c r="G45" s="38">
        <v>35.625900000000001</v>
      </c>
      <c r="H45" s="28"/>
      <c r="I45" s="32" t="s">
        <v>160</v>
      </c>
      <c r="J45" s="56">
        <v>37.713500000000003</v>
      </c>
      <c r="K45" s="56">
        <v>2.2010999999999998</v>
      </c>
      <c r="L45" s="56">
        <v>0</v>
      </c>
      <c r="M45" s="56">
        <v>33.395000000000003</v>
      </c>
      <c r="N45" s="56">
        <v>42.0319</v>
      </c>
      <c r="O45" s="28"/>
      <c r="P45" s="32" t="s">
        <v>160</v>
      </c>
      <c r="Q45" s="38">
        <v>-0.76129999999999998</v>
      </c>
      <c r="R45" s="38">
        <v>3.3690000000000002</v>
      </c>
      <c r="S45" s="38">
        <v>0.82130000000000003</v>
      </c>
      <c r="T45" s="38">
        <v>-7.3730000000000002</v>
      </c>
      <c r="U45" s="38">
        <v>5.8503999999999996</v>
      </c>
      <c r="V45" s="28"/>
      <c r="W45" s="28"/>
      <c r="X45" s="40" t="s">
        <v>160</v>
      </c>
      <c r="Y45" s="30">
        <v>31.206099999999999</v>
      </c>
      <c r="Z45" s="30">
        <v>2.0813000000000001</v>
      </c>
      <c r="AA45" s="49">
        <v>0</v>
      </c>
      <c r="AB45" s="30">
        <v>27.1206</v>
      </c>
      <c r="AC45" s="30">
        <v>35.291600000000003</v>
      </c>
      <c r="AD45" s="28"/>
      <c r="AE45" s="40" t="s">
        <v>160</v>
      </c>
      <c r="AF45" s="85">
        <v>36.280200000000001</v>
      </c>
      <c r="AG45" s="85">
        <v>2.7210999999999999</v>
      </c>
      <c r="AH45" s="85">
        <v>0</v>
      </c>
      <c r="AI45" s="85">
        <v>30.941700000000001</v>
      </c>
      <c r="AJ45" s="85">
        <v>41.6188</v>
      </c>
      <c r="AK45" s="28"/>
      <c r="AL45" s="40" t="s">
        <v>160</v>
      </c>
      <c r="AM45" s="85">
        <v>-3.4146999999999998</v>
      </c>
      <c r="AN45" s="85">
        <v>4.0511999999999997</v>
      </c>
      <c r="AO45" s="85">
        <v>0.39950000000000002</v>
      </c>
      <c r="AP45" s="85">
        <v>-11.3653</v>
      </c>
      <c r="AQ45" s="85">
        <v>4.5358000000000001</v>
      </c>
      <c r="AR45" s="28"/>
    </row>
    <row r="46" spans="1:55">
      <c r="A46" s="28"/>
      <c r="B46" s="39" t="s">
        <v>161</v>
      </c>
      <c r="C46" s="38">
        <v>3.6240000000000001</v>
      </c>
      <c r="D46" s="38">
        <v>0.80179999999999996</v>
      </c>
      <c r="E46" s="37">
        <v>0</v>
      </c>
      <c r="F46" s="38">
        <v>2.0499999999999998</v>
      </c>
      <c r="G46" s="38">
        <v>5.1978999999999997</v>
      </c>
      <c r="H46" s="28"/>
      <c r="I46" s="40" t="s">
        <v>161</v>
      </c>
      <c r="J46" s="54">
        <v>0.7671</v>
      </c>
      <c r="K46" s="54">
        <v>0.98509999999999998</v>
      </c>
      <c r="L46" s="54">
        <v>0.43630000000000002</v>
      </c>
      <c r="M46" s="54">
        <v>-1.1656</v>
      </c>
      <c r="N46" s="54">
        <v>2.6998000000000002</v>
      </c>
      <c r="O46" s="28"/>
      <c r="P46" s="40" t="s">
        <v>161</v>
      </c>
      <c r="Q46" s="38">
        <v>2.3323999999999998</v>
      </c>
      <c r="R46" s="38">
        <v>1.4863999999999999</v>
      </c>
      <c r="S46" s="38">
        <v>0.11700000000000001</v>
      </c>
      <c r="T46" s="38">
        <v>-0.5847</v>
      </c>
      <c r="U46" s="38">
        <v>5.2496</v>
      </c>
      <c r="V46" s="28"/>
      <c r="W46" s="28"/>
      <c r="X46" s="39" t="s">
        <v>161</v>
      </c>
      <c r="Y46" s="30">
        <v>6.0755999999999997</v>
      </c>
      <c r="Z46" s="30">
        <v>2.9508999999999999</v>
      </c>
      <c r="AA46" s="63">
        <v>3.9800000000000002E-2</v>
      </c>
      <c r="AB46" s="30">
        <v>0.28289999999999998</v>
      </c>
      <c r="AC46" s="30">
        <v>11.8683</v>
      </c>
      <c r="AD46" s="28"/>
      <c r="AE46" s="40" t="s">
        <v>161</v>
      </c>
      <c r="AF46" s="85">
        <v>5.2821999999999996</v>
      </c>
      <c r="AG46" s="85">
        <v>3.9628999999999999</v>
      </c>
      <c r="AH46" s="85">
        <v>0.18279999999999999</v>
      </c>
      <c r="AI46" s="85">
        <v>-2.4927000000000001</v>
      </c>
      <c r="AJ46" s="85">
        <v>13.0571</v>
      </c>
      <c r="AK46" s="28"/>
      <c r="AL46" s="40" t="s">
        <v>161</v>
      </c>
      <c r="AM46" s="85">
        <v>10.8569</v>
      </c>
      <c r="AN46" s="85">
        <v>6.0235000000000003</v>
      </c>
      <c r="AO46" s="96">
        <v>7.1800000000000003E-2</v>
      </c>
      <c r="AP46" s="85">
        <v>-0.96430000000000005</v>
      </c>
      <c r="AQ46" s="85">
        <v>22.678100000000001</v>
      </c>
      <c r="AR46" s="28"/>
    </row>
    <row r="47" spans="1:55">
      <c r="A47" s="28"/>
      <c r="B47" s="39" t="s">
        <v>162</v>
      </c>
      <c r="C47" s="38">
        <v>0.29859999999999998</v>
      </c>
      <c r="D47" s="38">
        <v>3.3300000000000003E-2</v>
      </c>
      <c r="E47" s="37">
        <v>0</v>
      </c>
      <c r="F47" s="38">
        <v>0.23319999999999999</v>
      </c>
      <c r="G47" s="38">
        <v>0.3639</v>
      </c>
      <c r="H47" s="28"/>
      <c r="I47" s="39" t="s">
        <v>162</v>
      </c>
      <c r="J47" s="54">
        <v>0.55610000000000004</v>
      </c>
      <c r="K47" s="54">
        <v>2.86E-2</v>
      </c>
      <c r="L47" s="57">
        <v>0</v>
      </c>
      <c r="M47" s="54">
        <v>0.49990000000000001</v>
      </c>
      <c r="N47" s="54">
        <v>0.61229999999999996</v>
      </c>
      <c r="O47" s="28"/>
      <c r="P47" s="39" t="s">
        <v>162</v>
      </c>
      <c r="Q47" s="38">
        <v>0.74780000000000002</v>
      </c>
      <c r="R47" s="38">
        <v>4.2000000000000003E-2</v>
      </c>
      <c r="S47" s="37">
        <v>0</v>
      </c>
      <c r="T47" s="38">
        <v>0.66539999999999999</v>
      </c>
      <c r="U47" s="38">
        <v>0.83030000000000004</v>
      </c>
      <c r="V47" s="28"/>
      <c r="W47" s="28"/>
      <c r="X47" s="39" t="s">
        <v>164</v>
      </c>
      <c r="Y47" s="30">
        <v>-14.099500000000001</v>
      </c>
      <c r="Z47" s="30">
        <v>1.5035000000000001</v>
      </c>
      <c r="AA47" s="63">
        <v>0</v>
      </c>
      <c r="AB47" s="30">
        <v>-17.050799999999999</v>
      </c>
      <c r="AC47" s="30">
        <v>-11.148300000000001</v>
      </c>
      <c r="AD47" s="28"/>
      <c r="AE47" s="39" t="s">
        <v>164</v>
      </c>
      <c r="AF47" s="85">
        <v>-28.176100000000002</v>
      </c>
      <c r="AG47" s="85">
        <v>1.8524</v>
      </c>
      <c r="AH47" s="63">
        <v>0</v>
      </c>
      <c r="AI47" s="85">
        <v>-31.810400000000001</v>
      </c>
      <c r="AJ47" s="85">
        <v>-24.541799999999999</v>
      </c>
      <c r="AK47" s="28"/>
      <c r="AL47" s="39" t="s">
        <v>164</v>
      </c>
      <c r="AM47" s="85">
        <v>-18.752199999999998</v>
      </c>
      <c r="AN47" s="85">
        <v>2.7843</v>
      </c>
      <c r="AO47" s="63">
        <v>0</v>
      </c>
      <c r="AP47" s="85">
        <v>-24.2164</v>
      </c>
      <c r="AQ47" s="85">
        <v>-13.2879</v>
      </c>
      <c r="AR47" s="28"/>
    </row>
    <row r="48" spans="1:55">
      <c r="A48" s="28"/>
      <c r="B48" s="32" t="s">
        <v>163</v>
      </c>
      <c r="C48" s="38">
        <v>-1.1599999999999999E-2</v>
      </c>
      <c r="D48" s="38">
        <v>3.7499999999999999E-2</v>
      </c>
      <c r="E48" s="38">
        <v>0.75649999999999995</v>
      </c>
      <c r="F48" s="38">
        <v>-8.5099999999999995E-2</v>
      </c>
      <c r="G48" s="38">
        <v>6.1899999999999997E-2</v>
      </c>
      <c r="H48" s="28"/>
      <c r="I48" s="39" t="s">
        <v>163</v>
      </c>
      <c r="J48" s="54">
        <v>7.4300000000000005E-2</v>
      </c>
      <c r="K48" s="54">
        <v>3.5499999999999997E-2</v>
      </c>
      <c r="L48" s="57">
        <v>3.6400000000000002E-2</v>
      </c>
      <c r="M48" s="54">
        <v>4.7000000000000002E-3</v>
      </c>
      <c r="N48" s="54">
        <v>0.1439</v>
      </c>
      <c r="O48" s="28"/>
      <c r="P48" s="40" t="s">
        <v>163</v>
      </c>
      <c r="Q48" s="38">
        <v>9.5500000000000002E-2</v>
      </c>
      <c r="R48" s="38">
        <v>5.2299999999999999E-2</v>
      </c>
      <c r="S48" s="58">
        <v>6.7900000000000002E-2</v>
      </c>
      <c r="T48" s="38">
        <v>-7.0000000000000001E-3</v>
      </c>
      <c r="U48" s="38">
        <v>0.1981</v>
      </c>
      <c r="V48" s="28"/>
      <c r="W48" s="28"/>
      <c r="X48" s="32" t="s">
        <v>193</v>
      </c>
      <c r="Y48" s="30">
        <v>-1.8446</v>
      </c>
      <c r="Z48" s="30">
        <v>2.0297999999999998</v>
      </c>
      <c r="AA48" s="49">
        <v>0.36380000000000001</v>
      </c>
      <c r="AB48" s="30">
        <v>-5.8289999999999997</v>
      </c>
      <c r="AC48" s="30">
        <v>2.1398999999999999</v>
      </c>
      <c r="AD48" s="28"/>
      <c r="AE48" s="32" t="s">
        <v>193</v>
      </c>
      <c r="AF48" s="85">
        <v>-1.9035</v>
      </c>
      <c r="AG48" s="85">
        <v>2.577</v>
      </c>
      <c r="AH48" s="85">
        <v>0.46029999999999999</v>
      </c>
      <c r="AI48" s="85">
        <v>-6.9592999999999998</v>
      </c>
      <c r="AJ48" s="85">
        <v>3.1524000000000001</v>
      </c>
      <c r="AK48" s="28"/>
      <c r="AL48" s="32" t="s">
        <v>193</v>
      </c>
      <c r="AM48" s="85">
        <v>-4.3143000000000002</v>
      </c>
      <c r="AN48" s="85">
        <v>3.9765000000000001</v>
      </c>
      <c r="AO48" s="85">
        <v>0.2782</v>
      </c>
      <c r="AP48" s="85">
        <v>-12.1182</v>
      </c>
      <c r="AQ48" s="85">
        <v>3.4897</v>
      </c>
      <c r="AR48" s="28"/>
    </row>
    <row r="49" spans="1:44">
      <c r="A49" s="28"/>
      <c r="B49" s="42" t="s">
        <v>164</v>
      </c>
      <c r="C49" s="46">
        <v>-14.8712</v>
      </c>
      <c r="D49" s="46">
        <v>1.3022</v>
      </c>
      <c r="E49" s="44">
        <v>0</v>
      </c>
      <c r="F49" s="46">
        <v>-17.427499999999998</v>
      </c>
      <c r="G49" s="46">
        <v>-12.315</v>
      </c>
      <c r="H49" s="28"/>
      <c r="I49" s="42" t="s">
        <v>164</v>
      </c>
      <c r="J49" s="46">
        <v>-28.531099999999999</v>
      </c>
      <c r="K49" s="46">
        <v>1.5507</v>
      </c>
      <c r="L49" s="44">
        <v>0</v>
      </c>
      <c r="M49" s="46">
        <v>-31.573499999999999</v>
      </c>
      <c r="N49" s="46">
        <v>-25.488800000000001</v>
      </c>
      <c r="O49" s="28"/>
      <c r="P49" s="42" t="s">
        <v>164</v>
      </c>
      <c r="Q49" s="46">
        <v>-19.734999999999999</v>
      </c>
      <c r="R49" s="46">
        <v>2.3993000000000002</v>
      </c>
      <c r="S49" s="44">
        <v>0</v>
      </c>
      <c r="T49" s="46">
        <v>-24.4438</v>
      </c>
      <c r="U49" s="46">
        <v>-15.026199999999999</v>
      </c>
      <c r="V49" s="28"/>
      <c r="W49" s="28"/>
      <c r="X49" s="42" t="s">
        <v>162</v>
      </c>
      <c r="Y49" s="33">
        <v>0.29310000000000003</v>
      </c>
      <c r="Z49" s="33">
        <v>2.3699999999999999E-2</v>
      </c>
      <c r="AA49" s="64">
        <v>0</v>
      </c>
      <c r="AB49" s="33">
        <v>0.2465</v>
      </c>
      <c r="AC49" s="33">
        <v>0.33960000000000001</v>
      </c>
      <c r="AD49" s="28"/>
      <c r="AE49" s="39" t="s">
        <v>162</v>
      </c>
      <c r="AF49" s="85">
        <v>0.5958</v>
      </c>
      <c r="AG49" s="85">
        <v>2.1499999999999998E-2</v>
      </c>
      <c r="AH49" s="63">
        <v>0</v>
      </c>
      <c r="AI49" s="85">
        <v>0.55359999999999998</v>
      </c>
      <c r="AJ49" s="85">
        <v>0.63800000000000001</v>
      </c>
      <c r="AK49" s="28"/>
      <c r="AL49" s="39" t="s">
        <v>162</v>
      </c>
      <c r="AM49" s="85">
        <v>0.79790000000000005</v>
      </c>
      <c r="AN49" s="85">
        <v>3.2099999999999997E-2</v>
      </c>
      <c r="AO49" s="63">
        <v>0</v>
      </c>
      <c r="AP49" s="85">
        <v>0.7349</v>
      </c>
      <c r="AQ49" s="85">
        <v>0.86099999999999999</v>
      </c>
      <c r="AR49" s="28"/>
    </row>
    <row r="50" spans="1:44">
      <c r="A50" s="28"/>
      <c r="B50" s="55" t="s">
        <v>174</v>
      </c>
      <c r="C50" s="55" t="s">
        <v>174</v>
      </c>
      <c r="D50" s="55" t="s">
        <v>174</v>
      </c>
      <c r="E50" s="55" t="s">
        <v>174</v>
      </c>
      <c r="F50" s="55" t="s">
        <v>174</v>
      </c>
      <c r="G50" s="55" t="s">
        <v>174</v>
      </c>
      <c r="H50" s="28"/>
      <c r="I50" s="323" t="s">
        <v>173</v>
      </c>
      <c r="J50" s="323"/>
      <c r="K50" s="323"/>
      <c r="L50" s="323"/>
      <c r="M50" s="323"/>
      <c r="N50" s="323"/>
      <c r="O50" s="28"/>
      <c r="P50" s="323" t="s">
        <v>173</v>
      </c>
      <c r="Q50" s="323"/>
      <c r="R50" s="323"/>
      <c r="S50" s="323"/>
      <c r="T50" s="323"/>
      <c r="U50" s="323"/>
      <c r="V50" s="28"/>
      <c r="W50" s="28"/>
      <c r="X50" s="55" t="s">
        <v>174</v>
      </c>
      <c r="Y50" s="55" t="s">
        <v>174</v>
      </c>
      <c r="Z50" s="55" t="s">
        <v>174</v>
      </c>
      <c r="AA50" s="55" t="s">
        <v>174</v>
      </c>
      <c r="AB50" s="55" t="s">
        <v>174</v>
      </c>
      <c r="AC50" s="55" t="s">
        <v>174</v>
      </c>
      <c r="AD50" s="28"/>
      <c r="AE50" s="61" t="s">
        <v>174</v>
      </c>
      <c r="AF50" s="61" t="s">
        <v>174</v>
      </c>
      <c r="AG50" s="61" t="s">
        <v>174</v>
      </c>
      <c r="AH50" s="61" t="s">
        <v>174</v>
      </c>
      <c r="AI50" s="61" t="s">
        <v>174</v>
      </c>
      <c r="AJ50" s="61" t="s">
        <v>174</v>
      </c>
      <c r="AK50" s="28"/>
      <c r="AL50" s="61" t="s">
        <v>174</v>
      </c>
      <c r="AM50" s="61" t="s">
        <v>174</v>
      </c>
      <c r="AN50" s="61" t="s">
        <v>174</v>
      </c>
      <c r="AO50" s="61" t="s">
        <v>174</v>
      </c>
      <c r="AP50" s="61" t="s">
        <v>174</v>
      </c>
      <c r="AQ50" s="61" t="s">
        <v>174</v>
      </c>
      <c r="AR50" s="28"/>
    </row>
    <row r="51" spans="1:44">
      <c r="A51" s="28"/>
      <c r="B51" s="55" t="s">
        <v>174</v>
      </c>
      <c r="C51" s="55" t="s">
        <v>174</v>
      </c>
      <c r="D51" s="55" t="s">
        <v>174</v>
      </c>
      <c r="E51" s="55" t="s">
        <v>174</v>
      </c>
      <c r="F51" s="55" t="s">
        <v>174</v>
      </c>
      <c r="G51" s="55" t="s">
        <v>174</v>
      </c>
      <c r="H51" s="28"/>
      <c r="I51" s="53" t="s">
        <v>162</v>
      </c>
      <c r="J51" s="34" t="s">
        <v>167</v>
      </c>
      <c r="K51" s="34" t="s">
        <v>8</v>
      </c>
      <c r="L51" s="34" t="s">
        <v>156</v>
      </c>
      <c r="M51" s="34" t="s">
        <v>168</v>
      </c>
      <c r="N51" s="34" t="s">
        <v>169</v>
      </c>
      <c r="O51" s="28"/>
      <c r="P51" s="53" t="s">
        <v>162</v>
      </c>
      <c r="Q51" s="34" t="s">
        <v>167</v>
      </c>
      <c r="R51" s="34" t="s">
        <v>8</v>
      </c>
      <c r="S51" s="34" t="s">
        <v>156</v>
      </c>
      <c r="T51" s="34" t="s">
        <v>168</v>
      </c>
      <c r="U51" s="34" t="s">
        <v>169</v>
      </c>
      <c r="V51" s="28"/>
      <c r="W51" s="28"/>
      <c r="X51" s="55" t="s">
        <v>174</v>
      </c>
      <c r="Y51" s="55" t="s">
        <v>174</v>
      </c>
      <c r="Z51" s="55" t="s">
        <v>174</v>
      </c>
      <c r="AA51" s="55" t="s">
        <v>174</v>
      </c>
      <c r="AB51" s="55" t="s">
        <v>174</v>
      </c>
      <c r="AC51" s="55" t="s">
        <v>174</v>
      </c>
      <c r="AD51" s="28"/>
      <c r="AE51" s="55" t="s">
        <v>174</v>
      </c>
      <c r="AF51" s="55" t="s">
        <v>174</v>
      </c>
      <c r="AG51" s="55" t="s">
        <v>174</v>
      </c>
      <c r="AH51" s="55" t="s">
        <v>174</v>
      </c>
      <c r="AI51" s="55" t="s">
        <v>174</v>
      </c>
      <c r="AJ51" s="55" t="s">
        <v>174</v>
      </c>
      <c r="AK51" s="28"/>
      <c r="AL51" s="55" t="s">
        <v>174</v>
      </c>
      <c r="AM51" s="55" t="s">
        <v>174</v>
      </c>
      <c r="AN51" s="55" t="s">
        <v>174</v>
      </c>
      <c r="AO51" s="55" t="s">
        <v>174</v>
      </c>
      <c r="AP51" s="55" t="s">
        <v>174</v>
      </c>
      <c r="AQ51" s="55" t="s">
        <v>174</v>
      </c>
      <c r="AR51" s="28"/>
    </row>
    <row r="52" spans="1:44">
      <c r="A52" s="28"/>
      <c r="B52" s="55" t="s">
        <v>174</v>
      </c>
      <c r="C52" s="55" t="s">
        <v>174</v>
      </c>
      <c r="D52" s="55" t="s">
        <v>174</v>
      </c>
      <c r="E52" s="55" t="s">
        <v>174</v>
      </c>
      <c r="F52" s="55" t="s">
        <v>174</v>
      </c>
      <c r="G52" s="55" t="s">
        <v>174</v>
      </c>
      <c r="H52" s="28"/>
      <c r="I52" s="60">
        <v>2.8</v>
      </c>
      <c r="J52" s="38">
        <v>0.97519999999999996</v>
      </c>
      <c r="K52" s="38">
        <v>0.90900000000000003</v>
      </c>
      <c r="L52" s="50">
        <v>0.28360000000000002</v>
      </c>
      <c r="M52" s="38">
        <v>-0.80830000000000002</v>
      </c>
      <c r="N52" s="38">
        <v>2.7585999999999999</v>
      </c>
      <c r="O52" s="28"/>
      <c r="P52" s="60">
        <v>2.8</v>
      </c>
      <c r="Q52" s="38">
        <v>2.5998999999999999</v>
      </c>
      <c r="R52" s="38">
        <v>1.3779999999999999</v>
      </c>
      <c r="S52" s="38">
        <v>5.9499999999999997E-2</v>
      </c>
      <c r="T52" s="38">
        <v>-0.10440000000000001</v>
      </c>
      <c r="U52" s="38">
        <v>5.3042999999999996</v>
      </c>
      <c r="V52" s="28"/>
      <c r="W52" s="28"/>
      <c r="X52" s="55" t="s">
        <v>174</v>
      </c>
      <c r="Y52" s="55" t="s">
        <v>174</v>
      </c>
      <c r="Z52" s="55" t="s">
        <v>174</v>
      </c>
      <c r="AA52" s="55" t="s">
        <v>174</v>
      </c>
      <c r="AB52" s="55" t="s">
        <v>174</v>
      </c>
      <c r="AC52" s="55" t="s">
        <v>174</v>
      </c>
      <c r="AD52" s="28"/>
      <c r="AE52" s="55" t="s">
        <v>174</v>
      </c>
      <c r="AF52" s="55" t="s">
        <v>174</v>
      </c>
      <c r="AG52" s="55" t="s">
        <v>174</v>
      </c>
      <c r="AH52" s="55" t="s">
        <v>174</v>
      </c>
      <c r="AI52" s="55" t="s">
        <v>174</v>
      </c>
      <c r="AJ52" s="55" t="s">
        <v>174</v>
      </c>
      <c r="AK52" s="28"/>
      <c r="AL52" s="55" t="s">
        <v>174</v>
      </c>
      <c r="AM52" s="55" t="s">
        <v>174</v>
      </c>
      <c r="AN52" s="55" t="s">
        <v>174</v>
      </c>
      <c r="AO52" s="55" t="s">
        <v>174</v>
      </c>
      <c r="AP52" s="55" t="s">
        <v>174</v>
      </c>
      <c r="AQ52" s="55" t="s">
        <v>174</v>
      </c>
      <c r="AR52" s="28"/>
    </row>
    <row r="53" spans="1:44">
      <c r="A53" s="28"/>
      <c r="B53" s="55" t="s">
        <v>174</v>
      </c>
      <c r="C53" s="55" t="s">
        <v>174</v>
      </c>
      <c r="D53" s="55" t="s">
        <v>174</v>
      </c>
      <c r="E53" s="55" t="s">
        <v>174</v>
      </c>
      <c r="F53" s="55" t="s">
        <v>174</v>
      </c>
      <c r="G53" s="55" t="s">
        <v>174</v>
      </c>
      <c r="H53" s="28"/>
      <c r="I53" s="60">
        <v>6.87</v>
      </c>
      <c r="J53" s="38">
        <v>1.2776000000000001</v>
      </c>
      <c r="K53" s="38">
        <v>0.8075</v>
      </c>
      <c r="L53" s="50">
        <v>0.1139</v>
      </c>
      <c r="M53" s="38">
        <v>-0.30669999999999997</v>
      </c>
      <c r="N53" s="38">
        <v>2.8618999999999999</v>
      </c>
      <c r="O53" s="28"/>
      <c r="P53" s="60">
        <v>3.4199000000000002</v>
      </c>
      <c r="Q53" s="38">
        <v>2.6591</v>
      </c>
      <c r="R53" s="38">
        <v>1.355</v>
      </c>
      <c r="S53" s="37">
        <v>0.05</v>
      </c>
      <c r="T53" s="38">
        <v>0</v>
      </c>
      <c r="U53" s="38">
        <v>5.3182999999999998</v>
      </c>
      <c r="V53" s="28"/>
      <c r="W53" s="28"/>
      <c r="X53" s="55" t="s">
        <v>174</v>
      </c>
      <c r="Y53" s="55" t="s">
        <v>174</v>
      </c>
      <c r="Z53" s="55" t="s">
        <v>174</v>
      </c>
      <c r="AA53" s="55" t="s">
        <v>174</v>
      </c>
      <c r="AB53" s="55" t="s">
        <v>174</v>
      </c>
      <c r="AC53" s="55" t="s">
        <v>174</v>
      </c>
      <c r="AD53" s="28"/>
      <c r="AE53" s="55" t="s">
        <v>174</v>
      </c>
      <c r="AF53" s="55" t="s">
        <v>174</v>
      </c>
      <c r="AG53" s="55" t="s">
        <v>174</v>
      </c>
      <c r="AH53" s="55" t="s">
        <v>174</v>
      </c>
      <c r="AI53" s="55" t="s">
        <v>174</v>
      </c>
      <c r="AJ53" s="55" t="s">
        <v>174</v>
      </c>
      <c r="AK53" s="28"/>
      <c r="AL53" s="55" t="s">
        <v>174</v>
      </c>
      <c r="AM53" s="55" t="s">
        <v>174</v>
      </c>
      <c r="AN53" s="55" t="s">
        <v>174</v>
      </c>
      <c r="AO53" s="55" t="s">
        <v>174</v>
      </c>
      <c r="AP53" s="55" t="s">
        <v>174</v>
      </c>
      <c r="AQ53" s="55" t="s">
        <v>174</v>
      </c>
      <c r="AR53" s="28"/>
    </row>
    <row r="54" spans="1:44">
      <c r="A54" s="28"/>
      <c r="B54" s="55" t="s">
        <v>174</v>
      </c>
      <c r="C54" s="55" t="s">
        <v>174</v>
      </c>
      <c r="D54" s="55" t="s">
        <v>174</v>
      </c>
      <c r="E54" s="55" t="s">
        <v>174</v>
      </c>
      <c r="F54" s="55" t="s">
        <v>174</v>
      </c>
      <c r="G54" s="55" t="s">
        <v>174</v>
      </c>
      <c r="H54" s="28"/>
      <c r="I54" s="68">
        <v>9.4769000000000005</v>
      </c>
      <c r="J54" s="38">
        <v>1.4713000000000001</v>
      </c>
      <c r="K54" s="38">
        <v>0.74990000000000001</v>
      </c>
      <c r="L54" s="37">
        <v>0.05</v>
      </c>
      <c r="M54" s="38">
        <v>0</v>
      </c>
      <c r="N54" s="38">
        <v>2.9426999999999999</v>
      </c>
      <c r="O54" s="28"/>
      <c r="P54" s="60">
        <v>6.87</v>
      </c>
      <c r="Q54" s="38">
        <v>2.9887000000000001</v>
      </c>
      <c r="R54" s="38">
        <v>1.2343999999999999</v>
      </c>
      <c r="S54" s="37">
        <v>1.5699999999999999E-2</v>
      </c>
      <c r="T54" s="38">
        <v>0.56620000000000004</v>
      </c>
      <c r="U54" s="38">
        <v>5.4112999999999998</v>
      </c>
      <c r="V54" s="28"/>
      <c r="W54" s="28"/>
      <c r="X54" s="55" t="s">
        <v>174</v>
      </c>
      <c r="Y54" s="55" t="s">
        <v>174</v>
      </c>
      <c r="Z54" s="55" t="s">
        <v>174</v>
      </c>
      <c r="AA54" s="55" t="s">
        <v>174</v>
      </c>
      <c r="AB54" s="55" t="s">
        <v>174</v>
      </c>
      <c r="AC54" s="55" t="s">
        <v>174</v>
      </c>
      <c r="AD54" s="28"/>
      <c r="AE54" s="55" t="s">
        <v>174</v>
      </c>
      <c r="AF54" s="55" t="s">
        <v>174</v>
      </c>
      <c r="AG54" s="55" t="s">
        <v>174</v>
      </c>
      <c r="AH54" s="55" t="s">
        <v>174</v>
      </c>
      <c r="AI54" s="55" t="s">
        <v>174</v>
      </c>
      <c r="AJ54" s="55" t="s">
        <v>174</v>
      </c>
      <c r="AK54" s="28"/>
      <c r="AL54" s="55" t="s">
        <v>174</v>
      </c>
      <c r="AM54" s="55" t="s">
        <v>174</v>
      </c>
      <c r="AN54" s="55" t="s">
        <v>174</v>
      </c>
      <c r="AO54" s="55" t="s">
        <v>174</v>
      </c>
      <c r="AP54" s="55" t="s">
        <v>174</v>
      </c>
      <c r="AQ54" s="55" t="s">
        <v>174</v>
      </c>
      <c r="AR54" s="28"/>
    </row>
    <row r="55" spans="1:44">
      <c r="A55" s="28"/>
      <c r="B55" s="55" t="s">
        <v>174</v>
      </c>
      <c r="C55" s="55" t="s">
        <v>174</v>
      </c>
      <c r="D55" s="55" t="s">
        <v>174</v>
      </c>
      <c r="E55" s="55" t="s">
        <v>174</v>
      </c>
      <c r="F55" s="55" t="s">
        <v>174</v>
      </c>
      <c r="G55" s="55" t="s">
        <v>174</v>
      </c>
      <c r="H55" s="28"/>
      <c r="I55" s="68">
        <v>10.94</v>
      </c>
      <c r="J55" s="38">
        <v>1.58</v>
      </c>
      <c r="K55" s="38">
        <v>0.7208</v>
      </c>
      <c r="L55" s="37">
        <v>2.86E-2</v>
      </c>
      <c r="M55" s="38">
        <v>0.16589999999999999</v>
      </c>
      <c r="N55" s="38">
        <v>2.9942000000000002</v>
      </c>
      <c r="O55" s="28"/>
      <c r="P55" s="60">
        <v>10.94</v>
      </c>
      <c r="Q55" s="38">
        <v>3.3776000000000002</v>
      </c>
      <c r="R55" s="38">
        <v>1.1132</v>
      </c>
      <c r="S55" s="37">
        <v>2.5000000000000001E-3</v>
      </c>
      <c r="T55" s="38">
        <v>1.1929000000000001</v>
      </c>
      <c r="U55" s="38">
        <v>5.5622999999999996</v>
      </c>
      <c r="V55" s="28"/>
      <c r="W55" s="28"/>
      <c r="X55" s="55" t="s">
        <v>174</v>
      </c>
      <c r="Y55" s="55" t="s">
        <v>174</v>
      </c>
      <c r="Z55" s="55" t="s">
        <v>174</v>
      </c>
      <c r="AA55" s="55" t="s">
        <v>174</v>
      </c>
      <c r="AB55" s="55" t="s">
        <v>174</v>
      </c>
      <c r="AC55" s="55" t="s">
        <v>174</v>
      </c>
      <c r="AD55" s="28"/>
      <c r="AE55" s="55" t="s">
        <v>174</v>
      </c>
      <c r="AF55" s="55" t="s">
        <v>174</v>
      </c>
      <c r="AG55" s="55" t="s">
        <v>174</v>
      </c>
      <c r="AH55" s="55" t="s">
        <v>174</v>
      </c>
      <c r="AI55" s="55" t="s">
        <v>174</v>
      </c>
      <c r="AJ55" s="55" t="s">
        <v>174</v>
      </c>
      <c r="AK55" s="28"/>
      <c r="AL55" s="55" t="s">
        <v>174</v>
      </c>
      <c r="AM55" s="55" t="s">
        <v>174</v>
      </c>
      <c r="AN55" s="55" t="s">
        <v>174</v>
      </c>
      <c r="AO55" s="55" t="s">
        <v>174</v>
      </c>
      <c r="AP55" s="55" t="s">
        <v>174</v>
      </c>
      <c r="AQ55" s="55" t="s">
        <v>174</v>
      </c>
      <c r="AR55" s="28"/>
    </row>
    <row r="56" spans="1:44">
      <c r="A56" s="28"/>
      <c r="B56" s="55" t="s">
        <v>174</v>
      </c>
      <c r="C56" s="55" t="s">
        <v>174</v>
      </c>
      <c r="D56" s="55" t="s">
        <v>174</v>
      </c>
      <c r="E56" s="55" t="s">
        <v>174</v>
      </c>
      <c r="F56" s="55" t="s">
        <v>174</v>
      </c>
      <c r="G56" s="55" t="s">
        <v>174</v>
      </c>
      <c r="H56" s="28"/>
      <c r="I56" s="68">
        <v>15.01</v>
      </c>
      <c r="J56" s="38">
        <v>1.8825000000000001</v>
      </c>
      <c r="K56" s="38">
        <v>0.65480000000000005</v>
      </c>
      <c r="L56" s="37">
        <v>4.1000000000000003E-3</v>
      </c>
      <c r="M56" s="38">
        <v>0.5978</v>
      </c>
      <c r="N56" s="38">
        <v>3.1671</v>
      </c>
      <c r="O56" s="28"/>
      <c r="P56" s="60">
        <v>15.01</v>
      </c>
      <c r="Q56" s="38">
        <v>3.7664</v>
      </c>
      <c r="R56" s="38">
        <v>1.0223</v>
      </c>
      <c r="S56" s="37">
        <v>2.0000000000000001E-4</v>
      </c>
      <c r="T56" s="38">
        <v>1.76</v>
      </c>
      <c r="U56" s="38">
        <v>5.7727000000000004</v>
      </c>
      <c r="V56" s="28"/>
      <c r="W56" s="28"/>
      <c r="X56" s="55" t="s">
        <v>174</v>
      </c>
      <c r="Y56" s="55" t="s">
        <v>174</v>
      </c>
      <c r="Z56" s="55" t="s">
        <v>174</v>
      </c>
      <c r="AA56" s="55" t="s">
        <v>174</v>
      </c>
      <c r="AB56" s="55" t="s">
        <v>174</v>
      </c>
      <c r="AC56" s="55" t="s">
        <v>174</v>
      </c>
      <c r="AD56" s="28"/>
      <c r="AE56" s="55" t="s">
        <v>174</v>
      </c>
      <c r="AF56" s="55" t="s">
        <v>174</v>
      </c>
      <c r="AG56" s="55" t="s">
        <v>174</v>
      </c>
      <c r="AH56" s="55" t="s">
        <v>174</v>
      </c>
      <c r="AI56" s="55" t="s">
        <v>174</v>
      </c>
      <c r="AJ56" s="55" t="s">
        <v>174</v>
      </c>
      <c r="AK56" s="28"/>
      <c r="AL56" s="55" t="s">
        <v>174</v>
      </c>
      <c r="AM56" s="55" t="s">
        <v>174</v>
      </c>
      <c r="AN56" s="55" t="s">
        <v>174</v>
      </c>
      <c r="AO56" s="55" t="s">
        <v>174</v>
      </c>
      <c r="AP56" s="55" t="s">
        <v>174</v>
      </c>
      <c r="AQ56" s="55" t="s">
        <v>174</v>
      </c>
      <c r="AR56" s="28"/>
    </row>
    <row r="57" spans="1:44">
      <c r="A57" s="28"/>
      <c r="B57" s="55" t="s">
        <v>174</v>
      </c>
      <c r="C57" s="55" t="s">
        <v>174</v>
      </c>
      <c r="D57" s="55" t="s">
        <v>174</v>
      </c>
      <c r="E57" s="55" t="s">
        <v>174</v>
      </c>
      <c r="F57" s="55" t="s">
        <v>174</v>
      </c>
      <c r="G57" s="55" t="s">
        <v>174</v>
      </c>
      <c r="H57" s="28"/>
      <c r="I57" s="68">
        <v>19.079999999999998</v>
      </c>
      <c r="J57" s="38">
        <v>2.1848999999999998</v>
      </c>
      <c r="K57" s="38">
        <v>0.61609999999999998</v>
      </c>
      <c r="L57" s="37">
        <v>4.0000000000000002E-4</v>
      </c>
      <c r="M57" s="38">
        <v>0.97609999999999997</v>
      </c>
      <c r="N57" s="38">
        <v>3.3936999999999999</v>
      </c>
      <c r="O57" s="28"/>
      <c r="P57" s="60">
        <v>19.079999999999998</v>
      </c>
      <c r="Q57" s="38">
        <v>4.1551999999999998</v>
      </c>
      <c r="R57" s="38">
        <v>0.97040000000000004</v>
      </c>
      <c r="S57" s="37">
        <v>0</v>
      </c>
      <c r="T57" s="38">
        <v>2.2507999999999999</v>
      </c>
      <c r="U57" s="38">
        <v>6.0595999999999997</v>
      </c>
      <c r="V57" s="28"/>
      <c r="W57" s="28"/>
      <c r="X57" s="55" t="s">
        <v>174</v>
      </c>
      <c r="Y57" s="55" t="s">
        <v>174</v>
      </c>
      <c r="Z57" s="55" t="s">
        <v>174</v>
      </c>
      <c r="AA57" s="55" t="s">
        <v>174</v>
      </c>
      <c r="AB57" s="55" t="s">
        <v>174</v>
      </c>
      <c r="AC57" s="55" t="s">
        <v>174</v>
      </c>
      <c r="AD57" s="28"/>
      <c r="AE57" s="55" t="s">
        <v>174</v>
      </c>
      <c r="AF57" s="55" t="s">
        <v>174</v>
      </c>
      <c r="AG57" s="55" t="s">
        <v>174</v>
      </c>
      <c r="AH57" s="55" t="s">
        <v>174</v>
      </c>
      <c r="AI57" s="55" t="s">
        <v>174</v>
      </c>
      <c r="AJ57" s="55" t="s">
        <v>174</v>
      </c>
      <c r="AK57" s="28"/>
      <c r="AL57" s="55" t="s">
        <v>174</v>
      </c>
      <c r="AM57" s="55" t="s">
        <v>174</v>
      </c>
      <c r="AN57" s="55" t="s">
        <v>174</v>
      </c>
      <c r="AO57" s="55" t="s">
        <v>174</v>
      </c>
      <c r="AP57" s="55" t="s">
        <v>174</v>
      </c>
      <c r="AQ57" s="55" t="s">
        <v>174</v>
      </c>
      <c r="AR57" s="28"/>
    </row>
    <row r="58" spans="1:44">
      <c r="A58" s="28"/>
      <c r="B58" s="55" t="s">
        <v>174</v>
      </c>
      <c r="C58" s="55" t="s">
        <v>174</v>
      </c>
      <c r="D58" s="55" t="s">
        <v>174</v>
      </c>
      <c r="E58" s="55" t="s">
        <v>174</v>
      </c>
      <c r="F58" s="55" t="s">
        <v>174</v>
      </c>
      <c r="G58" s="55" t="s">
        <v>174</v>
      </c>
      <c r="H58" s="28"/>
      <c r="I58" s="68">
        <v>23.15</v>
      </c>
      <c r="J58" s="38">
        <v>2.4874000000000001</v>
      </c>
      <c r="K58" s="38">
        <v>0.61009999999999998</v>
      </c>
      <c r="L58" s="37">
        <v>0</v>
      </c>
      <c r="M58" s="38">
        <v>1.2904</v>
      </c>
      <c r="N58" s="38">
        <v>3.6842999999999999</v>
      </c>
      <c r="O58" s="28"/>
      <c r="P58" s="60">
        <v>23.15</v>
      </c>
      <c r="Q58" s="38">
        <v>4.5439999999999996</v>
      </c>
      <c r="R58" s="38">
        <v>0.96360000000000001</v>
      </c>
      <c r="S58" s="37">
        <v>0</v>
      </c>
      <c r="T58" s="38">
        <v>2.6528999999999998</v>
      </c>
      <c r="U58" s="38">
        <v>6.4352</v>
      </c>
      <c r="V58" s="28"/>
      <c r="W58" s="28"/>
      <c r="X58" s="55" t="s">
        <v>174</v>
      </c>
      <c r="Y58" s="55" t="s">
        <v>174</v>
      </c>
      <c r="Z58" s="55" t="s">
        <v>174</v>
      </c>
      <c r="AA58" s="55" t="s">
        <v>174</v>
      </c>
      <c r="AB58" s="55" t="s">
        <v>174</v>
      </c>
      <c r="AC58" s="55" t="s">
        <v>174</v>
      </c>
      <c r="AD58" s="28"/>
      <c r="AE58" s="55" t="s">
        <v>174</v>
      </c>
      <c r="AF58" s="55" t="s">
        <v>174</v>
      </c>
      <c r="AG58" s="55" t="s">
        <v>174</v>
      </c>
      <c r="AH58" s="55" t="s">
        <v>174</v>
      </c>
      <c r="AI58" s="55" t="s">
        <v>174</v>
      </c>
      <c r="AJ58" s="55" t="s">
        <v>174</v>
      </c>
      <c r="AK58" s="28"/>
      <c r="AL58" s="55" t="s">
        <v>174</v>
      </c>
      <c r="AM58" s="55" t="s">
        <v>174</v>
      </c>
      <c r="AN58" s="55" t="s">
        <v>174</v>
      </c>
      <c r="AO58" s="55" t="s">
        <v>174</v>
      </c>
      <c r="AP58" s="55" t="s">
        <v>174</v>
      </c>
      <c r="AQ58" s="55" t="s">
        <v>174</v>
      </c>
      <c r="AR58" s="28"/>
    </row>
    <row r="59" spans="1:44">
      <c r="A59" s="28"/>
      <c r="B59" s="55" t="s">
        <v>174</v>
      </c>
      <c r="C59" s="55" t="s">
        <v>174</v>
      </c>
      <c r="D59" s="55" t="s">
        <v>174</v>
      </c>
      <c r="E59" s="55" t="s">
        <v>174</v>
      </c>
      <c r="F59" s="55" t="s">
        <v>174</v>
      </c>
      <c r="G59" s="55" t="s">
        <v>174</v>
      </c>
      <c r="H59" s="28"/>
      <c r="I59" s="68">
        <v>27.22</v>
      </c>
      <c r="J59" s="38">
        <v>2.7898000000000001</v>
      </c>
      <c r="K59" s="38">
        <v>0.63759999999999994</v>
      </c>
      <c r="L59" s="37">
        <v>0</v>
      </c>
      <c r="M59" s="38">
        <v>1.5388999999999999</v>
      </c>
      <c r="N59" s="38">
        <v>4.0407000000000002</v>
      </c>
      <c r="O59" s="28"/>
      <c r="P59" s="60">
        <v>27.22</v>
      </c>
      <c r="Q59" s="38">
        <v>4.9329000000000001</v>
      </c>
      <c r="R59" s="38">
        <v>1.0029999999999999</v>
      </c>
      <c r="S59" s="37">
        <v>0</v>
      </c>
      <c r="T59" s="38">
        <v>2.9643999999999999</v>
      </c>
      <c r="U59" s="38">
        <v>6.9013</v>
      </c>
      <c r="V59" s="28"/>
      <c r="W59" s="28"/>
      <c r="X59" s="55" t="s">
        <v>174</v>
      </c>
      <c r="Y59" s="55" t="s">
        <v>174</v>
      </c>
      <c r="Z59" s="55" t="s">
        <v>174</v>
      </c>
      <c r="AA59" s="55" t="s">
        <v>174</v>
      </c>
      <c r="AB59" s="55" t="s">
        <v>174</v>
      </c>
      <c r="AC59" s="55" t="s">
        <v>174</v>
      </c>
      <c r="AD59" s="28"/>
      <c r="AE59" s="55" t="s">
        <v>174</v>
      </c>
      <c r="AF59" s="55" t="s">
        <v>174</v>
      </c>
      <c r="AG59" s="55" t="s">
        <v>174</v>
      </c>
      <c r="AH59" s="55" t="s">
        <v>174</v>
      </c>
      <c r="AI59" s="55" t="s">
        <v>174</v>
      </c>
      <c r="AJ59" s="55" t="s">
        <v>174</v>
      </c>
      <c r="AK59" s="28"/>
      <c r="AL59" s="55" t="s">
        <v>174</v>
      </c>
      <c r="AM59" s="55" t="s">
        <v>174</v>
      </c>
      <c r="AN59" s="55" t="s">
        <v>174</v>
      </c>
      <c r="AO59" s="55" t="s">
        <v>174</v>
      </c>
      <c r="AP59" s="55" t="s">
        <v>174</v>
      </c>
      <c r="AQ59" s="55" t="s">
        <v>174</v>
      </c>
      <c r="AR59" s="28"/>
    </row>
    <row r="60" spans="1:44">
      <c r="A60" s="28"/>
      <c r="B60" s="55" t="s">
        <v>174</v>
      </c>
      <c r="C60" s="55" t="s">
        <v>174</v>
      </c>
      <c r="D60" s="55" t="s">
        <v>174</v>
      </c>
      <c r="E60" s="55" t="s">
        <v>174</v>
      </c>
      <c r="F60" s="55" t="s">
        <v>174</v>
      </c>
      <c r="G60" s="55" t="s">
        <v>174</v>
      </c>
      <c r="H60" s="28"/>
      <c r="I60" s="68">
        <v>31.29</v>
      </c>
      <c r="J60" s="38">
        <v>3.0922000000000001</v>
      </c>
      <c r="K60" s="38">
        <v>0.6946</v>
      </c>
      <c r="L60" s="37">
        <v>0</v>
      </c>
      <c r="M60" s="38">
        <v>1.7294</v>
      </c>
      <c r="N60" s="38">
        <v>4.4550999999999998</v>
      </c>
      <c r="O60" s="28"/>
      <c r="P60" s="60">
        <v>31.29</v>
      </c>
      <c r="Q60" s="38">
        <v>5.3216999999999999</v>
      </c>
      <c r="R60" s="38">
        <v>1.0834999999999999</v>
      </c>
      <c r="S60" s="37">
        <v>0</v>
      </c>
      <c r="T60" s="38">
        <v>3.1951999999999998</v>
      </c>
      <c r="U60" s="38">
        <v>7.4481000000000002</v>
      </c>
      <c r="V60" s="28"/>
      <c r="W60" s="28"/>
      <c r="X60" s="55" t="s">
        <v>174</v>
      </c>
      <c r="Y60" s="55" t="s">
        <v>174</v>
      </c>
      <c r="Z60" s="55" t="s">
        <v>174</v>
      </c>
      <c r="AA60" s="55" t="s">
        <v>174</v>
      </c>
      <c r="AB60" s="55" t="s">
        <v>174</v>
      </c>
      <c r="AC60" s="55" t="s">
        <v>174</v>
      </c>
      <c r="AD60" s="28"/>
      <c r="AE60" s="55" t="s">
        <v>174</v>
      </c>
      <c r="AF60" s="55" t="s">
        <v>174</v>
      </c>
      <c r="AG60" s="55" t="s">
        <v>174</v>
      </c>
      <c r="AH60" s="55" t="s">
        <v>174</v>
      </c>
      <c r="AI60" s="55" t="s">
        <v>174</v>
      </c>
      <c r="AJ60" s="55" t="s">
        <v>174</v>
      </c>
      <c r="AK60" s="28"/>
      <c r="AL60" s="55" t="s">
        <v>174</v>
      </c>
      <c r="AM60" s="55" t="s">
        <v>174</v>
      </c>
      <c r="AN60" s="55" t="s">
        <v>174</v>
      </c>
      <c r="AO60" s="55" t="s">
        <v>174</v>
      </c>
      <c r="AP60" s="55" t="s">
        <v>174</v>
      </c>
      <c r="AQ60" s="55" t="s">
        <v>174</v>
      </c>
      <c r="AR60" s="28"/>
    </row>
    <row r="61" spans="1:44">
      <c r="A61" s="28"/>
      <c r="B61" s="55" t="s">
        <v>174</v>
      </c>
      <c r="C61" s="55" t="s">
        <v>174</v>
      </c>
      <c r="D61" s="55" t="s">
        <v>174</v>
      </c>
      <c r="E61" s="55" t="s">
        <v>174</v>
      </c>
      <c r="F61" s="55" t="s">
        <v>174</v>
      </c>
      <c r="G61" s="55" t="s">
        <v>174</v>
      </c>
      <c r="H61" s="28"/>
      <c r="I61" s="68">
        <v>35.36</v>
      </c>
      <c r="J61" s="38">
        <v>3.3946999999999998</v>
      </c>
      <c r="K61" s="38">
        <v>0.77470000000000006</v>
      </c>
      <c r="L61" s="37">
        <v>0</v>
      </c>
      <c r="M61" s="38">
        <v>1.8747</v>
      </c>
      <c r="N61" s="38">
        <v>4.9146999999999998</v>
      </c>
      <c r="O61" s="28"/>
      <c r="P61" s="60">
        <v>35.36</v>
      </c>
      <c r="Q61" s="38">
        <v>5.7104999999999997</v>
      </c>
      <c r="R61" s="38">
        <v>1.1969000000000001</v>
      </c>
      <c r="S61" s="37">
        <v>0</v>
      </c>
      <c r="T61" s="38">
        <v>3.3616000000000001</v>
      </c>
      <c r="U61" s="38">
        <v>8.0594000000000001</v>
      </c>
      <c r="V61" s="28"/>
      <c r="W61" s="28"/>
      <c r="X61" s="55" t="s">
        <v>174</v>
      </c>
      <c r="Y61" s="55" t="s">
        <v>174</v>
      </c>
      <c r="Z61" s="55" t="s">
        <v>174</v>
      </c>
      <c r="AA61" s="55" t="s">
        <v>174</v>
      </c>
      <c r="AB61" s="55" t="s">
        <v>174</v>
      </c>
      <c r="AC61" s="55" t="s">
        <v>174</v>
      </c>
      <c r="AD61" s="28"/>
      <c r="AE61" s="55" t="s">
        <v>174</v>
      </c>
      <c r="AF61" s="55" t="s">
        <v>174</v>
      </c>
      <c r="AG61" s="55" t="s">
        <v>174</v>
      </c>
      <c r="AH61" s="55" t="s">
        <v>174</v>
      </c>
      <c r="AI61" s="55" t="s">
        <v>174</v>
      </c>
      <c r="AJ61" s="55" t="s">
        <v>174</v>
      </c>
      <c r="AK61" s="28"/>
      <c r="AL61" s="55" t="s">
        <v>174</v>
      </c>
      <c r="AM61" s="55" t="s">
        <v>174</v>
      </c>
      <c r="AN61" s="55" t="s">
        <v>174</v>
      </c>
      <c r="AO61" s="55" t="s">
        <v>174</v>
      </c>
      <c r="AP61" s="55" t="s">
        <v>174</v>
      </c>
      <c r="AQ61" s="55" t="s">
        <v>174</v>
      </c>
      <c r="AR61" s="28"/>
    </row>
    <row r="62" spans="1:44">
      <c r="A62" s="28"/>
      <c r="B62" s="55" t="s">
        <v>174</v>
      </c>
      <c r="C62" s="55" t="s">
        <v>174</v>
      </c>
      <c r="D62" s="55" t="s">
        <v>174</v>
      </c>
      <c r="E62" s="55" t="s">
        <v>174</v>
      </c>
      <c r="F62" s="55" t="s">
        <v>174</v>
      </c>
      <c r="G62" s="55" t="s">
        <v>174</v>
      </c>
      <c r="H62" s="28"/>
      <c r="I62" s="68">
        <v>39.43</v>
      </c>
      <c r="J62" s="38">
        <v>3.6970999999999998</v>
      </c>
      <c r="K62" s="38">
        <v>0.87160000000000004</v>
      </c>
      <c r="L62" s="37">
        <v>0</v>
      </c>
      <c r="M62" s="38">
        <v>1.9871000000000001</v>
      </c>
      <c r="N62" s="38">
        <v>5.4070999999999998</v>
      </c>
      <c r="O62" s="28"/>
      <c r="P62" s="60">
        <v>39.43</v>
      </c>
      <c r="Q62" s="38">
        <v>6.0993000000000004</v>
      </c>
      <c r="R62" s="38">
        <v>1.3347</v>
      </c>
      <c r="S62" s="37">
        <v>0</v>
      </c>
      <c r="T62" s="38">
        <v>3.4799000000000002</v>
      </c>
      <c r="U62" s="38">
        <v>8.7187999999999999</v>
      </c>
      <c r="V62" s="28"/>
      <c r="W62" s="28"/>
      <c r="X62" s="55" t="s">
        <v>174</v>
      </c>
      <c r="Y62" s="55" t="s">
        <v>174</v>
      </c>
      <c r="Z62" s="55" t="s">
        <v>174</v>
      </c>
      <c r="AA62" s="55" t="s">
        <v>174</v>
      </c>
      <c r="AB62" s="55" t="s">
        <v>174</v>
      </c>
      <c r="AC62" s="55" t="s">
        <v>174</v>
      </c>
      <c r="AD62" s="28"/>
      <c r="AE62" s="55" t="s">
        <v>174</v>
      </c>
      <c r="AF62" s="55" t="s">
        <v>174</v>
      </c>
      <c r="AG62" s="55" t="s">
        <v>174</v>
      </c>
      <c r="AH62" s="55" t="s">
        <v>174</v>
      </c>
      <c r="AI62" s="55" t="s">
        <v>174</v>
      </c>
      <c r="AJ62" s="55" t="s">
        <v>174</v>
      </c>
      <c r="AK62" s="28"/>
      <c r="AL62" s="55" t="s">
        <v>174</v>
      </c>
      <c r="AM62" s="55" t="s">
        <v>174</v>
      </c>
      <c r="AN62" s="55" t="s">
        <v>174</v>
      </c>
      <c r="AO62" s="55" t="s">
        <v>174</v>
      </c>
      <c r="AP62" s="55" t="s">
        <v>174</v>
      </c>
      <c r="AQ62" s="55" t="s">
        <v>174</v>
      </c>
      <c r="AR62" s="28"/>
    </row>
    <row r="63" spans="1:44" ht="15" customHeight="1">
      <c r="A63" s="28"/>
      <c r="B63" s="55" t="s">
        <v>174</v>
      </c>
      <c r="C63" s="55" t="s">
        <v>174</v>
      </c>
      <c r="D63" s="55" t="s">
        <v>174</v>
      </c>
      <c r="E63" s="55" t="s">
        <v>174</v>
      </c>
      <c r="F63" s="55" t="s">
        <v>174</v>
      </c>
      <c r="G63" s="55" t="s">
        <v>174</v>
      </c>
      <c r="H63" s="28"/>
      <c r="I63" s="68">
        <v>43.5</v>
      </c>
      <c r="J63" s="38">
        <v>3.9994999999999998</v>
      </c>
      <c r="K63" s="38">
        <v>0.98019999999999996</v>
      </c>
      <c r="L63" s="37">
        <v>0</v>
      </c>
      <c r="M63" s="38">
        <v>2.0764999999999998</v>
      </c>
      <c r="N63" s="38">
        <v>5.9226000000000001</v>
      </c>
      <c r="O63" s="28"/>
      <c r="P63" s="60">
        <v>43.5</v>
      </c>
      <c r="Q63" s="38">
        <v>6.4882</v>
      </c>
      <c r="R63" s="38">
        <v>1.4903</v>
      </c>
      <c r="S63" s="37">
        <v>0</v>
      </c>
      <c r="T63" s="38">
        <v>3.5634000000000001</v>
      </c>
      <c r="U63" s="38">
        <v>9.4129000000000005</v>
      </c>
      <c r="V63" s="28"/>
      <c r="W63" s="28"/>
      <c r="X63" s="55" t="s">
        <v>174</v>
      </c>
      <c r="Y63" s="55" t="s">
        <v>174</v>
      </c>
      <c r="Z63" s="55" t="s">
        <v>174</v>
      </c>
      <c r="AA63" s="55" t="s">
        <v>174</v>
      </c>
      <c r="AB63" s="55" t="s">
        <v>174</v>
      </c>
      <c r="AC63" s="55" t="s">
        <v>174</v>
      </c>
      <c r="AD63" s="28"/>
      <c r="AE63" s="55" t="s">
        <v>174</v>
      </c>
      <c r="AF63" s="55" t="s">
        <v>174</v>
      </c>
      <c r="AG63" s="55" t="s">
        <v>174</v>
      </c>
      <c r="AH63" s="55" t="s">
        <v>174</v>
      </c>
      <c r="AI63" s="55" t="s">
        <v>174</v>
      </c>
      <c r="AJ63" s="55" t="s">
        <v>174</v>
      </c>
      <c r="AK63" s="28"/>
      <c r="AL63" s="55" t="s">
        <v>174</v>
      </c>
      <c r="AM63" s="55" t="s">
        <v>174</v>
      </c>
      <c r="AN63" s="55" t="s">
        <v>174</v>
      </c>
      <c r="AO63" s="55" t="s">
        <v>174</v>
      </c>
      <c r="AP63" s="55" t="s">
        <v>174</v>
      </c>
      <c r="AQ63" s="55" t="s">
        <v>174</v>
      </c>
      <c r="AR63" s="28"/>
    </row>
    <row r="64" spans="1:44">
      <c r="A64" s="28"/>
      <c r="B64" s="55" t="s">
        <v>174</v>
      </c>
      <c r="C64" s="55" t="s">
        <v>174</v>
      </c>
      <c r="D64" s="55" t="s">
        <v>174</v>
      </c>
      <c r="E64" s="55" t="s">
        <v>174</v>
      </c>
      <c r="F64" s="55" t="s">
        <v>174</v>
      </c>
      <c r="G64" s="55" t="s">
        <v>174</v>
      </c>
      <c r="H64" s="28"/>
      <c r="I64" s="68">
        <v>47.57</v>
      </c>
      <c r="J64" s="38">
        <v>4.3019999999999996</v>
      </c>
      <c r="K64" s="38">
        <v>1.0971</v>
      </c>
      <c r="L64" s="37">
        <v>1E-4</v>
      </c>
      <c r="M64" s="38">
        <v>2.1495000000000002</v>
      </c>
      <c r="N64" s="38">
        <v>6.4543999999999997</v>
      </c>
      <c r="O64" s="28"/>
      <c r="P64" s="60">
        <v>47.57</v>
      </c>
      <c r="Q64" s="38">
        <v>6.8769999999999998</v>
      </c>
      <c r="R64" s="38">
        <v>1.6586000000000001</v>
      </c>
      <c r="S64" s="37">
        <v>0</v>
      </c>
      <c r="T64" s="38">
        <v>3.6219000000000001</v>
      </c>
      <c r="U64" s="38">
        <v>10.132099999999999</v>
      </c>
      <c r="V64" s="28"/>
      <c r="W64" s="28"/>
      <c r="X64" s="55" t="s">
        <v>174</v>
      </c>
      <c r="Y64" s="55" t="s">
        <v>174</v>
      </c>
      <c r="Z64" s="55" t="s">
        <v>174</v>
      </c>
      <c r="AA64" s="55" t="s">
        <v>174</v>
      </c>
      <c r="AB64" s="55" t="s">
        <v>174</v>
      </c>
      <c r="AC64" s="55" t="s">
        <v>174</v>
      </c>
      <c r="AD64" s="28"/>
      <c r="AE64" s="55" t="s">
        <v>174</v>
      </c>
      <c r="AF64" s="55" t="s">
        <v>174</v>
      </c>
      <c r="AG64" s="55" t="s">
        <v>174</v>
      </c>
      <c r="AH64" s="55" t="s">
        <v>174</v>
      </c>
      <c r="AI64" s="55" t="s">
        <v>174</v>
      </c>
      <c r="AJ64" s="55" t="s">
        <v>174</v>
      </c>
      <c r="AK64" s="28"/>
      <c r="AL64" s="55" t="s">
        <v>174</v>
      </c>
      <c r="AM64" s="55" t="s">
        <v>174</v>
      </c>
      <c r="AN64" s="55" t="s">
        <v>174</v>
      </c>
      <c r="AO64" s="55" t="s">
        <v>174</v>
      </c>
      <c r="AP64" s="55" t="s">
        <v>174</v>
      </c>
      <c r="AQ64" s="55" t="s">
        <v>174</v>
      </c>
      <c r="AR64" s="28"/>
    </row>
    <row r="65" spans="1:44">
      <c r="A65" s="28"/>
      <c r="B65" s="55" t="s">
        <v>174</v>
      </c>
      <c r="C65" s="55" t="s">
        <v>174</v>
      </c>
      <c r="D65" s="55" t="s">
        <v>174</v>
      </c>
      <c r="E65" s="55" t="s">
        <v>174</v>
      </c>
      <c r="F65" s="55" t="s">
        <v>174</v>
      </c>
      <c r="G65" s="55" t="s">
        <v>174</v>
      </c>
      <c r="H65" s="28"/>
      <c r="I65" s="68">
        <v>51.64</v>
      </c>
      <c r="J65" s="38">
        <v>4.6044</v>
      </c>
      <c r="K65" s="38">
        <v>1.2199</v>
      </c>
      <c r="L65" s="37">
        <v>2.0000000000000001E-4</v>
      </c>
      <c r="M65" s="38">
        <v>2.2109999999999999</v>
      </c>
      <c r="N65" s="38">
        <v>6.9977</v>
      </c>
      <c r="O65" s="28"/>
      <c r="P65" s="60">
        <v>51.64</v>
      </c>
      <c r="Q65" s="38">
        <v>7.2657999999999996</v>
      </c>
      <c r="R65" s="38">
        <v>1.8362000000000001</v>
      </c>
      <c r="S65" s="37">
        <v>1E-4</v>
      </c>
      <c r="T65" s="38">
        <v>3.6623000000000001</v>
      </c>
      <c r="U65" s="38">
        <v>10.869400000000001</v>
      </c>
      <c r="V65" s="28"/>
      <c r="W65" s="28"/>
      <c r="X65" s="55" t="s">
        <v>174</v>
      </c>
      <c r="Y65" s="55" t="s">
        <v>174</v>
      </c>
      <c r="Z65" s="55" t="s">
        <v>174</v>
      </c>
      <c r="AA65" s="55" t="s">
        <v>174</v>
      </c>
      <c r="AB65" s="55" t="s">
        <v>174</v>
      </c>
      <c r="AC65" s="55" t="s">
        <v>174</v>
      </c>
      <c r="AD65" s="28"/>
      <c r="AE65" s="55" t="s">
        <v>174</v>
      </c>
      <c r="AF65" s="55" t="s">
        <v>174</v>
      </c>
      <c r="AG65" s="55" t="s">
        <v>174</v>
      </c>
      <c r="AH65" s="55" t="s">
        <v>174</v>
      </c>
      <c r="AI65" s="55" t="s">
        <v>174</v>
      </c>
      <c r="AJ65" s="55" t="s">
        <v>174</v>
      </c>
      <c r="AK65" s="28"/>
      <c r="AL65" s="55" t="s">
        <v>174</v>
      </c>
      <c r="AM65" s="55" t="s">
        <v>174</v>
      </c>
      <c r="AN65" s="55" t="s">
        <v>174</v>
      </c>
      <c r="AO65" s="55" t="s">
        <v>174</v>
      </c>
      <c r="AP65" s="55" t="s">
        <v>174</v>
      </c>
      <c r="AQ65" s="55" t="s">
        <v>174</v>
      </c>
      <c r="AR65" s="28"/>
    </row>
    <row r="66" spans="1:44">
      <c r="A66" s="28"/>
      <c r="B66" s="55" t="s">
        <v>174</v>
      </c>
      <c r="C66" s="55" t="s">
        <v>174</v>
      </c>
      <c r="D66" s="55" t="s">
        <v>174</v>
      </c>
      <c r="E66" s="55" t="s">
        <v>174</v>
      </c>
      <c r="F66" s="55" t="s">
        <v>174</v>
      </c>
      <c r="G66" s="55" t="s">
        <v>174</v>
      </c>
      <c r="H66" s="28"/>
      <c r="I66" s="68">
        <v>55.71</v>
      </c>
      <c r="J66" s="38">
        <v>4.9067999999999996</v>
      </c>
      <c r="K66" s="38">
        <v>1.347</v>
      </c>
      <c r="L66" s="37">
        <v>2.9999999999999997E-4</v>
      </c>
      <c r="M66" s="38">
        <v>2.2641</v>
      </c>
      <c r="N66" s="38">
        <v>7.5495000000000001</v>
      </c>
      <c r="O66" s="28"/>
      <c r="P66" s="60">
        <v>55.71</v>
      </c>
      <c r="Q66" s="38">
        <v>7.6546000000000003</v>
      </c>
      <c r="R66" s="38">
        <v>2.0205000000000002</v>
      </c>
      <c r="S66" s="37">
        <v>2.0000000000000001E-4</v>
      </c>
      <c r="T66" s="38">
        <v>3.6892999999999998</v>
      </c>
      <c r="U66" s="38">
        <v>11.62</v>
      </c>
      <c r="V66" s="28"/>
      <c r="W66" s="28"/>
      <c r="X66" s="55" t="s">
        <v>174</v>
      </c>
      <c r="Y66" s="55" t="s">
        <v>174</v>
      </c>
      <c r="Z66" s="55" t="s">
        <v>174</v>
      </c>
      <c r="AA66" s="55" t="s">
        <v>174</v>
      </c>
      <c r="AB66" s="55" t="s">
        <v>174</v>
      </c>
      <c r="AC66" s="55" t="s">
        <v>174</v>
      </c>
      <c r="AD66" s="28"/>
      <c r="AE66" s="55" t="s">
        <v>174</v>
      </c>
      <c r="AF66" s="55" t="s">
        <v>174</v>
      </c>
      <c r="AG66" s="55" t="s">
        <v>174</v>
      </c>
      <c r="AH66" s="55" t="s">
        <v>174</v>
      </c>
      <c r="AI66" s="55" t="s">
        <v>174</v>
      </c>
      <c r="AJ66" s="55" t="s">
        <v>174</v>
      </c>
      <c r="AK66" s="28"/>
      <c r="AL66" s="55" t="s">
        <v>174</v>
      </c>
      <c r="AM66" s="55" t="s">
        <v>174</v>
      </c>
      <c r="AN66" s="55" t="s">
        <v>174</v>
      </c>
      <c r="AO66" s="55" t="s">
        <v>174</v>
      </c>
      <c r="AP66" s="55" t="s">
        <v>174</v>
      </c>
      <c r="AQ66" s="55" t="s">
        <v>174</v>
      </c>
      <c r="AR66" s="28"/>
    </row>
    <row r="67" spans="1:44">
      <c r="A67" s="28"/>
      <c r="B67" s="55" t="s">
        <v>174</v>
      </c>
      <c r="C67" s="55" t="s">
        <v>174</v>
      </c>
      <c r="D67" s="55" t="s">
        <v>174</v>
      </c>
      <c r="E67" s="55" t="s">
        <v>174</v>
      </c>
      <c r="F67" s="55" t="s">
        <v>174</v>
      </c>
      <c r="G67" s="55" t="s">
        <v>174</v>
      </c>
      <c r="H67" s="28"/>
      <c r="I67" s="68">
        <v>59.78</v>
      </c>
      <c r="J67" s="38">
        <v>5.2092999999999998</v>
      </c>
      <c r="K67" s="38">
        <v>1.4773000000000001</v>
      </c>
      <c r="L67" s="37">
        <v>4.0000000000000002E-4</v>
      </c>
      <c r="M67" s="38">
        <v>2.3109999999999999</v>
      </c>
      <c r="N67" s="38">
        <v>8.1075999999999997</v>
      </c>
      <c r="O67" s="28"/>
      <c r="P67" s="60">
        <v>59.78</v>
      </c>
      <c r="Q67" s="38">
        <v>8.0434999999999999</v>
      </c>
      <c r="R67" s="38">
        <v>2.21</v>
      </c>
      <c r="S67" s="37">
        <v>2.9999999999999997E-4</v>
      </c>
      <c r="T67" s="38">
        <v>3.7063000000000001</v>
      </c>
      <c r="U67" s="38">
        <v>12.380699999999999</v>
      </c>
      <c r="V67" s="28"/>
      <c r="W67" s="28"/>
      <c r="X67" s="55" t="s">
        <v>174</v>
      </c>
      <c r="Y67" s="55" t="s">
        <v>174</v>
      </c>
      <c r="Z67" s="55" t="s">
        <v>174</v>
      </c>
      <c r="AA67" s="55" t="s">
        <v>174</v>
      </c>
      <c r="AB67" s="55" t="s">
        <v>174</v>
      </c>
      <c r="AC67" s="55" t="s">
        <v>174</v>
      </c>
      <c r="AD67" s="28"/>
      <c r="AE67" s="55" t="s">
        <v>174</v>
      </c>
      <c r="AF67" s="55" t="s">
        <v>174</v>
      </c>
      <c r="AG67" s="55" t="s">
        <v>174</v>
      </c>
      <c r="AH67" s="55" t="s">
        <v>174</v>
      </c>
      <c r="AI67" s="55" t="s">
        <v>174</v>
      </c>
      <c r="AJ67" s="55" t="s">
        <v>174</v>
      </c>
      <c r="AK67" s="28"/>
      <c r="AL67" s="55" t="s">
        <v>174</v>
      </c>
      <c r="AM67" s="55" t="s">
        <v>174</v>
      </c>
      <c r="AN67" s="55" t="s">
        <v>174</v>
      </c>
      <c r="AO67" s="55" t="s">
        <v>174</v>
      </c>
      <c r="AP67" s="55" t="s">
        <v>174</v>
      </c>
      <c r="AQ67" s="55" t="s">
        <v>174</v>
      </c>
      <c r="AR67" s="28"/>
    </row>
    <row r="68" spans="1:44">
      <c r="A68" s="28"/>
      <c r="B68" s="55" t="s">
        <v>174</v>
      </c>
      <c r="C68" s="55" t="s">
        <v>174</v>
      </c>
      <c r="D68" s="55" t="s">
        <v>174</v>
      </c>
      <c r="E68" s="55" t="s">
        <v>174</v>
      </c>
      <c r="F68" s="55" t="s">
        <v>174</v>
      </c>
      <c r="G68" s="55" t="s">
        <v>174</v>
      </c>
      <c r="H68" s="28"/>
      <c r="I68" s="68">
        <v>63.85</v>
      </c>
      <c r="J68" s="38">
        <v>5.5117000000000003</v>
      </c>
      <c r="K68" s="38">
        <v>1.61</v>
      </c>
      <c r="L68" s="37">
        <v>5.9999999999999995E-4</v>
      </c>
      <c r="M68" s="38">
        <v>2.3531</v>
      </c>
      <c r="N68" s="38">
        <v>8.6702999999999992</v>
      </c>
      <c r="O68" s="28"/>
      <c r="P68" s="60">
        <v>63.85</v>
      </c>
      <c r="Q68" s="38">
        <v>8.4322999999999997</v>
      </c>
      <c r="R68" s="38">
        <v>2.4034</v>
      </c>
      <c r="S68" s="37">
        <v>5.0000000000000001E-4</v>
      </c>
      <c r="T68" s="38">
        <v>3.7155999999999998</v>
      </c>
      <c r="U68" s="38">
        <v>13.148999999999999</v>
      </c>
      <c r="V68" s="28"/>
      <c r="W68" s="28"/>
      <c r="X68" s="55" t="s">
        <v>174</v>
      </c>
      <c r="Y68" s="55" t="s">
        <v>174</v>
      </c>
      <c r="Z68" s="55" t="s">
        <v>174</v>
      </c>
      <c r="AA68" s="55" t="s">
        <v>174</v>
      </c>
      <c r="AB68" s="55" t="s">
        <v>174</v>
      </c>
      <c r="AC68" s="55" t="s">
        <v>174</v>
      </c>
      <c r="AD68" s="28"/>
      <c r="AE68" s="55" t="s">
        <v>174</v>
      </c>
      <c r="AF68" s="55" t="s">
        <v>174</v>
      </c>
      <c r="AG68" s="55" t="s">
        <v>174</v>
      </c>
      <c r="AH68" s="55" t="s">
        <v>174</v>
      </c>
      <c r="AI68" s="55" t="s">
        <v>174</v>
      </c>
      <c r="AJ68" s="55" t="s">
        <v>174</v>
      </c>
      <c r="AK68" s="28"/>
      <c r="AL68" s="55" t="s">
        <v>174</v>
      </c>
      <c r="AM68" s="55" t="s">
        <v>174</v>
      </c>
      <c r="AN68" s="55" t="s">
        <v>174</v>
      </c>
      <c r="AO68" s="55" t="s">
        <v>174</v>
      </c>
      <c r="AP68" s="55" t="s">
        <v>174</v>
      </c>
      <c r="AQ68" s="55" t="s">
        <v>174</v>
      </c>
      <c r="AR68" s="28"/>
    </row>
    <row r="69" spans="1:44">
      <c r="A69" s="28"/>
      <c r="B69" s="55" t="s">
        <v>174</v>
      </c>
      <c r="C69" s="55" t="s">
        <v>174</v>
      </c>
      <c r="D69" s="55" t="s">
        <v>174</v>
      </c>
      <c r="E69" s="55" t="s">
        <v>174</v>
      </c>
      <c r="F69" s="55" t="s">
        <v>174</v>
      </c>
      <c r="G69" s="55" t="s">
        <v>174</v>
      </c>
      <c r="H69" s="28"/>
      <c r="I69" s="68">
        <v>67.92</v>
      </c>
      <c r="J69" s="38">
        <v>5.8140999999999998</v>
      </c>
      <c r="K69" s="38">
        <v>1.7444999999999999</v>
      </c>
      <c r="L69" s="37">
        <v>8.9999999999999998E-4</v>
      </c>
      <c r="M69" s="38">
        <v>2.3915000000000002</v>
      </c>
      <c r="N69" s="38">
        <v>9.2368000000000006</v>
      </c>
      <c r="O69" s="28"/>
      <c r="P69" s="60">
        <v>67.92</v>
      </c>
      <c r="Q69" s="38">
        <v>8.8210999999999995</v>
      </c>
      <c r="R69" s="38">
        <v>2.5998000000000001</v>
      </c>
      <c r="S69" s="37">
        <v>6.9999999999999999E-4</v>
      </c>
      <c r="T69" s="38">
        <v>3.7189999999999999</v>
      </c>
      <c r="U69" s="38">
        <v>13.9232</v>
      </c>
      <c r="V69" s="28"/>
      <c r="W69" s="28"/>
      <c r="X69" s="55" t="s">
        <v>174</v>
      </c>
      <c r="Y69" s="55" t="s">
        <v>174</v>
      </c>
      <c r="Z69" s="55" t="s">
        <v>174</v>
      </c>
      <c r="AA69" s="55" t="s">
        <v>174</v>
      </c>
      <c r="AB69" s="55" t="s">
        <v>174</v>
      </c>
      <c r="AC69" s="55" t="s">
        <v>174</v>
      </c>
      <c r="AD69" s="28"/>
      <c r="AE69" s="55" t="s">
        <v>174</v>
      </c>
      <c r="AF69" s="55" t="s">
        <v>174</v>
      </c>
      <c r="AG69" s="55" t="s">
        <v>174</v>
      </c>
      <c r="AH69" s="55" t="s">
        <v>174</v>
      </c>
      <c r="AI69" s="55" t="s">
        <v>174</v>
      </c>
      <c r="AJ69" s="55" t="s">
        <v>174</v>
      </c>
      <c r="AK69" s="28"/>
      <c r="AL69" s="55" t="s">
        <v>174</v>
      </c>
      <c r="AM69" s="55" t="s">
        <v>174</v>
      </c>
      <c r="AN69" s="55" t="s">
        <v>174</v>
      </c>
      <c r="AO69" s="55" t="s">
        <v>174</v>
      </c>
      <c r="AP69" s="55" t="s">
        <v>174</v>
      </c>
      <c r="AQ69" s="55" t="s">
        <v>174</v>
      </c>
      <c r="AR69" s="28"/>
    </row>
    <row r="70" spans="1:44">
      <c r="A70" s="28"/>
      <c r="B70" s="55" t="s">
        <v>174</v>
      </c>
      <c r="C70" s="55" t="s">
        <v>174</v>
      </c>
      <c r="D70" s="55" t="s">
        <v>174</v>
      </c>
      <c r="E70" s="55" t="s">
        <v>174</v>
      </c>
      <c r="F70" s="55" t="s">
        <v>174</v>
      </c>
      <c r="G70" s="55" t="s">
        <v>174</v>
      </c>
      <c r="H70" s="28"/>
      <c r="I70" s="68">
        <v>71.989999999999995</v>
      </c>
      <c r="J70" s="38">
        <v>6.1166</v>
      </c>
      <c r="K70" s="38">
        <v>1.8805000000000001</v>
      </c>
      <c r="L70" s="37">
        <v>1.1999999999999999E-3</v>
      </c>
      <c r="M70" s="38">
        <v>2.4270999999999998</v>
      </c>
      <c r="N70" s="38">
        <v>9.8059999999999992</v>
      </c>
      <c r="O70" s="28"/>
      <c r="P70" s="60">
        <v>71.989999999999995</v>
      </c>
      <c r="Q70" s="38">
        <v>9.2098999999999993</v>
      </c>
      <c r="R70" s="38">
        <v>2.7985000000000002</v>
      </c>
      <c r="S70" s="37">
        <v>1E-3</v>
      </c>
      <c r="T70" s="38">
        <v>3.7176999999999998</v>
      </c>
      <c r="U70" s="38">
        <v>14.7021</v>
      </c>
      <c r="V70" s="28"/>
      <c r="W70" s="28"/>
      <c r="X70" s="55" t="s">
        <v>174</v>
      </c>
      <c r="Y70" s="55" t="s">
        <v>174</v>
      </c>
      <c r="Z70" s="55" t="s">
        <v>174</v>
      </c>
      <c r="AA70" s="55" t="s">
        <v>174</v>
      </c>
      <c r="AB70" s="55" t="s">
        <v>174</v>
      </c>
      <c r="AC70" s="55" t="s">
        <v>174</v>
      </c>
      <c r="AD70" s="28"/>
      <c r="AE70" s="55" t="s">
        <v>174</v>
      </c>
      <c r="AF70" s="55" t="s">
        <v>174</v>
      </c>
      <c r="AG70" s="55" t="s">
        <v>174</v>
      </c>
      <c r="AH70" s="55" t="s">
        <v>174</v>
      </c>
      <c r="AI70" s="55" t="s">
        <v>174</v>
      </c>
      <c r="AJ70" s="55" t="s">
        <v>174</v>
      </c>
      <c r="AK70" s="28"/>
      <c r="AL70" s="55" t="s">
        <v>174</v>
      </c>
      <c r="AM70" s="55" t="s">
        <v>174</v>
      </c>
      <c r="AN70" s="55" t="s">
        <v>174</v>
      </c>
      <c r="AO70" s="55" t="s">
        <v>174</v>
      </c>
      <c r="AP70" s="55" t="s">
        <v>174</v>
      </c>
      <c r="AQ70" s="55" t="s">
        <v>174</v>
      </c>
      <c r="AR70" s="28"/>
    </row>
    <row r="71" spans="1:44">
      <c r="A71" s="28"/>
      <c r="B71" s="55" t="s">
        <v>174</v>
      </c>
      <c r="C71" s="55" t="s">
        <v>174</v>
      </c>
      <c r="D71" s="55" t="s">
        <v>174</v>
      </c>
      <c r="E71" s="55" t="s">
        <v>174</v>
      </c>
      <c r="F71" s="55" t="s">
        <v>174</v>
      </c>
      <c r="G71" s="55" t="s">
        <v>174</v>
      </c>
      <c r="H71" s="28"/>
      <c r="I71" s="68">
        <v>76.06</v>
      </c>
      <c r="J71" s="38">
        <v>6.4189999999999996</v>
      </c>
      <c r="K71" s="38">
        <v>2.0177</v>
      </c>
      <c r="L71" s="37">
        <v>1.5E-3</v>
      </c>
      <c r="M71" s="38">
        <v>2.4603999999999999</v>
      </c>
      <c r="N71" s="38">
        <v>10.377599999999999</v>
      </c>
      <c r="O71" s="28"/>
      <c r="P71" s="60">
        <v>76.06</v>
      </c>
      <c r="Q71" s="38">
        <v>9.5988000000000007</v>
      </c>
      <c r="R71" s="38">
        <v>2.9992000000000001</v>
      </c>
      <c r="S71" s="37">
        <v>1.4E-3</v>
      </c>
      <c r="T71" s="38">
        <v>3.7126999999999999</v>
      </c>
      <c r="U71" s="38">
        <v>15.4848</v>
      </c>
      <c r="V71" s="28"/>
      <c r="W71" s="28"/>
      <c r="X71" s="55" t="s">
        <v>174</v>
      </c>
      <c r="Y71" s="55" t="s">
        <v>174</v>
      </c>
      <c r="Z71" s="55" t="s">
        <v>174</v>
      </c>
      <c r="AA71" s="55" t="s">
        <v>174</v>
      </c>
      <c r="AB71" s="55" t="s">
        <v>174</v>
      </c>
      <c r="AC71" s="55" t="s">
        <v>174</v>
      </c>
      <c r="AD71" s="28"/>
      <c r="AE71" s="55" t="s">
        <v>174</v>
      </c>
      <c r="AF71" s="55" t="s">
        <v>174</v>
      </c>
      <c r="AG71" s="55" t="s">
        <v>174</v>
      </c>
      <c r="AH71" s="55" t="s">
        <v>174</v>
      </c>
      <c r="AI71" s="55" t="s">
        <v>174</v>
      </c>
      <c r="AJ71" s="55" t="s">
        <v>174</v>
      </c>
      <c r="AK71" s="28"/>
      <c r="AL71" s="55" t="s">
        <v>174</v>
      </c>
      <c r="AM71" s="55" t="s">
        <v>174</v>
      </c>
      <c r="AN71" s="55" t="s">
        <v>174</v>
      </c>
      <c r="AO71" s="55" t="s">
        <v>174</v>
      </c>
      <c r="AP71" s="55" t="s">
        <v>174</v>
      </c>
      <c r="AQ71" s="55" t="s">
        <v>174</v>
      </c>
      <c r="AR71" s="28"/>
    </row>
    <row r="72" spans="1:44">
      <c r="A72" s="28"/>
      <c r="B72" s="55" t="s">
        <v>174</v>
      </c>
      <c r="C72" s="55" t="s">
        <v>174</v>
      </c>
      <c r="D72" s="55" t="s">
        <v>174</v>
      </c>
      <c r="E72" s="55" t="s">
        <v>174</v>
      </c>
      <c r="F72" s="55" t="s">
        <v>174</v>
      </c>
      <c r="G72" s="55" t="s">
        <v>174</v>
      </c>
      <c r="H72" s="28"/>
      <c r="I72" s="68">
        <v>80.13</v>
      </c>
      <c r="J72" s="38">
        <v>6.7214</v>
      </c>
      <c r="K72" s="38">
        <v>2.1558000000000002</v>
      </c>
      <c r="L72" s="37">
        <v>1.9E-3</v>
      </c>
      <c r="M72" s="38">
        <v>2.4918</v>
      </c>
      <c r="N72" s="38">
        <v>10.9511</v>
      </c>
      <c r="O72" s="28"/>
      <c r="P72" s="60">
        <v>80.13</v>
      </c>
      <c r="Q72" s="38">
        <v>9.9876000000000005</v>
      </c>
      <c r="R72" s="38">
        <v>3.2014999999999998</v>
      </c>
      <c r="S72" s="37">
        <v>1.9E-3</v>
      </c>
      <c r="T72" s="38">
        <v>3.7046000000000001</v>
      </c>
      <c r="U72" s="38">
        <v>16.270600000000002</v>
      </c>
      <c r="V72" s="28"/>
      <c r="W72" s="28"/>
      <c r="X72" s="55" t="s">
        <v>174</v>
      </c>
      <c r="Y72" s="55" t="s">
        <v>174</v>
      </c>
      <c r="Z72" s="55" t="s">
        <v>174</v>
      </c>
      <c r="AA72" s="55" t="s">
        <v>174</v>
      </c>
      <c r="AB72" s="55" t="s">
        <v>174</v>
      </c>
      <c r="AC72" s="55" t="s">
        <v>174</v>
      </c>
      <c r="AD72" s="28"/>
      <c r="AE72" s="55" t="s">
        <v>174</v>
      </c>
      <c r="AF72" s="55" t="s">
        <v>174</v>
      </c>
      <c r="AG72" s="55" t="s">
        <v>174</v>
      </c>
      <c r="AH72" s="55" t="s">
        <v>174</v>
      </c>
      <c r="AI72" s="55" t="s">
        <v>174</v>
      </c>
      <c r="AJ72" s="55" t="s">
        <v>174</v>
      </c>
      <c r="AK72" s="28"/>
      <c r="AL72" s="55" t="s">
        <v>174</v>
      </c>
      <c r="AM72" s="55" t="s">
        <v>174</v>
      </c>
      <c r="AN72" s="55" t="s">
        <v>174</v>
      </c>
      <c r="AO72" s="55" t="s">
        <v>174</v>
      </c>
      <c r="AP72" s="55" t="s">
        <v>174</v>
      </c>
      <c r="AQ72" s="55" t="s">
        <v>174</v>
      </c>
      <c r="AR72" s="28"/>
    </row>
    <row r="73" spans="1:44">
      <c r="A73" s="28"/>
      <c r="B73" s="55" t="s">
        <v>174</v>
      </c>
      <c r="C73" s="55" t="s">
        <v>174</v>
      </c>
      <c r="D73" s="55" t="s">
        <v>174</v>
      </c>
      <c r="E73" s="55" t="s">
        <v>174</v>
      </c>
      <c r="F73" s="55" t="s">
        <v>174</v>
      </c>
      <c r="G73" s="55" t="s">
        <v>174</v>
      </c>
      <c r="H73" s="28"/>
      <c r="I73" s="69">
        <v>84.2</v>
      </c>
      <c r="J73" s="46">
        <v>7.0239000000000003</v>
      </c>
      <c r="K73" s="46">
        <v>2.2947000000000002</v>
      </c>
      <c r="L73" s="44">
        <v>2.3E-3</v>
      </c>
      <c r="M73" s="46">
        <v>2.5217000000000001</v>
      </c>
      <c r="N73" s="46">
        <v>11.526</v>
      </c>
      <c r="O73" s="28"/>
      <c r="P73" s="60">
        <v>84.2</v>
      </c>
      <c r="Q73" s="38">
        <v>10.3764</v>
      </c>
      <c r="R73" s="38">
        <v>3.4049999999999998</v>
      </c>
      <c r="S73" s="37">
        <v>2.3999999999999998E-3</v>
      </c>
      <c r="T73" s="38">
        <v>3.694</v>
      </c>
      <c r="U73" s="38">
        <v>17.058800000000002</v>
      </c>
      <c r="V73" s="28"/>
      <c r="W73" s="28"/>
      <c r="X73" s="55" t="s">
        <v>174</v>
      </c>
      <c r="Y73" s="55" t="s">
        <v>174</v>
      </c>
      <c r="Z73" s="55" t="s">
        <v>174</v>
      </c>
      <c r="AA73" s="55" t="s">
        <v>174</v>
      </c>
      <c r="AB73" s="55" t="s">
        <v>174</v>
      </c>
      <c r="AC73" s="55" t="s">
        <v>174</v>
      </c>
      <c r="AD73" s="28"/>
      <c r="AE73" s="55" t="s">
        <v>174</v>
      </c>
      <c r="AF73" s="55" t="s">
        <v>174</v>
      </c>
      <c r="AG73" s="55" t="s">
        <v>174</v>
      </c>
      <c r="AH73" s="55" t="s">
        <v>174</v>
      </c>
      <c r="AI73" s="55" t="s">
        <v>174</v>
      </c>
      <c r="AJ73" s="55" t="s">
        <v>174</v>
      </c>
      <c r="AK73" s="28"/>
      <c r="AL73" s="55" t="s">
        <v>174</v>
      </c>
      <c r="AM73" s="55" t="s">
        <v>174</v>
      </c>
      <c r="AN73" s="55" t="s">
        <v>174</v>
      </c>
      <c r="AO73" s="55" t="s">
        <v>174</v>
      </c>
      <c r="AP73" s="55" t="s">
        <v>174</v>
      </c>
      <c r="AQ73" s="55" t="s">
        <v>174</v>
      </c>
      <c r="AR73" s="28"/>
    </row>
    <row r="74" spans="1:44">
      <c r="A74" s="28"/>
      <c r="B74" s="328" t="s">
        <v>27</v>
      </c>
      <c r="C74" s="299"/>
      <c r="D74" s="299"/>
      <c r="E74" s="299"/>
      <c r="F74" s="299"/>
      <c r="G74" s="299"/>
      <c r="H74" s="28"/>
      <c r="I74" s="324" t="s">
        <v>28</v>
      </c>
      <c r="J74" s="324"/>
      <c r="K74" s="324"/>
      <c r="L74" s="324"/>
      <c r="M74" s="324"/>
      <c r="N74" s="324"/>
      <c r="O74" s="28"/>
      <c r="P74" s="324" t="s">
        <v>36</v>
      </c>
      <c r="Q74" s="324"/>
      <c r="R74" s="324"/>
      <c r="S74" s="324"/>
      <c r="T74" s="324"/>
      <c r="U74" s="324"/>
      <c r="V74" s="28"/>
      <c r="W74" s="28"/>
      <c r="X74" s="325" t="s">
        <v>27</v>
      </c>
      <c r="Y74" s="299"/>
      <c r="Z74" s="299"/>
      <c r="AA74" s="299"/>
      <c r="AB74" s="299"/>
      <c r="AC74" s="299"/>
      <c r="AD74" s="28"/>
      <c r="AE74" s="324" t="s">
        <v>28</v>
      </c>
      <c r="AF74" s="324"/>
      <c r="AG74" s="324"/>
      <c r="AH74" s="324"/>
      <c r="AI74" s="324"/>
      <c r="AJ74" s="324"/>
      <c r="AK74" s="28"/>
      <c r="AL74" s="324" t="s">
        <v>36</v>
      </c>
      <c r="AM74" s="324"/>
      <c r="AN74" s="324"/>
      <c r="AO74" s="324"/>
      <c r="AP74" s="324"/>
      <c r="AQ74" s="324"/>
      <c r="AR74" s="28"/>
    </row>
    <row r="75" spans="1:44">
      <c r="A75" s="28"/>
      <c r="B75" s="321" t="s">
        <v>165</v>
      </c>
      <c r="C75" s="321"/>
      <c r="D75" s="321"/>
      <c r="E75" s="321"/>
      <c r="F75" s="321"/>
      <c r="G75" s="321"/>
      <c r="H75" s="28"/>
      <c r="I75" s="321" t="s">
        <v>165</v>
      </c>
      <c r="J75" s="321"/>
      <c r="K75" s="321"/>
      <c r="L75" s="321"/>
      <c r="M75" s="321"/>
      <c r="N75" s="321"/>
      <c r="O75" s="28"/>
      <c r="P75" s="321" t="s">
        <v>165</v>
      </c>
      <c r="Q75" s="321"/>
      <c r="R75" s="321"/>
      <c r="S75" s="321"/>
      <c r="T75" s="321"/>
      <c r="U75" s="321"/>
      <c r="V75" s="28"/>
      <c r="W75" s="28"/>
      <c r="X75" s="321" t="s">
        <v>192</v>
      </c>
      <c r="Y75" s="321"/>
      <c r="Z75" s="321"/>
      <c r="AA75" s="321"/>
      <c r="AB75" s="321"/>
      <c r="AC75" s="321"/>
      <c r="AD75" s="28"/>
      <c r="AE75" s="321" t="s">
        <v>192</v>
      </c>
      <c r="AF75" s="321"/>
      <c r="AG75" s="321"/>
      <c r="AH75" s="321"/>
      <c r="AI75" s="321"/>
      <c r="AJ75" s="321"/>
      <c r="AK75" s="28"/>
      <c r="AL75" s="321" t="s">
        <v>192</v>
      </c>
      <c r="AM75" s="321"/>
      <c r="AN75" s="321"/>
      <c r="AO75" s="321"/>
      <c r="AP75" s="321"/>
      <c r="AQ75" s="321"/>
      <c r="AR75" s="28"/>
    </row>
    <row r="76" spans="1:44" ht="15.75">
      <c r="A76" s="28"/>
      <c r="B76" s="319" t="s">
        <v>155</v>
      </c>
      <c r="C76" s="319"/>
      <c r="D76" s="319" t="s">
        <v>166</v>
      </c>
      <c r="E76" s="319"/>
      <c r="F76" s="319" t="s">
        <v>156</v>
      </c>
      <c r="G76" s="319"/>
      <c r="H76" s="28"/>
      <c r="I76" s="319" t="s">
        <v>155</v>
      </c>
      <c r="J76" s="319"/>
      <c r="K76" s="319" t="s">
        <v>166</v>
      </c>
      <c r="L76" s="319"/>
      <c r="M76" s="319" t="s">
        <v>156</v>
      </c>
      <c r="N76" s="319"/>
      <c r="O76" s="28"/>
      <c r="P76" s="319" t="s">
        <v>155</v>
      </c>
      <c r="Q76" s="319"/>
      <c r="R76" s="319" t="s">
        <v>166</v>
      </c>
      <c r="S76" s="319"/>
      <c r="T76" s="319" t="s">
        <v>156</v>
      </c>
      <c r="U76" s="319"/>
      <c r="V76" s="28"/>
      <c r="W76" s="28"/>
      <c r="X76" s="319" t="s">
        <v>155</v>
      </c>
      <c r="Y76" s="319"/>
      <c r="Z76" s="319" t="s">
        <v>166</v>
      </c>
      <c r="AA76" s="319"/>
      <c r="AB76" s="319" t="s">
        <v>156</v>
      </c>
      <c r="AC76" s="319"/>
      <c r="AD76" s="28"/>
      <c r="AE76" s="319" t="s">
        <v>155</v>
      </c>
      <c r="AF76" s="319"/>
      <c r="AG76" s="319" t="s">
        <v>166</v>
      </c>
      <c r="AH76" s="319"/>
      <c r="AI76" s="319" t="s">
        <v>156</v>
      </c>
      <c r="AJ76" s="319"/>
      <c r="AK76" s="28"/>
      <c r="AL76" s="319" t="s">
        <v>155</v>
      </c>
      <c r="AM76" s="319"/>
      <c r="AN76" s="319" t="s">
        <v>166</v>
      </c>
      <c r="AO76" s="319"/>
      <c r="AP76" s="319" t="s">
        <v>156</v>
      </c>
      <c r="AQ76" s="319"/>
      <c r="AR76" s="28"/>
    </row>
    <row r="77" spans="1:44">
      <c r="A77" s="28"/>
      <c r="B77" s="320">
        <v>0.68440000000000001</v>
      </c>
      <c r="C77" s="320"/>
      <c r="D77" s="320">
        <v>0.46839999999999998</v>
      </c>
      <c r="E77" s="320"/>
      <c r="F77" s="317" t="s">
        <v>170</v>
      </c>
      <c r="G77" s="317"/>
      <c r="H77" s="28"/>
      <c r="I77" s="320">
        <v>0.64280000000000004</v>
      </c>
      <c r="J77" s="320"/>
      <c r="K77" s="320">
        <v>0.41320000000000001</v>
      </c>
      <c r="L77" s="320"/>
      <c r="M77" s="317" t="s">
        <v>170</v>
      </c>
      <c r="N77" s="317"/>
      <c r="O77" s="28"/>
      <c r="P77" s="320">
        <v>0.61080000000000001</v>
      </c>
      <c r="Q77" s="320"/>
      <c r="R77" s="320">
        <v>0.373</v>
      </c>
      <c r="S77" s="320"/>
      <c r="T77" s="317" t="s">
        <v>170</v>
      </c>
      <c r="U77" s="317"/>
      <c r="V77" s="28"/>
      <c r="W77" s="28"/>
      <c r="X77" s="320">
        <v>0.68389999999999995</v>
      </c>
      <c r="Y77" s="320"/>
      <c r="Z77" s="320">
        <v>0.4677</v>
      </c>
      <c r="AA77" s="320"/>
      <c r="AB77" s="317" t="s">
        <v>170</v>
      </c>
      <c r="AC77" s="317"/>
      <c r="AD77" s="28"/>
      <c r="AE77" s="320">
        <v>0.64180000000000004</v>
      </c>
      <c r="AF77" s="320"/>
      <c r="AG77" s="320">
        <v>0.41189999999999999</v>
      </c>
      <c r="AH77" s="320"/>
      <c r="AI77" s="317" t="s">
        <v>170</v>
      </c>
      <c r="AJ77" s="317"/>
      <c r="AK77" s="28"/>
      <c r="AL77" s="320">
        <v>0.61</v>
      </c>
      <c r="AM77" s="320"/>
      <c r="AN77" s="320">
        <v>0.37219999999999998</v>
      </c>
      <c r="AO77" s="320"/>
      <c r="AP77" s="317" t="s">
        <v>170</v>
      </c>
      <c r="AQ77" s="317"/>
      <c r="AR77" s="28"/>
    </row>
    <row r="78" spans="1:44">
      <c r="A78" s="28"/>
      <c r="B78" s="318" t="s">
        <v>154</v>
      </c>
      <c r="C78" s="318"/>
      <c r="D78" s="318"/>
      <c r="E78" s="318"/>
      <c r="F78" s="318"/>
      <c r="G78" s="318"/>
      <c r="H78" s="28"/>
      <c r="I78" s="318" t="s">
        <v>154</v>
      </c>
      <c r="J78" s="318"/>
      <c r="K78" s="318"/>
      <c r="L78" s="318"/>
      <c r="M78" s="318"/>
      <c r="N78" s="318"/>
      <c r="O78" s="28"/>
      <c r="P78" s="318" t="s">
        <v>154</v>
      </c>
      <c r="Q78" s="318"/>
      <c r="R78" s="318"/>
      <c r="S78" s="318"/>
      <c r="T78" s="318"/>
      <c r="U78" s="318"/>
      <c r="V78" s="28"/>
      <c r="W78" s="28"/>
      <c r="X78" s="318" t="s">
        <v>154</v>
      </c>
      <c r="Y78" s="318"/>
      <c r="Z78" s="318"/>
      <c r="AA78" s="318"/>
      <c r="AB78" s="318"/>
      <c r="AC78" s="318"/>
      <c r="AD78" s="28"/>
      <c r="AE78" s="318" t="s">
        <v>154</v>
      </c>
      <c r="AF78" s="318"/>
      <c r="AG78" s="318"/>
      <c r="AH78" s="318"/>
      <c r="AI78" s="318"/>
      <c r="AJ78" s="318"/>
      <c r="AK78" s="28"/>
      <c r="AL78" s="318" t="s">
        <v>154</v>
      </c>
      <c r="AM78" s="318"/>
      <c r="AN78" s="318"/>
      <c r="AO78" s="318"/>
      <c r="AP78" s="318"/>
      <c r="AQ78" s="318"/>
      <c r="AR78" s="28"/>
    </row>
    <row r="79" spans="1:44">
      <c r="A79" s="28"/>
      <c r="B79" s="33"/>
      <c r="C79" s="34" t="s">
        <v>158</v>
      </c>
      <c r="D79" s="34" t="s">
        <v>159</v>
      </c>
      <c r="E79" s="34" t="s">
        <v>151</v>
      </c>
      <c r="F79" s="34" t="s">
        <v>171</v>
      </c>
      <c r="G79" s="34" t="s">
        <v>172</v>
      </c>
      <c r="H79" s="28"/>
      <c r="I79" s="33"/>
      <c r="J79" s="34" t="s">
        <v>158</v>
      </c>
      <c r="K79" s="34" t="s">
        <v>159</v>
      </c>
      <c r="L79" s="34" t="s">
        <v>151</v>
      </c>
      <c r="M79" s="34" t="s">
        <v>171</v>
      </c>
      <c r="N79" s="34" t="s">
        <v>172</v>
      </c>
      <c r="O79" s="31"/>
      <c r="P79" s="33"/>
      <c r="Q79" s="34" t="s">
        <v>158</v>
      </c>
      <c r="R79" s="34" t="s">
        <v>159</v>
      </c>
      <c r="S79" s="34" t="s">
        <v>151</v>
      </c>
      <c r="T79" s="34" t="s">
        <v>171</v>
      </c>
      <c r="U79" s="34" t="s">
        <v>172</v>
      </c>
      <c r="V79" s="31"/>
      <c r="W79" s="28"/>
      <c r="X79" s="33"/>
      <c r="Y79" s="34" t="s">
        <v>158</v>
      </c>
      <c r="Z79" s="34" t="s">
        <v>159</v>
      </c>
      <c r="AA79" s="34" t="s">
        <v>151</v>
      </c>
      <c r="AB79" s="34" t="s">
        <v>171</v>
      </c>
      <c r="AC79" s="34" t="s">
        <v>172</v>
      </c>
      <c r="AD79" s="28"/>
      <c r="AE79" s="33"/>
      <c r="AF79" s="34" t="s">
        <v>158</v>
      </c>
      <c r="AG79" s="34" t="s">
        <v>159</v>
      </c>
      <c r="AH79" s="34" t="s">
        <v>151</v>
      </c>
      <c r="AI79" s="34" t="s">
        <v>171</v>
      </c>
      <c r="AJ79" s="34" t="s">
        <v>172</v>
      </c>
      <c r="AK79" s="28"/>
      <c r="AL79" s="33"/>
      <c r="AM79" s="34" t="s">
        <v>158</v>
      </c>
      <c r="AN79" s="34" t="s">
        <v>159</v>
      </c>
      <c r="AO79" s="34" t="s">
        <v>151</v>
      </c>
      <c r="AP79" s="34" t="s">
        <v>171</v>
      </c>
      <c r="AQ79" s="34" t="s">
        <v>172</v>
      </c>
      <c r="AR79" s="31"/>
    </row>
    <row r="80" spans="1:44">
      <c r="A80" s="28"/>
      <c r="B80" s="32" t="s">
        <v>160</v>
      </c>
      <c r="C80" s="38">
        <v>61.976999999999997</v>
      </c>
      <c r="D80" s="38">
        <v>2.1021000000000001</v>
      </c>
      <c r="E80" s="38">
        <v>0</v>
      </c>
      <c r="F80" s="38">
        <v>57.850499999999997</v>
      </c>
      <c r="G80" s="38">
        <v>66.103499999999997</v>
      </c>
      <c r="H80" s="28"/>
      <c r="I80" s="32" t="s">
        <v>160</v>
      </c>
      <c r="J80" s="38">
        <v>58.6815</v>
      </c>
      <c r="K80" s="38">
        <v>2.3439999999999999</v>
      </c>
      <c r="L80" s="38">
        <v>0</v>
      </c>
      <c r="M80" s="38">
        <v>54.082599999999999</v>
      </c>
      <c r="N80" s="38">
        <v>63.280299999999997</v>
      </c>
      <c r="O80" s="31"/>
      <c r="P80" s="32" t="s">
        <v>160</v>
      </c>
      <c r="Q80" s="38">
        <v>20.501899999999999</v>
      </c>
      <c r="R80" s="38">
        <v>3.4230999999999998</v>
      </c>
      <c r="S80" s="38">
        <v>0</v>
      </c>
      <c r="T80" s="38">
        <v>13.783799999999999</v>
      </c>
      <c r="U80" s="38">
        <v>27.22</v>
      </c>
      <c r="V80" s="31"/>
      <c r="W80" s="28"/>
      <c r="X80" s="40" t="s">
        <v>160</v>
      </c>
      <c r="Y80" s="77">
        <v>61.783299999999997</v>
      </c>
      <c r="Z80" s="77">
        <v>2.5480999999999998</v>
      </c>
      <c r="AA80" s="77">
        <v>0</v>
      </c>
      <c r="AB80" s="77">
        <v>56.781300000000002</v>
      </c>
      <c r="AC80" s="77">
        <v>66.785399999999996</v>
      </c>
      <c r="AD80" s="28"/>
      <c r="AE80" s="40" t="s">
        <v>160</v>
      </c>
      <c r="AF80" s="85">
        <v>56.197899999999997</v>
      </c>
      <c r="AG80" s="85">
        <v>2.8874</v>
      </c>
      <c r="AH80" s="85">
        <v>0</v>
      </c>
      <c r="AI80" s="85">
        <v>50.532899999999998</v>
      </c>
      <c r="AJ80" s="85">
        <v>61.863</v>
      </c>
      <c r="AK80" s="28"/>
      <c r="AL80" s="40" t="s">
        <v>160</v>
      </c>
      <c r="AM80" s="77">
        <v>16.409300000000002</v>
      </c>
      <c r="AN80" s="77">
        <v>4.1125999999999996</v>
      </c>
      <c r="AO80" s="77">
        <v>1E-4</v>
      </c>
      <c r="AP80" s="77">
        <v>8.3379999999999992</v>
      </c>
      <c r="AQ80" s="77">
        <v>24.480499999999999</v>
      </c>
      <c r="AR80" s="31"/>
    </row>
    <row r="81" spans="1:44">
      <c r="A81" s="28"/>
      <c r="B81" s="39" t="s">
        <v>161</v>
      </c>
      <c r="C81" s="38">
        <v>6.2774999999999999</v>
      </c>
      <c r="D81" s="38">
        <v>0.98050000000000004</v>
      </c>
      <c r="E81" s="37">
        <v>0</v>
      </c>
      <c r="F81" s="38">
        <v>4.3526999999999996</v>
      </c>
      <c r="G81" s="38">
        <v>8.2022999999999993</v>
      </c>
      <c r="H81" s="28"/>
      <c r="I81" s="40" t="s">
        <v>161</v>
      </c>
      <c r="J81" s="38">
        <v>1.0185</v>
      </c>
      <c r="K81" s="38">
        <v>1.0468</v>
      </c>
      <c r="L81" s="38">
        <v>0.33069999999999999</v>
      </c>
      <c r="M81" s="38">
        <v>-1.0351999999999999</v>
      </c>
      <c r="N81" s="38">
        <v>3.0722999999999998</v>
      </c>
      <c r="O81" s="31"/>
      <c r="P81" s="40" t="s">
        <v>161</v>
      </c>
      <c r="Q81" s="38">
        <v>1.6968000000000001</v>
      </c>
      <c r="R81" s="38">
        <v>1.5088999999999999</v>
      </c>
      <c r="S81" s="38">
        <v>0.2611</v>
      </c>
      <c r="T81" s="38">
        <v>-1.2644</v>
      </c>
      <c r="U81" s="38">
        <v>4.6581000000000001</v>
      </c>
      <c r="V81" s="31"/>
      <c r="W81" s="28"/>
      <c r="X81" s="40" t="s">
        <v>161</v>
      </c>
      <c r="Y81" s="49">
        <v>6.2321999999999997</v>
      </c>
      <c r="Z81" s="49">
        <v>3.6128999999999998</v>
      </c>
      <c r="AA81" s="80">
        <v>8.4900000000000003E-2</v>
      </c>
      <c r="AB81" s="49">
        <v>-0.86</v>
      </c>
      <c r="AC81" s="49">
        <v>13.324400000000001</v>
      </c>
      <c r="AD81" s="28"/>
      <c r="AE81" s="39" t="s">
        <v>161</v>
      </c>
      <c r="AF81" s="85">
        <v>8.3521999999999998</v>
      </c>
      <c r="AG81" s="85">
        <v>4.2504</v>
      </c>
      <c r="AH81" s="63">
        <v>4.9599999999999998E-2</v>
      </c>
      <c r="AI81" s="85">
        <v>1.3100000000000001E-2</v>
      </c>
      <c r="AJ81" s="85">
        <v>16.691299999999998</v>
      </c>
      <c r="AK81" s="28"/>
      <c r="AL81" s="39" t="s">
        <v>161</v>
      </c>
      <c r="AM81" s="49">
        <v>14.2935</v>
      </c>
      <c r="AN81" s="49">
        <v>6.1409000000000002</v>
      </c>
      <c r="AO81" s="63">
        <v>2.0199999999999999E-2</v>
      </c>
      <c r="AP81" s="49">
        <v>2.2416</v>
      </c>
      <c r="AQ81" s="49">
        <v>26.345400000000001</v>
      </c>
      <c r="AR81" s="31"/>
    </row>
    <row r="82" spans="1:44">
      <c r="A82" s="28"/>
      <c r="B82" s="39" t="s">
        <v>162</v>
      </c>
      <c r="C82" s="38">
        <v>0.22109999999999999</v>
      </c>
      <c r="D82" s="38">
        <v>4.07E-2</v>
      </c>
      <c r="E82" s="37">
        <v>0</v>
      </c>
      <c r="F82" s="38">
        <v>0.14119999999999999</v>
      </c>
      <c r="G82" s="38">
        <v>0.30109999999999998</v>
      </c>
      <c r="H82" s="28"/>
      <c r="I82" s="39" t="s">
        <v>162</v>
      </c>
      <c r="J82" s="38">
        <v>0.47639999999999999</v>
      </c>
      <c r="K82" s="38">
        <v>3.0099999999999998E-2</v>
      </c>
      <c r="L82" s="37">
        <v>0</v>
      </c>
      <c r="M82" s="38">
        <v>0.41739999999999999</v>
      </c>
      <c r="N82" s="38">
        <v>0.53549999999999998</v>
      </c>
      <c r="O82" s="31"/>
      <c r="P82" s="39" t="s">
        <v>162</v>
      </c>
      <c r="Q82" s="38">
        <v>0.66</v>
      </c>
      <c r="R82" s="38">
        <v>4.2200000000000001E-2</v>
      </c>
      <c r="S82" s="37">
        <v>0</v>
      </c>
      <c r="T82" s="38">
        <v>0.57720000000000005</v>
      </c>
      <c r="U82" s="38">
        <v>0.74280000000000002</v>
      </c>
      <c r="V82" s="31"/>
      <c r="W82" s="28"/>
      <c r="X82" s="39" t="s">
        <v>164</v>
      </c>
      <c r="Y82" s="49">
        <v>-33.542099999999998</v>
      </c>
      <c r="Z82" s="49">
        <v>1.8407</v>
      </c>
      <c r="AA82" s="63">
        <v>0</v>
      </c>
      <c r="AB82" s="49">
        <v>-37.1554</v>
      </c>
      <c r="AC82" s="49">
        <v>-29.928799999999999</v>
      </c>
      <c r="AD82" s="28"/>
      <c r="AE82" s="39" t="s">
        <v>164</v>
      </c>
      <c r="AF82" s="85">
        <v>-40.244</v>
      </c>
      <c r="AG82" s="85">
        <v>1.9578</v>
      </c>
      <c r="AH82" s="63">
        <v>0</v>
      </c>
      <c r="AI82" s="85">
        <v>-44.085000000000001</v>
      </c>
      <c r="AJ82" s="85">
        <v>-36.402900000000002</v>
      </c>
      <c r="AK82" s="28"/>
      <c r="AL82" s="39" t="s">
        <v>164</v>
      </c>
      <c r="AM82" s="49">
        <v>-30.709399999999999</v>
      </c>
      <c r="AN82" s="49">
        <v>2.8153999999999999</v>
      </c>
      <c r="AO82" s="63">
        <v>0</v>
      </c>
      <c r="AP82" s="49">
        <v>-36.234699999999997</v>
      </c>
      <c r="AQ82" s="49">
        <v>-25.184000000000001</v>
      </c>
      <c r="AR82" s="31"/>
    </row>
    <row r="83" spans="1:44">
      <c r="A83" s="28"/>
      <c r="B83" s="32" t="s">
        <v>163</v>
      </c>
      <c r="C83" s="38">
        <v>-4.8000000000000001E-2</v>
      </c>
      <c r="D83" s="38">
        <v>4.58E-2</v>
      </c>
      <c r="E83" s="38">
        <v>0.29480000000000001</v>
      </c>
      <c r="F83" s="38">
        <v>-0.13789999999999999</v>
      </c>
      <c r="G83" s="38">
        <v>4.19E-2</v>
      </c>
      <c r="H83" s="28"/>
      <c r="I83" s="39" t="s">
        <v>163</v>
      </c>
      <c r="J83" s="38">
        <v>7.8899999999999998E-2</v>
      </c>
      <c r="K83" s="38">
        <v>3.7400000000000003E-2</v>
      </c>
      <c r="L83" s="37">
        <v>3.5200000000000002E-2</v>
      </c>
      <c r="M83" s="38">
        <v>5.4999999999999997E-3</v>
      </c>
      <c r="N83" s="38">
        <v>0.15229999999999999</v>
      </c>
      <c r="O83" s="31"/>
      <c r="P83" s="39" t="s">
        <v>163</v>
      </c>
      <c r="Q83" s="38">
        <v>0.1071</v>
      </c>
      <c r="R83" s="38">
        <v>5.2600000000000001E-2</v>
      </c>
      <c r="S83" s="37">
        <v>4.2200000000000001E-2</v>
      </c>
      <c r="T83" s="38">
        <v>3.8E-3</v>
      </c>
      <c r="U83" s="38">
        <v>0.2104</v>
      </c>
      <c r="V83" s="31"/>
      <c r="W83" s="28"/>
      <c r="X83" s="32" t="s">
        <v>193</v>
      </c>
      <c r="Y83" s="49">
        <v>-0.50649999999999995</v>
      </c>
      <c r="Z83" s="49">
        <v>2.4851000000000001</v>
      </c>
      <c r="AA83" s="49">
        <v>0.83850000000000002</v>
      </c>
      <c r="AB83" s="49">
        <v>-5.3848000000000003</v>
      </c>
      <c r="AC83" s="49">
        <v>4.3716999999999997</v>
      </c>
      <c r="AD83" s="28"/>
      <c r="AE83" s="32" t="s">
        <v>193</v>
      </c>
      <c r="AF83" s="85">
        <v>-3.6673</v>
      </c>
      <c r="AG83" s="85">
        <v>2.7557</v>
      </c>
      <c r="AH83" s="85">
        <v>0.1835</v>
      </c>
      <c r="AI83" s="85">
        <v>-9.0739000000000001</v>
      </c>
      <c r="AJ83" s="85">
        <v>1.7392000000000001</v>
      </c>
      <c r="AK83" s="28"/>
      <c r="AL83" s="32" t="s">
        <v>193</v>
      </c>
      <c r="AM83" s="49">
        <v>-6.8335999999999997</v>
      </c>
      <c r="AN83" s="49">
        <v>4.0437000000000003</v>
      </c>
      <c r="AO83" s="79">
        <v>9.1399999999999995E-2</v>
      </c>
      <c r="AP83" s="49">
        <v>-14.769600000000001</v>
      </c>
      <c r="AQ83" s="49">
        <v>1.1024</v>
      </c>
      <c r="AR83" s="31"/>
    </row>
    <row r="84" spans="1:44">
      <c r="A84" s="28"/>
      <c r="B84" s="42" t="s">
        <v>164</v>
      </c>
      <c r="C84" s="46">
        <v>-33.998100000000001</v>
      </c>
      <c r="D84" s="46">
        <v>1.5925</v>
      </c>
      <c r="E84" s="44">
        <v>0</v>
      </c>
      <c r="F84" s="46">
        <v>-37.124200000000002</v>
      </c>
      <c r="G84" s="46">
        <v>-30.8719</v>
      </c>
      <c r="H84" s="28"/>
      <c r="I84" s="42" t="s">
        <v>164</v>
      </c>
      <c r="J84" s="46">
        <v>-41.2303</v>
      </c>
      <c r="K84" s="46">
        <v>1.6448</v>
      </c>
      <c r="L84" s="44">
        <v>0</v>
      </c>
      <c r="M84" s="46">
        <v>-44.4574</v>
      </c>
      <c r="N84" s="46">
        <v>-38.0032</v>
      </c>
      <c r="O84" s="31"/>
      <c r="P84" s="42" t="s">
        <v>164</v>
      </c>
      <c r="Q84" s="46">
        <v>-32.515099999999997</v>
      </c>
      <c r="R84" s="46">
        <v>2.4278</v>
      </c>
      <c r="S84" s="44">
        <v>0</v>
      </c>
      <c r="T84" s="46">
        <v>-37.279800000000002</v>
      </c>
      <c r="U84" s="46">
        <v>-27.750399999999999</v>
      </c>
      <c r="V84" s="31"/>
      <c r="W84" s="28"/>
      <c r="X84" s="42" t="s">
        <v>162</v>
      </c>
      <c r="Y84" s="78">
        <v>0.19159999999999999</v>
      </c>
      <c r="Z84" s="78">
        <v>2.9000000000000001E-2</v>
      </c>
      <c r="AA84" s="64">
        <v>0</v>
      </c>
      <c r="AB84" s="78">
        <v>0.1346</v>
      </c>
      <c r="AC84" s="78">
        <v>0.24859999999999999</v>
      </c>
      <c r="AD84" s="28"/>
      <c r="AE84" s="42" t="s">
        <v>162</v>
      </c>
      <c r="AF84" s="91">
        <v>0.51859999999999995</v>
      </c>
      <c r="AG84" s="91">
        <v>2.2499999999999999E-2</v>
      </c>
      <c r="AH84" s="64">
        <v>0</v>
      </c>
      <c r="AI84" s="91">
        <v>0.47439999999999999</v>
      </c>
      <c r="AJ84" s="91">
        <v>0.56279999999999997</v>
      </c>
      <c r="AK84" s="28"/>
      <c r="AL84" s="42" t="s">
        <v>162</v>
      </c>
      <c r="AM84" s="78">
        <v>0.71650000000000003</v>
      </c>
      <c r="AN84" s="78">
        <v>3.2199999999999999E-2</v>
      </c>
      <c r="AO84" s="64">
        <v>0</v>
      </c>
      <c r="AP84" s="78">
        <v>0.65329999999999999</v>
      </c>
      <c r="AQ84" s="78">
        <v>0.77969999999999995</v>
      </c>
      <c r="AR84" s="31"/>
    </row>
    <row r="85" spans="1:44">
      <c r="A85" s="28"/>
      <c r="B85" s="55" t="s">
        <v>174</v>
      </c>
      <c r="C85" s="55" t="s">
        <v>174</v>
      </c>
      <c r="D85" s="55" t="s">
        <v>174</v>
      </c>
      <c r="E85" s="55" t="s">
        <v>174</v>
      </c>
      <c r="F85" s="55" t="s">
        <v>174</v>
      </c>
      <c r="G85" s="55" t="s">
        <v>174</v>
      </c>
      <c r="H85" s="28"/>
      <c r="I85" s="323" t="s">
        <v>173</v>
      </c>
      <c r="J85" s="323"/>
      <c r="K85" s="323"/>
      <c r="L85" s="323"/>
      <c r="M85" s="323"/>
      <c r="N85" s="323"/>
      <c r="O85" s="31"/>
      <c r="P85" s="323" t="s">
        <v>173</v>
      </c>
      <c r="Q85" s="323"/>
      <c r="R85" s="323"/>
      <c r="S85" s="323"/>
      <c r="T85" s="323"/>
      <c r="U85" s="323"/>
      <c r="V85" s="31"/>
      <c r="W85" s="28"/>
      <c r="X85" s="55" t="s">
        <v>174</v>
      </c>
      <c r="Y85" s="55" t="s">
        <v>174</v>
      </c>
      <c r="Z85" s="55" t="s">
        <v>174</v>
      </c>
      <c r="AA85" s="55" t="s">
        <v>174</v>
      </c>
      <c r="AB85" s="55" t="s">
        <v>174</v>
      </c>
      <c r="AC85" s="55" t="s">
        <v>174</v>
      </c>
      <c r="AD85" s="28"/>
      <c r="AE85" s="55" t="s">
        <v>174</v>
      </c>
      <c r="AF85" s="55" t="s">
        <v>174</v>
      </c>
      <c r="AG85" s="55" t="s">
        <v>174</v>
      </c>
      <c r="AH85" s="55" t="s">
        <v>174</v>
      </c>
      <c r="AI85" s="55" t="s">
        <v>174</v>
      </c>
      <c r="AJ85" s="55" t="s">
        <v>174</v>
      </c>
      <c r="AK85" s="28"/>
      <c r="AL85" s="323" t="s">
        <v>194</v>
      </c>
      <c r="AM85" s="323"/>
      <c r="AN85" s="323"/>
      <c r="AO85" s="323"/>
      <c r="AP85" s="323"/>
      <c r="AQ85" s="323"/>
      <c r="AR85" s="31"/>
    </row>
    <row r="86" spans="1:44">
      <c r="A86" s="28"/>
      <c r="B86" s="55" t="s">
        <v>174</v>
      </c>
      <c r="C86" s="55" t="s">
        <v>174</v>
      </c>
      <c r="D86" s="55" t="s">
        <v>174</v>
      </c>
      <c r="E86" s="55" t="s">
        <v>174</v>
      </c>
      <c r="F86" s="55" t="s">
        <v>174</v>
      </c>
      <c r="G86" s="55" t="s">
        <v>174</v>
      </c>
      <c r="H86" s="28"/>
      <c r="I86" s="53" t="s">
        <v>162</v>
      </c>
      <c r="J86" s="34" t="s">
        <v>167</v>
      </c>
      <c r="K86" s="34" t="s">
        <v>8</v>
      </c>
      <c r="L86" s="34" t="s">
        <v>156</v>
      </c>
      <c r="M86" s="34" t="s">
        <v>168</v>
      </c>
      <c r="N86" s="34" t="s">
        <v>169</v>
      </c>
      <c r="O86" s="31"/>
      <c r="P86" s="53" t="s">
        <v>162</v>
      </c>
      <c r="Q86" s="34" t="s">
        <v>167</v>
      </c>
      <c r="R86" s="34" t="s">
        <v>8</v>
      </c>
      <c r="S86" s="34" t="s">
        <v>156</v>
      </c>
      <c r="T86" s="34" t="s">
        <v>168</v>
      </c>
      <c r="U86" s="34" t="s">
        <v>169</v>
      </c>
      <c r="V86" s="31"/>
      <c r="W86" s="28"/>
      <c r="X86" s="55" t="s">
        <v>174</v>
      </c>
      <c r="Y86" s="55" t="s">
        <v>174</v>
      </c>
      <c r="Z86" s="55" t="s">
        <v>174</v>
      </c>
      <c r="AA86" s="55" t="s">
        <v>174</v>
      </c>
      <c r="AB86" s="55" t="s">
        <v>174</v>
      </c>
      <c r="AC86" s="55" t="s">
        <v>174</v>
      </c>
      <c r="AD86" s="28"/>
      <c r="AE86" s="55" t="s">
        <v>174</v>
      </c>
      <c r="AF86" s="55" t="s">
        <v>174</v>
      </c>
      <c r="AG86" s="55" t="s">
        <v>174</v>
      </c>
      <c r="AH86" s="55" t="s">
        <v>174</v>
      </c>
      <c r="AI86" s="55" t="s">
        <v>174</v>
      </c>
      <c r="AJ86" s="55" t="s">
        <v>174</v>
      </c>
      <c r="AK86" s="28"/>
      <c r="AL86" s="33" t="s">
        <v>164</v>
      </c>
      <c r="AM86" s="34" t="s">
        <v>167</v>
      </c>
      <c r="AN86" s="34" t="s">
        <v>8</v>
      </c>
      <c r="AO86" s="34" t="s">
        <v>156</v>
      </c>
      <c r="AP86" s="34" t="s">
        <v>168</v>
      </c>
      <c r="AQ86" s="34" t="s">
        <v>169</v>
      </c>
      <c r="AR86" s="31"/>
    </row>
    <row r="87" spans="1:44">
      <c r="A87" s="28"/>
      <c r="B87" s="55" t="s">
        <v>174</v>
      </c>
      <c r="C87" s="55" t="s">
        <v>174</v>
      </c>
      <c r="D87" s="55" t="s">
        <v>174</v>
      </c>
      <c r="E87" s="55" t="s">
        <v>174</v>
      </c>
      <c r="F87" s="55" t="s">
        <v>174</v>
      </c>
      <c r="G87" s="55" t="s">
        <v>174</v>
      </c>
      <c r="H87" s="28"/>
      <c r="I87" s="60">
        <v>2.8</v>
      </c>
      <c r="J87" s="38">
        <v>1.2395</v>
      </c>
      <c r="K87" s="38">
        <v>0.96619999999999995</v>
      </c>
      <c r="L87" s="38">
        <v>0.19980000000000001</v>
      </c>
      <c r="M87" s="38">
        <v>-0.65620000000000001</v>
      </c>
      <c r="N87" s="38">
        <v>3.1352000000000002</v>
      </c>
      <c r="O87" s="31"/>
      <c r="P87" s="60">
        <v>2.8</v>
      </c>
      <c r="Q87" s="38">
        <v>1.9967999999999999</v>
      </c>
      <c r="R87" s="38">
        <v>1.3993</v>
      </c>
      <c r="S87" s="38">
        <v>0.15390000000000001</v>
      </c>
      <c r="T87" s="38">
        <v>-0.74939999999999996</v>
      </c>
      <c r="U87" s="38">
        <v>4.7430000000000003</v>
      </c>
      <c r="V87" s="31"/>
      <c r="W87" s="28"/>
      <c r="X87" s="55" t="s">
        <v>174</v>
      </c>
      <c r="Y87" s="55" t="s">
        <v>174</v>
      </c>
      <c r="Z87" s="55" t="s">
        <v>174</v>
      </c>
      <c r="AA87" s="55" t="s">
        <v>174</v>
      </c>
      <c r="AB87" s="55" t="s">
        <v>174</v>
      </c>
      <c r="AC87" s="55" t="s">
        <v>174</v>
      </c>
      <c r="AD87" s="28"/>
      <c r="AE87" s="55" t="s">
        <v>174</v>
      </c>
      <c r="AF87" s="55" t="s">
        <v>174</v>
      </c>
      <c r="AG87" s="55" t="s">
        <v>174</v>
      </c>
      <c r="AH87" s="55" t="s">
        <v>174</v>
      </c>
      <c r="AI87" s="55" t="s">
        <v>174</v>
      </c>
      <c r="AJ87" s="55" t="s">
        <v>174</v>
      </c>
      <c r="AK87" s="28"/>
      <c r="AL87" s="97">
        <v>0.9</v>
      </c>
      <c r="AM87" s="83">
        <v>8.1433</v>
      </c>
      <c r="AN87" s="83">
        <v>2.6118000000000001</v>
      </c>
      <c r="AO87" s="84">
        <v>1.9E-3</v>
      </c>
      <c r="AP87" s="83">
        <v>3.0175000000000001</v>
      </c>
      <c r="AQ87" s="83">
        <v>13.269</v>
      </c>
      <c r="AR87" s="31"/>
    </row>
    <row r="88" spans="1:44">
      <c r="A88" s="28"/>
      <c r="B88" s="55" t="s">
        <v>174</v>
      </c>
      <c r="C88" s="55" t="s">
        <v>174</v>
      </c>
      <c r="D88" s="55" t="s">
        <v>174</v>
      </c>
      <c r="E88" s="55" t="s">
        <v>174</v>
      </c>
      <c r="F88" s="55" t="s">
        <v>174</v>
      </c>
      <c r="G88" s="55" t="s">
        <v>174</v>
      </c>
      <c r="H88" s="28"/>
      <c r="I88" s="60">
        <v>6.87</v>
      </c>
      <c r="J88" s="38">
        <v>1.5606</v>
      </c>
      <c r="K88" s="38">
        <v>0.85850000000000004</v>
      </c>
      <c r="L88" s="38">
        <v>6.93E-2</v>
      </c>
      <c r="M88" s="38">
        <v>-0.1237</v>
      </c>
      <c r="N88" s="38">
        <v>3.2450000000000001</v>
      </c>
      <c r="O88" s="28"/>
      <c r="P88" s="60">
        <v>6.87</v>
      </c>
      <c r="Q88" s="38">
        <v>2.4327999999999999</v>
      </c>
      <c r="R88" s="38">
        <v>1.2539</v>
      </c>
      <c r="S88" s="38">
        <v>5.2699999999999997E-2</v>
      </c>
      <c r="T88" s="38">
        <v>-2.81E-2</v>
      </c>
      <c r="U88" s="38">
        <v>4.8936000000000002</v>
      </c>
      <c r="V88" s="28"/>
      <c r="W88" s="28"/>
      <c r="X88" s="55" t="s">
        <v>174</v>
      </c>
      <c r="Y88" s="55" t="s">
        <v>174</v>
      </c>
      <c r="Z88" s="55" t="s">
        <v>174</v>
      </c>
      <c r="AA88" s="55" t="s">
        <v>174</v>
      </c>
      <c r="AB88" s="55" t="s">
        <v>174</v>
      </c>
      <c r="AC88" s="55" t="s">
        <v>174</v>
      </c>
      <c r="AD88" s="28"/>
      <c r="AE88" s="55" t="s">
        <v>174</v>
      </c>
      <c r="AF88" s="55" t="s">
        <v>174</v>
      </c>
      <c r="AG88" s="55" t="s">
        <v>174</v>
      </c>
      <c r="AH88" s="55" t="s">
        <v>174</v>
      </c>
      <c r="AI88" s="55" t="s">
        <v>174</v>
      </c>
      <c r="AJ88" s="55" t="s">
        <v>174</v>
      </c>
      <c r="AK88" s="28"/>
      <c r="AL88" s="97">
        <v>0.95199999999999996</v>
      </c>
      <c r="AM88" s="83">
        <v>7.7878999999999996</v>
      </c>
      <c r="AN88" s="83">
        <v>2.4178000000000002</v>
      </c>
      <c r="AO88" s="84">
        <v>1.2999999999999999E-3</v>
      </c>
      <c r="AP88" s="83">
        <v>3.0427</v>
      </c>
      <c r="AQ88" s="83">
        <v>12.533099999999999</v>
      </c>
      <c r="AR88" s="28"/>
    </row>
    <row r="89" spans="1:44">
      <c r="A89" s="28"/>
      <c r="B89" s="55" t="s">
        <v>174</v>
      </c>
      <c r="C89" s="55" t="s">
        <v>174</v>
      </c>
      <c r="D89" s="55" t="s">
        <v>174</v>
      </c>
      <c r="E89" s="55" t="s">
        <v>174</v>
      </c>
      <c r="F89" s="55" t="s">
        <v>174</v>
      </c>
      <c r="G89" s="55" t="s">
        <v>174</v>
      </c>
      <c r="H89" s="28"/>
      <c r="I89" s="68">
        <v>7.8463000000000003</v>
      </c>
      <c r="J89" s="38">
        <v>1.6376999999999999</v>
      </c>
      <c r="K89" s="38">
        <v>0.8347</v>
      </c>
      <c r="L89" s="37">
        <v>0.05</v>
      </c>
      <c r="M89" s="38">
        <v>0</v>
      </c>
      <c r="N89" s="38">
        <v>3.2753999999999999</v>
      </c>
      <c r="O89" s="28"/>
      <c r="P89" s="68">
        <v>7.0328999999999997</v>
      </c>
      <c r="Q89" s="38">
        <v>2.4502000000000002</v>
      </c>
      <c r="R89" s="38">
        <v>1.2484999999999999</v>
      </c>
      <c r="S89" s="37">
        <v>0.05</v>
      </c>
      <c r="T89" s="38">
        <v>0</v>
      </c>
      <c r="U89" s="38">
        <v>4.9004000000000003</v>
      </c>
      <c r="V89" s="28"/>
      <c r="W89" s="28"/>
      <c r="X89" s="55" t="s">
        <v>174</v>
      </c>
      <c r="Y89" s="55" t="s">
        <v>174</v>
      </c>
      <c r="Z89" s="55" t="s">
        <v>174</v>
      </c>
      <c r="AA89" s="55" t="s">
        <v>174</v>
      </c>
      <c r="AB89" s="55" t="s">
        <v>174</v>
      </c>
      <c r="AC89" s="55" t="s">
        <v>174</v>
      </c>
      <c r="AD89" s="28"/>
      <c r="AE89" s="55" t="s">
        <v>174</v>
      </c>
      <c r="AF89" s="55" t="s">
        <v>174</v>
      </c>
      <c r="AG89" s="55" t="s">
        <v>174</v>
      </c>
      <c r="AH89" s="55" t="s">
        <v>174</v>
      </c>
      <c r="AI89" s="55" t="s">
        <v>174</v>
      </c>
      <c r="AJ89" s="55" t="s">
        <v>174</v>
      </c>
      <c r="AK89" s="28"/>
      <c r="AL89" s="97">
        <v>1.004</v>
      </c>
      <c r="AM89" s="83">
        <v>7.4325999999999999</v>
      </c>
      <c r="AN89" s="83">
        <v>2.2269000000000001</v>
      </c>
      <c r="AO89" s="84">
        <v>8.9999999999999998E-4</v>
      </c>
      <c r="AP89" s="83">
        <v>3.0621</v>
      </c>
      <c r="AQ89" s="83">
        <v>11.803000000000001</v>
      </c>
      <c r="AR89" s="28"/>
    </row>
    <row r="90" spans="1:44">
      <c r="A90" s="28"/>
      <c r="B90" s="55" t="s">
        <v>174</v>
      </c>
      <c r="C90" s="55" t="s">
        <v>174</v>
      </c>
      <c r="D90" s="55" t="s">
        <v>174</v>
      </c>
      <c r="E90" s="55" t="s">
        <v>174</v>
      </c>
      <c r="F90" s="55" t="s">
        <v>174</v>
      </c>
      <c r="G90" s="55" t="s">
        <v>174</v>
      </c>
      <c r="H90" s="28"/>
      <c r="I90" s="68">
        <v>10.94</v>
      </c>
      <c r="J90" s="38">
        <v>1.8817999999999999</v>
      </c>
      <c r="K90" s="38">
        <v>0.76600000000000001</v>
      </c>
      <c r="L90" s="37">
        <v>1.4200000000000001E-2</v>
      </c>
      <c r="M90" s="38">
        <v>0.37890000000000001</v>
      </c>
      <c r="N90" s="38">
        <v>3.3847</v>
      </c>
      <c r="O90" s="28"/>
      <c r="P90" s="68">
        <v>10.94</v>
      </c>
      <c r="Q90" s="38">
        <v>2.8687999999999998</v>
      </c>
      <c r="R90" s="38">
        <v>1.1306</v>
      </c>
      <c r="S90" s="37">
        <v>1.1299999999999999E-2</v>
      </c>
      <c r="T90" s="38">
        <v>0.64990000000000003</v>
      </c>
      <c r="U90" s="38">
        <v>5.0876000000000001</v>
      </c>
      <c r="V90" s="28"/>
      <c r="W90" s="28"/>
      <c r="X90" s="55" t="s">
        <v>174</v>
      </c>
      <c r="Y90" s="55" t="s">
        <v>174</v>
      </c>
      <c r="Z90" s="55" t="s">
        <v>174</v>
      </c>
      <c r="AA90" s="55" t="s">
        <v>174</v>
      </c>
      <c r="AB90" s="55" t="s">
        <v>174</v>
      </c>
      <c r="AC90" s="55" t="s">
        <v>174</v>
      </c>
      <c r="AD90" s="28"/>
      <c r="AE90" s="55" t="s">
        <v>174</v>
      </c>
      <c r="AF90" s="55" t="s">
        <v>174</v>
      </c>
      <c r="AG90" s="55" t="s">
        <v>174</v>
      </c>
      <c r="AH90" s="55" t="s">
        <v>174</v>
      </c>
      <c r="AI90" s="55" t="s">
        <v>174</v>
      </c>
      <c r="AJ90" s="55" t="s">
        <v>174</v>
      </c>
      <c r="AK90" s="28"/>
      <c r="AL90" s="97">
        <v>1.056</v>
      </c>
      <c r="AM90" s="83">
        <v>7.0772000000000004</v>
      </c>
      <c r="AN90" s="83">
        <v>2.0398000000000001</v>
      </c>
      <c r="AO90" s="84">
        <v>5.0000000000000001E-4</v>
      </c>
      <c r="AP90" s="83">
        <v>3.0739999999999998</v>
      </c>
      <c r="AQ90" s="83">
        <v>11.080399999999999</v>
      </c>
      <c r="AR90" s="28"/>
    </row>
    <row r="91" spans="1:44">
      <c r="A91" s="28"/>
      <c r="B91" s="55" t="s">
        <v>174</v>
      </c>
      <c r="C91" s="55" t="s">
        <v>174</v>
      </c>
      <c r="D91" s="55" t="s">
        <v>174</v>
      </c>
      <c r="E91" s="55" t="s">
        <v>174</v>
      </c>
      <c r="F91" s="55" t="s">
        <v>174</v>
      </c>
      <c r="G91" s="55" t="s">
        <v>174</v>
      </c>
      <c r="H91" s="28"/>
      <c r="I91" s="68">
        <v>15.01</v>
      </c>
      <c r="J91" s="38">
        <v>2.2029000000000001</v>
      </c>
      <c r="K91" s="38">
        <v>0.69499999999999995</v>
      </c>
      <c r="L91" s="37">
        <v>1.6000000000000001E-3</v>
      </c>
      <c r="M91" s="38">
        <v>0.83940000000000003</v>
      </c>
      <c r="N91" s="38">
        <v>3.5665</v>
      </c>
      <c r="O91" s="28"/>
      <c r="P91" s="68">
        <v>15.01</v>
      </c>
      <c r="Q91" s="38">
        <v>3.3047</v>
      </c>
      <c r="R91" s="38">
        <v>1.0374000000000001</v>
      </c>
      <c r="S91" s="37">
        <v>1.5E-3</v>
      </c>
      <c r="T91" s="38">
        <v>1.2687999999999999</v>
      </c>
      <c r="U91" s="38">
        <v>5.3406000000000002</v>
      </c>
      <c r="V91" s="28"/>
      <c r="W91" s="28"/>
      <c r="X91" s="55" t="s">
        <v>174</v>
      </c>
      <c r="Y91" s="55" t="s">
        <v>174</v>
      </c>
      <c r="Z91" s="55" t="s">
        <v>174</v>
      </c>
      <c r="AA91" s="55" t="s">
        <v>174</v>
      </c>
      <c r="AB91" s="55" t="s">
        <v>174</v>
      </c>
      <c r="AC91" s="55" t="s">
        <v>174</v>
      </c>
      <c r="AD91" s="28"/>
      <c r="AE91" s="55" t="s">
        <v>174</v>
      </c>
      <c r="AF91" s="55" t="s">
        <v>174</v>
      </c>
      <c r="AG91" s="55" t="s">
        <v>174</v>
      </c>
      <c r="AH91" s="55" t="s">
        <v>174</v>
      </c>
      <c r="AI91" s="55" t="s">
        <v>174</v>
      </c>
      <c r="AJ91" s="55" t="s">
        <v>174</v>
      </c>
      <c r="AK91" s="28"/>
      <c r="AL91" s="97">
        <v>1.1080000000000001</v>
      </c>
      <c r="AM91" s="83">
        <v>6.7218999999999998</v>
      </c>
      <c r="AN91" s="83">
        <v>1.8575999999999999</v>
      </c>
      <c r="AO91" s="84">
        <v>2.9999999999999997E-4</v>
      </c>
      <c r="AP91" s="83">
        <v>3.0760999999999998</v>
      </c>
      <c r="AQ91" s="83">
        <v>10.367599999999999</v>
      </c>
      <c r="AR91" s="28"/>
    </row>
    <row r="92" spans="1:44">
      <c r="A92" s="28"/>
      <c r="B92" s="55" t="s">
        <v>174</v>
      </c>
      <c r="C92" s="55" t="s">
        <v>174</v>
      </c>
      <c r="D92" s="55" t="s">
        <v>174</v>
      </c>
      <c r="E92" s="55" t="s">
        <v>174</v>
      </c>
      <c r="F92" s="55" t="s">
        <v>174</v>
      </c>
      <c r="G92" s="55" t="s">
        <v>174</v>
      </c>
      <c r="H92" s="28"/>
      <c r="I92" s="68">
        <v>19.079999999999998</v>
      </c>
      <c r="J92" s="38">
        <v>2.5240999999999998</v>
      </c>
      <c r="K92" s="38">
        <v>0.65239999999999998</v>
      </c>
      <c r="L92" s="37">
        <v>1E-4</v>
      </c>
      <c r="M92" s="38">
        <v>1.2441</v>
      </c>
      <c r="N92" s="38">
        <v>3.8041</v>
      </c>
      <c r="O92" s="28"/>
      <c r="P92" s="68">
        <v>19.079999999999998</v>
      </c>
      <c r="Q92" s="38">
        <v>3.7406999999999999</v>
      </c>
      <c r="R92" s="38">
        <v>0.98280000000000001</v>
      </c>
      <c r="S92" s="37">
        <v>2.0000000000000001E-4</v>
      </c>
      <c r="T92" s="38">
        <v>1.8120000000000001</v>
      </c>
      <c r="U92" s="38">
        <v>5.6695000000000002</v>
      </c>
      <c r="V92" s="28"/>
      <c r="W92" s="28"/>
      <c r="X92" s="55" t="s">
        <v>174</v>
      </c>
      <c r="Y92" s="55" t="s">
        <v>174</v>
      </c>
      <c r="Z92" s="55" t="s">
        <v>174</v>
      </c>
      <c r="AA92" s="55" t="s">
        <v>174</v>
      </c>
      <c r="AB92" s="55" t="s">
        <v>174</v>
      </c>
      <c r="AC92" s="55" t="s">
        <v>174</v>
      </c>
      <c r="AD92" s="28"/>
      <c r="AE92" s="55" t="s">
        <v>174</v>
      </c>
      <c r="AF92" s="55" t="s">
        <v>174</v>
      </c>
      <c r="AG92" s="55" t="s">
        <v>174</v>
      </c>
      <c r="AH92" s="55" t="s">
        <v>174</v>
      </c>
      <c r="AI92" s="55" t="s">
        <v>174</v>
      </c>
      <c r="AJ92" s="55" t="s">
        <v>174</v>
      </c>
      <c r="AK92" s="28"/>
      <c r="AL92" s="97">
        <v>1.1599999999999999</v>
      </c>
      <c r="AM92" s="83">
        <v>6.3665000000000003</v>
      </c>
      <c r="AN92" s="83">
        <v>1.6819999999999999</v>
      </c>
      <c r="AO92" s="84">
        <v>2.0000000000000001E-4</v>
      </c>
      <c r="AP92" s="83">
        <v>3.0653999999999999</v>
      </c>
      <c r="AQ92" s="83">
        <v>9.6676000000000002</v>
      </c>
      <c r="AR92" s="28"/>
    </row>
    <row r="93" spans="1:44">
      <c r="A93" s="28"/>
      <c r="B93" s="55" t="s">
        <v>174</v>
      </c>
      <c r="C93" s="55" t="s">
        <v>174</v>
      </c>
      <c r="D93" s="55" t="s">
        <v>174</v>
      </c>
      <c r="E93" s="55" t="s">
        <v>174</v>
      </c>
      <c r="F93" s="55" t="s">
        <v>174</v>
      </c>
      <c r="G93" s="55" t="s">
        <v>174</v>
      </c>
      <c r="H93" s="28"/>
      <c r="I93" s="68">
        <v>23.15</v>
      </c>
      <c r="J93" s="38">
        <v>2.8452999999999999</v>
      </c>
      <c r="K93" s="38">
        <v>0.64390000000000003</v>
      </c>
      <c r="L93" s="37">
        <v>0</v>
      </c>
      <c r="M93" s="38">
        <v>1.5819000000000001</v>
      </c>
      <c r="N93" s="38">
        <v>4.1086</v>
      </c>
      <c r="O93" s="28"/>
      <c r="P93" s="68">
        <v>23.15</v>
      </c>
      <c r="Q93" s="38">
        <v>4.1767000000000003</v>
      </c>
      <c r="R93" s="38">
        <v>0.97330000000000005</v>
      </c>
      <c r="S93" s="37">
        <v>0</v>
      </c>
      <c r="T93" s="38">
        <v>2.2665000000000002</v>
      </c>
      <c r="U93" s="38">
        <v>6.0869</v>
      </c>
      <c r="V93" s="28"/>
      <c r="W93" s="28"/>
      <c r="X93" s="55" t="s">
        <v>174</v>
      </c>
      <c r="Y93" s="55" t="s">
        <v>174</v>
      </c>
      <c r="Z93" s="55" t="s">
        <v>174</v>
      </c>
      <c r="AA93" s="55" t="s">
        <v>174</v>
      </c>
      <c r="AB93" s="55" t="s">
        <v>174</v>
      </c>
      <c r="AC93" s="55" t="s">
        <v>174</v>
      </c>
      <c r="AD93" s="28"/>
      <c r="AE93" s="55" t="s">
        <v>174</v>
      </c>
      <c r="AF93" s="55" t="s">
        <v>174</v>
      </c>
      <c r="AG93" s="55" t="s">
        <v>174</v>
      </c>
      <c r="AH93" s="55" t="s">
        <v>174</v>
      </c>
      <c r="AI93" s="55" t="s">
        <v>174</v>
      </c>
      <c r="AJ93" s="55" t="s">
        <v>174</v>
      </c>
      <c r="AK93" s="28"/>
      <c r="AL93" s="97">
        <v>1.212</v>
      </c>
      <c r="AM93" s="83">
        <v>6.0111999999999997</v>
      </c>
      <c r="AN93" s="83">
        <v>1.5153000000000001</v>
      </c>
      <c r="AO93" s="84">
        <v>1E-4</v>
      </c>
      <c r="AP93" s="83">
        <v>3.0373000000000001</v>
      </c>
      <c r="AQ93" s="83">
        <v>8.9849999999999994</v>
      </c>
      <c r="AR93" s="28"/>
    </row>
    <row r="94" spans="1:44">
      <c r="A94" s="28"/>
      <c r="B94" s="55" t="s">
        <v>174</v>
      </c>
      <c r="C94" s="55" t="s">
        <v>174</v>
      </c>
      <c r="D94" s="55" t="s">
        <v>174</v>
      </c>
      <c r="E94" s="55" t="s">
        <v>174</v>
      </c>
      <c r="F94" s="55" t="s">
        <v>174</v>
      </c>
      <c r="G94" s="55" t="s">
        <v>174</v>
      </c>
      <c r="H94" s="28"/>
      <c r="I94" s="68">
        <v>27.22</v>
      </c>
      <c r="J94" s="38">
        <v>3.1663999999999999</v>
      </c>
      <c r="K94" s="38">
        <v>0.67079999999999995</v>
      </c>
      <c r="L94" s="37">
        <v>0</v>
      </c>
      <c r="M94" s="38">
        <v>1.8503000000000001</v>
      </c>
      <c r="N94" s="38">
        <v>4.4824999999999999</v>
      </c>
      <c r="O94" s="28"/>
      <c r="P94" s="68">
        <v>27.22</v>
      </c>
      <c r="Q94" s="38">
        <v>4.6127000000000002</v>
      </c>
      <c r="R94" s="38">
        <v>1.0103</v>
      </c>
      <c r="S94" s="37">
        <v>0</v>
      </c>
      <c r="T94" s="38">
        <v>2.6299000000000001</v>
      </c>
      <c r="U94" s="38">
        <v>6.5953999999999997</v>
      </c>
      <c r="V94" s="28"/>
      <c r="W94" s="28"/>
      <c r="X94" s="55" t="s">
        <v>174</v>
      </c>
      <c r="Y94" s="55" t="s">
        <v>174</v>
      </c>
      <c r="Z94" s="55" t="s">
        <v>174</v>
      </c>
      <c r="AA94" s="55" t="s">
        <v>174</v>
      </c>
      <c r="AB94" s="55" t="s">
        <v>174</v>
      </c>
      <c r="AC94" s="55" t="s">
        <v>174</v>
      </c>
      <c r="AD94" s="28"/>
      <c r="AE94" s="55" t="s">
        <v>174</v>
      </c>
      <c r="AF94" s="55" t="s">
        <v>174</v>
      </c>
      <c r="AG94" s="55" t="s">
        <v>174</v>
      </c>
      <c r="AH94" s="55" t="s">
        <v>174</v>
      </c>
      <c r="AI94" s="55" t="s">
        <v>174</v>
      </c>
      <c r="AJ94" s="55" t="s">
        <v>174</v>
      </c>
      <c r="AK94" s="28"/>
      <c r="AL94" s="97">
        <v>1.264</v>
      </c>
      <c r="AM94" s="83">
        <v>5.6558000000000002</v>
      </c>
      <c r="AN94" s="83">
        <v>1.3607</v>
      </c>
      <c r="AO94" s="84">
        <v>0</v>
      </c>
      <c r="AP94" s="83">
        <v>2.9853999999999998</v>
      </c>
      <c r="AQ94" s="83">
        <v>8.3262</v>
      </c>
      <c r="AR94" s="28"/>
    </row>
    <row r="95" spans="1:44">
      <c r="A95" s="28"/>
      <c r="B95" s="55" t="s">
        <v>174</v>
      </c>
      <c r="C95" s="55" t="s">
        <v>174</v>
      </c>
      <c r="D95" s="55" t="s">
        <v>174</v>
      </c>
      <c r="E95" s="55" t="s">
        <v>174</v>
      </c>
      <c r="F95" s="55" t="s">
        <v>174</v>
      </c>
      <c r="G95" s="55" t="s">
        <v>174</v>
      </c>
      <c r="H95" s="28"/>
      <c r="I95" s="68">
        <v>31.29</v>
      </c>
      <c r="J95" s="38">
        <v>3.4876</v>
      </c>
      <c r="K95" s="38">
        <v>0.72919999999999996</v>
      </c>
      <c r="L95" s="37">
        <v>0</v>
      </c>
      <c r="M95" s="38">
        <v>2.0568</v>
      </c>
      <c r="N95" s="38">
        <v>4.9183000000000003</v>
      </c>
      <c r="O95" s="28"/>
      <c r="P95" s="68">
        <v>31.29</v>
      </c>
      <c r="Q95" s="38">
        <v>5.0487000000000002</v>
      </c>
      <c r="R95" s="38">
        <v>1.089</v>
      </c>
      <c r="S95" s="37">
        <v>0</v>
      </c>
      <c r="T95" s="38">
        <v>2.9115000000000002</v>
      </c>
      <c r="U95" s="38">
        <v>7.1858000000000004</v>
      </c>
      <c r="V95" s="28"/>
      <c r="W95" s="28"/>
      <c r="X95" s="55" t="s">
        <v>174</v>
      </c>
      <c r="Y95" s="55" t="s">
        <v>174</v>
      </c>
      <c r="Z95" s="55" t="s">
        <v>174</v>
      </c>
      <c r="AA95" s="55" t="s">
        <v>174</v>
      </c>
      <c r="AB95" s="55" t="s">
        <v>174</v>
      </c>
      <c r="AC95" s="55" t="s">
        <v>174</v>
      </c>
      <c r="AD95" s="28"/>
      <c r="AE95" s="55" t="s">
        <v>174</v>
      </c>
      <c r="AF95" s="55" t="s">
        <v>174</v>
      </c>
      <c r="AG95" s="55" t="s">
        <v>174</v>
      </c>
      <c r="AH95" s="55" t="s">
        <v>174</v>
      </c>
      <c r="AI95" s="55" t="s">
        <v>174</v>
      </c>
      <c r="AJ95" s="55" t="s">
        <v>174</v>
      </c>
      <c r="AK95" s="28"/>
      <c r="AL95" s="97">
        <v>1.3160000000000001</v>
      </c>
      <c r="AM95" s="83">
        <v>5.3005000000000004</v>
      </c>
      <c r="AN95" s="83">
        <v>1.2228000000000001</v>
      </c>
      <c r="AO95" s="84">
        <v>0</v>
      </c>
      <c r="AP95" s="83">
        <v>2.9007000000000001</v>
      </c>
      <c r="AQ95" s="83">
        <v>7.7003000000000004</v>
      </c>
      <c r="AR95" s="28"/>
    </row>
    <row r="96" spans="1:44">
      <c r="A96" s="28"/>
      <c r="B96" s="55" t="s">
        <v>174</v>
      </c>
      <c r="C96" s="55" t="s">
        <v>174</v>
      </c>
      <c r="D96" s="55" t="s">
        <v>174</v>
      </c>
      <c r="E96" s="55" t="s">
        <v>174</v>
      </c>
      <c r="F96" s="55" t="s">
        <v>174</v>
      </c>
      <c r="G96" s="55" t="s">
        <v>174</v>
      </c>
      <c r="H96" s="28"/>
      <c r="I96" s="68">
        <v>35.36</v>
      </c>
      <c r="J96" s="38">
        <v>3.8087</v>
      </c>
      <c r="K96" s="38">
        <v>0.81240000000000001</v>
      </c>
      <c r="L96" s="37">
        <v>0</v>
      </c>
      <c r="M96" s="38">
        <v>2.2147999999999999</v>
      </c>
      <c r="N96" s="38">
        <v>5.4025999999999996</v>
      </c>
      <c r="O96" s="28"/>
      <c r="P96" s="68">
        <v>35.36</v>
      </c>
      <c r="Q96" s="38">
        <v>5.4847000000000001</v>
      </c>
      <c r="R96" s="38">
        <v>1.2012</v>
      </c>
      <c r="S96" s="37">
        <v>0</v>
      </c>
      <c r="T96" s="38">
        <v>3.1273</v>
      </c>
      <c r="U96" s="38">
        <v>7.8419999999999996</v>
      </c>
      <c r="V96" s="28"/>
      <c r="W96" s="28"/>
      <c r="X96" s="55" t="s">
        <v>174</v>
      </c>
      <c r="Y96" s="55" t="s">
        <v>174</v>
      </c>
      <c r="Z96" s="55" t="s">
        <v>174</v>
      </c>
      <c r="AA96" s="55" t="s">
        <v>174</v>
      </c>
      <c r="AB96" s="55" t="s">
        <v>174</v>
      </c>
      <c r="AC96" s="55" t="s">
        <v>174</v>
      </c>
      <c r="AD96" s="28"/>
      <c r="AE96" s="55" t="s">
        <v>174</v>
      </c>
      <c r="AF96" s="55" t="s">
        <v>174</v>
      </c>
      <c r="AG96" s="55" t="s">
        <v>174</v>
      </c>
      <c r="AH96" s="55" t="s">
        <v>174</v>
      </c>
      <c r="AI96" s="55" t="s">
        <v>174</v>
      </c>
      <c r="AJ96" s="55" t="s">
        <v>174</v>
      </c>
      <c r="AK96" s="28"/>
      <c r="AL96" s="97">
        <v>1.3680000000000001</v>
      </c>
      <c r="AM96" s="83">
        <v>4.9451000000000001</v>
      </c>
      <c r="AN96" s="83">
        <v>1.1079000000000001</v>
      </c>
      <c r="AO96" s="84">
        <v>0</v>
      </c>
      <c r="AP96" s="83">
        <v>2.7709000000000001</v>
      </c>
      <c r="AQ96" s="83">
        <v>7.1193999999999997</v>
      </c>
      <c r="AR96" s="28"/>
    </row>
    <row r="97" spans="1:44">
      <c r="A97" s="28"/>
      <c r="B97" s="55" t="s">
        <v>174</v>
      </c>
      <c r="C97" s="55" t="s">
        <v>174</v>
      </c>
      <c r="D97" s="55" t="s">
        <v>174</v>
      </c>
      <c r="E97" s="55" t="s">
        <v>174</v>
      </c>
      <c r="F97" s="55" t="s">
        <v>174</v>
      </c>
      <c r="G97" s="55" t="s">
        <v>174</v>
      </c>
      <c r="H97" s="28"/>
      <c r="I97" s="68">
        <v>39.43</v>
      </c>
      <c r="J97" s="38">
        <v>4.1299000000000001</v>
      </c>
      <c r="K97" s="38">
        <v>0.91349999999999998</v>
      </c>
      <c r="L97" s="37">
        <v>0</v>
      </c>
      <c r="M97" s="38">
        <v>2.3376000000000001</v>
      </c>
      <c r="N97" s="38">
        <v>5.9222000000000001</v>
      </c>
      <c r="O97" s="28"/>
      <c r="P97" s="68">
        <v>39.43</v>
      </c>
      <c r="Q97" s="38">
        <v>5.9206000000000003</v>
      </c>
      <c r="R97" s="38">
        <v>1.3385</v>
      </c>
      <c r="S97" s="37">
        <v>0</v>
      </c>
      <c r="T97" s="38">
        <v>3.2936999999999999</v>
      </c>
      <c r="U97" s="38">
        <v>8.5474999999999994</v>
      </c>
      <c r="V97" s="28"/>
      <c r="W97" s="28"/>
      <c r="X97" s="55" t="s">
        <v>174</v>
      </c>
      <c r="Y97" s="55" t="s">
        <v>174</v>
      </c>
      <c r="Z97" s="55" t="s">
        <v>174</v>
      </c>
      <c r="AA97" s="55" t="s">
        <v>174</v>
      </c>
      <c r="AB97" s="55" t="s">
        <v>174</v>
      </c>
      <c r="AC97" s="55" t="s">
        <v>174</v>
      </c>
      <c r="AD97" s="28"/>
      <c r="AE97" s="55" t="s">
        <v>174</v>
      </c>
      <c r="AF97" s="55" t="s">
        <v>174</v>
      </c>
      <c r="AG97" s="55" t="s">
        <v>174</v>
      </c>
      <c r="AH97" s="55" t="s">
        <v>174</v>
      </c>
      <c r="AI97" s="55" t="s">
        <v>174</v>
      </c>
      <c r="AJ97" s="55" t="s">
        <v>174</v>
      </c>
      <c r="AK97" s="28"/>
      <c r="AL97" s="97">
        <v>1.42</v>
      </c>
      <c r="AM97" s="83">
        <v>4.5898000000000003</v>
      </c>
      <c r="AN97" s="83">
        <v>1.0237000000000001</v>
      </c>
      <c r="AO97" s="84">
        <v>0</v>
      </c>
      <c r="AP97" s="83">
        <v>2.5807000000000002</v>
      </c>
      <c r="AQ97" s="83">
        <v>6.5987999999999998</v>
      </c>
      <c r="AR97" s="28"/>
    </row>
    <row r="98" spans="1:44">
      <c r="A98" s="28"/>
      <c r="B98" s="55" t="s">
        <v>174</v>
      </c>
      <c r="C98" s="55" t="s">
        <v>174</v>
      </c>
      <c r="D98" s="55" t="s">
        <v>174</v>
      </c>
      <c r="E98" s="55" t="s">
        <v>174</v>
      </c>
      <c r="F98" s="55" t="s">
        <v>174</v>
      </c>
      <c r="G98" s="55" t="s">
        <v>174</v>
      </c>
      <c r="H98" s="28"/>
      <c r="I98" s="68">
        <v>43.5</v>
      </c>
      <c r="J98" s="38">
        <v>4.4509999999999996</v>
      </c>
      <c r="K98" s="38">
        <v>1.0274000000000001</v>
      </c>
      <c r="L98" s="37">
        <v>0</v>
      </c>
      <c r="M98" s="38">
        <v>2.4352999999999998</v>
      </c>
      <c r="N98" s="38">
        <v>6.4667000000000003</v>
      </c>
      <c r="O98" s="28"/>
      <c r="P98" s="68">
        <v>43.5</v>
      </c>
      <c r="Q98" s="38">
        <v>6.3566000000000003</v>
      </c>
      <c r="R98" s="38">
        <v>1.4941</v>
      </c>
      <c r="S98" s="37">
        <v>0</v>
      </c>
      <c r="T98" s="38">
        <v>3.4243999999999999</v>
      </c>
      <c r="U98" s="38">
        <v>9.2888000000000002</v>
      </c>
      <c r="V98" s="28"/>
      <c r="W98" s="28"/>
      <c r="X98" s="55" t="s">
        <v>174</v>
      </c>
      <c r="Y98" s="55" t="s">
        <v>174</v>
      </c>
      <c r="Z98" s="55" t="s">
        <v>174</v>
      </c>
      <c r="AA98" s="55" t="s">
        <v>174</v>
      </c>
      <c r="AB98" s="55" t="s">
        <v>174</v>
      </c>
      <c r="AC98" s="55" t="s">
        <v>174</v>
      </c>
      <c r="AD98" s="28"/>
      <c r="AE98" s="55" t="s">
        <v>174</v>
      </c>
      <c r="AF98" s="55" t="s">
        <v>174</v>
      </c>
      <c r="AG98" s="55" t="s">
        <v>174</v>
      </c>
      <c r="AH98" s="55" t="s">
        <v>174</v>
      </c>
      <c r="AI98" s="55" t="s">
        <v>174</v>
      </c>
      <c r="AJ98" s="55" t="s">
        <v>174</v>
      </c>
      <c r="AK98" s="28"/>
      <c r="AL98" s="97">
        <v>1.472</v>
      </c>
      <c r="AM98" s="83">
        <v>4.2343999999999999</v>
      </c>
      <c r="AN98" s="83">
        <v>0.97819999999999996</v>
      </c>
      <c r="AO98" s="84">
        <v>0</v>
      </c>
      <c r="AP98" s="83">
        <v>2.3146</v>
      </c>
      <c r="AQ98" s="83">
        <v>6.1543000000000001</v>
      </c>
      <c r="AR98" s="28"/>
    </row>
    <row r="99" spans="1:44">
      <c r="A99" s="28"/>
      <c r="B99" s="55" t="s">
        <v>174</v>
      </c>
      <c r="C99" s="55" t="s">
        <v>174</v>
      </c>
      <c r="D99" s="55" t="s">
        <v>174</v>
      </c>
      <c r="E99" s="55" t="s">
        <v>174</v>
      </c>
      <c r="F99" s="55" t="s">
        <v>174</v>
      </c>
      <c r="G99" s="55" t="s">
        <v>174</v>
      </c>
      <c r="H99" s="28"/>
      <c r="I99" s="68">
        <v>47.57</v>
      </c>
      <c r="J99" s="38">
        <v>4.7721999999999998</v>
      </c>
      <c r="K99" s="38">
        <v>1.1501999999999999</v>
      </c>
      <c r="L99" s="37">
        <v>0</v>
      </c>
      <c r="M99" s="38">
        <v>2.5156000000000001</v>
      </c>
      <c r="N99" s="38">
        <v>7.0286999999999997</v>
      </c>
      <c r="O99" s="28"/>
      <c r="P99" s="68">
        <v>47.57</v>
      </c>
      <c r="Q99" s="38">
        <v>6.7926000000000002</v>
      </c>
      <c r="R99" s="38">
        <v>1.6627000000000001</v>
      </c>
      <c r="S99" s="37">
        <v>0</v>
      </c>
      <c r="T99" s="38">
        <v>3.5293999999999999</v>
      </c>
      <c r="U99" s="38">
        <v>10.0558</v>
      </c>
      <c r="V99" s="28"/>
      <c r="W99" s="28"/>
      <c r="X99" s="55" t="s">
        <v>174</v>
      </c>
      <c r="Y99" s="55" t="s">
        <v>174</v>
      </c>
      <c r="Z99" s="55" t="s">
        <v>174</v>
      </c>
      <c r="AA99" s="55" t="s">
        <v>174</v>
      </c>
      <c r="AB99" s="55" t="s">
        <v>174</v>
      </c>
      <c r="AC99" s="55" t="s">
        <v>174</v>
      </c>
      <c r="AD99" s="28"/>
      <c r="AE99" s="55" t="s">
        <v>174</v>
      </c>
      <c r="AF99" s="55" t="s">
        <v>174</v>
      </c>
      <c r="AG99" s="55" t="s">
        <v>174</v>
      </c>
      <c r="AH99" s="55" t="s">
        <v>174</v>
      </c>
      <c r="AI99" s="55" t="s">
        <v>174</v>
      </c>
      <c r="AJ99" s="55" t="s">
        <v>174</v>
      </c>
      <c r="AK99" s="28"/>
      <c r="AL99" s="97">
        <v>1.524</v>
      </c>
      <c r="AM99" s="83">
        <v>3.8791000000000002</v>
      </c>
      <c r="AN99" s="83">
        <v>0.97689999999999999</v>
      </c>
      <c r="AO99" s="84">
        <v>1E-4</v>
      </c>
      <c r="AP99" s="83">
        <v>1.9618</v>
      </c>
      <c r="AQ99" s="83">
        <v>5.7964000000000002</v>
      </c>
      <c r="AR99" s="28"/>
    </row>
    <row r="100" spans="1:44">
      <c r="A100" s="28"/>
      <c r="B100" s="55" t="s">
        <v>174</v>
      </c>
      <c r="C100" s="55" t="s">
        <v>174</v>
      </c>
      <c r="D100" s="55" t="s">
        <v>174</v>
      </c>
      <c r="E100" s="55" t="s">
        <v>174</v>
      </c>
      <c r="F100" s="55" t="s">
        <v>174</v>
      </c>
      <c r="G100" s="55" t="s">
        <v>174</v>
      </c>
      <c r="H100" s="28"/>
      <c r="I100" s="68">
        <v>51.64</v>
      </c>
      <c r="J100" s="38">
        <v>5.0933000000000002</v>
      </c>
      <c r="K100" s="38">
        <v>1.2793000000000001</v>
      </c>
      <c r="L100" s="37">
        <v>1E-4</v>
      </c>
      <c r="M100" s="38">
        <v>2.5834000000000001</v>
      </c>
      <c r="N100" s="38">
        <v>7.6032999999999999</v>
      </c>
      <c r="O100" s="28"/>
      <c r="P100" s="68">
        <v>51.64</v>
      </c>
      <c r="Q100" s="38">
        <v>7.2286000000000001</v>
      </c>
      <c r="R100" s="38">
        <v>1.8409</v>
      </c>
      <c r="S100" s="37">
        <v>1E-4</v>
      </c>
      <c r="T100" s="38">
        <v>3.6156999999999999</v>
      </c>
      <c r="U100" s="38">
        <v>10.8415</v>
      </c>
      <c r="V100" s="28"/>
      <c r="W100" s="28"/>
      <c r="X100" s="55" t="s">
        <v>174</v>
      </c>
      <c r="Y100" s="55" t="s">
        <v>174</v>
      </c>
      <c r="Z100" s="55" t="s">
        <v>174</v>
      </c>
      <c r="AA100" s="55" t="s">
        <v>174</v>
      </c>
      <c r="AB100" s="55" t="s">
        <v>174</v>
      </c>
      <c r="AC100" s="55" t="s">
        <v>174</v>
      </c>
      <c r="AD100" s="28"/>
      <c r="AE100" s="55" t="s">
        <v>174</v>
      </c>
      <c r="AF100" s="55" t="s">
        <v>174</v>
      </c>
      <c r="AG100" s="55" t="s">
        <v>174</v>
      </c>
      <c r="AH100" s="55" t="s">
        <v>174</v>
      </c>
      <c r="AI100" s="55" t="s">
        <v>174</v>
      </c>
      <c r="AJ100" s="55" t="s">
        <v>174</v>
      </c>
      <c r="AK100" s="28"/>
      <c r="AL100" s="97">
        <v>1.5760000000000001</v>
      </c>
      <c r="AM100" s="83">
        <v>3.5236999999999998</v>
      </c>
      <c r="AN100" s="83">
        <v>1.0199</v>
      </c>
      <c r="AO100" s="84">
        <v>5.9999999999999995E-4</v>
      </c>
      <c r="AP100" s="83">
        <v>1.5221</v>
      </c>
      <c r="AQ100" s="83">
        <v>5.5254000000000003</v>
      </c>
      <c r="AR100" s="28"/>
    </row>
    <row r="101" spans="1:44">
      <c r="A101" s="28"/>
      <c r="B101" s="55" t="s">
        <v>174</v>
      </c>
      <c r="C101" s="55" t="s">
        <v>174</v>
      </c>
      <c r="D101" s="55" t="s">
        <v>174</v>
      </c>
      <c r="E101" s="55" t="s">
        <v>174</v>
      </c>
      <c r="F101" s="55" t="s">
        <v>174</v>
      </c>
      <c r="G101" s="55" t="s">
        <v>174</v>
      </c>
      <c r="H101" s="28"/>
      <c r="I101" s="68">
        <v>55.71</v>
      </c>
      <c r="J101" s="38">
        <v>5.4145000000000003</v>
      </c>
      <c r="K101" s="38">
        <v>1.4131</v>
      </c>
      <c r="L101" s="37">
        <v>1E-4</v>
      </c>
      <c r="M101" s="38">
        <v>2.6421000000000001</v>
      </c>
      <c r="N101" s="38">
        <v>8.1868999999999996</v>
      </c>
      <c r="O101" s="28"/>
      <c r="P101" s="68">
        <v>55.71</v>
      </c>
      <c r="Q101" s="38">
        <v>7.6646000000000001</v>
      </c>
      <c r="R101" s="38">
        <v>2.0261</v>
      </c>
      <c r="S101" s="37">
        <v>2.0000000000000001E-4</v>
      </c>
      <c r="T101" s="38">
        <v>3.6882999999999999</v>
      </c>
      <c r="U101" s="38">
        <v>11.6409</v>
      </c>
      <c r="V101" s="28"/>
      <c r="W101" s="28"/>
      <c r="X101" s="55" t="s">
        <v>174</v>
      </c>
      <c r="Y101" s="55" t="s">
        <v>174</v>
      </c>
      <c r="Z101" s="55" t="s">
        <v>174</v>
      </c>
      <c r="AA101" s="55" t="s">
        <v>174</v>
      </c>
      <c r="AB101" s="55" t="s">
        <v>174</v>
      </c>
      <c r="AC101" s="55" t="s">
        <v>174</v>
      </c>
      <c r="AD101" s="28"/>
      <c r="AE101" s="55" t="s">
        <v>174</v>
      </c>
      <c r="AF101" s="55" t="s">
        <v>174</v>
      </c>
      <c r="AG101" s="55" t="s">
        <v>174</v>
      </c>
      <c r="AH101" s="55" t="s">
        <v>174</v>
      </c>
      <c r="AI101" s="55" t="s">
        <v>174</v>
      </c>
      <c r="AJ101" s="55" t="s">
        <v>174</v>
      </c>
      <c r="AK101" s="28"/>
      <c r="AL101" s="97">
        <v>1.6279999999999999</v>
      </c>
      <c r="AM101" s="83">
        <v>3.1684000000000001</v>
      </c>
      <c r="AN101" s="83">
        <v>1.1021000000000001</v>
      </c>
      <c r="AO101" s="84">
        <v>4.1000000000000003E-3</v>
      </c>
      <c r="AP101" s="83">
        <v>1.0055000000000001</v>
      </c>
      <c r="AQ101" s="83">
        <v>5.3312999999999997</v>
      </c>
      <c r="AR101" s="28"/>
    </row>
    <row r="102" spans="1:44">
      <c r="A102" s="28"/>
      <c r="B102" s="55" t="s">
        <v>174</v>
      </c>
      <c r="C102" s="55" t="s">
        <v>174</v>
      </c>
      <c r="D102" s="55" t="s">
        <v>174</v>
      </c>
      <c r="E102" s="55" t="s">
        <v>174</v>
      </c>
      <c r="F102" s="55" t="s">
        <v>174</v>
      </c>
      <c r="G102" s="55" t="s">
        <v>174</v>
      </c>
      <c r="H102" s="28"/>
      <c r="I102" s="68">
        <v>59.78</v>
      </c>
      <c r="J102" s="38">
        <v>5.7355999999999998</v>
      </c>
      <c r="K102" s="38">
        <v>1.5503</v>
      </c>
      <c r="L102" s="37">
        <v>2.0000000000000001E-4</v>
      </c>
      <c r="M102" s="38">
        <v>2.6941000000000002</v>
      </c>
      <c r="N102" s="38">
        <v>8.7772000000000006</v>
      </c>
      <c r="O102" s="28"/>
      <c r="P102" s="68">
        <v>59.78</v>
      </c>
      <c r="Q102" s="38">
        <v>8.1006</v>
      </c>
      <c r="R102" s="38">
        <v>2.2164999999999999</v>
      </c>
      <c r="S102" s="37">
        <v>2.9999999999999997E-4</v>
      </c>
      <c r="T102" s="38">
        <v>3.7505000000000002</v>
      </c>
      <c r="U102" s="38">
        <v>12.4506</v>
      </c>
      <c r="V102" s="28"/>
      <c r="W102" s="28"/>
      <c r="X102" s="55" t="s">
        <v>174</v>
      </c>
      <c r="Y102" s="55" t="s">
        <v>174</v>
      </c>
      <c r="Z102" s="55" t="s">
        <v>174</v>
      </c>
      <c r="AA102" s="55" t="s">
        <v>174</v>
      </c>
      <c r="AB102" s="55" t="s">
        <v>174</v>
      </c>
      <c r="AC102" s="55" t="s">
        <v>174</v>
      </c>
      <c r="AD102" s="28"/>
      <c r="AE102" s="55" t="s">
        <v>174</v>
      </c>
      <c r="AF102" s="55" t="s">
        <v>174</v>
      </c>
      <c r="AG102" s="55" t="s">
        <v>174</v>
      </c>
      <c r="AH102" s="55" t="s">
        <v>174</v>
      </c>
      <c r="AI102" s="55" t="s">
        <v>174</v>
      </c>
      <c r="AJ102" s="55" t="s">
        <v>174</v>
      </c>
      <c r="AK102" s="28"/>
      <c r="AL102" s="97">
        <v>1.68</v>
      </c>
      <c r="AM102" s="83">
        <v>2.8130999999999999</v>
      </c>
      <c r="AN102" s="83">
        <v>1.2154</v>
      </c>
      <c r="AO102" s="84">
        <v>2.0899999999999998E-2</v>
      </c>
      <c r="AP102" s="83">
        <v>0.42770000000000002</v>
      </c>
      <c r="AQ102" s="83">
        <v>5.1984000000000004</v>
      </c>
      <c r="AR102" s="28"/>
    </row>
    <row r="103" spans="1:44">
      <c r="A103" s="28"/>
      <c r="B103" s="55" t="s">
        <v>174</v>
      </c>
      <c r="C103" s="55" t="s">
        <v>174</v>
      </c>
      <c r="D103" s="55" t="s">
        <v>174</v>
      </c>
      <c r="E103" s="55" t="s">
        <v>174</v>
      </c>
      <c r="F103" s="55" t="s">
        <v>174</v>
      </c>
      <c r="G103" s="55" t="s">
        <v>174</v>
      </c>
      <c r="H103" s="28"/>
      <c r="I103" s="68">
        <v>63.85</v>
      </c>
      <c r="J103" s="38">
        <v>6.0568</v>
      </c>
      <c r="K103" s="38">
        <v>1.69</v>
      </c>
      <c r="L103" s="37">
        <v>4.0000000000000002E-4</v>
      </c>
      <c r="M103" s="38">
        <v>2.7410000000000001</v>
      </c>
      <c r="N103" s="38">
        <v>9.3726000000000003</v>
      </c>
      <c r="O103" s="28"/>
      <c r="P103" s="68">
        <v>63.85</v>
      </c>
      <c r="Q103" s="38">
        <v>8.5365000000000002</v>
      </c>
      <c r="R103" s="38">
        <v>2.4108999999999998</v>
      </c>
      <c r="S103" s="37">
        <v>4.0000000000000002E-4</v>
      </c>
      <c r="T103" s="38">
        <v>3.8048999999999999</v>
      </c>
      <c r="U103" s="38">
        <v>13.2682</v>
      </c>
      <c r="V103" s="28"/>
      <c r="W103" s="28"/>
      <c r="X103" s="55" t="s">
        <v>174</v>
      </c>
      <c r="Y103" s="55" t="s">
        <v>174</v>
      </c>
      <c r="Z103" s="55" t="s">
        <v>174</v>
      </c>
      <c r="AA103" s="55" t="s">
        <v>174</v>
      </c>
      <c r="AB103" s="55" t="s">
        <v>174</v>
      </c>
      <c r="AC103" s="55" t="s">
        <v>174</v>
      </c>
      <c r="AD103" s="28"/>
      <c r="AE103" s="55" t="s">
        <v>174</v>
      </c>
      <c r="AF103" s="55" t="s">
        <v>174</v>
      </c>
      <c r="AG103" s="55" t="s">
        <v>174</v>
      </c>
      <c r="AH103" s="55" t="s">
        <v>174</v>
      </c>
      <c r="AI103" s="55" t="s">
        <v>174</v>
      </c>
      <c r="AJ103" s="55" t="s">
        <v>174</v>
      </c>
      <c r="AK103" s="28"/>
      <c r="AL103" s="97">
        <v>1.716</v>
      </c>
      <c r="AM103" s="83">
        <v>2.5670999999999999</v>
      </c>
      <c r="AN103" s="83">
        <v>1.3080000000000001</v>
      </c>
      <c r="AO103" s="84">
        <v>0.05</v>
      </c>
      <c r="AP103" s="83">
        <v>0</v>
      </c>
      <c r="AQ103" s="83">
        <v>5.1341999999999999</v>
      </c>
      <c r="AR103" s="28"/>
    </row>
    <row r="104" spans="1:44">
      <c r="A104" s="28"/>
      <c r="B104" s="55" t="s">
        <v>174</v>
      </c>
      <c r="C104" s="55" t="s">
        <v>174</v>
      </c>
      <c r="D104" s="55" t="s">
        <v>174</v>
      </c>
      <c r="E104" s="55" t="s">
        <v>174</v>
      </c>
      <c r="F104" s="55" t="s">
        <v>174</v>
      </c>
      <c r="G104" s="55" t="s">
        <v>174</v>
      </c>
      <c r="H104" s="28"/>
      <c r="I104" s="68">
        <v>67.92</v>
      </c>
      <c r="J104" s="38">
        <v>6.3779000000000003</v>
      </c>
      <c r="K104" s="38">
        <v>1.8318000000000001</v>
      </c>
      <c r="L104" s="37">
        <v>5.0000000000000001E-4</v>
      </c>
      <c r="M104" s="38">
        <v>2.7839999999999998</v>
      </c>
      <c r="N104" s="38">
        <v>9.9718999999999998</v>
      </c>
      <c r="O104" s="28"/>
      <c r="P104" s="68">
        <v>67.92</v>
      </c>
      <c r="Q104" s="38">
        <v>8.9725000000000001</v>
      </c>
      <c r="R104" s="38">
        <v>2.6084999999999998</v>
      </c>
      <c r="S104" s="37">
        <v>5.9999999999999995E-4</v>
      </c>
      <c r="T104" s="38">
        <v>3.8532000000000002</v>
      </c>
      <c r="U104" s="38">
        <v>14.091799999999999</v>
      </c>
      <c r="V104" s="28"/>
      <c r="W104" s="28"/>
      <c r="X104" s="55" t="s">
        <v>174</v>
      </c>
      <c r="Y104" s="55" t="s">
        <v>174</v>
      </c>
      <c r="Z104" s="55" t="s">
        <v>174</v>
      </c>
      <c r="AA104" s="55" t="s">
        <v>174</v>
      </c>
      <c r="AB104" s="55" t="s">
        <v>174</v>
      </c>
      <c r="AC104" s="55" t="s">
        <v>174</v>
      </c>
      <c r="AD104" s="28"/>
      <c r="AE104" s="55" t="s">
        <v>174</v>
      </c>
      <c r="AF104" s="55" t="s">
        <v>174</v>
      </c>
      <c r="AG104" s="55" t="s">
        <v>174</v>
      </c>
      <c r="AH104" s="55" t="s">
        <v>174</v>
      </c>
      <c r="AI104" s="55" t="s">
        <v>174</v>
      </c>
      <c r="AJ104" s="55" t="s">
        <v>174</v>
      </c>
      <c r="AK104" s="28"/>
      <c r="AL104" s="98">
        <v>1.732</v>
      </c>
      <c r="AM104" s="83">
        <v>2.4577</v>
      </c>
      <c r="AN104" s="83">
        <v>1.3522000000000001</v>
      </c>
      <c r="AO104" s="83">
        <v>6.9500000000000006E-2</v>
      </c>
      <c r="AP104" s="83">
        <v>-0.1961</v>
      </c>
      <c r="AQ104" s="83">
        <v>5.1115000000000004</v>
      </c>
      <c r="AR104" s="28"/>
    </row>
    <row r="105" spans="1:44">
      <c r="A105" s="28"/>
      <c r="B105" s="55" t="s">
        <v>174</v>
      </c>
      <c r="C105" s="55" t="s">
        <v>174</v>
      </c>
      <c r="D105" s="55" t="s">
        <v>174</v>
      </c>
      <c r="E105" s="55" t="s">
        <v>174</v>
      </c>
      <c r="F105" s="55" t="s">
        <v>174</v>
      </c>
      <c r="G105" s="55" t="s">
        <v>174</v>
      </c>
      <c r="H105" s="28"/>
      <c r="I105" s="68">
        <v>71.989999999999995</v>
      </c>
      <c r="J105" s="38">
        <v>6.6990999999999996</v>
      </c>
      <c r="K105" s="38">
        <v>1.9752000000000001</v>
      </c>
      <c r="L105" s="37">
        <v>6.9999999999999999E-4</v>
      </c>
      <c r="M105" s="38">
        <v>2.8239000000000001</v>
      </c>
      <c r="N105" s="38">
        <v>10.574299999999999</v>
      </c>
      <c r="O105" s="28"/>
      <c r="P105" s="68">
        <v>71.989999999999995</v>
      </c>
      <c r="Q105" s="38">
        <v>9.4085000000000001</v>
      </c>
      <c r="R105" s="38">
        <v>2.8085</v>
      </c>
      <c r="S105" s="37">
        <v>8.0000000000000004E-4</v>
      </c>
      <c r="T105" s="38">
        <v>3.8967000000000001</v>
      </c>
      <c r="U105" s="38">
        <v>14.920299999999999</v>
      </c>
      <c r="V105" s="28"/>
      <c r="W105" s="28"/>
      <c r="X105" s="55" t="s">
        <v>174</v>
      </c>
      <c r="Y105" s="55" t="s">
        <v>174</v>
      </c>
      <c r="Z105" s="55" t="s">
        <v>174</v>
      </c>
      <c r="AA105" s="55" t="s">
        <v>174</v>
      </c>
      <c r="AB105" s="55" t="s">
        <v>174</v>
      </c>
      <c r="AC105" s="55" t="s">
        <v>174</v>
      </c>
      <c r="AD105" s="28"/>
      <c r="AE105" s="55" t="s">
        <v>174</v>
      </c>
      <c r="AF105" s="55" t="s">
        <v>174</v>
      </c>
      <c r="AG105" s="55" t="s">
        <v>174</v>
      </c>
      <c r="AH105" s="55" t="s">
        <v>174</v>
      </c>
      <c r="AI105" s="55" t="s">
        <v>174</v>
      </c>
      <c r="AJ105" s="55" t="s">
        <v>174</v>
      </c>
      <c r="AK105" s="28"/>
      <c r="AL105" s="98">
        <v>1.784</v>
      </c>
      <c r="AM105" s="83">
        <v>2.1023999999999998</v>
      </c>
      <c r="AN105" s="83">
        <v>1.506</v>
      </c>
      <c r="AO105" s="83">
        <v>0.16309999999999999</v>
      </c>
      <c r="AP105" s="83">
        <v>-0.85329999999999995</v>
      </c>
      <c r="AQ105" s="83">
        <v>5.0579999999999998</v>
      </c>
      <c r="AR105" s="28"/>
    </row>
    <row r="106" spans="1:44">
      <c r="A106" s="28"/>
      <c r="B106" s="55" t="s">
        <v>174</v>
      </c>
      <c r="C106" s="55" t="s">
        <v>174</v>
      </c>
      <c r="D106" s="55" t="s">
        <v>174</v>
      </c>
      <c r="E106" s="55" t="s">
        <v>174</v>
      </c>
      <c r="F106" s="55" t="s">
        <v>174</v>
      </c>
      <c r="G106" s="55" t="s">
        <v>174</v>
      </c>
      <c r="H106" s="28"/>
      <c r="I106" s="68">
        <v>76.06</v>
      </c>
      <c r="J106" s="38">
        <v>7.0202</v>
      </c>
      <c r="K106" s="38">
        <v>2.1198000000000001</v>
      </c>
      <c r="L106" s="37">
        <v>1E-3</v>
      </c>
      <c r="M106" s="38">
        <v>2.8613</v>
      </c>
      <c r="N106" s="38">
        <v>11.1792</v>
      </c>
      <c r="O106" s="28"/>
      <c r="P106" s="68">
        <v>76.06</v>
      </c>
      <c r="Q106" s="38">
        <v>9.8445</v>
      </c>
      <c r="R106" s="38">
        <v>3.0104000000000002</v>
      </c>
      <c r="S106" s="37">
        <v>1.1000000000000001E-3</v>
      </c>
      <c r="T106" s="38">
        <v>3.9363000000000001</v>
      </c>
      <c r="U106" s="38">
        <v>15.752700000000001</v>
      </c>
      <c r="V106" s="28"/>
      <c r="W106" s="28"/>
      <c r="X106" s="55" t="s">
        <v>174</v>
      </c>
      <c r="Y106" s="55" t="s">
        <v>174</v>
      </c>
      <c r="Z106" s="55" t="s">
        <v>174</v>
      </c>
      <c r="AA106" s="55" t="s">
        <v>174</v>
      </c>
      <c r="AB106" s="55" t="s">
        <v>174</v>
      </c>
      <c r="AC106" s="55" t="s">
        <v>174</v>
      </c>
      <c r="AD106" s="28"/>
      <c r="AE106" s="55" t="s">
        <v>174</v>
      </c>
      <c r="AF106" s="55" t="s">
        <v>174</v>
      </c>
      <c r="AG106" s="55" t="s">
        <v>174</v>
      </c>
      <c r="AH106" s="55" t="s">
        <v>174</v>
      </c>
      <c r="AI106" s="55" t="s">
        <v>174</v>
      </c>
      <c r="AJ106" s="55" t="s">
        <v>174</v>
      </c>
      <c r="AK106" s="28"/>
      <c r="AL106" s="98">
        <v>1.8360000000000001</v>
      </c>
      <c r="AM106" s="83">
        <v>1.7470000000000001</v>
      </c>
      <c r="AN106" s="83">
        <v>1.6720999999999999</v>
      </c>
      <c r="AO106" s="83">
        <v>0.2964</v>
      </c>
      <c r="AP106" s="83">
        <v>-1.5347</v>
      </c>
      <c r="AQ106" s="83">
        <v>5.0286999999999997</v>
      </c>
      <c r="AR106" s="28"/>
    </row>
    <row r="107" spans="1:44">
      <c r="A107" s="28"/>
      <c r="B107" s="55" t="s">
        <v>174</v>
      </c>
      <c r="C107" s="55" t="s">
        <v>174</v>
      </c>
      <c r="D107" s="55" t="s">
        <v>174</v>
      </c>
      <c r="E107" s="55" t="s">
        <v>174</v>
      </c>
      <c r="F107" s="55" t="s">
        <v>174</v>
      </c>
      <c r="G107" s="55" t="s">
        <v>174</v>
      </c>
      <c r="H107" s="28"/>
      <c r="I107" s="68">
        <v>80.13</v>
      </c>
      <c r="J107" s="38">
        <v>7.3414000000000001</v>
      </c>
      <c r="K107" s="38">
        <v>2.2654000000000001</v>
      </c>
      <c r="L107" s="37">
        <v>1.1999999999999999E-3</v>
      </c>
      <c r="M107" s="38">
        <v>2.8967999999999998</v>
      </c>
      <c r="N107" s="38">
        <v>11.786</v>
      </c>
      <c r="O107" s="28"/>
      <c r="P107" s="68">
        <v>80.13</v>
      </c>
      <c r="Q107" s="38">
        <v>10.2805</v>
      </c>
      <c r="R107" s="38">
        <v>3.214</v>
      </c>
      <c r="S107" s="37">
        <v>1.4E-3</v>
      </c>
      <c r="T107" s="38">
        <v>3.9727999999999999</v>
      </c>
      <c r="U107" s="38">
        <v>16.588100000000001</v>
      </c>
      <c r="V107" s="28"/>
      <c r="W107" s="28"/>
      <c r="X107" s="55" t="s">
        <v>174</v>
      </c>
      <c r="Y107" s="55" t="s">
        <v>174</v>
      </c>
      <c r="Z107" s="55" t="s">
        <v>174</v>
      </c>
      <c r="AA107" s="55" t="s">
        <v>174</v>
      </c>
      <c r="AB107" s="55" t="s">
        <v>174</v>
      </c>
      <c r="AC107" s="55" t="s">
        <v>174</v>
      </c>
      <c r="AD107" s="28"/>
      <c r="AE107" s="55" t="s">
        <v>174</v>
      </c>
      <c r="AF107" s="55" t="s">
        <v>174</v>
      </c>
      <c r="AG107" s="55" t="s">
        <v>174</v>
      </c>
      <c r="AH107" s="55" t="s">
        <v>174</v>
      </c>
      <c r="AI107" s="55" t="s">
        <v>174</v>
      </c>
      <c r="AJ107" s="55" t="s">
        <v>174</v>
      </c>
      <c r="AK107" s="28"/>
      <c r="AL107" s="98">
        <v>1.8879999999999999</v>
      </c>
      <c r="AM107" s="83">
        <v>1.3916999999999999</v>
      </c>
      <c r="AN107" s="83">
        <v>1.8472999999999999</v>
      </c>
      <c r="AO107" s="83">
        <v>0.45140000000000002</v>
      </c>
      <c r="AP107" s="83">
        <v>-2.2338</v>
      </c>
      <c r="AQ107" s="83">
        <v>5.0171000000000001</v>
      </c>
      <c r="AR107" s="28"/>
    </row>
    <row r="108" spans="1:44">
      <c r="A108" s="28"/>
      <c r="B108" s="55" t="s">
        <v>174</v>
      </c>
      <c r="C108" s="55" t="s">
        <v>174</v>
      </c>
      <c r="D108" s="55" t="s">
        <v>174</v>
      </c>
      <c r="E108" s="55" t="s">
        <v>174</v>
      </c>
      <c r="F108" s="55" t="s">
        <v>174</v>
      </c>
      <c r="G108" s="55" t="s">
        <v>174</v>
      </c>
      <c r="H108" s="28"/>
      <c r="I108" s="69">
        <v>84.2</v>
      </c>
      <c r="J108" s="46">
        <v>7.6626000000000003</v>
      </c>
      <c r="K108" s="46">
        <v>2.4117999999999999</v>
      </c>
      <c r="L108" s="44">
        <v>1.5E-3</v>
      </c>
      <c r="M108" s="46">
        <v>2.9306000000000001</v>
      </c>
      <c r="N108" s="46">
        <v>12.394500000000001</v>
      </c>
      <c r="O108" s="28"/>
      <c r="P108" s="68">
        <v>84.2</v>
      </c>
      <c r="Q108" s="38">
        <v>10.7165</v>
      </c>
      <c r="R108" s="38">
        <v>3.4188999999999998</v>
      </c>
      <c r="S108" s="37">
        <v>1.8E-3</v>
      </c>
      <c r="T108" s="38">
        <v>4.0067000000000004</v>
      </c>
      <c r="U108" s="38">
        <v>17.426200000000001</v>
      </c>
      <c r="V108" s="28"/>
      <c r="W108" s="28"/>
      <c r="X108" s="55" t="s">
        <v>174</v>
      </c>
      <c r="Y108" s="55" t="s">
        <v>174</v>
      </c>
      <c r="Z108" s="55" t="s">
        <v>174</v>
      </c>
      <c r="AA108" s="55" t="s">
        <v>174</v>
      </c>
      <c r="AB108" s="55" t="s">
        <v>174</v>
      </c>
      <c r="AC108" s="55" t="s">
        <v>174</v>
      </c>
      <c r="AD108" s="28"/>
      <c r="AE108" s="55" t="s">
        <v>174</v>
      </c>
      <c r="AF108" s="55" t="s">
        <v>174</v>
      </c>
      <c r="AG108" s="55" t="s">
        <v>174</v>
      </c>
      <c r="AH108" s="55" t="s">
        <v>174</v>
      </c>
      <c r="AI108" s="55" t="s">
        <v>174</v>
      </c>
      <c r="AJ108" s="55" t="s">
        <v>174</v>
      </c>
      <c r="AK108" s="28"/>
      <c r="AL108" s="98">
        <v>1.94</v>
      </c>
      <c r="AM108" s="83">
        <v>1.0363</v>
      </c>
      <c r="AN108" s="83">
        <v>2.0291000000000001</v>
      </c>
      <c r="AO108" s="83">
        <v>0.60970000000000002</v>
      </c>
      <c r="AP108" s="83">
        <v>-2.9460000000000002</v>
      </c>
      <c r="AQ108" s="83">
        <v>5.0186000000000002</v>
      </c>
      <c r="AR108" s="28"/>
    </row>
    <row r="109" spans="1:44">
      <c r="A109" s="28"/>
      <c r="B109" s="322" t="s">
        <v>54</v>
      </c>
      <c r="C109" s="299"/>
      <c r="D109" s="299"/>
      <c r="E109" s="299"/>
      <c r="F109" s="299"/>
      <c r="G109" s="299"/>
      <c r="H109" s="28"/>
      <c r="I109" s="324" t="s">
        <v>34</v>
      </c>
      <c r="J109" s="324"/>
      <c r="K109" s="324"/>
      <c r="L109" s="324"/>
      <c r="M109" s="324"/>
      <c r="N109" s="324"/>
      <c r="O109" s="28"/>
      <c r="P109" s="324" t="s">
        <v>37</v>
      </c>
      <c r="Q109" s="324"/>
      <c r="R109" s="324"/>
      <c r="S109" s="324"/>
      <c r="T109" s="324"/>
      <c r="U109" s="324"/>
      <c r="V109" s="28"/>
      <c r="W109" s="28"/>
      <c r="X109" s="322" t="s">
        <v>54</v>
      </c>
      <c r="Y109" s="299"/>
      <c r="Z109" s="299"/>
      <c r="AA109" s="299"/>
      <c r="AB109" s="299"/>
      <c r="AC109" s="299"/>
      <c r="AD109" s="28"/>
      <c r="AE109" s="324" t="s">
        <v>34</v>
      </c>
      <c r="AF109" s="324"/>
      <c r="AG109" s="324"/>
      <c r="AH109" s="324"/>
      <c r="AI109" s="324"/>
      <c r="AJ109" s="324"/>
      <c r="AK109" s="28"/>
      <c r="AL109" s="324" t="s">
        <v>37</v>
      </c>
      <c r="AM109" s="324"/>
      <c r="AN109" s="324"/>
      <c r="AO109" s="324"/>
      <c r="AP109" s="324"/>
      <c r="AQ109" s="324"/>
      <c r="AR109" s="28"/>
    </row>
    <row r="110" spans="1:44">
      <c r="A110" s="28"/>
      <c r="B110" s="321" t="s">
        <v>165</v>
      </c>
      <c r="C110" s="321"/>
      <c r="D110" s="321"/>
      <c r="E110" s="321"/>
      <c r="F110" s="321"/>
      <c r="G110" s="321"/>
      <c r="H110" s="28"/>
      <c r="I110" s="321" t="s">
        <v>165</v>
      </c>
      <c r="J110" s="321"/>
      <c r="K110" s="321"/>
      <c r="L110" s="321"/>
      <c r="M110" s="321"/>
      <c r="N110" s="321"/>
      <c r="O110" s="28"/>
      <c r="P110" s="321" t="s">
        <v>165</v>
      </c>
      <c r="Q110" s="321"/>
      <c r="R110" s="321"/>
      <c r="S110" s="321"/>
      <c r="T110" s="321"/>
      <c r="U110" s="321"/>
      <c r="V110" s="28"/>
      <c r="W110" s="28"/>
      <c r="X110" s="321" t="s">
        <v>192</v>
      </c>
      <c r="Y110" s="321"/>
      <c r="Z110" s="321"/>
      <c r="AA110" s="321"/>
      <c r="AB110" s="321"/>
      <c r="AC110" s="321"/>
      <c r="AD110" s="28"/>
      <c r="AE110" s="321" t="s">
        <v>192</v>
      </c>
      <c r="AF110" s="321"/>
      <c r="AG110" s="321"/>
      <c r="AH110" s="321"/>
      <c r="AI110" s="321"/>
      <c r="AJ110" s="321"/>
      <c r="AK110" s="28"/>
      <c r="AL110" s="321" t="s">
        <v>192</v>
      </c>
      <c r="AM110" s="321"/>
      <c r="AN110" s="321"/>
      <c r="AO110" s="321"/>
      <c r="AP110" s="321"/>
      <c r="AQ110" s="321"/>
      <c r="AR110" s="28"/>
    </row>
    <row r="111" spans="1:44" ht="15.75">
      <c r="A111" s="28"/>
      <c r="B111" s="319" t="s">
        <v>155</v>
      </c>
      <c r="C111" s="319"/>
      <c r="D111" s="319" t="s">
        <v>166</v>
      </c>
      <c r="E111" s="319"/>
      <c r="F111" s="319" t="s">
        <v>156</v>
      </c>
      <c r="G111" s="319"/>
      <c r="H111" s="28"/>
      <c r="I111" s="319" t="s">
        <v>155</v>
      </c>
      <c r="J111" s="319"/>
      <c r="K111" s="319" t="s">
        <v>166</v>
      </c>
      <c r="L111" s="319"/>
      <c r="M111" s="319" t="s">
        <v>156</v>
      </c>
      <c r="N111" s="319"/>
      <c r="O111" s="28"/>
      <c r="P111" s="319" t="s">
        <v>155</v>
      </c>
      <c r="Q111" s="319"/>
      <c r="R111" s="319" t="s">
        <v>166</v>
      </c>
      <c r="S111" s="319"/>
      <c r="T111" s="319" t="s">
        <v>156</v>
      </c>
      <c r="U111" s="319"/>
      <c r="V111" s="28"/>
      <c r="W111" s="28"/>
      <c r="X111" s="319" t="s">
        <v>155</v>
      </c>
      <c r="Y111" s="319"/>
      <c r="Z111" s="319" t="s">
        <v>166</v>
      </c>
      <c r="AA111" s="319"/>
      <c r="AB111" s="319" t="s">
        <v>156</v>
      </c>
      <c r="AC111" s="319"/>
      <c r="AD111" s="28"/>
      <c r="AE111" s="319" t="s">
        <v>155</v>
      </c>
      <c r="AF111" s="319"/>
      <c r="AG111" s="319" t="s">
        <v>166</v>
      </c>
      <c r="AH111" s="319"/>
      <c r="AI111" s="319" t="s">
        <v>156</v>
      </c>
      <c r="AJ111" s="319"/>
      <c r="AK111" s="28"/>
      <c r="AL111" s="319" t="s">
        <v>155</v>
      </c>
      <c r="AM111" s="319"/>
      <c r="AN111" s="319" t="s">
        <v>166</v>
      </c>
      <c r="AO111" s="319"/>
      <c r="AP111" s="319" t="s">
        <v>156</v>
      </c>
      <c r="AQ111" s="319"/>
      <c r="AR111" s="28"/>
    </row>
    <row r="112" spans="1:44">
      <c r="A112" s="28"/>
      <c r="B112" s="320">
        <v>0.6139</v>
      </c>
      <c r="C112" s="320"/>
      <c r="D112" s="320">
        <v>0.37690000000000001</v>
      </c>
      <c r="E112" s="320"/>
      <c r="F112" s="317" t="s">
        <v>170</v>
      </c>
      <c r="G112" s="317"/>
      <c r="H112" s="28"/>
      <c r="I112" s="320">
        <v>0.55210000000000004</v>
      </c>
      <c r="J112" s="320"/>
      <c r="K112" s="320">
        <v>0.30480000000000002</v>
      </c>
      <c r="L112" s="320"/>
      <c r="M112" s="317" t="s">
        <v>170</v>
      </c>
      <c r="N112" s="317"/>
      <c r="O112" s="28"/>
      <c r="P112" s="320">
        <v>0.41260000000000002</v>
      </c>
      <c r="Q112" s="320"/>
      <c r="R112" s="320">
        <v>0.17019999999999999</v>
      </c>
      <c r="S112" s="320"/>
      <c r="T112" s="317" t="s">
        <v>170</v>
      </c>
      <c r="U112" s="317"/>
      <c r="V112" s="28"/>
      <c r="W112" s="28"/>
      <c r="X112" s="320">
        <v>0.62790000000000001</v>
      </c>
      <c r="Y112" s="320"/>
      <c r="Z112" s="320">
        <v>0.39419999999999999</v>
      </c>
      <c r="AA112" s="320"/>
      <c r="AB112" s="317" t="s">
        <v>170</v>
      </c>
      <c r="AC112" s="317"/>
      <c r="AD112" s="28"/>
      <c r="AE112" s="320">
        <v>0.55420000000000003</v>
      </c>
      <c r="AF112" s="320"/>
      <c r="AG112" s="320">
        <v>0.30709999999999998</v>
      </c>
      <c r="AH112" s="320"/>
      <c r="AI112" s="317" t="s">
        <v>170</v>
      </c>
      <c r="AJ112" s="317"/>
      <c r="AK112" s="28"/>
      <c r="AL112" s="320">
        <v>0.41260000000000002</v>
      </c>
      <c r="AM112" s="320"/>
      <c r="AN112" s="320">
        <v>0.17019999999999999</v>
      </c>
      <c r="AO112" s="320"/>
      <c r="AP112" s="317" t="s">
        <v>170</v>
      </c>
      <c r="AQ112" s="317"/>
      <c r="AR112" s="28"/>
    </row>
    <row r="113" spans="1:44">
      <c r="A113" s="28"/>
      <c r="B113" s="318" t="s">
        <v>154</v>
      </c>
      <c r="C113" s="318"/>
      <c r="D113" s="318"/>
      <c r="E113" s="318"/>
      <c r="F113" s="318"/>
      <c r="G113" s="318"/>
      <c r="H113" s="28"/>
      <c r="I113" s="318" t="s">
        <v>154</v>
      </c>
      <c r="J113" s="318"/>
      <c r="K113" s="318"/>
      <c r="L113" s="318"/>
      <c r="M113" s="318"/>
      <c r="N113" s="318"/>
      <c r="O113" s="28"/>
      <c r="P113" s="318" t="s">
        <v>154</v>
      </c>
      <c r="Q113" s="318"/>
      <c r="R113" s="318"/>
      <c r="S113" s="318"/>
      <c r="T113" s="318"/>
      <c r="U113" s="318"/>
      <c r="V113" s="28"/>
      <c r="W113" s="28"/>
      <c r="X113" s="318" t="s">
        <v>154</v>
      </c>
      <c r="Y113" s="318"/>
      <c r="Z113" s="318"/>
      <c r="AA113" s="318"/>
      <c r="AB113" s="318"/>
      <c r="AC113" s="318"/>
      <c r="AD113" s="28"/>
      <c r="AE113" s="318" t="s">
        <v>154</v>
      </c>
      <c r="AF113" s="318"/>
      <c r="AG113" s="318"/>
      <c r="AH113" s="318"/>
      <c r="AI113" s="318"/>
      <c r="AJ113" s="318"/>
      <c r="AK113" s="28"/>
      <c r="AL113" s="318" t="s">
        <v>154</v>
      </c>
      <c r="AM113" s="318"/>
      <c r="AN113" s="318"/>
      <c r="AO113" s="318"/>
      <c r="AP113" s="318"/>
      <c r="AQ113" s="318"/>
      <c r="AR113" s="28"/>
    </row>
    <row r="114" spans="1:44">
      <c r="A114" s="28"/>
      <c r="B114" s="33"/>
      <c r="C114" s="34" t="s">
        <v>158</v>
      </c>
      <c r="D114" s="34" t="s">
        <v>159</v>
      </c>
      <c r="E114" s="34" t="s">
        <v>151</v>
      </c>
      <c r="F114" s="34" t="s">
        <v>171</v>
      </c>
      <c r="G114" s="34" t="s">
        <v>172</v>
      </c>
      <c r="H114" s="28"/>
      <c r="I114" s="33"/>
      <c r="J114" s="34" t="s">
        <v>158</v>
      </c>
      <c r="K114" s="34" t="s">
        <v>159</v>
      </c>
      <c r="L114" s="34" t="s">
        <v>151</v>
      </c>
      <c r="M114" s="34" t="s">
        <v>171</v>
      </c>
      <c r="N114" s="34" t="s">
        <v>172</v>
      </c>
      <c r="O114" s="28"/>
      <c r="P114" s="33"/>
      <c r="Q114" s="34" t="s">
        <v>158</v>
      </c>
      <c r="R114" s="34" t="s">
        <v>159</v>
      </c>
      <c r="S114" s="34" t="s">
        <v>151</v>
      </c>
      <c r="T114" s="34" t="s">
        <v>171</v>
      </c>
      <c r="U114" s="34" t="s">
        <v>172</v>
      </c>
      <c r="V114" s="28"/>
      <c r="W114" s="28"/>
      <c r="X114" s="33"/>
      <c r="Y114" s="34" t="s">
        <v>158</v>
      </c>
      <c r="Z114" s="34" t="s">
        <v>159</v>
      </c>
      <c r="AA114" s="34" t="s">
        <v>151</v>
      </c>
      <c r="AB114" s="34" t="s">
        <v>171</v>
      </c>
      <c r="AC114" s="34" t="s">
        <v>172</v>
      </c>
      <c r="AD114" s="28"/>
      <c r="AE114" s="33"/>
      <c r="AF114" s="34" t="s">
        <v>158</v>
      </c>
      <c r="AG114" s="34" t="s">
        <v>159</v>
      </c>
      <c r="AH114" s="34" t="s">
        <v>151</v>
      </c>
      <c r="AI114" s="34" t="s">
        <v>171</v>
      </c>
      <c r="AJ114" s="34" t="s">
        <v>172</v>
      </c>
      <c r="AK114" s="28"/>
      <c r="AL114" s="33"/>
      <c r="AM114" s="34" t="s">
        <v>158</v>
      </c>
      <c r="AN114" s="34" t="s">
        <v>159</v>
      </c>
      <c r="AO114" s="34" t="s">
        <v>151</v>
      </c>
      <c r="AP114" s="34" t="s">
        <v>171</v>
      </c>
      <c r="AQ114" s="34" t="s">
        <v>172</v>
      </c>
      <c r="AR114" s="28"/>
    </row>
    <row r="115" spans="1:44">
      <c r="A115" s="28"/>
      <c r="B115" s="32" t="s">
        <v>160</v>
      </c>
      <c r="C115" s="38">
        <v>-1.8351999999999999</v>
      </c>
      <c r="D115" s="38">
        <v>1.4137</v>
      </c>
      <c r="E115" s="38">
        <v>0.1946</v>
      </c>
      <c r="F115" s="38">
        <v>-4.6104000000000003</v>
      </c>
      <c r="G115" s="38">
        <v>0.93989999999999996</v>
      </c>
      <c r="H115" s="28"/>
      <c r="I115" s="32" t="s">
        <v>160</v>
      </c>
      <c r="J115" s="38">
        <v>-5.8578999999999999</v>
      </c>
      <c r="K115" s="38">
        <v>1.7075</v>
      </c>
      <c r="L115" s="37">
        <v>5.9999999999999995E-4</v>
      </c>
      <c r="M115" s="38">
        <v>-9.2080000000000002</v>
      </c>
      <c r="N115" s="38">
        <v>-2.5078</v>
      </c>
      <c r="O115" s="28"/>
      <c r="P115" s="32" t="s">
        <v>160</v>
      </c>
      <c r="Q115" s="38">
        <v>3.8275999999999999</v>
      </c>
      <c r="R115" s="38">
        <v>3.3717999999999999</v>
      </c>
      <c r="S115" s="38">
        <v>0.25669999999999998</v>
      </c>
      <c r="T115" s="38">
        <v>-2.7913000000000001</v>
      </c>
      <c r="U115" s="38">
        <v>10.446400000000001</v>
      </c>
      <c r="V115" s="28"/>
      <c r="W115" s="28"/>
      <c r="X115" s="40" t="s">
        <v>160</v>
      </c>
      <c r="Y115" s="85">
        <v>-6.3685</v>
      </c>
      <c r="Z115" s="85">
        <v>1.6886000000000001</v>
      </c>
      <c r="AA115" s="85">
        <v>2.0000000000000001E-4</v>
      </c>
      <c r="AB115" s="85">
        <v>-9.6831999999999994</v>
      </c>
      <c r="AC115" s="85">
        <v>-3.0537000000000001</v>
      </c>
      <c r="AD115" s="28"/>
      <c r="AE115" s="40" t="s">
        <v>160</v>
      </c>
      <c r="AF115" s="85">
        <v>-8.3683999999999994</v>
      </c>
      <c r="AG115" s="85">
        <v>2.1044</v>
      </c>
      <c r="AH115" s="85">
        <v>1E-4</v>
      </c>
      <c r="AI115" s="85">
        <v>-12.4971</v>
      </c>
      <c r="AJ115" s="85">
        <v>-4.2396000000000003</v>
      </c>
      <c r="AK115" s="28"/>
      <c r="AL115" s="40" t="s">
        <v>160</v>
      </c>
      <c r="AM115" s="76">
        <v>4.5575000000000001</v>
      </c>
      <c r="AN115" s="76">
        <v>4.0655000000000001</v>
      </c>
      <c r="AO115" s="76">
        <v>0.2626</v>
      </c>
      <c r="AP115" s="76">
        <v>-3.4230999999999998</v>
      </c>
      <c r="AQ115" s="76">
        <v>12.538</v>
      </c>
      <c r="AR115" s="28"/>
    </row>
    <row r="116" spans="1:44">
      <c r="A116" s="28"/>
      <c r="B116" s="39" t="s">
        <v>161</v>
      </c>
      <c r="C116" s="38">
        <v>-2.6595</v>
      </c>
      <c r="D116" s="38">
        <v>0.65939999999999999</v>
      </c>
      <c r="E116" s="37">
        <v>1E-4</v>
      </c>
      <c r="F116" s="38">
        <v>-3.9539</v>
      </c>
      <c r="G116" s="38">
        <v>-1.365</v>
      </c>
      <c r="H116" s="28"/>
      <c r="I116" s="40" t="s">
        <v>161</v>
      </c>
      <c r="J116" s="38">
        <v>-1.4247000000000001</v>
      </c>
      <c r="K116" s="38">
        <v>0.76470000000000005</v>
      </c>
      <c r="L116" s="58">
        <v>6.2700000000000006E-2</v>
      </c>
      <c r="M116" s="38">
        <v>-2.9249999999999998</v>
      </c>
      <c r="N116" s="38">
        <v>7.5700000000000003E-2</v>
      </c>
      <c r="O116" s="28"/>
      <c r="P116" s="40" t="s">
        <v>161</v>
      </c>
      <c r="Q116" s="38">
        <v>-0.9365</v>
      </c>
      <c r="R116" s="38">
        <v>1.462</v>
      </c>
      <c r="S116" s="38">
        <v>0.52200000000000002</v>
      </c>
      <c r="T116" s="38">
        <v>-3.8062999999999998</v>
      </c>
      <c r="U116" s="38">
        <v>1.9333</v>
      </c>
      <c r="V116" s="28"/>
      <c r="W116" s="28"/>
      <c r="X116" s="39" t="s">
        <v>161</v>
      </c>
      <c r="Y116" s="85">
        <v>8.6074999999999999</v>
      </c>
      <c r="Z116" s="85">
        <v>2.3942000000000001</v>
      </c>
      <c r="AA116" s="63">
        <v>2.9999999999999997E-4</v>
      </c>
      <c r="AB116" s="85">
        <v>3.9077000000000002</v>
      </c>
      <c r="AC116" s="85">
        <v>13.3073</v>
      </c>
      <c r="AD116" s="28"/>
      <c r="AE116" s="39" t="s">
        <v>161</v>
      </c>
      <c r="AF116" s="85">
        <v>4.4877000000000002</v>
      </c>
      <c r="AG116" s="85">
        <v>3.0644999999999998</v>
      </c>
      <c r="AH116" s="85">
        <v>0.14330000000000001</v>
      </c>
      <c r="AI116" s="85">
        <v>-1.5246</v>
      </c>
      <c r="AJ116" s="85">
        <v>10.5001</v>
      </c>
      <c r="AK116" s="28"/>
      <c r="AL116" s="40" t="s">
        <v>161</v>
      </c>
      <c r="AM116" s="76">
        <v>-3.073</v>
      </c>
      <c r="AN116" s="76">
        <v>6.0796000000000001</v>
      </c>
      <c r="AO116" s="76">
        <v>0.61339999999999995</v>
      </c>
      <c r="AP116" s="76">
        <v>-15.007099999999999</v>
      </c>
      <c r="AQ116" s="76">
        <v>8.8611000000000004</v>
      </c>
      <c r="AR116" s="28"/>
    </row>
    <row r="117" spans="1:44">
      <c r="A117" s="28"/>
      <c r="B117" s="39" t="s">
        <v>162</v>
      </c>
      <c r="C117" s="38">
        <v>-7.51E-2</v>
      </c>
      <c r="D117" s="38">
        <v>2.7400000000000001E-2</v>
      </c>
      <c r="E117" s="37">
        <v>6.1999999999999998E-3</v>
      </c>
      <c r="F117" s="38">
        <v>-0.12889999999999999</v>
      </c>
      <c r="G117" s="38">
        <v>-2.1299999999999999E-2</v>
      </c>
      <c r="H117" s="28"/>
      <c r="I117" s="39" t="s">
        <v>162</v>
      </c>
      <c r="J117" s="38">
        <v>-0.1721</v>
      </c>
      <c r="K117" s="38">
        <v>2.2200000000000001E-2</v>
      </c>
      <c r="L117" s="37">
        <v>0</v>
      </c>
      <c r="M117" s="38">
        <v>-0.21560000000000001</v>
      </c>
      <c r="N117" s="38">
        <v>-0.12859999999999999</v>
      </c>
      <c r="O117" s="28"/>
      <c r="P117" s="39" t="s">
        <v>162</v>
      </c>
      <c r="Q117" s="38">
        <v>-0.2321</v>
      </c>
      <c r="R117" s="38">
        <v>3.85E-2</v>
      </c>
      <c r="S117" s="37">
        <v>0</v>
      </c>
      <c r="T117" s="38">
        <v>-0.30769999999999997</v>
      </c>
      <c r="U117" s="38">
        <v>-0.1565</v>
      </c>
      <c r="V117" s="28"/>
      <c r="W117" s="28"/>
      <c r="X117" s="39" t="s">
        <v>164</v>
      </c>
      <c r="Y117" s="85">
        <v>21.471299999999999</v>
      </c>
      <c r="Z117" s="85">
        <v>1.2198</v>
      </c>
      <c r="AA117" s="63">
        <v>0</v>
      </c>
      <c r="AB117" s="85">
        <v>19.076899999999998</v>
      </c>
      <c r="AC117" s="85">
        <v>23.8658</v>
      </c>
      <c r="AD117" s="28"/>
      <c r="AE117" s="39" t="s">
        <v>164</v>
      </c>
      <c r="AF117" s="85">
        <v>27.549900000000001</v>
      </c>
      <c r="AG117" s="85">
        <v>1.4352</v>
      </c>
      <c r="AH117" s="63">
        <v>0</v>
      </c>
      <c r="AI117" s="85">
        <v>24.734000000000002</v>
      </c>
      <c r="AJ117" s="85">
        <v>30.3657</v>
      </c>
      <c r="AK117" s="28"/>
      <c r="AL117" s="39" t="s">
        <v>164</v>
      </c>
      <c r="AM117" s="76">
        <v>27.357700000000001</v>
      </c>
      <c r="AN117" s="76">
        <v>2.7334999999999998</v>
      </c>
      <c r="AO117" s="99">
        <v>0</v>
      </c>
      <c r="AP117" s="76">
        <v>21.992000000000001</v>
      </c>
      <c r="AQ117" s="76">
        <v>32.723500000000001</v>
      </c>
      <c r="AR117" s="28"/>
    </row>
    <row r="118" spans="1:44">
      <c r="A118" s="28"/>
      <c r="B118" s="32" t="s">
        <v>163</v>
      </c>
      <c r="C118" s="38">
        <v>8.0999999999999996E-3</v>
      </c>
      <c r="D118" s="38">
        <v>3.0800000000000001E-2</v>
      </c>
      <c r="E118" s="38">
        <v>0.79149999999999998</v>
      </c>
      <c r="F118" s="38">
        <v>-5.2299999999999999E-2</v>
      </c>
      <c r="G118" s="38">
        <v>6.8599999999999994E-2</v>
      </c>
      <c r="H118" s="28"/>
      <c r="I118" s="32" t="s">
        <v>163</v>
      </c>
      <c r="J118" s="38">
        <v>-1.67E-2</v>
      </c>
      <c r="K118" s="38">
        <v>2.75E-2</v>
      </c>
      <c r="L118" s="38">
        <v>0.54320000000000002</v>
      </c>
      <c r="M118" s="38">
        <v>-7.0599999999999996E-2</v>
      </c>
      <c r="N118" s="38">
        <v>3.7199999999999997E-2</v>
      </c>
      <c r="O118" s="28"/>
      <c r="P118" s="32" t="s">
        <v>163</v>
      </c>
      <c r="Q118" s="38">
        <v>-1.4200000000000001E-2</v>
      </c>
      <c r="R118" s="38">
        <v>4.9000000000000002E-2</v>
      </c>
      <c r="S118" s="38">
        <v>0.77139999999999997</v>
      </c>
      <c r="T118" s="38">
        <v>-0.1104</v>
      </c>
      <c r="U118" s="38">
        <v>8.1900000000000001E-2</v>
      </c>
      <c r="V118" s="28"/>
      <c r="W118" s="28"/>
      <c r="X118" s="39" t="s">
        <v>193</v>
      </c>
      <c r="Y118" s="85">
        <v>-7.7872000000000003</v>
      </c>
      <c r="Z118" s="85">
        <v>1.6468</v>
      </c>
      <c r="AA118" s="63">
        <v>0</v>
      </c>
      <c r="AB118" s="85">
        <v>-11.0199</v>
      </c>
      <c r="AC118" s="85">
        <v>-4.5545</v>
      </c>
      <c r="AD118" s="28"/>
      <c r="AE118" s="39" t="s">
        <v>193</v>
      </c>
      <c r="AF118" s="85">
        <v>-4.1334</v>
      </c>
      <c r="AG118" s="85">
        <v>1.9936</v>
      </c>
      <c r="AH118" s="63">
        <v>3.8399999999999997E-2</v>
      </c>
      <c r="AI118" s="85">
        <v>-8.0447000000000006</v>
      </c>
      <c r="AJ118" s="85">
        <v>-0.22209999999999999</v>
      </c>
      <c r="AK118" s="28"/>
      <c r="AL118" s="40" t="s">
        <v>193</v>
      </c>
      <c r="AM118" s="76">
        <v>1.1907000000000001</v>
      </c>
      <c r="AN118" s="76">
        <v>3.9582000000000002</v>
      </c>
      <c r="AO118" s="76">
        <v>0.76359999999999995</v>
      </c>
      <c r="AP118" s="76">
        <v>-6.5791000000000004</v>
      </c>
      <c r="AQ118" s="76">
        <v>8.9605999999999995</v>
      </c>
      <c r="AR118" s="28"/>
    </row>
    <row r="119" spans="1:44">
      <c r="A119" s="28"/>
      <c r="B119" s="42" t="s">
        <v>164</v>
      </c>
      <c r="C119" s="46">
        <v>18.524899999999999</v>
      </c>
      <c r="D119" s="46">
        <v>1.071</v>
      </c>
      <c r="E119" s="44">
        <v>0</v>
      </c>
      <c r="F119" s="46">
        <v>16.422599999999999</v>
      </c>
      <c r="G119" s="46">
        <v>20.627300000000002</v>
      </c>
      <c r="H119" s="28"/>
      <c r="I119" s="42" t="s">
        <v>164</v>
      </c>
      <c r="J119" s="46">
        <v>25.805599999999998</v>
      </c>
      <c r="K119" s="46">
        <v>1.2054</v>
      </c>
      <c r="L119" s="44">
        <v>0</v>
      </c>
      <c r="M119" s="46">
        <v>23.4407</v>
      </c>
      <c r="N119" s="46">
        <v>28.170400000000001</v>
      </c>
      <c r="O119" s="28"/>
      <c r="P119" s="42" t="s">
        <v>164</v>
      </c>
      <c r="Q119" s="46">
        <v>27.708600000000001</v>
      </c>
      <c r="R119" s="46">
        <v>2.3420000000000001</v>
      </c>
      <c r="S119" s="44">
        <v>0</v>
      </c>
      <c r="T119" s="46">
        <v>23.1113</v>
      </c>
      <c r="U119" s="46">
        <v>32.305900000000001</v>
      </c>
      <c r="V119" s="28"/>
      <c r="W119" s="28"/>
      <c r="X119" s="42" t="s">
        <v>162</v>
      </c>
      <c r="Y119" s="85">
        <v>-6.25E-2</v>
      </c>
      <c r="Z119" s="85">
        <v>1.9199999999999998E-2</v>
      </c>
      <c r="AA119" s="63">
        <v>1.1999999999999999E-3</v>
      </c>
      <c r="AB119" s="85">
        <v>-0.1003</v>
      </c>
      <c r="AC119" s="85">
        <v>-2.47E-2</v>
      </c>
      <c r="AD119" s="28"/>
      <c r="AE119" s="42" t="s">
        <v>162</v>
      </c>
      <c r="AF119" s="85">
        <v>-0.18110000000000001</v>
      </c>
      <c r="AG119" s="85">
        <v>1.66E-2</v>
      </c>
      <c r="AH119" s="63">
        <v>0</v>
      </c>
      <c r="AI119" s="85">
        <v>-0.2137</v>
      </c>
      <c r="AJ119" s="85">
        <v>-0.1484</v>
      </c>
      <c r="AK119" s="28"/>
      <c r="AL119" s="42" t="s">
        <v>162</v>
      </c>
      <c r="AM119" s="76">
        <v>-0.2394</v>
      </c>
      <c r="AN119" s="76">
        <v>2.9499999999999998E-2</v>
      </c>
      <c r="AO119" s="99">
        <v>0</v>
      </c>
      <c r="AP119" s="76">
        <v>-0.2974</v>
      </c>
      <c r="AQ119" s="76">
        <v>-0.18140000000000001</v>
      </c>
      <c r="AR119" s="28"/>
    </row>
    <row r="120" spans="1:44">
      <c r="A120" s="28"/>
      <c r="B120" s="61" t="s">
        <v>174</v>
      </c>
      <c r="C120" s="61" t="s">
        <v>174</v>
      </c>
      <c r="D120" s="61" t="s">
        <v>174</v>
      </c>
      <c r="E120" s="61" t="s">
        <v>174</v>
      </c>
      <c r="F120" s="61" t="s">
        <v>174</v>
      </c>
      <c r="G120" s="61" t="s">
        <v>174</v>
      </c>
      <c r="H120" s="28"/>
      <c r="I120" s="61" t="s">
        <v>174</v>
      </c>
      <c r="J120" s="61" t="s">
        <v>174</v>
      </c>
      <c r="K120" s="61" t="s">
        <v>174</v>
      </c>
      <c r="L120" s="61" t="s">
        <v>174</v>
      </c>
      <c r="M120" s="61" t="s">
        <v>174</v>
      </c>
      <c r="N120" s="61" t="s">
        <v>174</v>
      </c>
      <c r="O120" s="28"/>
      <c r="P120" s="61" t="s">
        <v>174</v>
      </c>
      <c r="Q120" s="61" t="s">
        <v>174</v>
      </c>
      <c r="R120" s="61" t="s">
        <v>174</v>
      </c>
      <c r="S120" s="61" t="s">
        <v>174</v>
      </c>
      <c r="T120" s="61" t="s">
        <v>174</v>
      </c>
      <c r="U120" s="61" t="s">
        <v>174</v>
      </c>
      <c r="V120" s="28"/>
      <c r="W120" s="28"/>
      <c r="X120" s="323" t="s">
        <v>194</v>
      </c>
      <c r="Y120" s="323"/>
      <c r="Z120" s="323"/>
      <c r="AA120" s="323"/>
      <c r="AB120" s="323"/>
      <c r="AC120" s="323"/>
      <c r="AD120" s="28"/>
      <c r="AE120" s="323" t="s">
        <v>194</v>
      </c>
      <c r="AF120" s="323"/>
      <c r="AG120" s="323"/>
      <c r="AH120" s="323"/>
      <c r="AI120" s="323"/>
      <c r="AJ120" s="323"/>
      <c r="AK120" s="28"/>
      <c r="AL120" s="61" t="s">
        <v>174</v>
      </c>
      <c r="AM120" s="61" t="s">
        <v>174</v>
      </c>
      <c r="AN120" s="61" t="s">
        <v>174</v>
      </c>
      <c r="AO120" s="61" t="s">
        <v>174</v>
      </c>
      <c r="AP120" s="61" t="s">
        <v>174</v>
      </c>
      <c r="AQ120" s="61" t="s">
        <v>174</v>
      </c>
      <c r="AR120" s="28"/>
    </row>
    <row r="121" spans="1:44">
      <c r="A121" s="28"/>
      <c r="B121" s="55" t="s">
        <v>174</v>
      </c>
      <c r="C121" s="55" t="s">
        <v>174</v>
      </c>
      <c r="D121" s="55" t="s">
        <v>174</v>
      </c>
      <c r="E121" s="55" t="s">
        <v>174</v>
      </c>
      <c r="F121" s="55" t="s">
        <v>174</v>
      </c>
      <c r="G121" s="55" t="s">
        <v>174</v>
      </c>
      <c r="H121" s="28"/>
      <c r="I121" s="55" t="s">
        <v>174</v>
      </c>
      <c r="J121" s="55" t="s">
        <v>174</v>
      </c>
      <c r="K121" s="55" t="s">
        <v>174</v>
      </c>
      <c r="L121" s="55" t="s">
        <v>174</v>
      </c>
      <c r="M121" s="55" t="s">
        <v>174</v>
      </c>
      <c r="N121" s="55" t="s">
        <v>174</v>
      </c>
      <c r="O121" s="28"/>
      <c r="P121" s="55" t="s">
        <v>174</v>
      </c>
      <c r="Q121" s="55" t="s">
        <v>174</v>
      </c>
      <c r="R121" s="55" t="s">
        <v>174</v>
      </c>
      <c r="S121" s="55" t="s">
        <v>174</v>
      </c>
      <c r="T121" s="55" t="s">
        <v>174</v>
      </c>
      <c r="U121" s="55" t="s">
        <v>174</v>
      </c>
      <c r="V121" s="28"/>
      <c r="W121" s="28"/>
      <c r="X121" s="33" t="s">
        <v>164</v>
      </c>
      <c r="Y121" s="34" t="s">
        <v>167</v>
      </c>
      <c r="Z121" s="34" t="s">
        <v>8</v>
      </c>
      <c r="AA121" s="34" t="s">
        <v>156</v>
      </c>
      <c r="AB121" s="34" t="s">
        <v>168</v>
      </c>
      <c r="AC121" s="34" t="s">
        <v>169</v>
      </c>
      <c r="AD121" s="28"/>
      <c r="AE121" s="33" t="s">
        <v>164</v>
      </c>
      <c r="AF121" s="34" t="s">
        <v>167</v>
      </c>
      <c r="AG121" s="34" t="s">
        <v>8</v>
      </c>
      <c r="AH121" s="34" t="s">
        <v>156</v>
      </c>
      <c r="AI121" s="34" t="s">
        <v>168</v>
      </c>
      <c r="AJ121" s="34" t="s">
        <v>169</v>
      </c>
      <c r="AK121" s="28"/>
      <c r="AL121" s="55" t="s">
        <v>174</v>
      </c>
      <c r="AM121" s="55" t="s">
        <v>174</v>
      </c>
      <c r="AN121" s="55" t="s">
        <v>174</v>
      </c>
      <c r="AO121" s="55" t="s">
        <v>174</v>
      </c>
      <c r="AP121" s="55" t="s">
        <v>174</v>
      </c>
      <c r="AQ121" s="55" t="s">
        <v>174</v>
      </c>
      <c r="AR121" s="28"/>
    </row>
    <row r="122" spans="1:44">
      <c r="A122" s="28"/>
      <c r="B122" s="55" t="s">
        <v>174</v>
      </c>
      <c r="C122" s="55" t="s">
        <v>174</v>
      </c>
      <c r="D122" s="55" t="s">
        <v>174</v>
      </c>
      <c r="E122" s="55" t="s">
        <v>174</v>
      </c>
      <c r="F122" s="55" t="s">
        <v>174</v>
      </c>
      <c r="G122" s="55" t="s">
        <v>174</v>
      </c>
      <c r="H122" s="28"/>
      <c r="I122" s="55" t="s">
        <v>174</v>
      </c>
      <c r="J122" s="55" t="s">
        <v>174</v>
      </c>
      <c r="K122" s="55" t="s">
        <v>174</v>
      </c>
      <c r="L122" s="55" t="s">
        <v>174</v>
      </c>
      <c r="M122" s="55" t="s">
        <v>174</v>
      </c>
      <c r="N122" s="55" t="s">
        <v>174</v>
      </c>
      <c r="O122" s="28"/>
      <c r="P122" s="55" t="s">
        <v>174</v>
      </c>
      <c r="Q122" s="55" t="s">
        <v>174</v>
      </c>
      <c r="R122" s="55" t="s">
        <v>174</v>
      </c>
      <c r="S122" s="55" t="s">
        <v>174</v>
      </c>
      <c r="T122" s="55" t="s">
        <v>174</v>
      </c>
      <c r="U122" s="55" t="s">
        <v>174</v>
      </c>
      <c r="V122" s="28"/>
      <c r="W122" s="28"/>
      <c r="X122" s="82">
        <v>0.97</v>
      </c>
      <c r="Y122" s="87">
        <v>1.0539000000000001</v>
      </c>
      <c r="Z122" s="87">
        <v>0.87170000000000003</v>
      </c>
      <c r="AA122" s="87">
        <v>0.22700000000000001</v>
      </c>
      <c r="AB122" s="87">
        <v>-0.65720000000000001</v>
      </c>
      <c r="AC122" s="87">
        <v>2.7650000000000001</v>
      </c>
      <c r="AD122" s="28"/>
      <c r="AE122" s="90">
        <v>0.9</v>
      </c>
      <c r="AF122" s="93">
        <v>0.76759999999999995</v>
      </c>
      <c r="AG122" s="93">
        <v>1.3208</v>
      </c>
      <c r="AH122" s="93">
        <v>0.56120000000000003</v>
      </c>
      <c r="AI122" s="93">
        <v>-1.8237000000000001</v>
      </c>
      <c r="AJ122" s="93">
        <v>3.3589000000000002</v>
      </c>
      <c r="AK122" s="28"/>
      <c r="AL122" s="55" t="s">
        <v>174</v>
      </c>
      <c r="AM122" s="55" t="s">
        <v>174</v>
      </c>
      <c r="AN122" s="55" t="s">
        <v>174</v>
      </c>
      <c r="AO122" s="55" t="s">
        <v>174</v>
      </c>
      <c r="AP122" s="55" t="s">
        <v>174</v>
      </c>
      <c r="AQ122" s="55" t="s">
        <v>174</v>
      </c>
      <c r="AR122" s="28"/>
    </row>
    <row r="123" spans="1:44">
      <c r="A123" s="28"/>
      <c r="B123" s="55" t="s">
        <v>174</v>
      </c>
      <c r="C123" s="55" t="s">
        <v>174</v>
      </c>
      <c r="D123" s="55" t="s">
        <v>174</v>
      </c>
      <c r="E123" s="55" t="s">
        <v>174</v>
      </c>
      <c r="F123" s="55" t="s">
        <v>174</v>
      </c>
      <c r="G123" s="55" t="s">
        <v>174</v>
      </c>
      <c r="H123" s="28"/>
      <c r="I123" s="55" t="s">
        <v>174</v>
      </c>
      <c r="J123" s="55" t="s">
        <v>174</v>
      </c>
      <c r="K123" s="55" t="s">
        <v>174</v>
      </c>
      <c r="L123" s="55" t="s">
        <v>174</v>
      </c>
      <c r="M123" s="55" t="s">
        <v>174</v>
      </c>
      <c r="N123" s="55" t="s">
        <v>174</v>
      </c>
      <c r="O123" s="28"/>
      <c r="P123" s="55" t="s">
        <v>174</v>
      </c>
      <c r="Q123" s="55" t="s">
        <v>174</v>
      </c>
      <c r="R123" s="55" t="s">
        <v>174</v>
      </c>
      <c r="S123" s="55" t="s">
        <v>174</v>
      </c>
      <c r="T123" s="55" t="s">
        <v>174</v>
      </c>
      <c r="U123" s="55" t="s">
        <v>174</v>
      </c>
      <c r="V123" s="28"/>
      <c r="W123" s="28"/>
      <c r="X123" s="82">
        <v>1.0185</v>
      </c>
      <c r="Y123" s="87">
        <v>0.67620000000000002</v>
      </c>
      <c r="Z123" s="87">
        <v>0.80320000000000003</v>
      </c>
      <c r="AA123" s="87">
        <v>0.40010000000000001</v>
      </c>
      <c r="AB123" s="87">
        <v>-0.90049999999999997</v>
      </c>
      <c r="AC123" s="87">
        <v>2.2528999999999999</v>
      </c>
      <c r="AD123" s="28"/>
      <c r="AE123" s="90">
        <v>0.95199999999999996</v>
      </c>
      <c r="AF123" s="93">
        <v>0.55269999999999997</v>
      </c>
      <c r="AG123" s="93">
        <v>1.2244999999999999</v>
      </c>
      <c r="AH123" s="93">
        <v>0.65180000000000005</v>
      </c>
      <c r="AI123" s="93">
        <v>-1.8496999999999999</v>
      </c>
      <c r="AJ123" s="93">
        <v>2.9550999999999998</v>
      </c>
      <c r="AK123" s="28"/>
      <c r="AL123" s="55" t="s">
        <v>174</v>
      </c>
      <c r="AM123" s="55" t="s">
        <v>174</v>
      </c>
      <c r="AN123" s="55" t="s">
        <v>174</v>
      </c>
      <c r="AO123" s="55" t="s">
        <v>174</v>
      </c>
      <c r="AP123" s="55" t="s">
        <v>174</v>
      </c>
      <c r="AQ123" s="55" t="s">
        <v>174</v>
      </c>
      <c r="AR123" s="28"/>
    </row>
    <row r="124" spans="1:44">
      <c r="A124" s="28"/>
      <c r="B124" s="55" t="s">
        <v>174</v>
      </c>
      <c r="C124" s="55" t="s">
        <v>174</v>
      </c>
      <c r="D124" s="55" t="s">
        <v>174</v>
      </c>
      <c r="E124" s="55" t="s">
        <v>174</v>
      </c>
      <c r="F124" s="55" t="s">
        <v>174</v>
      </c>
      <c r="G124" s="55" t="s">
        <v>174</v>
      </c>
      <c r="H124" s="28"/>
      <c r="I124" s="55" t="s">
        <v>174</v>
      </c>
      <c r="J124" s="55" t="s">
        <v>174</v>
      </c>
      <c r="K124" s="55" t="s">
        <v>174</v>
      </c>
      <c r="L124" s="55" t="s">
        <v>174</v>
      </c>
      <c r="M124" s="55" t="s">
        <v>174</v>
      </c>
      <c r="N124" s="55" t="s">
        <v>174</v>
      </c>
      <c r="O124" s="28"/>
      <c r="P124" s="55" t="s">
        <v>174</v>
      </c>
      <c r="Q124" s="55" t="s">
        <v>174</v>
      </c>
      <c r="R124" s="55" t="s">
        <v>174</v>
      </c>
      <c r="S124" s="55" t="s">
        <v>174</v>
      </c>
      <c r="T124" s="55" t="s">
        <v>174</v>
      </c>
      <c r="U124" s="55" t="s">
        <v>174</v>
      </c>
      <c r="V124" s="28"/>
      <c r="W124" s="28"/>
      <c r="X124" s="82">
        <v>1.0669999999999999</v>
      </c>
      <c r="Y124" s="87">
        <v>0.29859999999999998</v>
      </c>
      <c r="Z124" s="87">
        <v>0.73709999999999998</v>
      </c>
      <c r="AA124" s="87">
        <v>0.6855</v>
      </c>
      <c r="AB124" s="87">
        <v>-1.1483000000000001</v>
      </c>
      <c r="AC124" s="87">
        <v>1.7454000000000001</v>
      </c>
      <c r="AD124" s="28"/>
      <c r="AE124" s="90">
        <v>1.004</v>
      </c>
      <c r="AF124" s="93">
        <v>0.3377</v>
      </c>
      <c r="AG124" s="93">
        <v>1.1294999999999999</v>
      </c>
      <c r="AH124" s="93">
        <v>0.76500000000000001</v>
      </c>
      <c r="AI124" s="93">
        <v>-1.8783000000000001</v>
      </c>
      <c r="AJ124" s="93">
        <v>2.5537999999999998</v>
      </c>
      <c r="AK124" s="28"/>
      <c r="AL124" s="55" t="s">
        <v>174</v>
      </c>
      <c r="AM124" s="55" t="s">
        <v>174</v>
      </c>
      <c r="AN124" s="55" t="s">
        <v>174</v>
      </c>
      <c r="AO124" s="55" t="s">
        <v>174</v>
      </c>
      <c r="AP124" s="55" t="s">
        <v>174</v>
      </c>
      <c r="AQ124" s="55" t="s">
        <v>174</v>
      </c>
      <c r="AR124" s="28"/>
    </row>
    <row r="125" spans="1:44">
      <c r="A125" s="28"/>
      <c r="B125" s="55" t="s">
        <v>174</v>
      </c>
      <c r="C125" s="55" t="s">
        <v>174</v>
      </c>
      <c r="D125" s="55" t="s">
        <v>174</v>
      </c>
      <c r="E125" s="55" t="s">
        <v>174</v>
      </c>
      <c r="F125" s="55" t="s">
        <v>174</v>
      </c>
      <c r="G125" s="55" t="s">
        <v>174</v>
      </c>
      <c r="H125" s="28"/>
      <c r="I125" s="55" t="s">
        <v>174</v>
      </c>
      <c r="J125" s="55" t="s">
        <v>174</v>
      </c>
      <c r="K125" s="55" t="s">
        <v>174</v>
      </c>
      <c r="L125" s="55" t="s">
        <v>174</v>
      </c>
      <c r="M125" s="55" t="s">
        <v>174</v>
      </c>
      <c r="N125" s="55" t="s">
        <v>174</v>
      </c>
      <c r="O125" s="28"/>
      <c r="P125" s="55" t="s">
        <v>174</v>
      </c>
      <c r="Q125" s="55" t="s">
        <v>174</v>
      </c>
      <c r="R125" s="55" t="s">
        <v>174</v>
      </c>
      <c r="S125" s="55" t="s">
        <v>174</v>
      </c>
      <c r="T125" s="55" t="s">
        <v>174</v>
      </c>
      <c r="U125" s="55" t="s">
        <v>174</v>
      </c>
      <c r="V125" s="28"/>
      <c r="W125" s="28"/>
      <c r="X125" s="82">
        <v>1.1154999999999999</v>
      </c>
      <c r="Y125" s="87">
        <v>-7.9100000000000004E-2</v>
      </c>
      <c r="Z125" s="87">
        <v>0.67390000000000005</v>
      </c>
      <c r="AA125" s="87">
        <v>0.90659999999999996</v>
      </c>
      <c r="AB125" s="87">
        <v>-1.4018999999999999</v>
      </c>
      <c r="AC125" s="87">
        <v>1.2437</v>
      </c>
      <c r="AD125" s="28"/>
      <c r="AE125" s="90">
        <v>1.056</v>
      </c>
      <c r="AF125" s="93">
        <v>0.12280000000000001</v>
      </c>
      <c r="AG125" s="93">
        <v>1.0362</v>
      </c>
      <c r="AH125" s="93">
        <v>0.90569999999999995</v>
      </c>
      <c r="AI125" s="93">
        <v>-1.9101999999999999</v>
      </c>
      <c r="AJ125" s="93">
        <v>2.1558000000000002</v>
      </c>
      <c r="AK125" s="28"/>
      <c r="AL125" s="55" t="s">
        <v>174</v>
      </c>
      <c r="AM125" s="55" t="s">
        <v>174</v>
      </c>
      <c r="AN125" s="55" t="s">
        <v>174</v>
      </c>
      <c r="AO125" s="55" t="s">
        <v>174</v>
      </c>
      <c r="AP125" s="55" t="s">
        <v>174</v>
      </c>
      <c r="AQ125" s="55" t="s">
        <v>174</v>
      </c>
      <c r="AR125" s="28"/>
    </row>
    <row r="126" spans="1:44">
      <c r="A126" s="28"/>
      <c r="B126" s="55" t="s">
        <v>174</v>
      </c>
      <c r="C126" s="55" t="s">
        <v>174</v>
      </c>
      <c r="D126" s="55" t="s">
        <v>174</v>
      </c>
      <c r="E126" s="55" t="s">
        <v>174</v>
      </c>
      <c r="F126" s="55" t="s">
        <v>174</v>
      </c>
      <c r="G126" s="55" t="s">
        <v>174</v>
      </c>
      <c r="H126" s="28"/>
      <c r="I126" s="55" t="s">
        <v>174</v>
      </c>
      <c r="J126" s="55" t="s">
        <v>174</v>
      </c>
      <c r="K126" s="55" t="s">
        <v>174</v>
      </c>
      <c r="L126" s="55" t="s">
        <v>174</v>
      </c>
      <c r="M126" s="55" t="s">
        <v>174</v>
      </c>
      <c r="N126" s="55" t="s">
        <v>174</v>
      </c>
      <c r="O126" s="28"/>
      <c r="P126" s="55" t="s">
        <v>174</v>
      </c>
      <c r="Q126" s="55" t="s">
        <v>174</v>
      </c>
      <c r="R126" s="55" t="s">
        <v>174</v>
      </c>
      <c r="S126" s="55" t="s">
        <v>174</v>
      </c>
      <c r="T126" s="55" t="s">
        <v>174</v>
      </c>
      <c r="U126" s="55" t="s">
        <v>174</v>
      </c>
      <c r="V126" s="28"/>
      <c r="W126" s="28"/>
      <c r="X126" s="82">
        <v>1.1639999999999999</v>
      </c>
      <c r="Y126" s="87">
        <v>-0.45679999999999998</v>
      </c>
      <c r="Z126" s="87">
        <v>0.61460000000000004</v>
      </c>
      <c r="AA126" s="87">
        <v>0.45760000000000001</v>
      </c>
      <c r="AB126" s="87">
        <v>-1.6633</v>
      </c>
      <c r="AC126" s="87">
        <v>0.74970000000000003</v>
      </c>
      <c r="AD126" s="31"/>
      <c r="AE126" s="90">
        <v>1.1080000000000001</v>
      </c>
      <c r="AF126" s="93">
        <v>-9.2100000000000001E-2</v>
      </c>
      <c r="AG126" s="93">
        <v>0.94510000000000005</v>
      </c>
      <c r="AH126" s="93">
        <v>0.9224</v>
      </c>
      <c r="AI126" s="93">
        <v>-1.9463999999999999</v>
      </c>
      <c r="AJ126" s="93">
        <v>1.7621</v>
      </c>
      <c r="AK126" s="31"/>
      <c r="AL126" s="55" t="s">
        <v>174</v>
      </c>
      <c r="AM126" s="55" t="s">
        <v>174</v>
      </c>
      <c r="AN126" s="55" t="s">
        <v>174</v>
      </c>
      <c r="AO126" s="55" t="s">
        <v>174</v>
      </c>
      <c r="AP126" s="55" t="s">
        <v>174</v>
      </c>
      <c r="AQ126" s="55" t="s">
        <v>174</v>
      </c>
      <c r="AR126" s="31"/>
    </row>
    <row r="127" spans="1:44">
      <c r="A127" s="28"/>
      <c r="B127" s="55" t="s">
        <v>174</v>
      </c>
      <c r="C127" s="55" t="s">
        <v>174</v>
      </c>
      <c r="D127" s="55" t="s">
        <v>174</v>
      </c>
      <c r="E127" s="55" t="s">
        <v>174</v>
      </c>
      <c r="F127" s="55" t="s">
        <v>174</v>
      </c>
      <c r="G127" s="55" t="s">
        <v>174</v>
      </c>
      <c r="H127" s="28"/>
      <c r="I127" s="55" t="s">
        <v>174</v>
      </c>
      <c r="J127" s="55" t="s">
        <v>174</v>
      </c>
      <c r="K127" s="55" t="s">
        <v>174</v>
      </c>
      <c r="L127" s="55" t="s">
        <v>174</v>
      </c>
      <c r="M127" s="55" t="s">
        <v>174</v>
      </c>
      <c r="N127" s="55" t="s">
        <v>174</v>
      </c>
      <c r="O127" s="28"/>
      <c r="P127" s="55" t="s">
        <v>174</v>
      </c>
      <c r="Q127" s="55" t="s">
        <v>174</v>
      </c>
      <c r="R127" s="55" t="s">
        <v>174</v>
      </c>
      <c r="S127" s="55" t="s">
        <v>174</v>
      </c>
      <c r="T127" s="55" t="s">
        <v>174</v>
      </c>
      <c r="U127" s="55" t="s">
        <v>174</v>
      </c>
      <c r="V127" s="28"/>
      <c r="W127" s="28"/>
      <c r="X127" s="82">
        <v>1.2124999999999999</v>
      </c>
      <c r="Y127" s="87">
        <v>-0.83450000000000002</v>
      </c>
      <c r="Z127" s="87">
        <v>0.5605</v>
      </c>
      <c r="AA127" s="87">
        <v>0.13689999999999999</v>
      </c>
      <c r="AB127" s="87">
        <v>-1.9347000000000001</v>
      </c>
      <c r="AC127" s="87">
        <v>0.26569999999999999</v>
      </c>
      <c r="AD127" s="31"/>
      <c r="AE127" s="90">
        <v>1.1599999999999999</v>
      </c>
      <c r="AF127" s="93">
        <v>-0.30709999999999998</v>
      </c>
      <c r="AG127" s="93">
        <v>0.85680000000000001</v>
      </c>
      <c r="AH127" s="93">
        <v>0.72009999999999996</v>
      </c>
      <c r="AI127" s="93">
        <v>-1.9881</v>
      </c>
      <c r="AJ127" s="93">
        <v>1.3738999999999999</v>
      </c>
      <c r="AK127" s="31"/>
      <c r="AL127" s="55" t="s">
        <v>174</v>
      </c>
      <c r="AM127" s="55" t="s">
        <v>174</v>
      </c>
      <c r="AN127" s="55" t="s">
        <v>174</v>
      </c>
      <c r="AO127" s="55" t="s">
        <v>174</v>
      </c>
      <c r="AP127" s="55" t="s">
        <v>174</v>
      </c>
      <c r="AQ127" s="55" t="s">
        <v>174</v>
      </c>
      <c r="AR127" s="31"/>
    </row>
    <row r="128" spans="1:44">
      <c r="A128" s="28"/>
      <c r="B128" s="55" t="s">
        <v>174</v>
      </c>
      <c r="C128" s="55" t="s">
        <v>174</v>
      </c>
      <c r="D128" s="55" t="s">
        <v>174</v>
      </c>
      <c r="E128" s="55" t="s">
        <v>174</v>
      </c>
      <c r="F128" s="55" t="s">
        <v>174</v>
      </c>
      <c r="G128" s="55" t="s">
        <v>174</v>
      </c>
      <c r="H128" s="28"/>
      <c r="I128" s="55" t="s">
        <v>174</v>
      </c>
      <c r="J128" s="55" t="s">
        <v>174</v>
      </c>
      <c r="K128" s="55" t="s">
        <v>174</v>
      </c>
      <c r="L128" s="55" t="s">
        <v>174</v>
      </c>
      <c r="M128" s="55" t="s">
        <v>174</v>
      </c>
      <c r="N128" s="55" t="s">
        <v>174</v>
      </c>
      <c r="O128" s="28"/>
      <c r="P128" s="55" t="s">
        <v>174</v>
      </c>
      <c r="Q128" s="55" t="s">
        <v>174</v>
      </c>
      <c r="R128" s="55" t="s">
        <v>174</v>
      </c>
      <c r="S128" s="55" t="s">
        <v>174</v>
      </c>
      <c r="T128" s="55" t="s">
        <v>174</v>
      </c>
      <c r="U128" s="55" t="s">
        <v>174</v>
      </c>
      <c r="V128" s="28"/>
      <c r="W128" s="28"/>
      <c r="X128" s="88">
        <v>1.2397</v>
      </c>
      <c r="Y128" s="87">
        <v>-1.0462</v>
      </c>
      <c r="Z128" s="87">
        <v>0.53300000000000003</v>
      </c>
      <c r="AA128" s="84">
        <v>0.05</v>
      </c>
      <c r="AB128" s="87">
        <v>-2.0924</v>
      </c>
      <c r="AC128" s="87">
        <v>0</v>
      </c>
      <c r="AD128" s="31"/>
      <c r="AE128" s="90">
        <v>1.212</v>
      </c>
      <c r="AF128" s="93">
        <v>-0.52200000000000002</v>
      </c>
      <c r="AG128" s="93">
        <v>0.77239999999999998</v>
      </c>
      <c r="AH128" s="93">
        <v>0.49930000000000002</v>
      </c>
      <c r="AI128" s="93">
        <v>-2.0373000000000001</v>
      </c>
      <c r="AJ128" s="93">
        <v>0.99329999999999996</v>
      </c>
      <c r="AK128" s="31"/>
      <c r="AL128" s="55" t="s">
        <v>174</v>
      </c>
      <c r="AM128" s="55" t="s">
        <v>174</v>
      </c>
      <c r="AN128" s="55" t="s">
        <v>174</v>
      </c>
      <c r="AO128" s="55" t="s">
        <v>174</v>
      </c>
      <c r="AP128" s="55" t="s">
        <v>174</v>
      </c>
      <c r="AQ128" s="55" t="s">
        <v>174</v>
      </c>
      <c r="AR128" s="31"/>
    </row>
    <row r="129" spans="1:44">
      <c r="A129" s="28"/>
      <c r="B129" s="55" t="s">
        <v>174</v>
      </c>
      <c r="C129" s="55" t="s">
        <v>174</v>
      </c>
      <c r="D129" s="55" t="s">
        <v>174</v>
      </c>
      <c r="E129" s="55" t="s">
        <v>174</v>
      </c>
      <c r="F129" s="55" t="s">
        <v>174</v>
      </c>
      <c r="G129" s="55" t="s">
        <v>174</v>
      </c>
      <c r="H129" s="28"/>
      <c r="I129" s="55" t="s">
        <v>174</v>
      </c>
      <c r="J129" s="55" t="s">
        <v>174</v>
      </c>
      <c r="K129" s="55" t="s">
        <v>174</v>
      </c>
      <c r="L129" s="55" t="s">
        <v>174</v>
      </c>
      <c r="M129" s="55" t="s">
        <v>174</v>
      </c>
      <c r="N129" s="55" t="s">
        <v>174</v>
      </c>
      <c r="O129" s="28"/>
      <c r="P129" s="55" t="s">
        <v>174</v>
      </c>
      <c r="Q129" s="55" t="s">
        <v>174</v>
      </c>
      <c r="R129" s="55" t="s">
        <v>174</v>
      </c>
      <c r="S129" s="55" t="s">
        <v>174</v>
      </c>
      <c r="T129" s="55" t="s">
        <v>174</v>
      </c>
      <c r="U129" s="55" t="s">
        <v>174</v>
      </c>
      <c r="V129" s="28"/>
      <c r="W129" s="28"/>
      <c r="X129" s="88">
        <v>1.2609999999999999</v>
      </c>
      <c r="Y129" s="87">
        <v>-1.2121</v>
      </c>
      <c r="Z129" s="87">
        <v>0.5131</v>
      </c>
      <c r="AA129" s="84">
        <v>1.84E-2</v>
      </c>
      <c r="AB129" s="87">
        <v>-2.2193000000000001</v>
      </c>
      <c r="AC129" s="87">
        <v>-0.20499999999999999</v>
      </c>
      <c r="AD129" s="31"/>
      <c r="AE129" s="90">
        <v>1.264</v>
      </c>
      <c r="AF129" s="93">
        <v>-0.7369</v>
      </c>
      <c r="AG129" s="93">
        <v>0.69310000000000005</v>
      </c>
      <c r="AH129" s="93">
        <v>0.28789999999999999</v>
      </c>
      <c r="AI129" s="93">
        <v>-2.0969000000000002</v>
      </c>
      <c r="AJ129" s="93">
        <v>0.623</v>
      </c>
      <c r="AK129" s="31"/>
      <c r="AL129" s="55" t="s">
        <v>174</v>
      </c>
      <c r="AM129" s="55" t="s">
        <v>174</v>
      </c>
      <c r="AN129" s="55" t="s">
        <v>174</v>
      </c>
      <c r="AO129" s="55" t="s">
        <v>174</v>
      </c>
      <c r="AP129" s="55" t="s">
        <v>174</v>
      </c>
      <c r="AQ129" s="55" t="s">
        <v>174</v>
      </c>
      <c r="AR129" s="31"/>
    </row>
    <row r="130" spans="1:44">
      <c r="A130" s="28"/>
      <c r="B130" s="55" t="s">
        <v>174</v>
      </c>
      <c r="C130" s="55" t="s">
        <v>174</v>
      </c>
      <c r="D130" s="55" t="s">
        <v>174</v>
      </c>
      <c r="E130" s="55" t="s">
        <v>174</v>
      </c>
      <c r="F130" s="55" t="s">
        <v>174</v>
      </c>
      <c r="G130" s="55" t="s">
        <v>174</v>
      </c>
      <c r="H130" s="28"/>
      <c r="I130" s="55" t="s">
        <v>174</v>
      </c>
      <c r="J130" s="55" t="s">
        <v>174</v>
      </c>
      <c r="K130" s="55" t="s">
        <v>174</v>
      </c>
      <c r="L130" s="55" t="s">
        <v>174</v>
      </c>
      <c r="M130" s="55" t="s">
        <v>174</v>
      </c>
      <c r="N130" s="55" t="s">
        <v>174</v>
      </c>
      <c r="O130" s="28"/>
      <c r="P130" s="55" t="s">
        <v>174</v>
      </c>
      <c r="Q130" s="55" t="s">
        <v>174</v>
      </c>
      <c r="R130" s="55" t="s">
        <v>174</v>
      </c>
      <c r="S130" s="55" t="s">
        <v>174</v>
      </c>
      <c r="T130" s="55" t="s">
        <v>174</v>
      </c>
      <c r="U130" s="55" t="s">
        <v>174</v>
      </c>
      <c r="V130" s="28"/>
      <c r="W130" s="28"/>
      <c r="X130" s="88">
        <v>1.3095000000000001</v>
      </c>
      <c r="Y130" s="87">
        <v>-1.5898000000000001</v>
      </c>
      <c r="Z130" s="87">
        <v>0.47449999999999998</v>
      </c>
      <c r="AA130" s="84">
        <v>8.0000000000000004E-4</v>
      </c>
      <c r="AB130" s="87">
        <v>-2.5213000000000001</v>
      </c>
      <c r="AC130" s="87">
        <v>-0.65839999999999999</v>
      </c>
      <c r="AD130" s="31"/>
      <c r="AE130" s="90">
        <v>1.3160000000000001</v>
      </c>
      <c r="AF130" s="93">
        <v>-0.95189999999999997</v>
      </c>
      <c r="AG130" s="93">
        <v>0.62119999999999997</v>
      </c>
      <c r="AH130" s="93">
        <v>0.12570000000000001</v>
      </c>
      <c r="AI130" s="93">
        <v>-2.1705999999999999</v>
      </c>
      <c r="AJ130" s="93">
        <v>0.26679999999999998</v>
      </c>
      <c r="AK130" s="31"/>
      <c r="AL130" s="55" t="s">
        <v>174</v>
      </c>
      <c r="AM130" s="55" t="s">
        <v>174</v>
      </c>
      <c r="AN130" s="55" t="s">
        <v>174</v>
      </c>
      <c r="AO130" s="55" t="s">
        <v>174</v>
      </c>
      <c r="AP130" s="55" t="s">
        <v>174</v>
      </c>
      <c r="AQ130" s="55" t="s">
        <v>174</v>
      </c>
      <c r="AR130" s="31"/>
    </row>
    <row r="131" spans="1:44">
      <c r="A131" s="28"/>
      <c r="B131" s="55" t="s">
        <v>174</v>
      </c>
      <c r="C131" s="55" t="s">
        <v>174</v>
      </c>
      <c r="D131" s="55" t="s">
        <v>174</v>
      </c>
      <c r="E131" s="55" t="s">
        <v>174</v>
      </c>
      <c r="F131" s="55" t="s">
        <v>174</v>
      </c>
      <c r="G131" s="55" t="s">
        <v>174</v>
      </c>
      <c r="H131" s="28"/>
      <c r="I131" s="55" t="s">
        <v>174</v>
      </c>
      <c r="J131" s="55" t="s">
        <v>174</v>
      </c>
      <c r="K131" s="55" t="s">
        <v>174</v>
      </c>
      <c r="L131" s="55" t="s">
        <v>174</v>
      </c>
      <c r="M131" s="55" t="s">
        <v>174</v>
      </c>
      <c r="N131" s="55" t="s">
        <v>174</v>
      </c>
      <c r="O131" s="28"/>
      <c r="P131" s="55" t="s">
        <v>174</v>
      </c>
      <c r="Q131" s="55" t="s">
        <v>174</v>
      </c>
      <c r="R131" s="55" t="s">
        <v>174</v>
      </c>
      <c r="S131" s="55" t="s">
        <v>174</v>
      </c>
      <c r="T131" s="55" t="s">
        <v>174</v>
      </c>
      <c r="U131" s="55" t="s">
        <v>174</v>
      </c>
      <c r="V131" s="28"/>
      <c r="W131" s="28"/>
      <c r="X131" s="88">
        <v>1.3580000000000001</v>
      </c>
      <c r="Y131" s="87">
        <v>-1.9675</v>
      </c>
      <c r="Z131" s="87">
        <v>0.44700000000000001</v>
      </c>
      <c r="AA131" s="84">
        <v>0</v>
      </c>
      <c r="AB131" s="87">
        <v>-2.8450000000000002</v>
      </c>
      <c r="AC131" s="87">
        <v>-1.0900000000000001</v>
      </c>
      <c r="AD131" s="31"/>
      <c r="AE131" s="52">
        <v>1.3569</v>
      </c>
      <c r="AF131" s="93">
        <v>-1.1211</v>
      </c>
      <c r="AG131" s="93">
        <v>0.57140000000000002</v>
      </c>
      <c r="AH131" s="94">
        <v>0.05</v>
      </c>
      <c r="AI131" s="93">
        <v>-2.2421000000000002</v>
      </c>
      <c r="AJ131" s="93">
        <v>0</v>
      </c>
      <c r="AK131" s="31"/>
      <c r="AL131" s="55" t="s">
        <v>174</v>
      </c>
      <c r="AM131" s="55" t="s">
        <v>174</v>
      </c>
      <c r="AN131" s="55" t="s">
        <v>174</v>
      </c>
      <c r="AO131" s="55" t="s">
        <v>174</v>
      </c>
      <c r="AP131" s="55" t="s">
        <v>174</v>
      </c>
      <c r="AQ131" s="55" t="s">
        <v>174</v>
      </c>
      <c r="AR131" s="31"/>
    </row>
    <row r="132" spans="1:44">
      <c r="A132" s="28"/>
      <c r="B132" s="55" t="s">
        <v>174</v>
      </c>
      <c r="C132" s="55" t="s">
        <v>174</v>
      </c>
      <c r="D132" s="55" t="s">
        <v>174</v>
      </c>
      <c r="E132" s="55" t="s">
        <v>174</v>
      </c>
      <c r="F132" s="55" t="s">
        <v>174</v>
      </c>
      <c r="G132" s="55" t="s">
        <v>174</v>
      </c>
      <c r="H132" s="28"/>
      <c r="I132" s="55" t="s">
        <v>174</v>
      </c>
      <c r="J132" s="55" t="s">
        <v>174</v>
      </c>
      <c r="K132" s="55" t="s">
        <v>174</v>
      </c>
      <c r="L132" s="55" t="s">
        <v>174</v>
      </c>
      <c r="M132" s="55" t="s">
        <v>174</v>
      </c>
      <c r="N132" s="55" t="s">
        <v>174</v>
      </c>
      <c r="O132" s="28"/>
      <c r="P132" s="55" t="s">
        <v>174</v>
      </c>
      <c r="Q132" s="55" t="s">
        <v>174</v>
      </c>
      <c r="R132" s="55" t="s">
        <v>174</v>
      </c>
      <c r="S132" s="55" t="s">
        <v>174</v>
      </c>
      <c r="T132" s="55" t="s">
        <v>174</v>
      </c>
      <c r="U132" s="55" t="s">
        <v>174</v>
      </c>
      <c r="V132" s="28"/>
      <c r="W132" s="28"/>
      <c r="X132" s="88">
        <v>1.4065000000000001</v>
      </c>
      <c r="Y132" s="87">
        <v>-2.3452000000000002</v>
      </c>
      <c r="Z132" s="87">
        <v>0.43269999999999997</v>
      </c>
      <c r="AA132" s="84">
        <v>0</v>
      </c>
      <c r="AB132" s="87">
        <v>-3.1945999999999999</v>
      </c>
      <c r="AC132" s="87">
        <v>-1.4958</v>
      </c>
      <c r="AD132" s="31"/>
      <c r="AE132" s="52">
        <v>1.3680000000000001</v>
      </c>
      <c r="AF132" s="93">
        <v>-1.1668000000000001</v>
      </c>
      <c r="AG132" s="93">
        <v>0.55920000000000003</v>
      </c>
      <c r="AH132" s="94">
        <v>3.7100000000000001E-2</v>
      </c>
      <c r="AI132" s="93">
        <v>-2.2639999999999998</v>
      </c>
      <c r="AJ132" s="93">
        <v>-6.9699999999999998E-2</v>
      </c>
      <c r="AK132" s="31"/>
      <c r="AL132" s="55" t="s">
        <v>174</v>
      </c>
      <c r="AM132" s="55" t="s">
        <v>174</v>
      </c>
      <c r="AN132" s="55" t="s">
        <v>174</v>
      </c>
      <c r="AO132" s="55" t="s">
        <v>174</v>
      </c>
      <c r="AP132" s="55" t="s">
        <v>174</v>
      </c>
      <c r="AQ132" s="55" t="s">
        <v>174</v>
      </c>
      <c r="AR132" s="31"/>
    </row>
    <row r="133" spans="1:44">
      <c r="A133" s="28"/>
      <c r="B133" s="55" t="s">
        <v>174</v>
      </c>
      <c r="C133" s="55" t="s">
        <v>174</v>
      </c>
      <c r="D133" s="55" t="s">
        <v>174</v>
      </c>
      <c r="E133" s="55" t="s">
        <v>174</v>
      </c>
      <c r="F133" s="55" t="s">
        <v>174</v>
      </c>
      <c r="G133" s="55" t="s">
        <v>174</v>
      </c>
      <c r="H133" s="28"/>
      <c r="I133" s="55" t="s">
        <v>174</v>
      </c>
      <c r="J133" s="55" t="s">
        <v>174</v>
      </c>
      <c r="K133" s="55" t="s">
        <v>174</v>
      </c>
      <c r="L133" s="55" t="s">
        <v>174</v>
      </c>
      <c r="M133" s="55" t="s">
        <v>174</v>
      </c>
      <c r="N133" s="55" t="s">
        <v>174</v>
      </c>
      <c r="O133" s="28"/>
      <c r="P133" s="55" t="s">
        <v>174</v>
      </c>
      <c r="Q133" s="55" t="s">
        <v>174</v>
      </c>
      <c r="R133" s="55" t="s">
        <v>174</v>
      </c>
      <c r="S133" s="55" t="s">
        <v>174</v>
      </c>
      <c r="T133" s="55" t="s">
        <v>174</v>
      </c>
      <c r="U133" s="55" t="s">
        <v>174</v>
      </c>
      <c r="V133" s="28"/>
      <c r="W133" s="28"/>
      <c r="X133" s="88">
        <v>1.4550000000000001</v>
      </c>
      <c r="Y133" s="87">
        <v>-2.7229000000000001</v>
      </c>
      <c r="Z133" s="87">
        <v>0.43290000000000001</v>
      </c>
      <c r="AA133" s="84">
        <v>0</v>
      </c>
      <c r="AB133" s="87">
        <v>-3.5727000000000002</v>
      </c>
      <c r="AC133" s="87">
        <v>-1.8731</v>
      </c>
      <c r="AD133" s="28"/>
      <c r="AE133" s="52">
        <v>1.42</v>
      </c>
      <c r="AF133" s="93">
        <v>-1.3817999999999999</v>
      </c>
      <c r="AG133" s="93">
        <v>0.51100000000000001</v>
      </c>
      <c r="AH133" s="94">
        <v>6.8999999999999999E-3</v>
      </c>
      <c r="AI133" s="93">
        <v>-2.3843000000000001</v>
      </c>
      <c r="AJ133" s="93">
        <v>-0.37919999999999998</v>
      </c>
      <c r="AK133" s="28"/>
      <c r="AL133" s="55" t="s">
        <v>174</v>
      </c>
      <c r="AM133" s="55" t="s">
        <v>174</v>
      </c>
      <c r="AN133" s="55" t="s">
        <v>174</v>
      </c>
      <c r="AO133" s="55" t="s">
        <v>174</v>
      </c>
      <c r="AP133" s="55" t="s">
        <v>174</v>
      </c>
      <c r="AQ133" s="55" t="s">
        <v>174</v>
      </c>
      <c r="AR133" s="28"/>
    </row>
    <row r="134" spans="1:44">
      <c r="A134" s="28"/>
      <c r="B134" s="55" t="s">
        <v>174</v>
      </c>
      <c r="C134" s="55" t="s">
        <v>174</v>
      </c>
      <c r="D134" s="55" t="s">
        <v>174</v>
      </c>
      <c r="E134" s="55" t="s">
        <v>174</v>
      </c>
      <c r="F134" s="55" t="s">
        <v>174</v>
      </c>
      <c r="G134" s="55" t="s">
        <v>174</v>
      </c>
      <c r="H134" s="28"/>
      <c r="I134" s="55" t="s">
        <v>174</v>
      </c>
      <c r="J134" s="55" t="s">
        <v>174</v>
      </c>
      <c r="K134" s="55" t="s">
        <v>174</v>
      </c>
      <c r="L134" s="55" t="s">
        <v>174</v>
      </c>
      <c r="M134" s="55" t="s">
        <v>174</v>
      </c>
      <c r="N134" s="55" t="s">
        <v>174</v>
      </c>
      <c r="O134" s="28"/>
      <c r="P134" s="55" t="s">
        <v>174</v>
      </c>
      <c r="Q134" s="55" t="s">
        <v>174</v>
      </c>
      <c r="R134" s="55" t="s">
        <v>174</v>
      </c>
      <c r="S134" s="55" t="s">
        <v>174</v>
      </c>
      <c r="T134" s="55" t="s">
        <v>174</v>
      </c>
      <c r="U134" s="55" t="s">
        <v>174</v>
      </c>
      <c r="V134" s="28"/>
      <c r="W134" s="28"/>
      <c r="X134" s="88">
        <v>1.5035000000000001</v>
      </c>
      <c r="Y134" s="87">
        <v>-3.1004999999999998</v>
      </c>
      <c r="Z134" s="87">
        <v>0.4476</v>
      </c>
      <c r="AA134" s="84">
        <v>0</v>
      </c>
      <c r="AB134" s="87">
        <v>-3.9792000000000001</v>
      </c>
      <c r="AC134" s="87">
        <v>-2.2219000000000002</v>
      </c>
      <c r="AD134" s="28"/>
      <c r="AE134" s="52">
        <v>1.472</v>
      </c>
      <c r="AF134" s="93">
        <v>-1.5967</v>
      </c>
      <c r="AG134" s="93">
        <v>0.48060000000000003</v>
      </c>
      <c r="AH134" s="94">
        <v>8.9999999999999998E-4</v>
      </c>
      <c r="AI134" s="93">
        <v>-2.5396999999999998</v>
      </c>
      <c r="AJ134" s="93">
        <v>-0.65369999999999995</v>
      </c>
      <c r="AK134" s="28"/>
      <c r="AL134" s="55" t="s">
        <v>174</v>
      </c>
      <c r="AM134" s="55" t="s">
        <v>174</v>
      </c>
      <c r="AN134" s="55" t="s">
        <v>174</v>
      </c>
      <c r="AO134" s="55" t="s">
        <v>174</v>
      </c>
      <c r="AP134" s="55" t="s">
        <v>174</v>
      </c>
      <c r="AQ134" s="55" t="s">
        <v>174</v>
      </c>
      <c r="AR134" s="28"/>
    </row>
    <row r="135" spans="1:44">
      <c r="A135" s="28"/>
      <c r="B135" s="55" t="s">
        <v>174</v>
      </c>
      <c r="C135" s="55" t="s">
        <v>174</v>
      </c>
      <c r="D135" s="55" t="s">
        <v>174</v>
      </c>
      <c r="E135" s="55" t="s">
        <v>174</v>
      </c>
      <c r="F135" s="55" t="s">
        <v>174</v>
      </c>
      <c r="G135" s="55" t="s">
        <v>174</v>
      </c>
      <c r="H135" s="28"/>
      <c r="I135" s="55" t="s">
        <v>174</v>
      </c>
      <c r="J135" s="55" t="s">
        <v>174</v>
      </c>
      <c r="K135" s="55" t="s">
        <v>174</v>
      </c>
      <c r="L135" s="55" t="s">
        <v>174</v>
      </c>
      <c r="M135" s="55" t="s">
        <v>174</v>
      </c>
      <c r="N135" s="55" t="s">
        <v>174</v>
      </c>
      <c r="O135" s="28"/>
      <c r="P135" s="55" t="s">
        <v>174</v>
      </c>
      <c r="Q135" s="55" t="s">
        <v>174</v>
      </c>
      <c r="R135" s="55" t="s">
        <v>174</v>
      </c>
      <c r="S135" s="55" t="s">
        <v>174</v>
      </c>
      <c r="T135" s="55" t="s">
        <v>174</v>
      </c>
      <c r="U135" s="55" t="s">
        <v>174</v>
      </c>
      <c r="V135" s="28"/>
      <c r="W135" s="28"/>
      <c r="X135" s="88">
        <v>1.552</v>
      </c>
      <c r="Y135" s="87">
        <v>-3.4782000000000002</v>
      </c>
      <c r="Z135" s="87">
        <v>0.47539999999999999</v>
      </c>
      <c r="AA135" s="84">
        <v>0</v>
      </c>
      <c r="AB135" s="87">
        <v>-4.4115000000000002</v>
      </c>
      <c r="AC135" s="87">
        <v>-2.5449999999999999</v>
      </c>
      <c r="AD135" s="28"/>
      <c r="AE135" s="52">
        <v>1.524</v>
      </c>
      <c r="AF135" s="93">
        <v>-1.8116000000000001</v>
      </c>
      <c r="AG135" s="93">
        <v>0.47160000000000002</v>
      </c>
      <c r="AH135" s="94">
        <v>1E-4</v>
      </c>
      <c r="AI135" s="93">
        <v>-2.7368000000000001</v>
      </c>
      <c r="AJ135" s="93">
        <v>-0.88649999999999995</v>
      </c>
      <c r="AK135" s="28"/>
      <c r="AL135" s="55" t="s">
        <v>174</v>
      </c>
      <c r="AM135" s="55" t="s">
        <v>174</v>
      </c>
      <c r="AN135" s="55" t="s">
        <v>174</v>
      </c>
      <c r="AO135" s="55" t="s">
        <v>174</v>
      </c>
      <c r="AP135" s="55" t="s">
        <v>174</v>
      </c>
      <c r="AQ135" s="55" t="s">
        <v>174</v>
      </c>
      <c r="AR135" s="28"/>
    </row>
    <row r="136" spans="1:44">
      <c r="A136" s="28"/>
      <c r="B136" s="55" t="s">
        <v>174</v>
      </c>
      <c r="C136" s="55" t="s">
        <v>174</v>
      </c>
      <c r="D136" s="55" t="s">
        <v>174</v>
      </c>
      <c r="E136" s="55" t="s">
        <v>174</v>
      </c>
      <c r="F136" s="55" t="s">
        <v>174</v>
      </c>
      <c r="G136" s="55" t="s">
        <v>174</v>
      </c>
      <c r="H136" s="28"/>
      <c r="I136" s="55" t="s">
        <v>174</v>
      </c>
      <c r="J136" s="55" t="s">
        <v>174</v>
      </c>
      <c r="K136" s="55" t="s">
        <v>174</v>
      </c>
      <c r="L136" s="55" t="s">
        <v>174</v>
      </c>
      <c r="M136" s="55" t="s">
        <v>174</v>
      </c>
      <c r="N136" s="55" t="s">
        <v>174</v>
      </c>
      <c r="O136" s="28"/>
      <c r="P136" s="55" t="s">
        <v>174</v>
      </c>
      <c r="Q136" s="55" t="s">
        <v>174</v>
      </c>
      <c r="R136" s="55" t="s">
        <v>174</v>
      </c>
      <c r="S136" s="55" t="s">
        <v>174</v>
      </c>
      <c r="T136" s="55" t="s">
        <v>174</v>
      </c>
      <c r="U136" s="55" t="s">
        <v>174</v>
      </c>
      <c r="V136" s="28"/>
      <c r="W136" s="28"/>
      <c r="X136" s="88">
        <v>1.6005</v>
      </c>
      <c r="Y136" s="87">
        <v>-3.8559000000000001</v>
      </c>
      <c r="Z136" s="87">
        <v>0.51429999999999998</v>
      </c>
      <c r="AA136" s="84">
        <v>0</v>
      </c>
      <c r="AB136" s="87">
        <v>-4.8654000000000002</v>
      </c>
      <c r="AC136" s="87">
        <v>-2.8464</v>
      </c>
      <c r="AD136" s="28"/>
      <c r="AE136" s="52">
        <v>1.5760000000000001</v>
      </c>
      <c r="AF136" s="93">
        <v>-2.0266000000000002</v>
      </c>
      <c r="AG136" s="93">
        <v>0.48499999999999999</v>
      </c>
      <c r="AH136" s="94">
        <v>0</v>
      </c>
      <c r="AI136" s="93">
        <v>-2.9782000000000002</v>
      </c>
      <c r="AJ136" s="93">
        <v>-1.075</v>
      </c>
      <c r="AK136" s="28"/>
      <c r="AL136" s="55" t="s">
        <v>174</v>
      </c>
      <c r="AM136" s="55" t="s">
        <v>174</v>
      </c>
      <c r="AN136" s="55" t="s">
        <v>174</v>
      </c>
      <c r="AO136" s="55" t="s">
        <v>174</v>
      </c>
      <c r="AP136" s="55" t="s">
        <v>174</v>
      </c>
      <c r="AQ136" s="55" t="s">
        <v>174</v>
      </c>
      <c r="AR136" s="28"/>
    </row>
    <row r="137" spans="1:44">
      <c r="A137" s="28"/>
      <c r="B137" s="55" t="s">
        <v>174</v>
      </c>
      <c r="C137" s="55" t="s">
        <v>174</v>
      </c>
      <c r="D137" s="55" t="s">
        <v>174</v>
      </c>
      <c r="E137" s="55" t="s">
        <v>174</v>
      </c>
      <c r="F137" s="55" t="s">
        <v>174</v>
      </c>
      <c r="G137" s="55" t="s">
        <v>174</v>
      </c>
      <c r="H137" s="28"/>
      <c r="I137" s="55" t="s">
        <v>174</v>
      </c>
      <c r="J137" s="55" t="s">
        <v>174</v>
      </c>
      <c r="K137" s="55" t="s">
        <v>174</v>
      </c>
      <c r="L137" s="55" t="s">
        <v>174</v>
      </c>
      <c r="M137" s="55" t="s">
        <v>174</v>
      </c>
      <c r="N137" s="55" t="s">
        <v>174</v>
      </c>
      <c r="O137" s="28"/>
      <c r="P137" s="55" t="s">
        <v>174</v>
      </c>
      <c r="Q137" s="55" t="s">
        <v>174</v>
      </c>
      <c r="R137" s="55" t="s">
        <v>174</v>
      </c>
      <c r="S137" s="55" t="s">
        <v>174</v>
      </c>
      <c r="T137" s="55" t="s">
        <v>174</v>
      </c>
      <c r="U137" s="55" t="s">
        <v>174</v>
      </c>
      <c r="V137" s="28"/>
      <c r="W137" s="28"/>
      <c r="X137" s="88">
        <v>1.649</v>
      </c>
      <c r="Y137" s="87">
        <v>-4.2336</v>
      </c>
      <c r="Z137" s="87">
        <v>0.56189999999999996</v>
      </c>
      <c r="AA137" s="84">
        <v>0</v>
      </c>
      <c r="AB137" s="87">
        <v>-5.3365</v>
      </c>
      <c r="AC137" s="87">
        <v>-3.1305999999999998</v>
      </c>
      <c r="AD137" s="28"/>
      <c r="AE137" s="52">
        <v>1.6279999999999999</v>
      </c>
      <c r="AF137" s="93">
        <v>-2.2414999999999998</v>
      </c>
      <c r="AG137" s="93">
        <v>0.51919999999999999</v>
      </c>
      <c r="AH137" s="94">
        <v>0</v>
      </c>
      <c r="AI137" s="93">
        <v>-3.2602000000000002</v>
      </c>
      <c r="AJ137" s="93">
        <v>-1.2228000000000001</v>
      </c>
      <c r="AK137" s="28"/>
      <c r="AL137" s="55" t="s">
        <v>174</v>
      </c>
      <c r="AM137" s="55" t="s">
        <v>174</v>
      </c>
      <c r="AN137" s="55" t="s">
        <v>174</v>
      </c>
      <c r="AO137" s="55" t="s">
        <v>174</v>
      </c>
      <c r="AP137" s="55" t="s">
        <v>174</v>
      </c>
      <c r="AQ137" s="55" t="s">
        <v>174</v>
      </c>
      <c r="AR137" s="28"/>
    </row>
    <row r="138" spans="1:44">
      <c r="A138" s="28"/>
      <c r="B138" s="55" t="s">
        <v>174</v>
      </c>
      <c r="C138" s="55" t="s">
        <v>174</v>
      </c>
      <c r="D138" s="55" t="s">
        <v>174</v>
      </c>
      <c r="E138" s="55" t="s">
        <v>174</v>
      </c>
      <c r="F138" s="55" t="s">
        <v>174</v>
      </c>
      <c r="G138" s="55" t="s">
        <v>174</v>
      </c>
      <c r="H138" s="28"/>
      <c r="I138" s="55" t="s">
        <v>174</v>
      </c>
      <c r="J138" s="55" t="s">
        <v>174</v>
      </c>
      <c r="K138" s="55" t="s">
        <v>174</v>
      </c>
      <c r="L138" s="55" t="s">
        <v>174</v>
      </c>
      <c r="M138" s="55" t="s">
        <v>174</v>
      </c>
      <c r="N138" s="55" t="s">
        <v>174</v>
      </c>
      <c r="O138" s="28"/>
      <c r="P138" s="55" t="s">
        <v>174</v>
      </c>
      <c r="Q138" s="55" t="s">
        <v>174</v>
      </c>
      <c r="R138" s="55" t="s">
        <v>174</v>
      </c>
      <c r="S138" s="55" t="s">
        <v>174</v>
      </c>
      <c r="T138" s="55" t="s">
        <v>174</v>
      </c>
      <c r="U138" s="55" t="s">
        <v>174</v>
      </c>
      <c r="V138" s="28"/>
      <c r="W138" s="28"/>
      <c r="X138" s="88">
        <v>1.6975</v>
      </c>
      <c r="Y138" s="87">
        <v>-4.6112000000000002</v>
      </c>
      <c r="Z138" s="87">
        <v>0.61619999999999997</v>
      </c>
      <c r="AA138" s="84">
        <v>0</v>
      </c>
      <c r="AB138" s="87">
        <v>-5.8208000000000002</v>
      </c>
      <c r="AC138" s="87">
        <v>-3.4016999999999999</v>
      </c>
      <c r="AD138" s="28"/>
      <c r="AE138" s="52">
        <v>1.68</v>
      </c>
      <c r="AF138" s="93">
        <v>-2.4565000000000001</v>
      </c>
      <c r="AG138" s="93">
        <v>0.57050000000000001</v>
      </c>
      <c r="AH138" s="94">
        <v>0</v>
      </c>
      <c r="AI138" s="93">
        <v>-3.5756999999999999</v>
      </c>
      <c r="AJ138" s="93">
        <v>-1.3371999999999999</v>
      </c>
      <c r="AK138" s="28"/>
      <c r="AL138" s="55" t="s">
        <v>174</v>
      </c>
      <c r="AM138" s="55" t="s">
        <v>174</v>
      </c>
      <c r="AN138" s="55" t="s">
        <v>174</v>
      </c>
      <c r="AO138" s="55" t="s">
        <v>174</v>
      </c>
      <c r="AP138" s="55" t="s">
        <v>174</v>
      </c>
      <c r="AQ138" s="55" t="s">
        <v>174</v>
      </c>
      <c r="AR138" s="28"/>
    </row>
    <row r="139" spans="1:44">
      <c r="A139" s="28"/>
      <c r="B139" s="55" t="s">
        <v>174</v>
      </c>
      <c r="C139" s="55" t="s">
        <v>174</v>
      </c>
      <c r="D139" s="55" t="s">
        <v>174</v>
      </c>
      <c r="E139" s="55" t="s">
        <v>174</v>
      </c>
      <c r="F139" s="55" t="s">
        <v>174</v>
      </c>
      <c r="G139" s="55" t="s">
        <v>174</v>
      </c>
      <c r="H139" s="28"/>
      <c r="I139" s="55" t="s">
        <v>174</v>
      </c>
      <c r="J139" s="55" t="s">
        <v>174</v>
      </c>
      <c r="K139" s="55" t="s">
        <v>174</v>
      </c>
      <c r="L139" s="55" t="s">
        <v>174</v>
      </c>
      <c r="M139" s="55" t="s">
        <v>174</v>
      </c>
      <c r="N139" s="55" t="s">
        <v>174</v>
      </c>
      <c r="O139" s="28"/>
      <c r="P139" s="55" t="s">
        <v>174</v>
      </c>
      <c r="Q139" s="55" t="s">
        <v>174</v>
      </c>
      <c r="R139" s="55" t="s">
        <v>174</v>
      </c>
      <c r="S139" s="55" t="s">
        <v>174</v>
      </c>
      <c r="T139" s="55" t="s">
        <v>174</v>
      </c>
      <c r="U139" s="55" t="s">
        <v>174</v>
      </c>
      <c r="V139" s="28"/>
      <c r="W139" s="28"/>
      <c r="X139" s="88">
        <v>1.746</v>
      </c>
      <c r="Y139" s="87">
        <v>-4.9889000000000001</v>
      </c>
      <c r="Z139" s="87">
        <v>0.67559999999999998</v>
      </c>
      <c r="AA139" s="84">
        <v>0</v>
      </c>
      <c r="AB139" s="87">
        <v>-6.3151000000000002</v>
      </c>
      <c r="AC139" s="87">
        <v>-3.6627999999999998</v>
      </c>
      <c r="AD139" s="28"/>
      <c r="AE139" s="52">
        <v>1.732</v>
      </c>
      <c r="AF139" s="93">
        <v>-2.6714000000000002</v>
      </c>
      <c r="AG139" s="93">
        <v>0.63470000000000004</v>
      </c>
      <c r="AH139" s="94">
        <v>0</v>
      </c>
      <c r="AI139" s="93">
        <v>-3.9165999999999999</v>
      </c>
      <c r="AJ139" s="93">
        <v>-1.4261999999999999</v>
      </c>
      <c r="AK139" s="28"/>
      <c r="AL139" s="55" t="s">
        <v>174</v>
      </c>
      <c r="AM139" s="55" t="s">
        <v>174</v>
      </c>
      <c r="AN139" s="55" t="s">
        <v>174</v>
      </c>
      <c r="AO139" s="55" t="s">
        <v>174</v>
      </c>
      <c r="AP139" s="55" t="s">
        <v>174</v>
      </c>
      <c r="AQ139" s="55" t="s">
        <v>174</v>
      </c>
      <c r="AR139" s="28"/>
    </row>
    <row r="140" spans="1:44">
      <c r="A140" s="28"/>
      <c r="B140" s="55" t="s">
        <v>174</v>
      </c>
      <c r="C140" s="55" t="s">
        <v>174</v>
      </c>
      <c r="D140" s="55" t="s">
        <v>174</v>
      </c>
      <c r="E140" s="55" t="s">
        <v>174</v>
      </c>
      <c r="F140" s="55" t="s">
        <v>174</v>
      </c>
      <c r="G140" s="55" t="s">
        <v>174</v>
      </c>
      <c r="H140" s="28"/>
      <c r="I140" s="55" t="s">
        <v>174</v>
      </c>
      <c r="J140" s="55" t="s">
        <v>174</v>
      </c>
      <c r="K140" s="55" t="s">
        <v>174</v>
      </c>
      <c r="L140" s="55" t="s">
        <v>174</v>
      </c>
      <c r="M140" s="55" t="s">
        <v>174</v>
      </c>
      <c r="N140" s="55" t="s">
        <v>174</v>
      </c>
      <c r="O140" s="28"/>
      <c r="P140" s="55" t="s">
        <v>174</v>
      </c>
      <c r="Q140" s="55" t="s">
        <v>174</v>
      </c>
      <c r="R140" s="55" t="s">
        <v>174</v>
      </c>
      <c r="S140" s="55" t="s">
        <v>174</v>
      </c>
      <c r="T140" s="55" t="s">
        <v>174</v>
      </c>
      <c r="U140" s="55" t="s">
        <v>174</v>
      </c>
      <c r="V140" s="28"/>
      <c r="W140" s="28"/>
      <c r="X140" s="88">
        <v>1.7945</v>
      </c>
      <c r="Y140" s="87">
        <v>-5.3666</v>
      </c>
      <c r="Z140" s="87">
        <v>0.73880000000000001</v>
      </c>
      <c r="AA140" s="84">
        <v>0</v>
      </c>
      <c r="AB140" s="87">
        <v>-6.8169000000000004</v>
      </c>
      <c r="AC140" s="87">
        <v>-3.9163000000000001</v>
      </c>
      <c r="AD140" s="28"/>
      <c r="AE140" s="52">
        <v>1.784</v>
      </c>
      <c r="AF140" s="93">
        <v>-2.8862999999999999</v>
      </c>
      <c r="AG140" s="93">
        <v>0.70830000000000004</v>
      </c>
      <c r="AH140" s="94">
        <v>0</v>
      </c>
      <c r="AI140" s="93">
        <v>-4.2759</v>
      </c>
      <c r="AJ140" s="93">
        <v>-1.4967999999999999</v>
      </c>
      <c r="AK140" s="28"/>
      <c r="AL140" s="55" t="s">
        <v>174</v>
      </c>
      <c r="AM140" s="55" t="s">
        <v>174</v>
      </c>
      <c r="AN140" s="55" t="s">
        <v>174</v>
      </c>
      <c r="AO140" s="55" t="s">
        <v>174</v>
      </c>
      <c r="AP140" s="55" t="s">
        <v>174</v>
      </c>
      <c r="AQ140" s="55" t="s">
        <v>174</v>
      </c>
      <c r="AR140" s="28"/>
    </row>
    <row r="141" spans="1:44">
      <c r="A141" s="28"/>
      <c r="B141" s="55" t="s">
        <v>174</v>
      </c>
      <c r="C141" s="55" t="s">
        <v>174</v>
      </c>
      <c r="D141" s="55" t="s">
        <v>174</v>
      </c>
      <c r="E141" s="55" t="s">
        <v>174</v>
      </c>
      <c r="F141" s="55" t="s">
        <v>174</v>
      </c>
      <c r="G141" s="55" t="s">
        <v>174</v>
      </c>
      <c r="H141" s="28"/>
      <c r="I141" s="55" t="s">
        <v>174</v>
      </c>
      <c r="J141" s="55" t="s">
        <v>174</v>
      </c>
      <c r="K141" s="55" t="s">
        <v>174</v>
      </c>
      <c r="L141" s="55" t="s">
        <v>174</v>
      </c>
      <c r="M141" s="55" t="s">
        <v>174</v>
      </c>
      <c r="N141" s="55" t="s">
        <v>174</v>
      </c>
      <c r="O141" s="28"/>
      <c r="P141" s="55" t="s">
        <v>174</v>
      </c>
      <c r="Q141" s="55" t="s">
        <v>174</v>
      </c>
      <c r="R141" s="55" t="s">
        <v>174</v>
      </c>
      <c r="S141" s="55" t="s">
        <v>174</v>
      </c>
      <c r="T141" s="55" t="s">
        <v>174</v>
      </c>
      <c r="U141" s="55" t="s">
        <v>174</v>
      </c>
      <c r="V141" s="28"/>
      <c r="W141" s="28"/>
      <c r="X141" s="88">
        <v>1.843</v>
      </c>
      <c r="Y141" s="87">
        <v>-5.7443</v>
      </c>
      <c r="Z141" s="87">
        <v>0.80510000000000004</v>
      </c>
      <c r="AA141" s="84">
        <v>0</v>
      </c>
      <c r="AB141" s="87">
        <v>-7.3246000000000002</v>
      </c>
      <c r="AC141" s="87">
        <v>-4.1639999999999997</v>
      </c>
      <c r="AD141" s="28"/>
      <c r="AE141" s="52">
        <v>1.8360000000000001</v>
      </c>
      <c r="AF141" s="93">
        <v>-3.1013000000000002</v>
      </c>
      <c r="AG141" s="93">
        <v>0.78859999999999997</v>
      </c>
      <c r="AH141" s="94">
        <v>1E-4</v>
      </c>
      <c r="AI141" s="93">
        <v>-4.6486000000000001</v>
      </c>
      <c r="AJ141" s="93">
        <v>-1.554</v>
      </c>
      <c r="AK141" s="28"/>
      <c r="AL141" s="55" t="s">
        <v>174</v>
      </c>
      <c r="AM141" s="55" t="s">
        <v>174</v>
      </c>
      <c r="AN141" s="55" t="s">
        <v>174</v>
      </c>
      <c r="AO141" s="55" t="s">
        <v>174</v>
      </c>
      <c r="AP141" s="55" t="s">
        <v>174</v>
      </c>
      <c r="AQ141" s="55" t="s">
        <v>174</v>
      </c>
      <c r="AR141" s="28"/>
    </row>
    <row r="142" spans="1:44">
      <c r="A142" s="28"/>
      <c r="B142" s="55" t="s">
        <v>174</v>
      </c>
      <c r="C142" s="55" t="s">
        <v>174</v>
      </c>
      <c r="D142" s="55" t="s">
        <v>174</v>
      </c>
      <c r="E142" s="55" t="s">
        <v>174</v>
      </c>
      <c r="F142" s="55" t="s">
        <v>174</v>
      </c>
      <c r="G142" s="55" t="s">
        <v>174</v>
      </c>
      <c r="H142" s="28"/>
      <c r="I142" s="55" t="s">
        <v>174</v>
      </c>
      <c r="J142" s="55" t="s">
        <v>174</v>
      </c>
      <c r="K142" s="55" t="s">
        <v>174</v>
      </c>
      <c r="L142" s="55" t="s">
        <v>174</v>
      </c>
      <c r="M142" s="55" t="s">
        <v>174</v>
      </c>
      <c r="N142" s="55" t="s">
        <v>174</v>
      </c>
      <c r="O142" s="28"/>
      <c r="P142" s="55" t="s">
        <v>174</v>
      </c>
      <c r="Q142" s="55" t="s">
        <v>174</v>
      </c>
      <c r="R142" s="55" t="s">
        <v>174</v>
      </c>
      <c r="S142" s="55" t="s">
        <v>174</v>
      </c>
      <c r="T142" s="55" t="s">
        <v>174</v>
      </c>
      <c r="U142" s="55" t="s">
        <v>174</v>
      </c>
      <c r="V142" s="28"/>
      <c r="W142" s="28"/>
      <c r="X142" s="88">
        <v>1.8915</v>
      </c>
      <c r="Y142" s="87">
        <v>-6.1219999999999999</v>
      </c>
      <c r="Z142" s="87">
        <v>0.87360000000000004</v>
      </c>
      <c r="AA142" s="84">
        <v>0</v>
      </c>
      <c r="AB142" s="87">
        <v>-7.8368000000000002</v>
      </c>
      <c r="AC142" s="87">
        <v>-4.4070999999999998</v>
      </c>
      <c r="AD142" s="28"/>
      <c r="AE142" s="52">
        <v>1.8879999999999999</v>
      </c>
      <c r="AF142" s="93">
        <v>-3.3161999999999998</v>
      </c>
      <c r="AG142" s="93">
        <v>0.874</v>
      </c>
      <c r="AH142" s="94">
        <v>2.0000000000000001E-4</v>
      </c>
      <c r="AI142" s="93">
        <v>-5.0308999999999999</v>
      </c>
      <c r="AJ142" s="93">
        <v>-1.6015999999999999</v>
      </c>
      <c r="AK142" s="28"/>
      <c r="AL142" s="55" t="s">
        <v>174</v>
      </c>
      <c r="AM142" s="55" t="s">
        <v>174</v>
      </c>
      <c r="AN142" s="55" t="s">
        <v>174</v>
      </c>
      <c r="AO142" s="55" t="s">
        <v>174</v>
      </c>
      <c r="AP142" s="55" t="s">
        <v>174</v>
      </c>
      <c r="AQ142" s="55" t="s">
        <v>174</v>
      </c>
      <c r="AR142" s="28"/>
    </row>
    <row r="143" spans="1:44">
      <c r="A143" s="28"/>
      <c r="B143" s="55" t="s">
        <v>174</v>
      </c>
      <c r="C143" s="55" t="s">
        <v>174</v>
      </c>
      <c r="D143" s="55" t="s">
        <v>174</v>
      </c>
      <c r="E143" s="55" t="s">
        <v>174</v>
      </c>
      <c r="F143" s="55" t="s">
        <v>174</v>
      </c>
      <c r="G143" s="55" t="s">
        <v>174</v>
      </c>
      <c r="H143" s="28"/>
      <c r="I143" s="55" t="s">
        <v>174</v>
      </c>
      <c r="J143" s="55" t="s">
        <v>174</v>
      </c>
      <c r="K143" s="55" t="s">
        <v>174</v>
      </c>
      <c r="L143" s="55" t="s">
        <v>174</v>
      </c>
      <c r="M143" s="55" t="s">
        <v>174</v>
      </c>
      <c r="N143" s="55" t="s">
        <v>174</v>
      </c>
      <c r="O143" s="28"/>
      <c r="P143" s="55" t="s">
        <v>174</v>
      </c>
      <c r="Q143" s="55" t="s">
        <v>174</v>
      </c>
      <c r="R143" s="55" t="s">
        <v>174</v>
      </c>
      <c r="S143" s="55" t="s">
        <v>174</v>
      </c>
      <c r="T143" s="55" t="s">
        <v>174</v>
      </c>
      <c r="U143" s="55" t="s">
        <v>174</v>
      </c>
      <c r="V143" s="28"/>
      <c r="W143" s="28"/>
      <c r="X143" s="88">
        <v>1.94</v>
      </c>
      <c r="Y143" s="87">
        <v>-6.4996</v>
      </c>
      <c r="Z143" s="87">
        <v>0.94389999999999996</v>
      </c>
      <c r="AA143" s="84">
        <v>0</v>
      </c>
      <c r="AB143" s="87">
        <v>-8.3523999999999994</v>
      </c>
      <c r="AC143" s="87">
        <v>-4.6467999999999998</v>
      </c>
      <c r="AD143" s="28"/>
      <c r="AE143" s="52">
        <v>1.94</v>
      </c>
      <c r="AF143" s="93">
        <v>-3.5312000000000001</v>
      </c>
      <c r="AG143" s="93">
        <v>0.96289999999999998</v>
      </c>
      <c r="AH143" s="94">
        <v>2.9999999999999997E-4</v>
      </c>
      <c r="AI143" s="93">
        <v>-5.4203000000000001</v>
      </c>
      <c r="AJ143" s="93">
        <v>-1.6420999999999999</v>
      </c>
      <c r="AK143" s="28"/>
      <c r="AL143" s="55" t="s">
        <v>174</v>
      </c>
      <c r="AM143" s="55" t="s">
        <v>174</v>
      </c>
      <c r="AN143" s="55" t="s">
        <v>174</v>
      </c>
      <c r="AO143" s="55" t="s">
        <v>174</v>
      </c>
      <c r="AP143" s="55" t="s">
        <v>174</v>
      </c>
      <c r="AQ143" s="55" t="s">
        <v>174</v>
      </c>
      <c r="AR143" s="28"/>
    </row>
    <row r="144" spans="1:44">
      <c r="A144" s="28"/>
      <c r="B144" s="322" t="s">
        <v>75</v>
      </c>
      <c r="C144" s="299"/>
      <c r="D144" s="299"/>
      <c r="E144" s="299"/>
      <c r="F144" s="299"/>
      <c r="G144" s="299"/>
      <c r="H144" s="28"/>
      <c r="I144" s="324" t="s">
        <v>35</v>
      </c>
      <c r="J144" s="324"/>
      <c r="K144" s="324"/>
      <c r="L144" s="324"/>
      <c r="M144" s="324"/>
      <c r="N144" s="324"/>
      <c r="O144" s="28"/>
      <c r="P144" s="324" t="s">
        <v>38</v>
      </c>
      <c r="Q144" s="324"/>
      <c r="R144" s="324"/>
      <c r="S144" s="324"/>
      <c r="T144" s="324"/>
      <c r="U144" s="324"/>
      <c r="V144" s="28"/>
      <c r="W144" s="28"/>
      <c r="X144" s="322" t="s">
        <v>75</v>
      </c>
      <c r="Y144" s="299"/>
      <c r="Z144" s="299"/>
      <c r="AA144" s="299"/>
      <c r="AB144" s="299"/>
      <c r="AC144" s="299"/>
      <c r="AD144" s="28"/>
      <c r="AE144" s="324" t="s">
        <v>35</v>
      </c>
      <c r="AF144" s="324"/>
      <c r="AG144" s="324"/>
      <c r="AH144" s="324"/>
      <c r="AI144" s="324"/>
      <c r="AJ144" s="324"/>
      <c r="AK144" s="28"/>
      <c r="AL144" s="324" t="s">
        <v>38</v>
      </c>
      <c r="AM144" s="324"/>
      <c r="AN144" s="324"/>
      <c r="AO144" s="324"/>
      <c r="AP144" s="324"/>
      <c r="AQ144" s="324"/>
      <c r="AR144" s="28"/>
    </row>
    <row r="145" spans="1:44">
      <c r="A145" s="28"/>
      <c r="B145" s="321" t="s">
        <v>165</v>
      </c>
      <c r="C145" s="321"/>
      <c r="D145" s="321"/>
      <c r="E145" s="321"/>
      <c r="F145" s="321"/>
      <c r="G145" s="321"/>
      <c r="H145" s="28"/>
      <c r="I145" s="321" t="s">
        <v>165</v>
      </c>
      <c r="J145" s="321"/>
      <c r="K145" s="321"/>
      <c r="L145" s="321"/>
      <c r="M145" s="321"/>
      <c r="N145" s="321"/>
      <c r="O145" s="28"/>
      <c r="P145" s="321" t="s">
        <v>165</v>
      </c>
      <c r="Q145" s="321"/>
      <c r="R145" s="321"/>
      <c r="S145" s="321"/>
      <c r="T145" s="321"/>
      <c r="U145" s="321"/>
      <c r="V145" s="28"/>
      <c r="W145" s="28"/>
      <c r="X145" s="321" t="s">
        <v>192</v>
      </c>
      <c r="Y145" s="321"/>
      <c r="Z145" s="321"/>
      <c r="AA145" s="321"/>
      <c r="AB145" s="321"/>
      <c r="AC145" s="321"/>
      <c r="AD145" s="28"/>
      <c r="AE145" s="321" t="s">
        <v>192</v>
      </c>
      <c r="AF145" s="321"/>
      <c r="AG145" s="321"/>
      <c r="AH145" s="321"/>
      <c r="AI145" s="321"/>
      <c r="AJ145" s="321"/>
      <c r="AK145" s="28"/>
      <c r="AL145" s="321" t="s">
        <v>192</v>
      </c>
      <c r="AM145" s="321"/>
      <c r="AN145" s="321"/>
      <c r="AO145" s="321"/>
      <c r="AP145" s="321"/>
      <c r="AQ145" s="321"/>
      <c r="AR145" s="28"/>
    </row>
    <row r="146" spans="1:44" ht="15.75">
      <c r="A146" s="28"/>
      <c r="B146" s="319" t="s">
        <v>155</v>
      </c>
      <c r="C146" s="319"/>
      <c r="D146" s="319" t="s">
        <v>166</v>
      </c>
      <c r="E146" s="319"/>
      <c r="F146" s="319" t="s">
        <v>156</v>
      </c>
      <c r="G146" s="319"/>
      <c r="H146" s="28"/>
      <c r="I146" s="319" t="s">
        <v>155</v>
      </c>
      <c r="J146" s="319"/>
      <c r="K146" s="319" t="s">
        <v>166</v>
      </c>
      <c r="L146" s="319"/>
      <c r="M146" s="319" t="s">
        <v>156</v>
      </c>
      <c r="N146" s="319"/>
      <c r="O146" s="28"/>
      <c r="P146" s="319" t="s">
        <v>155</v>
      </c>
      <c r="Q146" s="319"/>
      <c r="R146" s="319" t="s">
        <v>166</v>
      </c>
      <c r="S146" s="319"/>
      <c r="T146" s="319" t="s">
        <v>156</v>
      </c>
      <c r="U146" s="319"/>
      <c r="V146" s="28"/>
      <c r="W146" s="28"/>
      <c r="X146" s="319" t="s">
        <v>155</v>
      </c>
      <c r="Y146" s="319"/>
      <c r="Z146" s="319" t="s">
        <v>166</v>
      </c>
      <c r="AA146" s="319"/>
      <c r="AB146" s="319" t="s">
        <v>156</v>
      </c>
      <c r="AC146" s="319"/>
      <c r="AD146" s="28"/>
      <c r="AE146" s="319" t="s">
        <v>155</v>
      </c>
      <c r="AF146" s="319"/>
      <c r="AG146" s="319" t="s">
        <v>166</v>
      </c>
      <c r="AH146" s="319"/>
      <c r="AI146" s="319" t="s">
        <v>156</v>
      </c>
      <c r="AJ146" s="319"/>
      <c r="AK146" s="28"/>
      <c r="AL146" s="319" t="s">
        <v>155</v>
      </c>
      <c r="AM146" s="319"/>
      <c r="AN146" s="319" t="s">
        <v>166</v>
      </c>
      <c r="AO146" s="319"/>
      <c r="AP146" s="319" t="s">
        <v>156</v>
      </c>
      <c r="AQ146" s="319"/>
      <c r="AR146" s="28"/>
    </row>
    <row r="147" spans="1:44">
      <c r="A147" s="28"/>
      <c r="B147" s="320">
        <v>0.63270000000000004</v>
      </c>
      <c r="C147" s="320"/>
      <c r="D147" s="320">
        <v>0.40029999999999999</v>
      </c>
      <c r="E147" s="320"/>
      <c r="F147" s="317" t="s">
        <v>170</v>
      </c>
      <c r="G147" s="317"/>
      <c r="H147" s="28"/>
      <c r="I147" s="320">
        <v>0.47820000000000001</v>
      </c>
      <c r="J147" s="320"/>
      <c r="K147" s="320">
        <v>0.2286</v>
      </c>
      <c r="L147" s="320"/>
      <c r="M147" s="317" t="s">
        <v>170</v>
      </c>
      <c r="N147" s="317"/>
      <c r="O147" s="28"/>
      <c r="P147" s="320">
        <v>0.54449999999999998</v>
      </c>
      <c r="Q147" s="320"/>
      <c r="R147" s="320">
        <v>0.29649999999999999</v>
      </c>
      <c r="S147" s="320"/>
      <c r="T147" s="317" t="s">
        <v>170</v>
      </c>
      <c r="U147" s="317"/>
      <c r="V147" s="28"/>
      <c r="W147" s="28"/>
      <c r="X147" s="320">
        <v>0.64690000000000003</v>
      </c>
      <c r="Y147" s="320"/>
      <c r="Z147" s="320">
        <v>0.41849999999999998</v>
      </c>
      <c r="AA147" s="320"/>
      <c r="AB147" s="317" t="s">
        <v>170</v>
      </c>
      <c r="AC147" s="317"/>
      <c r="AD147" s="28"/>
      <c r="AE147" s="320">
        <v>0.47910000000000003</v>
      </c>
      <c r="AF147" s="320"/>
      <c r="AG147" s="320">
        <v>0.22950000000000001</v>
      </c>
      <c r="AH147" s="320"/>
      <c r="AI147" s="317" t="s">
        <v>170</v>
      </c>
      <c r="AJ147" s="317"/>
      <c r="AK147" s="28"/>
      <c r="AL147" s="320">
        <v>0.54239999999999999</v>
      </c>
      <c r="AM147" s="320"/>
      <c r="AN147" s="320">
        <v>0.29420000000000002</v>
      </c>
      <c r="AO147" s="320"/>
      <c r="AP147" s="317" t="s">
        <v>170</v>
      </c>
      <c r="AQ147" s="317"/>
      <c r="AR147" s="28"/>
    </row>
    <row r="148" spans="1:44">
      <c r="A148" s="28"/>
      <c r="B148" s="318" t="s">
        <v>154</v>
      </c>
      <c r="C148" s="318"/>
      <c r="D148" s="318"/>
      <c r="E148" s="318"/>
      <c r="F148" s="318"/>
      <c r="G148" s="318"/>
      <c r="H148" s="28"/>
      <c r="I148" s="318" t="s">
        <v>154</v>
      </c>
      <c r="J148" s="318"/>
      <c r="K148" s="318"/>
      <c r="L148" s="318"/>
      <c r="M148" s="318"/>
      <c r="N148" s="318"/>
      <c r="O148" s="28"/>
      <c r="P148" s="318" t="s">
        <v>154</v>
      </c>
      <c r="Q148" s="318"/>
      <c r="R148" s="318"/>
      <c r="S148" s="318"/>
      <c r="T148" s="318"/>
      <c r="U148" s="318"/>
      <c r="V148" s="28"/>
      <c r="W148" s="28"/>
      <c r="X148" s="318" t="s">
        <v>154</v>
      </c>
      <c r="Y148" s="318"/>
      <c r="Z148" s="318"/>
      <c r="AA148" s="318"/>
      <c r="AB148" s="318"/>
      <c r="AC148" s="318"/>
      <c r="AD148" s="28"/>
      <c r="AE148" s="318" t="s">
        <v>154</v>
      </c>
      <c r="AF148" s="318"/>
      <c r="AG148" s="318"/>
      <c r="AH148" s="318"/>
      <c r="AI148" s="318"/>
      <c r="AJ148" s="318"/>
      <c r="AK148" s="28"/>
      <c r="AL148" s="318" t="s">
        <v>154</v>
      </c>
      <c r="AM148" s="318"/>
      <c r="AN148" s="318"/>
      <c r="AO148" s="318"/>
      <c r="AP148" s="318"/>
      <c r="AQ148" s="318"/>
      <c r="AR148" s="28"/>
    </row>
    <row r="149" spans="1:44">
      <c r="A149" s="28"/>
      <c r="B149" s="33"/>
      <c r="C149" s="34" t="s">
        <v>158</v>
      </c>
      <c r="D149" s="34" t="s">
        <v>159</v>
      </c>
      <c r="E149" s="34" t="s">
        <v>151</v>
      </c>
      <c r="F149" s="34" t="s">
        <v>171</v>
      </c>
      <c r="G149" s="34" t="s">
        <v>172</v>
      </c>
      <c r="H149" s="28"/>
      <c r="I149" s="33"/>
      <c r="J149" s="34" t="s">
        <v>158</v>
      </c>
      <c r="K149" s="34" t="s">
        <v>159</v>
      </c>
      <c r="L149" s="34" t="s">
        <v>151</v>
      </c>
      <c r="M149" s="34" t="s">
        <v>171</v>
      </c>
      <c r="N149" s="34" t="s">
        <v>172</v>
      </c>
      <c r="O149" s="28"/>
      <c r="P149" s="33"/>
      <c r="Q149" s="34" t="s">
        <v>158</v>
      </c>
      <c r="R149" s="34" t="s">
        <v>159</v>
      </c>
      <c r="S149" s="34" t="s">
        <v>151</v>
      </c>
      <c r="T149" s="34" t="s">
        <v>171</v>
      </c>
      <c r="U149" s="34" t="s">
        <v>172</v>
      </c>
      <c r="V149" s="28"/>
      <c r="W149" s="28"/>
      <c r="X149" s="33"/>
      <c r="Y149" s="34" t="s">
        <v>158</v>
      </c>
      <c r="Z149" s="34" t="s">
        <v>159</v>
      </c>
      <c r="AA149" s="34" t="s">
        <v>151</v>
      </c>
      <c r="AB149" s="34" t="s">
        <v>171</v>
      </c>
      <c r="AC149" s="34" t="s">
        <v>172</v>
      </c>
      <c r="AD149" s="28"/>
      <c r="AE149" s="33"/>
      <c r="AF149" s="34" t="s">
        <v>158</v>
      </c>
      <c r="AG149" s="34" t="s">
        <v>159</v>
      </c>
      <c r="AH149" s="34" t="s">
        <v>151</v>
      </c>
      <c r="AI149" s="34" t="s">
        <v>171</v>
      </c>
      <c r="AJ149" s="34" t="s">
        <v>172</v>
      </c>
      <c r="AK149" s="28"/>
      <c r="AL149" s="33"/>
      <c r="AM149" s="34" t="s">
        <v>158</v>
      </c>
      <c r="AN149" s="34" t="s">
        <v>159</v>
      </c>
      <c r="AO149" s="34" t="s">
        <v>151</v>
      </c>
      <c r="AP149" s="34" t="s">
        <v>171</v>
      </c>
      <c r="AQ149" s="34" t="s">
        <v>172</v>
      </c>
      <c r="AR149" s="28"/>
    </row>
    <row r="150" spans="1:44">
      <c r="A150" s="28"/>
      <c r="B150" s="32" t="s">
        <v>160</v>
      </c>
      <c r="C150" s="38">
        <v>-2.2181000000000002</v>
      </c>
      <c r="D150" s="38">
        <v>0.92230000000000001</v>
      </c>
      <c r="E150" s="38">
        <v>1.6400000000000001E-2</v>
      </c>
      <c r="F150" s="38">
        <v>-4.0286999999999997</v>
      </c>
      <c r="G150" s="38">
        <v>-0.40749999999999997</v>
      </c>
      <c r="H150" s="31"/>
      <c r="I150" s="32" t="s">
        <v>160</v>
      </c>
      <c r="J150" s="38">
        <v>6.3324999999999996</v>
      </c>
      <c r="K150" s="38">
        <v>0.80130000000000001</v>
      </c>
      <c r="L150" s="38">
        <v>0</v>
      </c>
      <c r="M150" s="38">
        <v>4.7605000000000004</v>
      </c>
      <c r="N150" s="38">
        <v>7.9046000000000003</v>
      </c>
      <c r="O150" s="31"/>
      <c r="P150" s="32" t="s">
        <v>160</v>
      </c>
      <c r="Q150" s="38">
        <v>5.4554</v>
      </c>
      <c r="R150" s="38">
        <v>1.2176</v>
      </c>
      <c r="S150" s="38">
        <v>0</v>
      </c>
      <c r="T150" s="38">
        <v>3.0653999999999999</v>
      </c>
      <c r="U150" s="38">
        <v>7.8455000000000004</v>
      </c>
      <c r="V150" s="28"/>
      <c r="W150" s="28"/>
      <c r="X150" s="40" t="s">
        <v>160</v>
      </c>
      <c r="Y150" s="85">
        <v>-5.2855999999999996</v>
      </c>
      <c r="Z150" s="85">
        <v>1.1003000000000001</v>
      </c>
      <c r="AA150" s="85">
        <v>0</v>
      </c>
      <c r="AB150" s="85">
        <v>-7.4454000000000002</v>
      </c>
      <c r="AC150" s="85">
        <v>-3.1257999999999999</v>
      </c>
      <c r="AD150" s="28"/>
      <c r="AE150" s="40" t="s">
        <v>160</v>
      </c>
      <c r="AF150" s="85">
        <v>5.4496000000000002</v>
      </c>
      <c r="AG150" s="85">
        <v>0.98850000000000005</v>
      </c>
      <c r="AH150" s="85">
        <v>0</v>
      </c>
      <c r="AI150" s="85">
        <v>3.5101</v>
      </c>
      <c r="AJ150" s="85">
        <v>7.3890000000000002</v>
      </c>
      <c r="AK150" s="28"/>
      <c r="AL150" s="40" t="s">
        <v>160</v>
      </c>
      <c r="AM150" s="95">
        <v>5.0194000000000001</v>
      </c>
      <c r="AN150" s="95">
        <v>1.4694</v>
      </c>
      <c r="AO150" s="95">
        <v>6.9999999999999999E-4</v>
      </c>
      <c r="AP150" s="95">
        <v>2.1349999999999998</v>
      </c>
      <c r="AQ150" s="95">
        <v>7.9038000000000004</v>
      </c>
      <c r="AR150" s="28"/>
    </row>
    <row r="151" spans="1:44">
      <c r="A151" s="28"/>
      <c r="B151" s="39" t="s">
        <v>161</v>
      </c>
      <c r="C151" s="38">
        <v>-1.6062000000000001</v>
      </c>
      <c r="D151" s="38">
        <v>0.43020000000000003</v>
      </c>
      <c r="E151" s="37">
        <v>2.0000000000000001E-4</v>
      </c>
      <c r="F151" s="38">
        <v>-2.4508000000000001</v>
      </c>
      <c r="G151" s="38">
        <v>-0.76170000000000004</v>
      </c>
      <c r="H151" s="31"/>
      <c r="I151" s="40" t="s">
        <v>161</v>
      </c>
      <c r="J151" s="38">
        <v>-0.47260000000000002</v>
      </c>
      <c r="K151" s="38">
        <v>0.35880000000000001</v>
      </c>
      <c r="L151" s="38">
        <v>0.18809999999999999</v>
      </c>
      <c r="M151" s="38">
        <v>-1.1766000000000001</v>
      </c>
      <c r="N151" s="38">
        <v>0.23139999999999999</v>
      </c>
      <c r="O151" s="31"/>
      <c r="P151" s="40" t="s">
        <v>161</v>
      </c>
      <c r="Q151" s="38">
        <v>-0.47289999999999999</v>
      </c>
      <c r="R151" s="38">
        <v>0.52810000000000001</v>
      </c>
      <c r="S151" s="38">
        <v>0.37069999999999997</v>
      </c>
      <c r="T151" s="38">
        <v>-1.5095000000000001</v>
      </c>
      <c r="U151" s="38">
        <v>0.56359999999999999</v>
      </c>
      <c r="V151" s="28"/>
      <c r="W151" s="28"/>
      <c r="X151" s="39" t="s">
        <v>161</v>
      </c>
      <c r="Y151" s="85">
        <v>5.931</v>
      </c>
      <c r="Z151" s="85">
        <v>1.56</v>
      </c>
      <c r="AA151" s="63">
        <v>2.0000000000000001E-4</v>
      </c>
      <c r="AB151" s="85">
        <v>2.8687</v>
      </c>
      <c r="AC151" s="85">
        <v>8.9933999999999994</v>
      </c>
      <c r="AD151" s="28"/>
      <c r="AE151" s="40" t="s">
        <v>161</v>
      </c>
      <c r="AF151" s="85">
        <v>1.8402000000000001</v>
      </c>
      <c r="AG151" s="85">
        <v>1.4395</v>
      </c>
      <c r="AH151" s="85">
        <v>0.2014</v>
      </c>
      <c r="AI151" s="85">
        <v>-0.98399999999999999</v>
      </c>
      <c r="AJ151" s="85">
        <v>4.6645000000000003</v>
      </c>
      <c r="AK151" s="28"/>
      <c r="AL151" s="40" t="s">
        <v>161</v>
      </c>
      <c r="AM151" s="85">
        <v>1.1093</v>
      </c>
      <c r="AN151" s="85">
        <v>2.1981000000000002</v>
      </c>
      <c r="AO151" s="85">
        <v>0.6139</v>
      </c>
      <c r="AP151" s="85">
        <v>-3.2056</v>
      </c>
      <c r="AQ151" s="85">
        <v>5.4241999999999999</v>
      </c>
      <c r="AR151" s="28"/>
    </row>
    <row r="152" spans="1:44">
      <c r="A152" s="28"/>
      <c r="B152" s="40" t="s">
        <v>162</v>
      </c>
      <c r="C152" s="38">
        <v>1.7500000000000002E-2</v>
      </c>
      <c r="D152" s="38">
        <v>1.7899999999999999E-2</v>
      </c>
      <c r="E152" s="38">
        <v>0.32650000000000001</v>
      </c>
      <c r="F152" s="38">
        <v>-1.7500000000000002E-2</v>
      </c>
      <c r="G152" s="38">
        <v>5.2600000000000001E-2</v>
      </c>
      <c r="H152" s="31"/>
      <c r="I152" s="39" t="s">
        <v>162</v>
      </c>
      <c r="J152" s="38">
        <v>7.7200000000000005E-2</v>
      </c>
      <c r="K152" s="38">
        <v>1.04E-2</v>
      </c>
      <c r="L152" s="37">
        <v>0</v>
      </c>
      <c r="M152" s="38">
        <v>5.6800000000000003E-2</v>
      </c>
      <c r="N152" s="38">
        <v>9.7600000000000006E-2</v>
      </c>
      <c r="O152" s="31"/>
      <c r="P152" s="39" t="s">
        <v>162</v>
      </c>
      <c r="Q152" s="38">
        <v>9.5799999999999996E-2</v>
      </c>
      <c r="R152" s="38">
        <v>1.3899999999999999E-2</v>
      </c>
      <c r="S152" s="37">
        <v>0</v>
      </c>
      <c r="T152" s="38">
        <v>6.8500000000000005E-2</v>
      </c>
      <c r="U152" s="38">
        <v>0.1231</v>
      </c>
      <c r="V152" s="28"/>
      <c r="W152" s="28"/>
      <c r="X152" s="39" t="s">
        <v>164</v>
      </c>
      <c r="Y152" s="85">
        <v>12.865600000000001</v>
      </c>
      <c r="Z152" s="85">
        <v>0.79479999999999995</v>
      </c>
      <c r="AA152" s="63">
        <v>0</v>
      </c>
      <c r="AB152" s="85">
        <v>11.305400000000001</v>
      </c>
      <c r="AC152" s="85">
        <v>14.425800000000001</v>
      </c>
      <c r="AD152" s="28"/>
      <c r="AE152" s="39" t="s">
        <v>164</v>
      </c>
      <c r="AF152" s="85">
        <v>4.1502999999999997</v>
      </c>
      <c r="AG152" s="85">
        <v>0.67420000000000002</v>
      </c>
      <c r="AH152" s="63">
        <v>0</v>
      </c>
      <c r="AI152" s="85">
        <v>2.8275000000000001</v>
      </c>
      <c r="AJ152" s="85">
        <v>5.4729999999999999</v>
      </c>
      <c r="AK152" s="28"/>
      <c r="AL152" s="39" t="s">
        <v>164</v>
      </c>
      <c r="AM152" s="85">
        <v>5.4292999999999996</v>
      </c>
      <c r="AN152" s="85">
        <v>0.98799999999999999</v>
      </c>
      <c r="AO152" s="63">
        <v>0</v>
      </c>
      <c r="AP152" s="85">
        <v>3.4899</v>
      </c>
      <c r="AQ152" s="85">
        <v>7.3688000000000002</v>
      </c>
      <c r="AR152" s="28"/>
    </row>
    <row r="153" spans="1:44">
      <c r="A153" s="28"/>
      <c r="B153" s="32" t="s">
        <v>163</v>
      </c>
      <c r="C153" s="38">
        <v>-2.5000000000000001E-3</v>
      </c>
      <c r="D153" s="38">
        <v>2.01E-2</v>
      </c>
      <c r="E153" s="38">
        <v>0.90300000000000002</v>
      </c>
      <c r="F153" s="38">
        <v>-4.19E-2</v>
      </c>
      <c r="G153" s="38">
        <v>3.6999999999999998E-2</v>
      </c>
      <c r="H153" s="31"/>
      <c r="I153" s="32" t="s">
        <v>163</v>
      </c>
      <c r="J153" s="38">
        <v>1.09E-2</v>
      </c>
      <c r="K153" s="38">
        <v>1.29E-2</v>
      </c>
      <c r="L153" s="38">
        <v>0.39789999999999998</v>
      </c>
      <c r="M153" s="38">
        <v>-1.44E-2</v>
      </c>
      <c r="N153" s="38">
        <v>3.6200000000000003E-2</v>
      </c>
      <c r="O153" s="31"/>
      <c r="P153" s="32" t="s">
        <v>163</v>
      </c>
      <c r="Q153" s="38">
        <v>2.92E-2</v>
      </c>
      <c r="R153" s="38">
        <v>1.77E-2</v>
      </c>
      <c r="S153" s="38">
        <v>9.8900000000000002E-2</v>
      </c>
      <c r="T153" s="38">
        <v>-5.4999999999999997E-3</v>
      </c>
      <c r="U153" s="38">
        <v>6.3899999999999998E-2</v>
      </c>
      <c r="V153" s="28"/>
      <c r="W153" s="28"/>
      <c r="X153" s="39" t="s">
        <v>193</v>
      </c>
      <c r="Y153" s="85">
        <v>-5.298</v>
      </c>
      <c r="Z153" s="85">
        <v>1.073</v>
      </c>
      <c r="AA153" s="63">
        <v>0</v>
      </c>
      <c r="AB153" s="85">
        <v>-7.4043999999999999</v>
      </c>
      <c r="AC153" s="85">
        <v>-3.1916000000000002</v>
      </c>
      <c r="AD153" s="28"/>
      <c r="AE153" s="40" t="s">
        <v>193</v>
      </c>
      <c r="AF153" s="85">
        <v>-1.3655999999999999</v>
      </c>
      <c r="AG153" s="85">
        <v>0.9365</v>
      </c>
      <c r="AH153" s="85">
        <v>0.14499999999999999</v>
      </c>
      <c r="AI153" s="85">
        <v>-3.2029000000000001</v>
      </c>
      <c r="AJ153" s="85">
        <v>0.47170000000000001</v>
      </c>
      <c r="AK153" s="28"/>
      <c r="AL153" s="40" t="s">
        <v>193</v>
      </c>
      <c r="AM153" s="85">
        <v>-0.5978</v>
      </c>
      <c r="AN153" s="85">
        <v>1.4315</v>
      </c>
      <c r="AO153" s="85">
        <v>0.6764</v>
      </c>
      <c r="AP153" s="85">
        <v>-3.4079000000000002</v>
      </c>
      <c r="AQ153" s="85">
        <v>2.2122000000000002</v>
      </c>
      <c r="AR153" s="28"/>
    </row>
    <row r="154" spans="1:44">
      <c r="A154" s="28"/>
      <c r="B154" s="42" t="s">
        <v>164</v>
      </c>
      <c r="C154" s="46">
        <v>10.817500000000001</v>
      </c>
      <c r="D154" s="46">
        <v>0.69879999999999998</v>
      </c>
      <c r="E154" s="44">
        <v>0</v>
      </c>
      <c r="F154" s="46">
        <v>9.4458000000000002</v>
      </c>
      <c r="G154" s="46">
        <v>12.1891</v>
      </c>
      <c r="H154" s="31"/>
      <c r="I154" s="42" t="s">
        <v>164</v>
      </c>
      <c r="J154" s="46">
        <v>3.6648000000000001</v>
      </c>
      <c r="K154" s="46">
        <v>0.56559999999999999</v>
      </c>
      <c r="L154" s="44">
        <v>0</v>
      </c>
      <c r="M154" s="46">
        <v>2.5550999999999999</v>
      </c>
      <c r="N154" s="46">
        <v>4.7744999999999997</v>
      </c>
      <c r="O154" s="31"/>
      <c r="P154" s="42" t="s">
        <v>164</v>
      </c>
      <c r="Q154" s="46">
        <v>5.3795000000000002</v>
      </c>
      <c r="R154" s="46">
        <v>0.8458</v>
      </c>
      <c r="S154" s="44">
        <v>0</v>
      </c>
      <c r="T154" s="46">
        <v>3.7193000000000001</v>
      </c>
      <c r="U154" s="46">
        <v>7.0397999999999996</v>
      </c>
      <c r="V154" s="28"/>
      <c r="W154" s="28"/>
      <c r="X154" s="42" t="s">
        <v>162</v>
      </c>
      <c r="Y154" s="85">
        <v>2.1100000000000001E-2</v>
      </c>
      <c r="Z154" s="85">
        <v>1.2500000000000001E-2</v>
      </c>
      <c r="AA154" s="89">
        <v>9.2499999999999999E-2</v>
      </c>
      <c r="AB154" s="85">
        <v>-3.5000000000000001E-3</v>
      </c>
      <c r="AC154" s="85">
        <v>4.5699999999999998E-2</v>
      </c>
      <c r="AD154" s="28"/>
      <c r="AE154" s="42" t="s">
        <v>162</v>
      </c>
      <c r="AF154" s="91">
        <v>8.3000000000000004E-2</v>
      </c>
      <c r="AG154" s="91">
        <v>7.7999999999999996E-3</v>
      </c>
      <c r="AH154" s="64">
        <v>0</v>
      </c>
      <c r="AI154" s="91">
        <v>6.7699999999999996E-2</v>
      </c>
      <c r="AJ154" s="91">
        <v>9.8299999999999998E-2</v>
      </c>
      <c r="AK154" s="28"/>
      <c r="AL154" s="42" t="s">
        <v>162</v>
      </c>
      <c r="AM154" s="91">
        <v>0.1106</v>
      </c>
      <c r="AN154" s="91">
        <v>1.0699999999999999E-2</v>
      </c>
      <c r="AO154" s="64">
        <v>0</v>
      </c>
      <c r="AP154" s="91">
        <v>8.9599999999999999E-2</v>
      </c>
      <c r="AQ154" s="91">
        <v>0.13159999999999999</v>
      </c>
      <c r="AR154" s="28"/>
    </row>
    <row r="155" spans="1:44">
      <c r="A155" s="28"/>
      <c r="B155" s="55" t="s">
        <v>174</v>
      </c>
      <c r="C155" s="55" t="s">
        <v>174</v>
      </c>
      <c r="D155" s="55" t="s">
        <v>174</v>
      </c>
      <c r="E155" s="55" t="s">
        <v>174</v>
      </c>
      <c r="F155" s="55" t="s">
        <v>174</v>
      </c>
      <c r="G155" s="55" t="s">
        <v>174</v>
      </c>
      <c r="H155" s="31"/>
      <c r="I155" s="55" t="s">
        <v>174</v>
      </c>
      <c r="J155" s="55" t="s">
        <v>174</v>
      </c>
      <c r="K155" s="55" t="s">
        <v>174</v>
      </c>
      <c r="L155" s="55" t="s">
        <v>174</v>
      </c>
      <c r="M155" s="55" t="s">
        <v>174</v>
      </c>
      <c r="N155" s="55" t="s">
        <v>174</v>
      </c>
      <c r="O155" s="31"/>
      <c r="P155" s="55" t="s">
        <v>174</v>
      </c>
      <c r="Q155" s="55" t="s">
        <v>174</v>
      </c>
      <c r="R155" s="55" t="s">
        <v>174</v>
      </c>
      <c r="S155" s="55" t="s">
        <v>174</v>
      </c>
      <c r="T155" s="55" t="s">
        <v>174</v>
      </c>
      <c r="U155" s="55" t="s">
        <v>174</v>
      </c>
      <c r="V155" s="28"/>
      <c r="W155" s="28"/>
      <c r="X155" s="323" t="s">
        <v>194</v>
      </c>
      <c r="Y155" s="323"/>
      <c r="Z155" s="323"/>
      <c r="AA155" s="323"/>
      <c r="AB155" s="323"/>
      <c r="AC155" s="323"/>
      <c r="AD155" s="28"/>
      <c r="AE155" s="55" t="s">
        <v>174</v>
      </c>
      <c r="AF155" s="55" t="s">
        <v>174</v>
      </c>
      <c r="AG155" s="55" t="s">
        <v>174</v>
      </c>
      <c r="AH155" s="55" t="s">
        <v>174</v>
      </c>
      <c r="AI155" s="55" t="s">
        <v>174</v>
      </c>
      <c r="AJ155" s="55" t="s">
        <v>174</v>
      </c>
      <c r="AK155" s="28"/>
      <c r="AL155" s="55" t="s">
        <v>174</v>
      </c>
      <c r="AM155" s="55" t="s">
        <v>174</v>
      </c>
      <c r="AN155" s="55" t="s">
        <v>174</v>
      </c>
      <c r="AO155" s="55" t="s">
        <v>174</v>
      </c>
      <c r="AP155" s="55" t="s">
        <v>174</v>
      </c>
      <c r="AQ155" s="55" t="s">
        <v>174</v>
      </c>
      <c r="AR155" s="28"/>
    </row>
    <row r="156" spans="1:44">
      <c r="A156" s="28"/>
      <c r="B156" s="55" t="s">
        <v>174</v>
      </c>
      <c r="C156" s="55" t="s">
        <v>174</v>
      </c>
      <c r="D156" s="55" t="s">
        <v>174</v>
      </c>
      <c r="E156" s="55" t="s">
        <v>174</v>
      </c>
      <c r="F156" s="55" t="s">
        <v>174</v>
      </c>
      <c r="G156" s="55" t="s">
        <v>174</v>
      </c>
      <c r="H156" s="31"/>
      <c r="I156" s="55" t="s">
        <v>174</v>
      </c>
      <c r="J156" s="55" t="s">
        <v>174</v>
      </c>
      <c r="K156" s="55" t="s">
        <v>174</v>
      </c>
      <c r="L156" s="55" t="s">
        <v>174</v>
      </c>
      <c r="M156" s="55" t="s">
        <v>174</v>
      </c>
      <c r="N156" s="55" t="s">
        <v>174</v>
      </c>
      <c r="O156" s="31"/>
      <c r="P156" s="55" t="s">
        <v>174</v>
      </c>
      <c r="Q156" s="55" t="s">
        <v>174</v>
      </c>
      <c r="R156" s="55" t="s">
        <v>174</v>
      </c>
      <c r="S156" s="55" t="s">
        <v>174</v>
      </c>
      <c r="T156" s="55" t="s">
        <v>174</v>
      </c>
      <c r="U156" s="55" t="s">
        <v>174</v>
      </c>
      <c r="V156" s="28"/>
      <c r="W156" s="28"/>
      <c r="X156" s="30" t="s">
        <v>164</v>
      </c>
      <c r="Y156" s="59" t="s">
        <v>167</v>
      </c>
      <c r="Z156" s="59" t="s">
        <v>8</v>
      </c>
      <c r="AA156" s="59" t="s">
        <v>156</v>
      </c>
      <c r="AB156" s="59" t="s">
        <v>168</v>
      </c>
      <c r="AC156" s="59" t="s">
        <v>169</v>
      </c>
      <c r="AD156" s="28"/>
      <c r="AE156" s="55" t="s">
        <v>174</v>
      </c>
      <c r="AF156" s="55" t="s">
        <v>174</v>
      </c>
      <c r="AG156" s="55" t="s">
        <v>174</v>
      </c>
      <c r="AH156" s="55" t="s">
        <v>174</v>
      </c>
      <c r="AI156" s="55" t="s">
        <v>174</v>
      </c>
      <c r="AJ156" s="55" t="s">
        <v>174</v>
      </c>
      <c r="AK156" s="28"/>
      <c r="AL156" s="55" t="s">
        <v>174</v>
      </c>
      <c r="AM156" s="55" t="s">
        <v>174</v>
      </c>
      <c r="AN156" s="55" t="s">
        <v>174</v>
      </c>
      <c r="AO156" s="55" t="s">
        <v>174</v>
      </c>
      <c r="AP156" s="55" t="s">
        <v>174</v>
      </c>
      <c r="AQ156" s="55" t="s">
        <v>174</v>
      </c>
      <c r="AR156" s="28"/>
    </row>
    <row r="157" spans="1:44">
      <c r="A157" s="28"/>
      <c r="B157" s="55" t="s">
        <v>174</v>
      </c>
      <c r="C157" s="55" t="s">
        <v>174</v>
      </c>
      <c r="D157" s="55" t="s">
        <v>174</v>
      </c>
      <c r="E157" s="55" t="s">
        <v>174</v>
      </c>
      <c r="F157" s="55" t="s">
        <v>174</v>
      </c>
      <c r="G157" s="55" t="s">
        <v>174</v>
      </c>
      <c r="H157" s="31"/>
      <c r="I157" s="55" t="s">
        <v>174</v>
      </c>
      <c r="J157" s="55" t="s">
        <v>174</v>
      </c>
      <c r="K157" s="55" t="s">
        <v>174</v>
      </c>
      <c r="L157" s="55" t="s">
        <v>174</v>
      </c>
      <c r="M157" s="55" t="s">
        <v>174</v>
      </c>
      <c r="N157" s="55" t="s">
        <v>174</v>
      </c>
      <c r="O157" s="31"/>
      <c r="P157" s="55" t="s">
        <v>174</v>
      </c>
      <c r="Q157" s="55" t="s">
        <v>174</v>
      </c>
      <c r="R157" s="55" t="s">
        <v>174</v>
      </c>
      <c r="S157" s="55" t="s">
        <v>174</v>
      </c>
      <c r="T157" s="55" t="s">
        <v>174</v>
      </c>
      <c r="U157" s="55" t="s">
        <v>174</v>
      </c>
      <c r="V157" s="28"/>
      <c r="W157" s="28"/>
      <c r="X157" s="100">
        <v>0.97</v>
      </c>
      <c r="Y157" s="77">
        <v>0.79200000000000004</v>
      </c>
      <c r="Z157" s="77">
        <v>0.56799999999999995</v>
      </c>
      <c r="AA157" s="77">
        <v>0.1636</v>
      </c>
      <c r="AB157" s="77">
        <v>-0.32290000000000002</v>
      </c>
      <c r="AC157" s="77">
        <v>1.9069</v>
      </c>
      <c r="AD157" s="28"/>
      <c r="AE157" s="55" t="s">
        <v>174</v>
      </c>
      <c r="AF157" s="55" t="s">
        <v>174</v>
      </c>
      <c r="AG157" s="55" t="s">
        <v>174</v>
      </c>
      <c r="AH157" s="55" t="s">
        <v>174</v>
      </c>
      <c r="AI157" s="55" t="s">
        <v>174</v>
      </c>
      <c r="AJ157" s="55" t="s">
        <v>174</v>
      </c>
      <c r="AK157" s="28"/>
      <c r="AL157" s="55" t="s">
        <v>174</v>
      </c>
      <c r="AM157" s="55" t="s">
        <v>174</v>
      </c>
      <c r="AN157" s="55" t="s">
        <v>174</v>
      </c>
      <c r="AO157" s="55" t="s">
        <v>174</v>
      </c>
      <c r="AP157" s="55" t="s">
        <v>174</v>
      </c>
      <c r="AQ157" s="55" t="s">
        <v>174</v>
      </c>
      <c r="AR157" s="28"/>
    </row>
    <row r="158" spans="1:44">
      <c r="A158" s="28"/>
      <c r="B158" s="55" t="s">
        <v>174</v>
      </c>
      <c r="C158" s="55" t="s">
        <v>174</v>
      </c>
      <c r="D158" s="55" t="s">
        <v>174</v>
      </c>
      <c r="E158" s="55" t="s">
        <v>174</v>
      </c>
      <c r="F158" s="55" t="s">
        <v>174</v>
      </c>
      <c r="G158" s="55" t="s">
        <v>174</v>
      </c>
      <c r="H158" s="31"/>
      <c r="I158" s="55" t="s">
        <v>174</v>
      </c>
      <c r="J158" s="55" t="s">
        <v>174</v>
      </c>
      <c r="K158" s="55" t="s">
        <v>174</v>
      </c>
      <c r="L158" s="55" t="s">
        <v>174</v>
      </c>
      <c r="M158" s="55" t="s">
        <v>174</v>
      </c>
      <c r="N158" s="55" t="s">
        <v>174</v>
      </c>
      <c r="O158" s="31"/>
      <c r="P158" s="55" t="s">
        <v>174</v>
      </c>
      <c r="Q158" s="55" t="s">
        <v>174</v>
      </c>
      <c r="R158" s="55" t="s">
        <v>174</v>
      </c>
      <c r="S158" s="55" t="s">
        <v>174</v>
      </c>
      <c r="T158" s="55" t="s">
        <v>174</v>
      </c>
      <c r="U158" s="55" t="s">
        <v>174</v>
      </c>
      <c r="V158" s="28"/>
      <c r="W158" s="28"/>
      <c r="X158" s="51">
        <v>1.0185</v>
      </c>
      <c r="Y158" s="49">
        <v>0.53510000000000002</v>
      </c>
      <c r="Z158" s="49">
        <v>0.52339999999999998</v>
      </c>
      <c r="AA158" s="49">
        <v>0.30690000000000001</v>
      </c>
      <c r="AB158" s="49">
        <v>-0.49230000000000002</v>
      </c>
      <c r="AC158" s="49">
        <v>1.5624</v>
      </c>
      <c r="AD158" s="28"/>
      <c r="AE158" s="55" t="s">
        <v>174</v>
      </c>
      <c r="AF158" s="55" t="s">
        <v>174</v>
      </c>
      <c r="AG158" s="55" t="s">
        <v>174</v>
      </c>
      <c r="AH158" s="55" t="s">
        <v>174</v>
      </c>
      <c r="AI158" s="55" t="s">
        <v>174</v>
      </c>
      <c r="AJ158" s="55" t="s">
        <v>174</v>
      </c>
      <c r="AK158" s="28"/>
      <c r="AL158" s="55" t="s">
        <v>174</v>
      </c>
      <c r="AM158" s="55" t="s">
        <v>174</v>
      </c>
      <c r="AN158" s="55" t="s">
        <v>174</v>
      </c>
      <c r="AO158" s="55" t="s">
        <v>174</v>
      </c>
      <c r="AP158" s="55" t="s">
        <v>174</v>
      </c>
      <c r="AQ158" s="55" t="s">
        <v>174</v>
      </c>
      <c r="AR158" s="28"/>
    </row>
    <row r="159" spans="1:44">
      <c r="A159" s="28"/>
      <c r="B159" s="55" t="s">
        <v>174</v>
      </c>
      <c r="C159" s="55" t="s">
        <v>174</v>
      </c>
      <c r="D159" s="55" t="s">
        <v>174</v>
      </c>
      <c r="E159" s="55" t="s">
        <v>174</v>
      </c>
      <c r="F159" s="55" t="s">
        <v>174</v>
      </c>
      <c r="G159" s="55" t="s">
        <v>174</v>
      </c>
      <c r="H159" s="31"/>
      <c r="I159" s="55" t="s">
        <v>174</v>
      </c>
      <c r="J159" s="55" t="s">
        <v>174</v>
      </c>
      <c r="K159" s="55" t="s">
        <v>174</v>
      </c>
      <c r="L159" s="55" t="s">
        <v>174</v>
      </c>
      <c r="M159" s="55" t="s">
        <v>174</v>
      </c>
      <c r="N159" s="55" t="s">
        <v>174</v>
      </c>
      <c r="O159" s="31"/>
      <c r="P159" s="55" t="s">
        <v>174</v>
      </c>
      <c r="Q159" s="55" t="s">
        <v>174</v>
      </c>
      <c r="R159" s="55" t="s">
        <v>174</v>
      </c>
      <c r="S159" s="55" t="s">
        <v>174</v>
      </c>
      <c r="T159" s="55" t="s">
        <v>174</v>
      </c>
      <c r="U159" s="55" t="s">
        <v>174</v>
      </c>
      <c r="V159" s="28"/>
      <c r="W159" s="28"/>
      <c r="X159" s="51">
        <v>1.0669999999999999</v>
      </c>
      <c r="Y159" s="49">
        <v>0.27810000000000001</v>
      </c>
      <c r="Z159" s="49">
        <v>0.4803</v>
      </c>
      <c r="AA159" s="49">
        <v>0.56269999999999998</v>
      </c>
      <c r="AB159" s="49">
        <v>-0.66459999999999997</v>
      </c>
      <c r="AC159" s="49">
        <v>1.2208000000000001</v>
      </c>
      <c r="AD159" s="28"/>
      <c r="AE159" s="55" t="s">
        <v>174</v>
      </c>
      <c r="AF159" s="55" t="s">
        <v>174</v>
      </c>
      <c r="AG159" s="55" t="s">
        <v>174</v>
      </c>
      <c r="AH159" s="55" t="s">
        <v>174</v>
      </c>
      <c r="AI159" s="55" t="s">
        <v>174</v>
      </c>
      <c r="AJ159" s="55" t="s">
        <v>174</v>
      </c>
      <c r="AK159" s="28"/>
      <c r="AL159" s="55" t="s">
        <v>174</v>
      </c>
      <c r="AM159" s="55" t="s">
        <v>174</v>
      </c>
      <c r="AN159" s="55" t="s">
        <v>174</v>
      </c>
      <c r="AO159" s="55" t="s">
        <v>174</v>
      </c>
      <c r="AP159" s="55" t="s">
        <v>174</v>
      </c>
      <c r="AQ159" s="55" t="s">
        <v>174</v>
      </c>
      <c r="AR159" s="28"/>
    </row>
    <row r="160" spans="1:44">
      <c r="A160" s="28"/>
      <c r="B160" s="55" t="s">
        <v>174</v>
      </c>
      <c r="C160" s="55" t="s">
        <v>174</v>
      </c>
      <c r="D160" s="55" t="s">
        <v>174</v>
      </c>
      <c r="E160" s="55" t="s">
        <v>174</v>
      </c>
      <c r="F160" s="55" t="s">
        <v>174</v>
      </c>
      <c r="G160" s="55" t="s">
        <v>174</v>
      </c>
      <c r="H160" s="31"/>
      <c r="I160" s="55" t="s">
        <v>174</v>
      </c>
      <c r="J160" s="55" t="s">
        <v>174</v>
      </c>
      <c r="K160" s="55" t="s">
        <v>174</v>
      </c>
      <c r="L160" s="55" t="s">
        <v>174</v>
      </c>
      <c r="M160" s="55" t="s">
        <v>174</v>
      </c>
      <c r="N160" s="55" t="s">
        <v>174</v>
      </c>
      <c r="O160" s="31"/>
      <c r="P160" s="55" t="s">
        <v>174</v>
      </c>
      <c r="Q160" s="55" t="s">
        <v>174</v>
      </c>
      <c r="R160" s="55" t="s">
        <v>174</v>
      </c>
      <c r="S160" s="55" t="s">
        <v>174</v>
      </c>
      <c r="T160" s="55" t="s">
        <v>174</v>
      </c>
      <c r="U160" s="55" t="s">
        <v>174</v>
      </c>
      <c r="V160" s="28"/>
      <c r="W160" s="28"/>
      <c r="X160" s="51">
        <v>1.1154999999999999</v>
      </c>
      <c r="Y160" s="49">
        <v>2.12E-2</v>
      </c>
      <c r="Z160" s="49">
        <v>0.43909999999999999</v>
      </c>
      <c r="AA160" s="49">
        <v>0.96160000000000001</v>
      </c>
      <c r="AB160" s="49">
        <v>-0.84079999999999999</v>
      </c>
      <c r="AC160" s="49">
        <v>0.8831</v>
      </c>
      <c r="AD160" s="28"/>
      <c r="AE160" s="55" t="s">
        <v>174</v>
      </c>
      <c r="AF160" s="55" t="s">
        <v>174</v>
      </c>
      <c r="AG160" s="55" t="s">
        <v>174</v>
      </c>
      <c r="AH160" s="55" t="s">
        <v>174</v>
      </c>
      <c r="AI160" s="55" t="s">
        <v>174</v>
      </c>
      <c r="AJ160" s="55" t="s">
        <v>174</v>
      </c>
      <c r="AK160" s="28"/>
      <c r="AL160" s="55" t="s">
        <v>174</v>
      </c>
      <c r="AM160" s="55" t="s">
        <v>174</v>
      </c>
      <c r="AN160" s="55" t="s">
        <v>174</v>
      </c>
      <c r="AO160" s="55" t="s">
        <v>174</v>
      </c>
      <c r="AP160" s="55" t="s">
        <v>174</v>
      </c>
      <c r="AQ160" s="55" t="s">
        <v>174</v>
      </c>
      <c r="AR160" s="28"/>
    </row>
    <row r="161" spans="1:44">
      <c r="A161" s="28"/>
      <c r="B161" s="55" t="s">
        <v>174</v>
      </c>
      <c r="C161" s="55" t="s">
        <v>174</v>
      </c>
      <c r="D161" s="55" t="s">
        <v>174</v>
      </c>
      <c r="E161" s="55" t="s">
        <v>174</v>
      </c>
      <c r="F161" s="55" t="s">
        <v>174</v>
      </c>
      <c r="G161" s="55" t="s">
        <v>174</v>
      </c>
      <c r="H161" s="31"/>
      <c r="I161" s="55" t="s">
        <v>174</v>
      </c>
      <c r="J161" s="55" t="s">
        <v>174</v>
      </c>
      <c r="K161" s="55" t="s">
        <v>174</v>
      </c>
      <c r="L161" s="55" t="s">
        <v>174</v>
      </c>
      <c r="M161" s="55" t="s">
        <v>174</v>
      </c>
      <c r="N161" s="55" t="s">
        <v>174</v>
      </c>
      <c r="O161" s="31"/>
      <c r="P161" s="55" t="s">
        <v>174</v>
      </c>
      <c r="Q161" s="55" t="s">
        <v>174</v>
      </c>
      <c r="R161" s="55" t="s">
        <v>174</v>
      </c>
      <c r="S161" s="55" t="s">
        <v>174</v>
      </c>
      <c r="T161" s="55" t="s">
        <v>174</v>
      </c>
      <c r="U161" s="55" t="s">
        <v>174</v>
      </c>
      <c r="V161" s="28"/>
      <c r="W161" s="28"/>
      <c r="X161" s="51">
        <v>1.1639999999999999</v>
      </c>
      <c r="Y161" s="49">
        <v>-0.23580000000000001</v>
      </c>
      <c r="Z161" s="49">
        <v>0.40050000000000002</v>
      </c>
      <c r="AA161" s="49">
        <v>0.55620000000000003</v>
      </c>
      <c r="AB161" s="49">
        <v>-1.0219</v>
      </c>
      <c r="AC161" s="49">
        <v>0.55030000000000001</v>
      </c>
      <c r="AD161" s="28"/>
      <c r="AE161" s="55" t="s">
        <v>174</v>
      </c>
      <c r="AF161" s="55" t="s">
        <v>174</v>
      </c>
      <c r="AG161" s="55" t="s">
        <v>174</v>
      </c>
      <c r="AH161" s="55" t="s">
        <v>174</v>
      </c>
      <c r="AI161" s="55" t="s">
        <v>174</v>
      </c>
      <c r="AJ161" s="55" t="s">
        <v>174</v>
      </c>
      <c r="AK161" s="28"/>
      <c r="AL161" s="55" t="s">
        <v>174</v>
      </c>
      <c r="AM161" s="55" t="s">
        <v>174</v>
      </c>
      <c r="AN161" s="55" t="s">
        <v>174</v>
      </c>
      <c r="AO161" s="55" t="s">
        <v>174</v>
      </c>
      <c r="AP161" s="55" t="s">
        <v>174</v>
      </c>
      <c r="AQ161" s="55" t="s">
        <v>174</v>
      </c>
      <c r="AR161" s="28"/>
    </row>
    <row r="162" spans="1:44">
      <c r="A162" s="28"/>
      <c r="B162" s="55" t="s">
        <v>174</v>
      </c>
      <c r="C162" s="55" t="s">
        <v>174</v>
      </c>
      <c r="D162" s="55" t="s">
        <v>174</v>
      </c>
      <c r="E162" s="55" t="s">
        <v>174</v>
      </c>
      <c r="F162" s="55" t="s">
        <v>174</v>
      </c>
      <c r="G162" s="55" t="s">
        <v>174</v>
      </c>
      <c r="H162" s="31"/>
      <c r="I162" s="55" t="s">
        <v>174</v>
      </c>
      <c r="J162" s="55" t="s">
        <v>174</v>
      </c>
      <c r="K162" s="55" t="s">
        <v>174</v>
      </c>
      <c r="L162" s="55" t="s">
        <v>174</v>
      </c>
      <c r="M162" s="55" t="s">
        <v>174</v>
      </c>
      <c r="N162" s="55" t="s">
        <v>174</v>
      </c>
      <c r="O162" s="31"/>
      <c r="P162" s="55" t="s">
        <v>174</v>
      </c>
      <c r="Q162" s="55" t="s">
        <v>174</v>
      </c>
      <c r="R162" s="55" t="s">
        <v>174</v>
      </c>
      <c r="S162" s="55" t="s">
        <v>174</v>
      </c>
      <c r="T162" s="55" t="s">
        <v>174</v>
      </c>
      <c r="U162" s="55" t="s">
        <v>174</v>
      </c>
      <c r="V162" s="28"/>
      <c r="W162" s="28"/>
      <c r="X162" s="51">
        <v>1.2124999999999999</v>
      </c>
      <c r="Y162" s="49">
        <v>-0.49280000000000002</v>
      </c>
      <c r="Z162" s="49">
        <v>0.36520000000000002</v>
      </c>
      <c r="AA162" s="49">
        <v>0.17760000000000001</v>
      </c>
      <c r="AB162" s="49">
        <v>-1.2096</v>
      </c>
      <c r="AC162" s="49">
        <v>0.22409999999999999</v>
      </c>
      <c r="AD162" s="28"/>
      <c r="AE162" s="55" t="s">
        <v>174</v>
      </c>
      <c r="AF162" s="55" t="s">
        <v>174</v>
      </c>
      <c r="AG162" s="55" t="s">
        <v>174</v>
      </c>
      <c r="AH162" s="55" t="s">
        <v>174</v>
      </c>
      <c r="AI162" s="55" t="s">
        <v>174</v>
      </c>
      <c r="AJ162" s="55" t="s">
        <v>174</v>
      </c>
      <c r="AK162" s="28"/>
      <c r="AL162" s="55" t="s">
        <v>174</v>
      </c>
      <c r="AM162" s="55" t="s">
        <v>174</v>
      </c>
      <c r="AN162" s="55" t="s">
        <v>174</v>
      </c>
      <c r="AO162" s="55" t="s">
        <v>174</v>
      </c>
      <c r="AP162" s="55" t="s">
        <v>174</v>
      </c>
      <c r="AQ162" s="55" t="s">
        <v>174</v>
      </c>
      <c r="AR162" s="28"/>
    </row>
    <row r="163" spans="1:44">
      <c r="A163" s="28"/>
      <c r="B163" s="55" t="s">
        <v>174</v>
      </c>
      <c r="C163" s="55" t="s">
        <v>174</v>
      </c>
      <c r="D163" s="55" t="s">
        <v>174</v>
      </c>
      <c r="E163" s="55" t="s">
        <v>174</v>
      </c>
      <c r="F163" s="55" t="s">
        <v>174</v>
      </c>
      <c r="G163" s="55" t="s">
        <v>174</v>
      </c>
      <c r="H163" s="31"/>
      <c r="I163" s="55" t="s">
        <v>174</v>
      </c>
      <c r="J163" s="55" t="s">
        <v>174</v>
      </c>
      <c r="K163" s="55" t="s">
        <v>174</v>
      </c>
      <c r="L163" s="55" t="s">
        <v>174</v>
      </c>
      <c r="M163" s="55" t="s">
        <v>174</v>
      </c>
      <c r="N163" s="55" t="s">
        <v>174</v>
      </c>
      <c r="O163" s="31"/>
      <c r="P163" s="55" t="s">
        <v>174</v>
      </c>
      <c r="Q163" s="55" t="s">
        <v>174</v>
      </c>
      <c r="R163" s="55" t="s">
        <v>174</v>
      </c>
      <c r="S163" s="55" t="s">
        <v>174</v>
      </c>
      <c r="T163" s="55" t="s">
        <v>174</v>
      </c>
      <c r="U163" s="55" t="s">
        <v>174</v>
      </c>
      <c r="V163" s="28"/>
      <c r="W163" s="28"/>
      <c r="X163" s="52">
        <v>1.2465999999999999</v>
      </c>
      <c r="Y163" s="49">
        <v>-0.67330000000000001</v>
      </c>
      <c r="Z163" s="49">
        <v>0.34300000000000003</v>
      </c>
      <c r="AA163" s="63">
        <v>0.05</v>
      </c>
      <c r="AB163" s="49">
        <v>-1.3465</v>
      </c>
      <c r="AC163" s="49">
        <v>0</v>
      </c>
      <c r="AD163" s="28"/>
      <c r="AE163" s="55" t="s">
        <v>174</v>
      </c>
      <c r="AF163" s="55" t="s">
        <v>174</v>
      </c>
      <c r="AG163" s="55" t="s">
        <v>174</v>
      </c>
      <c r="AH163" s="55" t="s">
        <v>174</v>
      </c>
      <c r="AI163" s="55" t="s">
        <v>174</v>
      </c>
      <c r="AJ163" s="55" t="s">
        <v>174</v>
      </c>
      <c r="AK163" s="28"/>
      <c r="AL163" s="55" t="s">
        <v>174</v>
      </c>
      <c r="AM163" s="55" t="s">
        <v>174</v>
      </c>
      <c r="AN163" s="55" t="s">
        <v>174</v>
      </c>
      <c r="AO163" s="55" t="s">
        <v>174</v>
      </c>
      <c r="AP163" s="55" t="s">
        <v>174</v>
      </c>
      <c r="AQ163" s="55" t="s">
        <v>174</v>
      </c>
      <c r="AR163" s="28"/>
    </row>
    <row r="164" spans="1:44">
      <c r="A164" s="28"/>
      <c r="B164" s="55" t="s">
        <v>174</v>
      </c>
      <c r="C164" s="55" t="s">
        <v>174</v>
      </c>
      <c r="D164" s="55" t="s">
        <v>174</v>
      </c>
      <c r="E164" s="55" t="s">
        <v>174</v>
      </c>
      <c r="F164" s="55" t="s">
        <v>174</v>
      </c>
      <c r="G164" s="55" t="s">
        <v>174</v>
      </c>
      <c r="H164" s="31"/>
      <c r="I164" s="55" t="s">
        <v>174</v>
      </c>
      <c r="J164" s="55" t="s">
        <v>174</v>
      </c>
      <c r="K164" s="55" t="s">
        <v>174</v>
      </c>
      <c r="L164" s="55" t="s">
        <v>174</v>
      </c>
      <c r="M164" s="55" t="s">
        <v>174</v>
      </c>
      <c r="N164" s="55" t="s">
        <v>174</v>
      </c>
      <c r="O164" s="31"/>
      <c r="P164" s="55" t="s">
        <v>174</v>
      </c>
      <c r="Q164" s="55" t="s">
        <v>174</v>
      </c>
      <c r="R164" s="55" t="s">
        <v>174</v>
      </c>
      <c r="S164" s="55" t="s">
        <v>174</v>
      </c>
      <c r="T164" s="55" t="s">
        <v>174</v>
      </c>
      <c r="U164" s="55" t="s">
        <v>174</v>
      </c>
      <c r="V164" s="28"/>
      <c r="W164" s="28"/>
      <c r="X164" s="52">
        <v>1.2609999999999999</v>
      </c>
      <c r="Y164" s="49">
        <v>-0.74970000000000003</v>
      </c>
      <c r="Z164" s="49">
        <v>0.33429999999999999</v>
      </c>
      <c r="AA164" s="63">
        <v>2.52E-2</v>
      </c>
      <c r="AB164" s="49">
        <v>-1.4059999999999999</v>
      </c>
      <c r="AC164" s="49">
        <v>-9.3399999999999997E-2</v>
      </c>
      <c r="AD164" s="28"/>
      <c r="AE164" s="55" t="s">
        <v>174</v>
      </c>
      <c r="AF164" s="55" t="s">
        <v>174</v>
      </c>
      <c r="AG164" s="55" t="s">
        <v>174</v>
      </c>
      <c r="AH164" s="55" t="s">
        <v>174</v>
      </c>
      <c r="AI164" s="55" t="s">
        <v>174</v>
      </c>
      <c r="AJ164" s="55" t="s">
        <v>174</v>
      </c>
      <c r="AK164" s="28"/>
      <c r="AL164" s="55" t="s">
        <v>174</v>
      </c>
      <c r="AM164" s="55" t="s">
        <v>174</v>
      </c>
      <c r="AN164" s="55" t="s">
        <v>174</v>
      </c>
      <c r="AO164" s="55" t="s">
        <v>174</v>
      </c>
      <c r="AP164" s="55" t="s">
        <v>174</v>
      </c>
      <c r="AQ164" s="55" t="s">
        <v>174</v>
      </c>
      <c r="AR164" s="28"/>
    </row>
    <row r="165" spans="1:44">
      <c r="A165" s="28"/>
      <c r="B165" s="55" t="s">
        <v>174</v>
      </c>
      <c r="C165" s="55" t="s">
        <v>174</v>
      </c>
      <c r="D165" s="55" t="s">
        <v>174</v>
      </c>
      <c r="E165" s="55" t="s">
        <v>174</v>
      </c>
      <c r="F165" s="55" t="s">
        <v>174</v>
      </c>
      <c r="G165" s="55" t="s">
        <v>174</v>
      </c>
      <c r="H165" s="31"/>
      <c r="I165" s="55" t="s">
        <v>174</v>
      </c>
      <c r="J165" s="55" t="s">
        <v>174</v>
      </c>
      <c r="K165" s="55" t="s">
        <v>174</v>
      </c>
      <c r="L165" s="55" t="s">
        <v>174</v>
      </c>
      <c r="M165" s="55" t="s">
        <v>174</v>
      </c>
      <c r="N165" s="55" t="s">
        <v>174</v>
      </c>
      <c r="O165" s="31"/>
      <c r="P165" s="55" t="s">
        <v>174</v>
      </c>
      <c r="Q165" s="55" t="s">
        <v>174</v>
      </c>
      <c r="R165" s="55" t="s">
        <v>174</v>
      </c>
      <c r="S165" s="55" t="s">
        <v>174</v>
      </c>
      <c r="T165" s="55" t="s">
        <v>174</v>
      </c>
      <c r="U165" s="55" t="s">
        <v>174</v>
      </c>
      <c r="V165" s="28"/>
      <c r="W165" s="28"/>
      <c r="X165" s="52">
        <v>1.3095000000000001</v>
      </c>
      <c r="Y165" s="49">
        <v>-1.0066999999999999</v>
      </c>
      <c r="Z165" s="49">
        <v>0.30919999999999997</v>
      </c>
      <c r="AA165" s="63">
        <v>1.1999999999999999E-3</v>
      </c>
      <c r="AB165" s="49">
        <v>-1.6135999999999999</v>
      </c>
      <c r="AC165" s="49">
        <v>-0.3997</v>
      </c>
      <c r="AD165" s="28"/>
      <c r="AE165" s="55" t="s">
        <v>174</v>
      </c>
      <c r="AF165" s="55" t="s">
        <v>174</v>
      </c>
      <c r="AG165" s="55" t="s">
        <v>174</v>
      </c>
      <c r="AH165" s="55" t="s">
        <v>174</v>
      </c>
      <c r="AI165" s="55" t="s">
        <v>174</v>
      </c>
      <c r="AJ165" s="55" t="s">
        <v>174</v>
      </c>
      <c r="AK165" s="28"/>
      <c r="AL165" s="55" t="s">
        <v>174</v>
      </c>
      <c r="AM165" s="55" t="s">
        <v>174</v>
      </c>
      <c r="AN165" s="55" t="s">
        <v>174</v>
      </c>
      <c r="AO165" s="55" t="s">
        <v>174</v>
      </c>
      <c r="AP165" s="55" t="s">
        <v>174</v>
      </c>
      <c r="AQ165" s="55" t="s">
        <v>174</v>
      </c>
      <c r="AR165" s="28"/>
    </row>
    <row r="166" spans="1:44">
      <c r="A166" s="28"/>
      <c r="B166" s="55" t="s">
        <v>174</v>
      </c>
      <c r="C166" s="55" t="s">
        <v>174</v>
      </c>
      <c r="D166" s="55" t="s">
        <v>174</v>
      </c>
      <c r="E166" s="55" t="s">
        <v>174</v>
      </c>
      <c r="F166" s="55" t="s">
        <v>174</v>
      </c>
      <c r="G166" s="55" t="s">
        <v>174</v>
      </c>
      <c r="H166" s="31"/>
      <c r="I166" s="55" t="s">
        <v>174</v>
      </c>
      <c r="J166" s="55" t="s">
        <v>174</v>
      </c>
      <c r="K166" s="55" t="s">
        <v>174</v>
      </c>
      <c r="L166" s="55" t="s">
        <v>174</v>
      </c>
      <c r="M166" s="55" t="s">
        <v>174</v>
      </c>
      <c r="N166" s="55" t="s">
        <v>174</v>
      </c>
      <c r="O166" s="31"/>
      <c r="P166" s="55" t="s">
        <v>174</v>
      </c>
      <c r="Q166" s="55" t="s">
        <v>174</v>
      </c>
      <c r="R166" s="55" t="s">
        <v>174</v>
      </c>
      <c r="S166" s="55" t="s">
        <v>174</v>
      </c>
      <c r="T166" s="55" t="s">
        <v>174</v>
      </c>
      <c r="U166" s="55" t="s">
        <v>174</v>
      </c>
      <c r="V166" s="28"/>
      <c r="W166" s="28"/>
      <c r="X166" s="52">
        <v>1.3580000000000001</v>
      </c>
      <c r="Y166" s="49">
        <v>-1.2636000000000001</v>
      </c>
      <c r="Z166" s="49">
        <v>0.2913</v>
      </c>
      <c r="AA166" s="63">
        <v>0</v>
      </c>
      <c r="AB166" s="49">
        <v>-1.8353999999999999</v>
      </c>
      <c r="AC166" s="49">
        <v>-0.69189999999999996</v>
      </c>
      <c r="AD166" s="28"/>
      <c r="AE166" s="55" t="s">
        <v>174</v>
      </c>
      <c r="AF166" s="55" t="s">
        <v>174</v>
      </c>
      <c r="AG166" s="55" t="s">
        <v>174</v>
      </c>
      <c r="AH166" s="55" t="s">
        <v>174</v>
      </c>
      <c r="AI166" s="55" t="s">
        <v>174</v>
      </c>
      <c r="AJ166" s="55" t="s">
        <v>174</v>
      </c>
      <c r="AK166" s="28"/>
      <c r="AL166" s="55" t="s">
        <v>174</v>
      </c>
      <c r="AM166" s="55" t="s">
        <v>174</v>
      </c>
      <c r="AN166" s="55" t="s">
        <v>174</v>
      </c>
      <c r="AO166" s="55" t="s">
        <v>174</v>
      </c>
      <c r="AP166" s="55" t="s">
        <v>174</v>
      </c>
      <c r="AQ166" s="55" t="s">
        <v>174</v>
      </c>
      <c r="AR166" s="28"/>
    </row>
    <row r="167" spans="1:44">
      <c r="A167" s="28"/>
      <c r="B167" s="55" t="s">
        <v>174</v>
      </c>
      <c r="C167" s="55" t="s">
        <v>174</v>
      </c>
      <c r="D167" s="55" t="s">
        <v>174</v>
      </c>
      <c r="E167" s="55" t="s">
        <v>174</v>
      </c>
      <c r="F167" s="55" t="s">
        <v>174</v>
      </c>
      <c r="G167" s="55" t="s">
        <v>174</v>
      </c>
      <c r="H167" s="31"/>
      <c r="I167" s="55" t="s">
        <v>174</v>
      </c>
      <c r="J167" s="55" t="s">
        <v>174</v>
      </c>
      <c r="K167" s="55" t="s">
        <v>174</v>
      </c>
      <c r="L167" s="55" t="s">
        <v>174</v>
      </c>
      <c r="M167" s="55" t="s">
        <v>174</v>
      </c>
      <c r="N167" s="55" t="s">
        <v>174</v>
      </c>
      <c r="O167" s="31"/>
      <c r="P167" s="55" t="s">
        <v>174</v>
      </c>
      <c r="Q167" s="55" t="s">
        <v>174</v>
      </c>
      <c r="R167" s="55" t="s">
        <v>174</v>
      </c>
      <c r="S167" s="55" t="s">
        <v>174</v>
      </c>
      <c r="T167" s="55" t="s">
        <v>174</v>
      </c>
      <c r="U167" s="55" t="s">
        <v>174</v>
      </c>
      <c r="V167" s="28"/>
      <c r="W167" s="28"/>
      <c r="X167" s="52">
        <v>1.4065000000000001</v>
      </c>
      <c r="Y167" s="49">
        <v>-1.5206</v>
      </c>
      <c r="Z167" s="49">
        <v>0.28189999999999998</v>
      </c>
      <c r="AA167" s="63">
        <v>0</v>
      </c>
      <c r="AB167" s="49">
        <v>-2.0739999999999998</v>
      </c>
      <c r="AC167" s="49">
        <v>-0.96709999999999996</v>
      </c>
      <c r="AD167" s="28"/>
      <c r="AE167" s="55" t="s">
        <v>174</v>
      </c>
      <c r="AF167" s="55" t="s">
        <v>174</v>
      </c>
      <c r="AG167" s="55" t="s">
        <v>174</v>
      </c>
      <c r="AH167" s="55" t="s">
        <v>174</v>
      </c>
      <c r="AI167" s="55" t="s">
        <v>174</v>
      </c>
      <c r="AJ167" s="55" t="s">
        <v>174</v>
      </c>
      <c r="AK167" s="28"/>
      <c r="AL167" s="55" t="s">
        <v>174</v>
      </c>
      <c r="AM167" s="55" t="s">
        <v>174</v>
      </c>
      <c r="AN167" s="55" t="s">
        <v>174</v>
      </c>
      <c r="AO167" s="55" t="s">
        <v>174</v>
      </c>
      <c r="AP167" s="55" t="s">
        <v>174</v>
      </c>
      <c r="AQ167" s="55" t="s">
        <v>174</v>
      </c>
      <c r="AR167" s="28"/>
    </row>
    <row r="168" spans="1:44">
      <c r="A168" s="28"/>
      <c r="B168" s="55" t="s">
        <v>174</v>
      </c>
      <c r="C168" s="55" t="s">
        <v>174</v>
      </c>
      <c r="D168" s="55" t="s">
        <v>174</v>
      </c>
      <c r="E168" s="55" t="s">
        <v>174</v>
      </c>
      <c r="F168" s="55" t="s">
        <v>174</v>
      </c>
      <c r="G168" s="55" t="s">
        <v>174</v>
      </c>
      <c r="H168" s="31"/>
      <c r="I168" s="55" t="s">
        <v>174</v>
      </c>
      <c r="J168" s="55" t="s">
        <v>174</v>
      </c>
      <c r="K168" s="55" t="s">
        <v>174</v>
      </c>
      <c r="L168" s="55" t="s">
        <v>174</v>
      </c>
      <c r="M168" s="55" t="s">
        <v>174</v>
      </c>
      <c r="N168" s="55" t="s">
        <v>174</v>
      </c>
      <c r="O168" s="31"/>
      <c r="P168" s="55" t="s">
        <v>174</v>
      </c>
      <c r="Q168" s="55" t="s">
        <v>174</v>
      </c>
      <c r="R168" s="55" t="s">
        <v>174</v>
      </c>
      <c r="S168" s="55" t="s">
        <v>174</v>
      </c>
      <c r="T168" s="55" t="s">
        <v>174</v>
      </c>
      <c r="U168" s="55" t="s">
        <v>174</v>
      </c>
      <c r="V168" s="28"/>
      <c r="W168" s="28"/>
      <c r="X168" s="52">
        <v>1.4550000000000001</v>
      </c>
      <c r="Y168" s="49">
        <v>-1.7775000000000001</v>
      </c>
      <c r="Z168" s="49">
        <v>0.28210000000000002</v>
      </c>
      <c r="AA168" s="63">
        <v>0</v>
      </c>
      <c r="AB168" s="49">
        <v>-2.3311999999999999</v>
      </c>
      <c r="AC168" s="49">
        <v>-1.2238</v>
      </c>
      <c r="AD168" s="28"/>
      <c r="AE168" s="55" t="s">
        <v>174</v>
      </c>
      <c r="AF168" s="55" t="s">
        <v>174</v>
      </c>
      <c r="AG168" s="55" t="s">
        <v>174</v>
      </c>
      <c r="AH168" s="55" t="s">
        <v>174</v>
      </c>
      <c r="AI168" s="55" t="s">
        <v>174</v>
      </c>
      <c r="AJ168" s="55" t="s">
        <v>174</v>
      </c>
      <c r="AK168" s="28"/>
      <c r="AL168" s="55" t="s">
        <v>174</v>
      </c>
      <c r="AM168" s="55" t="s">
        <v>174</v>
      </c>
      <c r="AN168" s="55" t="s">
        <v>174</v>
      </c>
      <c r="AO168" s="55" t="s">
        <v>174</v>
      </c>
      <c r="AP168" s="55" t="s">
        <v>174</v>
      </c>
      <c r="AQ168" s="55" t="s">
        <v>174</v>
      </c>
      <c r="AR168" s="28"/>
    </row>
    <row r="169" spans="1:44">
      <c r="A169" s="28"/>
      <c r="B169" s="55" t="s">
        <v>174</v>
      </c>
      <c r="C169" s="55" t="s">
        <v>174</v>
      </c>
      <c r="D169" s="55" t="s">
        <v>174</v>
      </c>
      <c r="E169" s="55" t="s">
        <v>174</v>
      </c>
      <c r="F169" s="55" t="s">
        <v>174</v>
      </c>
      <c r="G169" s="55" t="s">
        <v>174</v>
      </c>
      <c r="H169" s="31"/>
      <c r="I169" s="55" t="s">
        <v>174</v>
      </c>
      <c r="J169" s="55" t="s">
        <v>174</v>
      </c>
      <c r="K169" s="55" t="s">
        <v>174</v>
      </c>
      <c r="L169" s="55" t="s">
        <v>174</v>
      </c>
      <c r="M169" s="55" t="s">
        <v>174</v>
      </c>
      <c r="N169" s="55" t="s">
        <v>174</v>
      </c>
      <c r="O169" s="31"/>
      <c r="P169" s="55" t="s">
        <v>174</v>
      </c>
      <c r="Q169" s="55" t="s">
        <v>174</v>
      </c>
      <c r="R169" s="55" t="s">
        <v>174</v>
      </c>
      <c r="S169" s="55" t="s">
        <v>174</v>
      </c>
      <c r="T169" s="55" t="s">
        <v>174</v>
      </c>
      <c r="U169" s="55" t="s">
        <v>174</v>
      </c>
      <c r="V169" s="28"/>
      <c r="W169" s="28"/>
      <c r="X169" s="52">
        <v>1.5035000000000001</v>
      </c>
      <c r="Y169" s="49">
        <v>-2.0345</v>
      </c>
      <c r="Z169" s="49">
        <v>0.29160000000000003</v>
      </c>
      <c r="AA169" s="63">
        <v>0</v>
      </c>
      <c r="AB169" s="49">
        <v>-2.6070000000000002</v>
      </c>
      <c r="AC169" s="49">
        <v>-1.462</v>
      </c>
      <c r="AD169" s="28"/>
      <c r="AE169" s="55" t="s">
        <v>174</v>
      </c>
      <c r="AF169" s="55" t="s">
        <v>174</v>
      </c>
      <c r="AG169" s="55" t="s">
        <v>174</v>
      </c>
      <c r="AH169" s="55" t="s">
        <v>174</v>
      </c>
      <c r="AI169" s="55" t="s">
        <v>174</v>
      </c>
      <c r="AJ169" s="55" t="s">
        <v>174</v>
      </c>
      <c r="AK169" s="28"/>
      <c r="AL169" s="55" t="s">
        <v>174</v>
      </c>
      <c r="AM169" s="55" t="s">
        <v>174</v>
      </c>
      <c r="AN169" s="55" t="s">
        <v>174</v>
      </c>
      <c r="AO169" s="55" t="s">
        <v>174</v>
      </c>
      <c r="AP169" s="55" t="s">
        <v>174</v>
      </c>
      <c r="AQ169" s="55" t="s">
        <v>174</v>
      </c>
      <c r="AR169" s="28"/>
    </row>
    <row r="170" spans="1:44">
      <c r="A170" s="28"/>
      <c r="B170" s="55" t="s">
        <v>174</v>
      </c>
      <c r="C170" s="55" t="s">
        <v>174</v>
      </c>
      <c r="D170" s="55" t="s">
        <v>174</v>
      </c>
      <c r="E170" s="55" t="s">
        <v>174</v>
      </c>
      <c r="F170" s="55" t="s">
        <v>174</v>
      </c>
      <c r="G170" s="55" t="s">
        <v>174</v>
      </c>
      <c r="H170" s="31"/>
      <c r="I170" s="55" t="s">
        <v>174</v>
      </c>
      <c r="J170" s="55" t="s">
        <v>174</v>
      </c>
      <c r="K170" s="55" t="s">
        <v>174</v>
      </c>
      <c r="L170" s="55" t="s">
        <v>174</v>
      </c>
      <c r="M170" s="55" t="s">
        <v>174</v>
      </c>
      <c r="N170" s="55" t="s">
        <v>174</v>
      </c>
      <c r="O170" s="31"/>
      <c r="P170" s="55" t="s">
        <v>174</v>
      </c>
      <c r="Q170" s="55" t="s">
        <v>174</v>
      </c>
      <c r="R170" s="55" t="s">
        <v>174</v>
      </c>
      <c r="S170" s="55" t="s">
        <v>174</v>
      </c>
      <c r="T170" s="55" t="s">
        <v>174</v>
      </c>
      <c r="U170" s="55" t="s">
        <v>174</v>
      </c>
      <c r="V170" s="28"/>
      <c r="W170" s="28"/>
      <c r="X170" s="52">
        <v>1.552</v>
      </c>
      <c r="Y170" s="49">
        <v>-2.2913999999999999</v>
      </c>
      <c r="Z170" s="49">
        <v>0.30980000000000002</v>
      </c>
      <c r="AA170" s="63">
        <v>0</v>
      </c>
      <c r="AB170" s="49">
        <v>-2.8995000000000002</v>
      </c>
      <c r="AC170" s="49">
        <v>-1.6833</v>
      </c>
      <c r="AD170" s="28"/>
      <c r="AE170" s="55" t="s">
        <v>174</v>
      </c>
      <c r="AF170" s="55" t="s">
        <v>174</v>
      </c>
      <c r="AG170" s="55" t="s">
        <v>174</v>
      </c>
      <c r="AH170" s="55" t="s">
        <v>174</v>
      </c>
      <c r="AI170" s="55" t="s">
        <v>174</v>
      </c>
      <c r="AJ170" s="55" t="s">
        <v>174</v>
      </c>
      <c r="AK170" s="28"/>
      <c r="AL170" s="55" t="s">
        <v>174</v>
      </c>
      <c r="AM170" s="55" t="s">
        <v>174</v>
      </c>
      <c r="AN170" s="55" t="s">
        <v>174</v>
      </c>
      <c r="AO170" s="55" t="s">
        <v>174</v>
      </c>
      <c r="AP170" s="55" t="s">
        <v>174</v>
      </c>
      <c r="AQ170" s="55" t="s">
        <v>174</v>
      </c>
      <c r="AR170" s="28"/>
    </row>
    <row r="171" spans="1:44">
      <c r="A171" s="28"/>
      <c r="B171" s="55" t="s">
        <v>174</v>
      </c>
      <c r="C171" s="55" t="s">
        <v>174</v>
      </c>
      <c r="D171" s="55" t="s">
        <v>174</v>
      </c>
      <c r="E171" s="55" t="s">
        <v>174</v>
      </c>
      <c r="F171" s="55" t="s">
        <v>174</v>
      </c>
      <c r="G171" s="55" t="s">
        <v>174</v>
      </c>
      <c r="H171" s="31"/>
      <c r="I171" s="55" t="s">
        <v>174</v>
      </c>
      <c r="J171" s="55" t="s">
        <v>174</v>
      </c>
      <c r="K171" s="55" t="s">
        <v>174</v>
      </c>
      <c r="L171" s="55" t="s">
        <v>174</v>
      </c>
      <c r="M171" s="55" t="s">
        <v>174</v>
      </c>
      <c r="N171" s="55" t="s">
        <v>174</v>
      </c>
      <c r="O171" s="31"/>
      <c r="P171" s="55" t="s">
        <v>174</v>
      </c>
      <c r="Q171" s="55" t="s">
        <v>174</v>
      </c>
      <c r="R171" s="55" t="s">
        <v>174</v>
      </c>
      <c r="S171" s="55" t="s">
        <v>174</v>
      </c>
      <c r="T171" s="55" t="s">
        <v>174</v>
      </c>
      <c r="U171" s="55" t="s">
        <v>174</v>
      </c>
      <c r="V171" s="28"/>
      <c r="W171" s="28"/>
      <c r="X171" s="52">
        <v>1.6005</v>
      </c>
      <c r="Y171" s="49">
        <v>-2.5484</v>
      </c>
      <c r="Z171" s="49">
        <v>0.33510000000000001</v>
      </c>
      <c r="AA171" s="63">
        <v>0</v>
      </c>
      <c r="AB171" s="49">
        <v>-3.2061999999999999</v>
      </c>
      <c r="AC171" s="49">
        <v>-1.8906000000000001</v>
      </c>
      <c r="AD171" s="28"/>
      <c r="AE171" s="55" t="s">
        <v>174</v>
      </c>
      <c r="AF171" s="55" t="s">
        <v>174</v>
      </c>
      <c r="AG171" s="55" t="s">
        <v>174</v>
      </c>
      <c r="AH171" s="55" t="s">
        <v>174</v>
      </c>
      <c r="AI171" s="55" t="s">
        <v>174</v>
      </c>
      <c r="AJ171" s="55" t="s">
        <v>174</v>
      </c>
      <c r="AK171" s="28"/>
      <c r="AL171" s="55" t="s">
        <v>174</v>
      </c>
      <c r="AM171" s="55" t="s">
        <v>174</v>
      </c>
      <c r="AN171" s="55" t="s">
        <v>174</v>
      </c>
      <c r="AO171" s="55" t="s">
        <v>174</v>
      </c>
      <c r="AP171" s="55" t="s">
        <v>174</v>
      </c>
      <c r="AQ171" s="55" t="s">
        <v>174</v>
      </c>
      <c r="AR171" s="28"/>
    </row>
    <row r="172" spans="1:44">
      <c r="A172" s="28"/>
      <c r="B172" s="55" t="s">
        <v>174</v>
      </c>
      <c r="C172" s="55" t="s">
        <v>174</v>
      </c>
      <c r="D172" s="55" t="s">
        <v>174</v>
      </c>
      <c r="E172" s="55" t="s">
        <v>174</v>
      </c>
      <c r="F172" s="55" t="s">
        <v>174</v>
      </c>
      <c r="G172" s="55" t="s">
        <v>174</v>
      </c>
      <c r="H172" s="31"/>
      <c r="I172" s="55" t="s">
        <v>174</v>
      </c>
      <c r="J172" s="55" t="s">
        <v>174</v>
      </c>
      <c r="K172" s="55" t="s">
        <v>174</v>
      </c>
      <c r="L172" s="55" t="s">
        <v>174</v>
      </c>
      <c r="M172" s="55" t="s">
        <v>174</v>
      </c>
      <c r="N172" s="55" t="s">
        <v>174</v>
      </c>
      <c r="O172" s="31"/>
      <c r="P172" s="55" t="s">
        <v>174</v>
      </c>
      <c r="Q172" s="55" t="s">
        <v>174</v>
      </c>
      <c r="R172" s="55" t="s">
        <v>174</v>
      </c>
      <c r="S172" s="55" t="s">
        <v>174</v>
      </c>
      <c r="T172" s="55" t="s">
        <v>174</v>
      </c>
      <c r="U172" s="55" t="s">
        <v>174</v>
      </c>
      <c r="V172" s="28"/>
      <c r="W172" s="28"/>
      <c r="X172" s="52">
        <v>1.649</v>
      </c>
      <c r="Y172" s="49">
        <v>-2.8052999999999999</v>
      </c>
      <c r="Z172" s="49">
        <v>0.36609999999999998</v>
      </c>
      <c r="AA172" s="63">
        <v>0</v>
      </c>
      <c r="AB172" s="49">
        <v>-3.524</v>
      </c>
      <c r="AC172" s="49">
        <v>-2.0867</v>
      </c>
      <c r="AD172" s="28"/>
      <c r="AE172" s="55" t="s">
        <v>174</v>
      </c>
      <c r="AF172" s="55" t="s">
        <v>174</v>
      </c>
      <c r="AG172" s="55" t="s">
        <v>174</v>
      </c>
      <c r="AH172" s="55" t="s">
        <v>174</v>
      </c>
      <c r="AI172" s="55" t="s">
        <v>174</v>
      </c>
      <c r="AJ172" s="55" t="s">
        <v>174</v>
      </c>
      <c r="AK172" s="28"/>
      <c r="AL172" s="55" t="s">
        <v>174</v>
      </c>
      <c r="AM172" s="55" t="s">
        <v>174</v>
      </c>
      <c r="AN172" s="55" t="s">
        <v>174</v>
      </c>
      <c r="AO172" s="55" t="s">
        <v>174</v>
      </c>
      <c r="AP172" s="55" t="s">
        <v>174</v>
      </c>
      <c r="AQ172" s="55" t="s">
        <v>174</v>
      </c>
      <c r="AR172" s="28"/>
    </row>
    <row r="173" spans="1:44">
      <c r="A173" s="28"/>
      <c r="B173" s="55" t="s">
        <v>174</v>
      </c>
      <c r="C173" s="55" t="s">
        <v>174</v>
      </c>
      <c r="D173" s="55" t="s">
        <v>174</v>
      </c>
      <c r="E173" s="55" t="s">
        <v>174</v>
      </c>
      <c r="F173" s="55" t="s">
        <v>174</v>
      </c>
      <c r="G173" s="55" t="s">
        <v>174</v>
      </c>
      <c r="H173" s="31"/>
      <c r="I173" s="55" t="s">
        <v>174</v>
      </c>
      <c r="J173" s="55" t="s">
        <v>174</v>
      </c>
      <c r="K173" s="55" t="s">
        <v>174</v>
      </c>
      <c r="L173" s="55" t="s">
        <v>174</v>
      </c>
      <c r="M173" s="55" t="s">
        <v>174</v>
      </c>
      <c r="N173" s="55" t="s">
        <v>174</v>
      </c>
      <c r="O173" s="31"/>
      <c r="P173" s="55" t="s">
        <v>174</v>
      </c>
      <c r="Q173" s="55" t="s">
        <v>174</v>
      </c>
      <c r="R173" s="55" t="s">
        <v>174</v>
      </c>
      <c r="S173" s="55" t="s">
        <v>174</v>
      </c>
      <c r="T173" s="55" t="s">
        <v>174</v>
      </c>
      <c r="U173" s="55" t="s">
        <v>174</v>
      </c>
      <c r="V173" s="28"/>
      <c r="W173" s="28"/>
      <c r="X173" s="52">
        <v>1.6975</v>
      </c>
      <c r="Y173" s="49">
        <v>-3.0623</v>
      </c>
      <c r="Z173" s="49">
        <v>0.40150000000000002</v>
      </c>
      <c r="AA173" s="63">
        <v>0</v>
      </c>
      <c r="AB173" s="49">
        <v>-3.8504</v>
      </c>
      <c r="AC173" s="49">
        <v>-2.2742</v>
      </c>
      <c r="AD173" s="28"/>
      <c r="AE173" s="55" t="s">
        <v>174</v>
      </c>
      <c r="AF173" s="55" t="s">
        <v>174</v>
      </c>
      <c r="AG173" s="55" t="s">
        <v>174</v>
      </c>
      <c r="AH173" s="55" t="s">
        <v>174</v>
      </c>
      <c r="AI173" s="55" t="s">
        <v>174</v>
      </c>
      <c r="AJ173" s="55" t="s">
        <v>174</v>
      </c>
      <c r="AK173" s="28"/>
      <c r="AL173" s="55" t="s">
        <v>174</v>
      </c>
      <c r="AM173" s="55" t="s">
        <v>174</v>
      </c>
      <c r="AN173" s="55" t="s">
        <v>174</v>
      </c>
      <c r="AO173" s="55" t="s">
        <v>174</v>
      </c>
      <c r="AP173" s="55" t="s">
        <v>174</v>
      </c>
      <c r="AQ173" s="55" t="s">
        <v>174</v>
      </c>
      <c r="AR173" s="28"/>
    </row>
    <row r="174" spans="1:44">
      <c r="A174" s="28"/>
      <c r="B174" s="55" t="s">
        <v>174</v>
      </c>
      <c r="C174" s="55" t="s">
        <v>174</v>
      </c>
      <c r="D174" s="55" t="s">
        <v>174</v>
      </c>
      <c r="E174" s="55" t="s">
        <v>174</v>
      </c>
      <c r="F174" s="55" t="s">
        <v>174</v>
      </c>
      <c r="G174" s="55" t="s">
        <v>174</v>
      </c>
      <c r="H174" s="31"/>
      <c r="I174" s="55" t="s">
        <v>174</v>
      </c>
      <c r="J174" s="55" t="s">
        <v>174</v>
      </c>
      <c r="K174" s="55" t="s">
        <v>174</v>
      </c>
      <c r="L174" s="55" t="s">
        <v>174</v>
      </c>
      <c r="M174" s="55" t="s">
        <v>174</v>
      </c>
      <c r="N174" s="55" t="s">
        <v>174</v>
      </c>
      <c r="O174" s="31"/>
      <c r="P174" s="55" t="s">
        <v>174</v>
      </c>
      <c r="Q174" s="55" t="s">
        <v>174</v>
      </c>
      <c r="R174" s="55" t="s">
        <v>174</v>
      </c>
      <c r="S174" s="55" t="s">
        <v>174</v>
      </c>
      <c r="T174" s="55" t="s">
        <v>174</v>
      </c>
      <c r="U174" s="55" t="s">
        <v>174</v>
      </c>
      <c r="V174" s="28"/>
      <c r="W174" s="28"/>
      <c r="X174" s="52">
        <v>1.746</v>
      </c>
      <c r="Y174" s="49">
        <v>-3.3191999999999999</v>
      </c>
      <c r="Z174" s="49">
        <v>0.44019999999999998</v>
      </c>
      <c r="AA174" s="63">
        <v>0</v>
      </c>
      <c r="AB174" s="49">
        <v>-4.1833</v>
      </c>
      <c r="AC174" s="49">
        <v>-2.4550999999999998</v>
      </c>
      <c r="AD174" s="28"/>
      <c r="AE174" s="55" t="s">
        <v>174</v>
      </c>
      <c r="AF174" s="55" t="s">
        <v>174</v>
      </c>
      <c r="AG174" s="55" t="s">
        <v>174</v>
      </c>
      <c r="AH174" s="55" t="s">
        <v>174</v>
      </c>
      <c r="AI174" s="55" t="s">
        <v>174</v>
      </c>
      <c r="AJ174" s="55" t="s">
        <v>174</v>
      </c>
      <c r="AK174" s="28"/>
      <c r="AL174" s="55" t="s">
        <v>174</v>
      </c>
      <c r="AM174" s="55" t="s">
        <v>174</v>
      </c>
      <c r="AN174" s="55" t="s">
        <v>174</v>
      </c>
      <c r="AO174" s="55" t="s">
        <v>174</v>
      </c>
      <c r="AP174" s="55" t="s">
        <v>174</v>
      </c>
      <c r="AQ174" s="55" t="s">
        <v>174</v>
      </c>
      <c r="AR174" s="28"/>
    </row>
    <row r="175" spans="1:44">
      <c r="A175" s="28"/>
      <c r="B175" s="55" t="s">
        <v>174</v>
      </c>
      <c r="C175" s="55" t="s">
        <v>174</v>
      </c>
      <c r="D175" s="55" t="s">
        <v>174</v>
      </c>
      <c r="E175" s="55" t="s">
        <v>174</v>
      </c>
      <c r="F175" s="55" t="s">
        <v>174</v>
      </c>
      <c r="G175" s="55" t="s">
        <v>174</v>
      </c>
      <c r="H175" s="31"/>
      <c r="I175" s="55" t="s">
        <v>174</v>
      </c>
      <c r="J175" s="55" t="s">
        <v>174</v>
      </c>
      <c r="K175" s="55" t="s">
        <v>174</v>
      </c>
      <c r="L175" s="55" t="s">
        <v>174</v>
      </c>
      <c r="M175" s="55" t="s">
        <v>174</v>
      </c>
      <c r="N175" s="55" t="s">
        <v>174</v>
      </c>
      <c r="O175" s="31"/>
      <c r="P175" s="55" t="s">
        <v>174</v>
      </c>
      <c r="Q175" s="55" t="s">
        <v>174</v>
      </c>
      <c r="R175" s="55" t="s">
        <v>174</v>
      </c>
      <c r="S175" s="55" t="s">
        <v>174</v>
      </c>
      <c r="T175" s="55" t="s">
        <v>174</v>
      </c>
      <c r="U175" s="55" t="s">
        <v>174</v>
      </c>
      <c r="V175" s="28"/>
      <c r="W175" s="28"/>
      <c r="X175" s="52">
        <v>1.7945</v>
      </c>
      <c r="Y175" s="49">
        <v>-3.5762</v>
      </c>
      <c r="Z175" s="49">
        <v>0.48139999999999999</v>
      </c>
      <c r="AA175" s="63">
        <v>0</v>
      </c>
      <c r="AB175" s="49">
        <v>-4.5212000000000003</v>
      </c>
      <c r="AC175" s="49">
        <v>-2.6312000000000002</v>
      </c>
      <c r="AD175" s="28"/>
      <c r="AE175" s="55" t="s">
        <v>174</v>
      </c>
      <c r="AF175" s="55" t="s">
        <v>174</v>
      </c>
      <c r="AG175" s="55" t="s">
        <v>174</v>
      </c>
      <c r="AH175" s="55" t="s">
        <v>174</v>
      </c>
      <c r="AI175" s="55" t="s">
        <v>174</v>
      </c>
      <c r="AJ175" s="55" t="s">
        <v>174</v>
      </c>
      <c r="AK175" s="28"/>
      <c r="AL175" s="55" t="s">
        <v>174</v>
      </c>
      <c r="AM175" s="55" t="s">
        <v>174</v>
      </c>
      <c r="AN175" s="55" t="s">
        <v>174</v>
      </c>
      <c r="AO175" s="55" t="s">
        <v>174</v>
      </c>
      <c r="AP175" s="55" t="s">
        <v>174</v>
      </c>
      <c r="AQ175" s="55" t="s">
        <v>174</v>
      </c>
      <c r="AR175" s="28"/>
    </row>
    <row r="176" spans="1:44">
      <c r="A176" s="28"/>
      <c r="B176" s="55" t="s">
        <v>174</v>
      </c>
      <c r="C176" s="55" t="s">
        <v>174</v>
      </c>
      <c r="D176" s="55" t="s">
        <v>174</v>
      </c>
      <c r="E176" s="55" t="s">
        <v>174</v>
      </c>
      <c r="F176" s="55" t="s">
        <v>174</v>
      </c>
      <c r="G176" s="55" t="s">
        <v>174</v>
      </c>
      <c r="H176" s="31"/>
      <c r="I176" s="55" t="s">
        <v>174</v>
      </c>
      <c r="J176" s="55" t="s">
        <v>174</v>
      </c>
      <c r="K176" s="55" t="s">
        <v>174</v>
      </c>
      <c r="L176" s="55" t="s">
        <v>174</v>
      </c>
      <c r="M176" s="55" t="s">
        <v>174</v>
      </c>
      <c r="N176" s="55" t="s">
        <v>174</v>
      </c>
      <c r="O176" s="31"/>
      <c r="P176" s="55" t="s">
        <v>174</v>
      </c>
      <c r="Q176" s="55" t="s">
        <v>174</v>
      </c>
      <c r="R176" s="55" t="s">
        <v>174</v>
      </c>
      <c r="S176" s="55" t="s">
        <v>174</v>
      </c>
      <c r="T176" s="55" t="s">
        <v>174</v>
      </c>
      <c r="U176" s="55" t="s">
        <v>174</v>
      </c>
      <c r="V176" s="28"/>
      <c r="W176" s="28"/>
      <c r="X176" s="52">
        <v>1.843</v>
      </c>
      <c r="Y176" s="49">
        <v>-3.8331</v>
      </c>
      <c r="Z176" s="49">
        <v>0.52459999999999996</v>
      </c>
      <c r="AA176" s="63">
        <v>0</v>
      </c>
      <c r="AB176" s="49">
        <v>-4.8628</v>
      </c>
      <c r="AC176" s="49">
        <v>-2.8033999999999999</v>
      </c>
      <c r="AD176" s="28"/>
      <c r="AE176" s="55" t="s">
        <v>174</v>
      </c>
      <c r="AF176" s="55" t="s">
        <v>174</v>
      </c>
      <c r="AG176" s="55" t="s">
        <v>174</v>
      </c>
      <c r="AH176" s="55" t="s">
        <v>174</v>
      </c>
      <c r="AI176" s="55" t="s">
        <v>174</v>
      </c>
      <c r="AJ176" s="55" t="s">
        <v>174</v>
      </c>
      <c r="AK176" s="28"/>
      <c r="AL176" s="55" t="s">
        <v>174</v>
      </c>
      <c r="AM176" s="55" t="s">
        <v>174</v>
      </c>
      <c r="AN176" s="55" t="s">
        <v>174</v>
      </c>
      <c r="AO176" s="55" t="s">
        <v>174</v>
      </c>
      <c r="AP176" s="55" t="s">
        <v>174</v>
      </c>
      <c r="AQ176" s="55" t="s">
        <v>174</v>
      </c>
      <c r="AR176" s="28"/>
    </row>
    <row r="177" spans="1:44">
      <c r="A177" s="28"/>
      <c r="B177" s="55" t="s">
        <v>174</v>
      </c>
      <c r="C177" s="55" t="s">
        <v>174</v>
      </c>
      <c r="D177" s="55" t="s">
        <v>174</v>
      </c>
      <c r="E177" s="55" t="s">
        <v>174</v>
      </c>
      <c r="F177" s="55" t="s">
        <v>174</v>
      </c>
      <c r="G177" s="55" t="s">
        <v>174</v>
      </c>
      <c r="H177" s="31"/>
      <c r="I177" s="55" t="s">
        <v>174</v>
      </c>
      <c r="J177" s="55" t="s">
        <v>174</v>
      </c>
      <c r="K177" s="55" t="s">
        <v>174</v>
      </c>
      <c r="L177" s="55" t="s">
        <v>174</v>
      </c>
      <c r="M177" s="55" t="s">
        <v>174</v>
      </c>
      <c r="N177" s="55" t="s">
        <v>174</v>
      </c>
      <c r="O177" s="31"/>
      <c r="P177" s="55" t="s">
        <v>174</v>
      </c>
      <c r="Q177" s="55" t="s">
        <v>174</v>
      </c>
      <c r="R177" s="55" t="s">
        <v>174</v>
      </c>
      <c r="S177" s="55" t="s">
        <v>174</v>
      </c>
      <c r="T177" s="55" t="s">
        <v>174</v>
      </c>
      <c r="U177" s="55" t="s">
        <v>174</v>
      </c>
      <c r="V177" s="28"/>
      <c r="W177" s="28"/>
      <c r="X177" s="52">
        <v>1.8915</v>
      </c>
      <c r="Y177" s="49">
        <v>-4.0900999999999996</v>
      </c>
      <c r="Z177" s="49">
        <v>0.56920000000000004</v>
      </c>
      <c r="AA177" s="63">
        <v>0</v>
      </c>
      <c r="AB177" s="49">
        <v>-5.2073999999999998</v>
      </c>
      <c r="AC177" s="49">
        <v>-2.9727000000000001</v>
      </c>
      <c r="AD177" s="28"/>
      <c r="AE177" s="55" t="s">
        <v>174</v>
      </c>
      <c r="AF177" s="55" t="s">
        <v>174</v>
      </c>
      <c r="AG177" s="55" t="s">
        <v>174</v>
      </c>
      <c r="AH177" s="55" t="s">
        <v>174</v>
      </c>
      <c r="AI177" s="55" t="s">
        <v>174</v>
      </c>
      <c r="AJ177" s="55" t="s">
        <v>174</v>
      </c>
      <c r="AK177" s="28"/>
      <c r="AL177" s="55" t="s">
        <v>174</v>
      </c>
      <c r="AM177" s="55" t="s">
        <v>174</v>
      </c>
      <c r="AN177" s="55" t="s">
        <v>174</v>
      </c>
      <c r="AO177" s="55" t="s">
        <v>174</v>
      </c>
      <c r="AP177" s="55" t="s">
        <v>174</v>
      </c>
      <c r="AQ177" s="55" t="s">
        <v>174</v>
      </c>
      <c r="AR177" s="28"/>
    </row>
    <row r="178" spans="1:44">
      <c r="A178" s="28"/>
      <c r="B178" s="55" t="s">
        <v>174</v>
      </c>
      <c r="C178" s="55" t="s">
        <v>174</v>
      </c>
      <c r="D178" s="55" t="s">
        <v>174</v>
      </c>
      <c r="E178" s="55" t="s">
        <v>174</v>
      </c>
      <c r="F178" s="55" t="s">
        <v>174</v>
      </c>
      <c r="G178" s="55" t="s">
        <v>174</v>
      </c>
      <c r="H178" s="31"/>
      <c r="I178" s="55" t="s">
        <v>174</v>
      </c>
      <c r="J178" s="55" t="s">
        <v>174</v>
      </c>
      <c r="K178" s="55" t="s">
        <v>174</v>
      </c>
      <c r="L178" s="55" t="s">
        <v>174</v>
      </c>
      <c r="M178" s="55" t="s">
        <v>174</v>
      </c>
      <c r="N178" s="55" t="s">
        <v>174</v>
      </c>
      <c r="O178" s="31"/>
      <c r="P178" s="55" t="s">
        <v>174</v>
      </c>
      <c r="Q178" s="55" t="s">
        <v>174</v>
      </c>
      <c r="R178" s="55" t="s">
        <v>174</v>
      </c>
      <c r="S178" s="55" t="s">
        <v>174</v>
      </c>
      <c r="T178" s="55" t="s">
        <v>174</v>
      </c>
      <c r="U178" s="55" t="s">
        <v>174</v>
      </c>
      <c r="V178" s="28"/>
      <c r="W178" s="28"/>
      <c r="X178" s="52">
        <v>1.94</v>
      </c>
      <c r="Y178" s="49">
        <v>-4.3470000000000004</v>
      </c>
      <c r="Z178" s="49">
        <v>0.61499999999999999</v>
      </c>
      <c r="AA178" s="63">
        <v>0</v>
      </c>
      <c r="AB178" s="49">
        <v>-5.5542999999999996</v>
      </c>
      <c r="AC178" s="49">
        <v>-3.1398000000000001</v>
      </c>
      <c r="AD178" s="28"/>
      <c r="AE178" s="55" t="s">
        <v>174</v>
      </c>
      <c r="AF178" s="55" t="s">
        <v>174</v>
      </c>
      <c r="AG178" s="55" t="s">
        <v>174</v>
      </c>
      <c r="AH178" s="55" t="s">
        <v>174</v>
      </c>
      <c r="AI178" s="55" t="s">
        <v>174</v>
      </c>
      <c r="AJ178" s="55" t="s">
        <v>174</v>
      </c>
      <c r="AK178" s="28"/>
      <c r="AL178" s="55" t="s">
        <v>174</v>
      </c>
      <c r="AM178" s="55" t="s">
        <v>174</v>
      </c>
      <c r="AN178" s="55" t="s">
        <v>174</v>
      </c>
      <c r="AO178" s="55" t="s">
        <v>174</v>
      </c>
      <c r="AP178" s="55" t="s">
        <v>174</v>
      </c>
      <c r="AQ178" s="55" t="s">
        <v>174</v>
      </c>
      <c r="AR178" s="28"/>
    </row>
    <row r="179" spans="1:44">
      <c r="A179" s="28"/>
      <c r="B179" s="322" t="s">
        <v>95</v>
      </c>
      <c r="C179" s="299"/>
      <c r="D179" s="299"/>
      <c r="E179" s="299"/>
      <c r="F179" s="299"/>
      <c r="G179" s="299"/>
      <c r="H179" s="31"/>
      <c r="I179" s="322" t="s">
        <v>96</v>
      </c>
      <c r="J179" s="299"/>
      <c r="K179" s="299"/>
      <c r="L179" s="299"/>
      <c r="M179" s="299"/>
      <c r="N179" s="299"/>
      <c r="O179" s="31"/>
      <c r="P179" s="322" t="s">
        <v>103</v>
      </c>
      <c r="Q179" s="299"/>
      <c r="R179" s="299"/>
      <c r="S179" s="299"/>
      <c r="T179" s="299"/>
      <c r="U179" s="299"/>
      <c r="V179" s="28"/>
      <c r="W179" s="28"/>
      <c r="X179" s="322" t="s">
        <v>95</v>
      </c>
      <c r="Y179" s="299"/>
      <c r="Z179" s="299"/>
      <c r="AA179" s="299"/>
      <c r="AB179" s="299"/>
      <c r="AC179" s="299"/>
      <c r="AD179" s="28"/>
      <c r="AE179" s="322" t="s">
        <v>96</v>
      </c>
      <c r="AF179" s="299"/>
      <c r="AG179" s="299"/>
      <c r="AH179" s="299"/>
      <c r="AI179" s="299"/>
      <c r="AJ179" s="299"/>
      <c r="AK179" s="28"/>
      <c r="AL179" s="322" t="s">
        <v>103</v>
      </c>
      <c r="AM179" s="299"/>
      <c r="AN179" s="299"/>
      <c r="AO179" s="299"/>
      <c r="AP179" s="299"/>
      <c r="AQ179" s="299"/>
      <c r="AR179" s="28"/>
    </row>
    <row r="180" spans="1:44">
      <c r="A180" s="28"/>
      <c r="B180" s="321" t="s">
        <v>165</v>
      </c>
      <c r="C180" s="321"/>
      <c r="D180" s="321"/>
      <c r="E180" s="321"/>
      <c r="F180" s="321"/>
      <c r="G180" s="321"/>
      <c r="H180" s="31"/>
      <c r="I180" s="321" t="s">
        <v>165</v>
      </c>
      <c r="J180" s="321"/>
      <c r="K180" s="321"/>
      <c r="L180" s="321"/>
      <c r="M180" s="321"/>
      <c r="N180" s="321"/>
      <c r="O180" s="31"/>
      <c r="P180" s="321" t="s">
        <v>165</v>
      </c>
      <c r="Q180" s="321"/>
      <c r="R180" s="321"/>
      <c r="S180" s="321"/>
      <c r="T180" s="321"/>
      <c r="U180" s="321"/>
      <c r="V180" s="28"/>
      <c r="W180" s="28"/>
      <c r="X180" s="321" t="s">
        <v>192</v>
      </c>
      <c r="Y180" s="321"/>
      <c r="Z180" s="321"/>
      <c r="AA180" s="321"/>
      <c r="AB180" s="321"/>
      <c r="AC180" s="321"/>
      <c r="AD180" s="28"/>
      <c r="AE180" s="321" t="s">
        <v>192</v>
      </c>
      <c r="AF180" s="321"/>
      <c r="AG180" s="321"/>
      <c r="AH180" s="321"/>
      <c r="AI180" s="321"/>
      <c r="AJ180" s="321"/>
      <c r="AK180" s="28"/>
      <c r="AL180" s="321" t="s">
        <v>192</v>
      </c>
      <c r="AM180" s="321"/>
      <c r="AN180" s="321"/>
      <c r="AO180" s="321"/>
      <c r="AP180" s="321"/>
      <c r="AQ180" s="321"/>
      <c r="AR180" s="28"/>
    </row>
    <row r="181" spans="1:44" ht="15.75">
      <c r="A181" s="28"/>
      <c r="B181" s="319" t="s">
        <v>155</v>
      </c>
      <c r="C181" s="319"/>
      <c r="D181" s="319" t="s">
        <v>166</v>
      </c>
      <c r="E181" s="319"/>
      <c r="F181" s="319" t="s">
        <v>156</v>
      </c>
      <c r="G181" s="319"/>
      <c r="H181" s="28"/>
      <c r="I181" s="319" t="s">
        <v>155</v>
      </c>
      <c r="J181" s="319"/>
      <c r="K181" s="319" t="s">
        <v>166</v>
      </c>
      <c r="L181" s="319"/>
      <c r="M181" s="319" t="s">
        <v>156</v>
      </c>
      <c r="N181" s="319"/>
      <c r="O181" s="28"/>
      <c r="P181" s="319" t="s">
        <v>155</v>
      </c>
      <c r="Q181" s="319"/>
      <c r="R181" s="319" t="s">
        <v>166</v>
      </c>
      <c r="S181" s="319"/>
      <c r="T181" s="319" t="s">
        <v>156</v>
      </c>
      <c r="U181" s="319"/>
      <c r="V181" s="28"/>
      <c r="W181" s="28"/>
      <c r="X181" s="319" t="s">
        <v>155</v>
      </c>
      <c r="Y181" s="319"/>
      <c r="Z181" s="319" t="s">
        <v>166</v>
      </c>
      <c r="AA181" s="319"/>
      <c r="AB181" s="319" t="s">
        <v>156</v>
      </c>
      <c r="AC181" s="319"/>
      <c r="AD181" s="28"/>
      <c r="AE181" s="319" t="s">
        <v>155</v>
      </c>
      <c r="AF181" s="319"/>
      <c r="AG181" s="319" t="s">
        <v>166</v>
      </c>
      <c r="AH181" s="319"/>
      <c r="AI181" s="319" t="s">
        <v>156</v>
      </c>
      <c r="AJ181" s="319"/>
      <c r="AK181" s="28"/>
      <c r="AL181" s="319" t="s">
        <v>155</v>
      </c>
      <c r="AM181" s="319"/>
      <c r="AN181" s="319" t="s">
        <v>166</v>
      </c>
      <c r="AO181" s="319"/>
      <c r="AP181" s="319" t="s">
        <v>156</v>
      </c>
      <c r="AQ181" s="319"/>
      <c r="AR181" s="28"/>
    </row>
    <row r="182" spans="1:44">
      <c r="A182" s="28"/>
      <c r="B182" s="320">
        <v>0.42799999999999999</v>
      </c>
      <c r="C182" s="320"/>
      <c r="D182" s="320">
        <v>0.1832</v>
      </c>
      <c r="E182" s="320"/>
      <c r="F182" s="317" t="s">
        <v>170</v>
      </c>
      <c r="G182" s="317"/>
      <c r="H182" s="28"/>
      <c r="I182" s="320">
        <v>0.60809999999999997</v>
      </c>
      <c r="J182" s="320"/>
      <c r="K182" s="320">
        <v>0.36980000000000002</v>
      </c>
      <c r="L182" s="320"/>
      <c r="M182" s="317" t="s">
        <v>170</v>
      </c>
      <c r="N182" s="317"/>
      <c r="O182" s="28"/>
      <c r="P182" s="320">
        <v>0.62409999999999999</v>
      </c>
      <c r="Q182" s="320"/>
      <c r="R182" s="320">
        <v>0.3896</v>
      </c>
      <c r="S182" s="320"/>
      <c r="T182" s="317" t="s">
        <v>170</v>
      </c>
      <c r="U182" s="317"/>
      <c r="V182" s="28"/>
      <c r="W182" s="28"/>
      <c r="X182" s="320">
        <v>0.42870000000000003</v>
      </c>
      <c r="Y182" s="320"/>
      <c r="Z182" s="320">
        <v>0.18379999999999999</v>
      </c>
      <c r="AA182" s="320"/>
      <c r="AB182" s="317" t="s">
        <v>170</v>
      </c>
      <c r="AC182" s="317"/>
      <c r="AD182" s="28"/>
      <c r="AE182" s="320">
        <v>0.6038</v>
      </c>
      <c r="AF182" s="320"/>
      <c r="AG182" s="320">
        <v>0.36459999999999998</v>
      </c>
      <c r="AH182" s="320"/>
      <c r="AI182" s="317" t="s">
        <v>170</v>
      </c>
      <c r="AJ182" s="317"/>
      <c r="AK182" s="28"/>
      <c r="AL182" s="320">
        <v>0.6149</v>
      </c>
      <c r="AM182" s="320"/>
      <c r="AN182" s="320">
        <v>0.37809999999999999</v>
      </c>
      <c r="AO182" s="320"/>
      <c r="AP182" s="317" t="s">
        <v>170</v>
      </c>
      <c r="AQ182" s="317"/>
      <c r="AR182" s="28"/>
    </row>
    <row r="183" spans="1:44">
      <c r="A183" s="28"/>
      <c r="B183" s="318" t="s">
        <v>154</v>
      </c>
      <c r="C183" s="318"/>
      <c r="D183" s="318"/>
      <c r="E183" s="318"/>
      <c r="F183" s="318"/>
      <c r="G183" s="318"/>
      <c r="H183" s="28"/>
      <c r="I183" s="318" t="s">
        <v>154</v>
      </c>
      <c r="J183" s="318"/>
      <c r="K183" s="318"/>
      <c r="L183" s="318"/>
      <c r="M183" s="318"/>
      <c r="N183" s="318"/>
      <c r="O183" s="28"/>
      <c r="P183" s="318" t="s">
        <v>154</v>
      </c>
      <c r="Q183" s="318"/>
      <c r="R183" s="318"/>
      <c r="S183" s="318"/>
      <c r="T183" s="318"/>
      <c r="U183" s="318"/>
      <c r="V183" s="28"/>
      <c r="W183" s="28"/>
      <c r="X183" s="318" t="s">
        <v>154</v>
      </c>
      <c r="Y183" s="318"/>
      <c r="Z183" s="318"/>
      <c r="AA183" s="318"/>
      <c r="AB183" s="318"/>
      <c r="AC183" s="318"/>
      <c r="AD183" s="28"/>
      <c r="AE183" s="318" t="s">
        <v>154</v>
      </c>
      <c r="AF183" s="318"/>
      <c r="AG183" s="318"/>
      <c r="AH183" s="318"/>
      <c r="AI183" s="318"/>
      <c r="AJ183" s="318"/>
      <c r="AK183" s="28"/>
      <c r="AL183" s="318" t="s">
        <v>154</v>
      </c>
      <c r="AM183" s="318"/>
      <c r="AN183" s="318"/>
      <c r="AO183" s="318"/>
      <c r="AP183" s="318"/>
      <c r="AQ183" s="318"/>
      <c r="AR183" s="28"/>
    </row>
    <row r="184" spans="1:44">
      <c r="A184" s="28"/>
      <c r="B184" s="33"/>
      <c r="C184" s="34" t="s">
        <v>158</v>
      </c>
      <c r="D184" s="34" t="s">
        <v>159</v>
      </c>
      <c r="E184" s="34" t="s">
        <v>151</v>
      </c>
      <c r="F184" s="34" t="s">
        <v>171</v>
      </c>
      <c r="G184" s="34" t="s">
        <v>172</v>
      </c>
      <c r="H184" s="28"/>
      <c r="I184" s="33"/>
      <c r="J184" s="34" t="s">
        <v>158</v>
      </c>
      <c r="K184" s="34" t="s">
        <v>159</v>
      </c>
      <c r="L184" s="34" t="s">
        <v>151</v>
      </c>
      <c r="M184" s="34" t="s">
        <v>171</v>
      </c>
      <c r="N184" s="34" t="s">
        <v>172</v>
      </c>
      <c r="O184" s="28"/>
      <c r="P184" s="33"/>
      <c r="Q184" s="34" t="s">
        <v>158</v>
      </c>
      <c r="R184" s="34" t="s">
        <v>159</v>
      </c>
      <c r="S184" s="34" t="s">
        <v>151</v>
      </c>
      <c r="T184" s="34" t="s">
        <v>171</v>
      </c>
      <c r="U184" s="34" t="s">
        <v>172</v>
      </c>
      <c r="V184" s="28"/>
      <c r="W184" s="28"/>
      <c r="X184" s="33"/>
      <c r="Y184" s="34" t="s">
        <v>158</v>
      </c>
      <c r="Z184" s="34" t="s">
        <v>159</v>
      </c>
      <c r="AA184" s="34" t="s">
        <v>151</v>
      </c>
      <c r="AB184" s="34" t="s">
        <v>171</v>
      </c>
      <c r="AC184" s="34" t="s">
        <v>172</v>
      </c>
      <c r="AD184" s="28"/>
      <c r="AE184" s="33"/>
      <c r="AF184" s="34" t="s">
        <v>158</v>
      </c>
      <c r="AG184" s="34" t="s">
        <v>159</v>
      </c>
      <c r="AH184" s="34" t="s">
        <v>151</v>
      </c>
      <c r="AI184" s="34" t="s">
        <v>171</v>
      </c>
      <c r="AJ184" s="34" t="s">
        <v>172</v>
      </c>
      <c r="AK184" s="28"/>
      <c r="AL184" s="33"/>
      <c r="AM184" s="34" t="s">
        <v>158</v>
      </c>
      <c r="AN184" s="34" t="s">
        <v>159</v>
      </c>
      <c r="AO184" s="34" t="s">
        <v>151</v>
      </c>
      <c r="AP184" s="34" t="s">
        <v>171</v>
      </c>
      <c r="AQ184" s="34" t="s">
        <v>172</v>
      </c>
      <c r="AR184" s="28"/>
    </row>
    <row r="185" spans="1:44">
      <c r="A185" s="28"/>
      <c r="B185" s="32" t="s">
        <v>160</v>
      </c>
      <c r="C185" s="38">
        <v>0.51160000000000005</v>
      </c>
      <c r="D185" s="38">
        <v>1.9400000000000001E-2</v>
      </c>
      <c r="E185" s="38">
        <v>0</v>
      </c>
      <c r="F185" s="38">
        <v>0.47349999999999998</v>
      </c>
      <c r="G185" s="38">
        <v>0.54959999999999998</v>
      </c>
      <c r="H185" s="28"/>
      <c r="I185" s="32" t="s">
        <v>160</v>
      </c>
      <c r="J185" s="38">
        <v>0.80289999999999995</v>
      </c>
      <c r="K185" s="38">
        <v>2.47E-2</v>
      </c>
      <c r="L185" s="38">
        <v>0</v>
      </c>
      <c r="M185" s="38">
        <v>0.75439999999999996</v>
      </c>
      <c r="N185" s="38">
        <v>0.85140000000000005</v>
      </c>
      <c r="O185" s="28"/>
      <c r="P185" s="32" t="s">
        <v>160</v>
      </c>
      <c r="Q185" s="56">
        <v>0.48320000000000002</v>
      </c>
      <c r="R185" s="56">
        <v>3.09E-2</v>
      </c>
      <c r="S185" s="56">
        <v>0</v>
      </c>
      <c r="T185" s="56">
        <v>0.42270000000000002</v>
      </c>
      <c r="U185" s="56">
        <v>0.54379999999999995</v>
      </c>
      <c r="V185" s="28"/>
      <c r="W185" s="28"/>
      <c r="X185" s="40" t="s">
        <v>160</v>
      </c>
      <c r="Y185" s="85">
        <v>0.49980000000000002</v>
      </c>
      <c r="Z185" s="85">
        <v>2.35E-2</v>
      </c>
      <c r="AA185" s="85">
        <v>0</v>
      </c>
      <c r="AB185" s="85">
        <v>0.45369999999999999</v>
      </c>
      <c r="AC185" s="85">
        <v>0.54579999999999995</v>
      </c>
      <c r="AD185" s="28"/>
      <c r="AE185" s="40" t="s">
        <v>160</v>
      </c>
      <c r="AF185" s="85">
        <v>0.79569999999999996</v>
      </c>
      <c r="AG185" s="85">
        <v>3.0599999999999999E-2</v>
      </c>
      <c r="AH185" s="85">
        <v>0</v>
      </c>
      <c r="AI185" s="85">
        <v>0.73560000000000003</v>
      </c>
      <c r="AJ185" s="85">
        <v>0.85570000000000002</v>
      </c>
      <c r="AK185" s="28"/>
      <c r="AL185" s="40" t="s">
        <v>160</v>
      </c>
      <c r="AM185" s="85">
        <v>0.47520000000000001</v>
      </c>
      <c r="AN185" s="85">
        <v>3.7499999999999999E-2</v>
      </c>
      <c r="AO185" s="85">
        <v>0</v>
      </c>
      <c r="AP185" s="85">
        <v>0.40160000000000001</v>
      </c>
      <c r="AQ185" s="85">
        <v>0.54890000000000005</v>
      </c>
      <c r="AR185" s="28"/>
    </row>
    <row r="186" spans="1:44">
      <c r="A186" s="28"/>
      <c r="B186" s="40" t="s">
        <v>161</v>
      </c>
      <c r="C186" s="38">
        <v>-1.1999999999999999E-3</v>
      </c>
      <c r="D186" s="38">
        <v>8.9999999999999993E-3</v>
      </c>
      <c r="E186" s="38">
        <v>0.89410000000000001</v>
      </c>
      <c r="F186" s="38">
        <v>-1.89E-2</v>
      </c>
      <c r="G186" s="38">
        <v>1.6500000000000001E-2</v>
      </c>
      <c r="H186" s="28"/>
      <c r="I186" s="40" t="s">
        <v>161</v>
      </c>
      <c r="J186" s="38">
        <v>-1.8E-3</v>
      </c>
      <c r="K186" s="38">
        <v>1.11E-2</v>
      </c>
      <c r="L186" s="38">
        <v>0.87070000000000003</v>
      </c>
      <c r="M186" s="38">
        <v>-2.35E-2</v>
      </c>
      <c r="N186" s="38">
        <v>1.9900000000000001E-2</v>
      </c>
      <c r="O186" s="28"/>
      <c r="P186" s="40" t="s">
        <v>161</v>
      </c>
      <c r="Q186" s="54">
        <v>-1.1900000000000001E-2</v>
      </c>
      <c r="R186" s="54">
        <v>1.34E-2</v>
      </c>
      <c r="S186" s="54">
        <v>0.3735</v>
      </c>
      <c r="T186" s="54">
        <v>-3.8199999999999998E-2</v>
      </c>
      <c r="U186" s="54">
        <v>1.44E-2</v>
      </c>
      <c r="V186" s="28"/>
      <c r="W186" s="28"/>
      <c r="X186" s="40" t="s">
        <v>161</v>
      </c>
      <c r="Y186" s="85">
        <v>2.5499999999999998E-2</v>
      </c>
      <c r="Z186" s="85">
        <v>3.3300000000000003E-2</v>
      </c>
      <c r="AA186" s="85">
        <v>0.44309999999999999</v>
      </c>
      <c r="AB186" s="85">
        <v>-3.9800000000000002E-2</v>
      </c>
      <c r="AC186" s="85">
        <v>9.0800000000000006E-2</v>
      </c>
      <c r="AD186" s="28"/>
      <c r="AE186" s="40" t="s">
        <v>161</v>
      </c>
      <c r="AF186" s="85">
        <v>3.3099999999999997E-2</v>
      </c>
      <c r="AG186" s="85">
        <v>4.4600000000000001E-2</v>
      </c>
      <c r="AH186" s="85">
        <v>0.45739999999999997</v>
      </c>
      <c r="AI186" s="85">
        <v>-5.4300000000000001E-2</v>
      </c>
      <c r="AJ186" s="85">
        <v>0.1206</v>
      </c>
      <c r="AK186" s="28"/>
      <c r="AL186" s="40" t="s">
        <v>161</v>
      </c>
      <c r="AM186" s="85">
        <v>3.44E-2</v>
      </c>
      <c r="AN186" s="85">
        <v>5.6099999999999997E-2</v>
      </c>
      <c r="AO186" s="85">
        <v>0.53969999999999996</v>
      </c>
      <c r="AP186" s="85">
        <v>-7.5700000000000003E-2</v>
      </c>
      <c r="AQ186" s="85">
        <v>0.14460000000000001</v>
      </c>
      <c r="AR186" s="28"/>
    </row>
    <row r="187" spans="1:44">
      <c r="A187" s="28"/>
      <c r="B187" s="39" t="s">
        <v>162</v>
      </c>
      <c r="C187" s="38">
        <v>2.7000000000000001E-3</v>
      </c>
      <c r="D187" s="38">
        <v>4.0000000000000002E-4</v>
      </c>
      <c r="E187" s="37">
        <v>0</v>
      </c>
      <c r="F187" s="38">
        <v>2E-3</v>
      </c>
      <c r="G187" s="38">
        <v>3.3999999999999998E-3</v>
      </c>
      <c r="H187" s="28"/>
      <c r="I187" s="39" t="s">
        <v>162</v>
      </c>
      <c r="J187" s="38">
        <v>5.4000000000000003E-3</v>
      </c>
      <c r="K187" s="38">
        <v>2.9999999999999997E-4</v>
      </c>
      <c r="L187" s="37">
        <v>0</v>
      </c>
      <c r="M187" s="38">
        <v>4.7999999999999996E-3</v>
      </c>
      <c r="N187" s="38">
        <v>6.1000000000000004E-3</v>
      </c>
      <c r="O187" s="28"/>
      <c r="P187" s="39" t="s">
        <v>162</v>
      </c>
      <c r="Q187" s="54">
        <v>4.7000000000000002E-3</v>
      </c>
      <c r="R187" s="54">
        <v>4.0000000000000002E-4</v>
      </c>
      <c r="S187" s="57">
        <v>0</v>
      </c>
      <c r="T187" s="54">
        <v>4.0000000000000001E-3</v>
      </c>
      <c r="U187" s="54">
        <v>5.4000000000000003E-3</v>
      </c>
      <c r="V187" s="28"/>
      <c r="W187" s="28"/>
      <c r="X187" s="40" t="s">
        <v>164</v>
      </c>
      <c r="Y187" s="85">
        <v>2.1100000000000001E-2</v>
      </c>
      <c r="Z187" s="85">
        <v>1.6899999999999998E-2</v>
      </c>
      <c r="AA187" s="85">
        <v>0.21410000000000001</v>
      </c>
      <c r="AB187" s="85">
        <v>-1.2200000000000001E-2</v>
      </c>
      <c r="AC187" s="85">
        <v>5.4300000000000001E-2</v>
      </c>
      <c r="AD187" s="28"/>
      <c r="AE187" s="39" t="s">
        <v>164</v>
      </c>
      <c r="AF187" s="85">
        <v>-0.29499999999999998</v>
      </c>
      <c r="AG187" s="85">
        <v>2.0899999999999998E-2</v>
      </c>
      <c r="AH187" s="63">
        <v>0</v>
      </c>
      <c r="AI187" s="85">
        <v>-0.33600000000000002</v>
      </c>
      <c r="AJ187" s="85">
        <v>-0.254</v>
      </c>
      <c r="AK187" s="28"/>
      <c r="AL187" s="39" t="s">
        <v>164</v>
      </c>
      <c r="AM187" s="85">
        <v>-0.12709999999999999</v>
      </c>
      <c r="AN187" s="85">
        <v>2.52E-2</v>
      </c>
      <c r="AO187" s="63">
        <v>0</v>
      </c>
      <c r="AP187" s="85">
        <v>-0.17660000000000001</v>
      </c>
      <c r="AQ187" s="85">
        <v>-7.7600000000000002E-2</v>
      </c>
      <c r="AR187" s="28"/>
    </row>
    <row r="188" spans="1:44">
      <c r="A188" s="28"/>
      <c r="B188" s="32" t="s">
        <v>163</v>
      </c>
      <c r="C188" s="38">
        <v>-2.0000000000000001E-4</v>
      </c>
      <c r="D188" s="38">
        <v>4.0000000000000002E-4</v>
      </c>
      <c r="E188" s="38">
        <v>0.60980000000000001</v>
      </c>
      <c r="F188" s="38">
        <v>-1E-3</v>
      </c>
      <c r="G188" s="38">
        <v>5.9999999999999995E-4</v>
      </c>
      <c r="H188" s="28"/>
      <c r="I188" s="39" t="s">
        <v>163</v>
      </c>
      <c r="J188" s="38">
        <v>1.1999999999999999E-3</v>
      </c>
      <c r="K188" s="38">
        <v>4.0000000000000002E-4</v>
      </c>
      <c r="L188" s="37">
        <v>1.8E-3</v>
      </c>
      <c r="M188" s="38">
        <v>5.0000000000000001E-4</v>
      </c>
      <c r="N188" s="38">
        <v>2E-3</v>
      </c>
      <c r="O188" s="28"/>
      <c r="P188" s="39" t="s">
        <v>163</v>
      </c>
      <c r="Q188" s="54">
        <v>1.6999999999999999E-3</v>
      </c>
      <c r="R188" s="54">
        <v>4.0000000000000002E-4</v>
      </c>
      <c r="S188" s="57">
        <v>1E-4</v>
      </c>
      <c r="T188" s="54">
        <v>8.0000000000000004E-4</v>
      </c>
      <c r="U188" s="54">
        <v>2.5999999999999999E-3</v>
      </c>
      <c r="V188" s="28"/>
      <c r="W188" s="28"/>
      <c r="X188" s="32" t="s">
        <v>193</v>
      </c>
      <c r="Y188" s="85">
        <v>-2.1100000000000001E-2</v>
      </c>
      <c r="Z188" s="85">
        <v>2.29E-2</v>
      </c>
      <c r="AA188" s="85">
        <v>0.35649999999999998</v>
      </c>
      <c r="AB188" s="85">
        <v>-6.6000000000000003E-2</v>
      </c>
      <c r="AC188" s="85">
        <v>2.3800000000000002E-2</v>
      </c>
      <c r="AD188" s="28"/>
      <c r="AE188" s="40" t="s">
        <v>193</v>
      </c>
      <c r="AF188" s="85">
        <v>-5.1000000000000004E-3</v>
      </c>
      <c r="AG188" s="85">
        <v>2.9000000000000001E-2</v>
      </c>
      <c r="AH188" s="85">
        <v>0.86040000000000005</v>
      </c>
      <c r="AI188" s="85">
        <v>-6.2E-2</v>
      </c>
      <c r="AJ188" s="85">
        <v>5.1799999999999999E-2</v>
      </c>
      <c r="AK188" s="28"/>
      <c r="AL188" s="40" t="s">
        <v>193</v>
      </c>
      <c r="AM188" s="85">
        <v>-4.4000000000000003E-3</v>
      </c>
      <c r="AN188" s="85">
        <v>3.6600000000000001E-2</v>
      </c>
      <c r="AO188" s="85">
        <v>0.90490000000000004</v>
      </c>
      <c r="AP188" s="85">
        <v>-7.6100000000000001E-2</v>
      </c>
      <c r="AQ188" s="85">
        <v>6.7400000000000002E-2</v>
      </c>
      <c r="AR188" s="28"/>
    </row>
    <row r="189" spans="1:44">
      <c r="A189" s="28"/>
      <c r="B189" s="47" t="s">
        <v>164</v>
      </c>
      <c r="C189" s="46">
        <v>1.18E-2</v>
      </c>
      <c r="D189" s="46">
        <v>1.47E-2</v>
      </c>
      <c r="E189" s="46">
        <v>0.42199999999999999</v>
      </c>
      <c r="F189" s="46">
        <v>-1.7000000000000001E-2</v>
      </c>
      <c r="G189" s="46">
        <v>4.0599999999999997E-2</v>
      </c>
      <c r="H189" s="28"/>
      <c r="I189" s="42" t="s">
        <v>164</v>
      </c>
      <c r="J189" s="38">
        <v>-0.29020000000000001</v>
      </c>
      <c r="K189" s="38">
        <v>1.7399999999999999E-2</v>
      </c>
      <c r="L189" s="37">
        <v>0</v>
      </c>
      <c r="M189" s="38">
        <v>-0.32440000000000002</v>
      </c>
      <c r="N189" s="38">
        <v>-0.25600000000000001</v>
      </c>
      <c r="O189" s="28"/>
      <c r="P189" s="42" t="s">
        <v>164</v>
      </c>
      <c r="Q189" s="46">
        <v>-0.11890000000000001</v>
      </c>
      <c r="R189" s="46">
        <v>2.1399999999999999E-2</v>
      </c>
      <c r="S189" s="44">
        <v>0</v>
      </c>
      <c r="T189" s="46">
        <v>-0.161</v>
      </c>
      <c r="U189" s="46">
        <v>-7.6799999999999993E-2</v>
      </c>
      <c r="V189" s="28"/>
      <c r="W189" s="28"/>
      <c r="X189" s="42" t="s">
        <v>162</v>
      </c>
      <c r="Y189" s="91">
        <v>2.5999999999999999E-3</v>
      </c>
      <c r="Z189" s="91">
        <v>2.9999999999999997E-4</v>
      </c>
      <c r="AA189" s="64">
        <v>0</v>
      </c>
      <c r="AB189" s="91">
        <v>2.0999999999999999E-3</v>
      </c>
      <c r="AC189" s="91">
        <v>3.0999999999999999E-3</v>
      </c>
      <c r="AD189" s="28"/>
      <c r="AE189" s="42" t="s">
        <v>162</v>
      </c>
      <c r="AF189" s="91">
        <v>6.1000000000000004E-3</v>
      </c>
      <c r="AG189" s="91">
        <v>2.0000000000000001E-4</v>
      </c>
      <c r="AH189" s="64">
        <v>0</v>
      </c>
      <c r="AI189" s="91">
        <v>5.5999999999999999E-3</v>
      </c>
      <c r="AJ189" s="91">
        <v>6.6E-3</v>
      </c>
      <c r="AK189" s="28"/>
      <c r="AL189" s="42" t="s">
        <v>162</v>
      </c>
      <c r="AM189" s="91">
        <v>5.4999999999999997E-3</v>
      </c>
      <c r="AN189" s="91">
        <v>2.9999999999999997E-4</v>
      </c>
      <c r="AO189" s="64">
        <v>0</v>
      </c>
      <c r="AP189" s="91">
        <v>5.0000000000000001E-3</v>
      </c>
      <c r="AQ189" s="91">
        <v>6.1000000000000004E-3</v>
      </c>
      <c r="AR189" s="28"/>
    </row>
    <row r="190" spans="1:44">
      <c r="A190" s="28"/>
      <c r="B190" s="55" t="s">
        <v>174</v>
      </c>
      <c r="C190" s="55" t="s">
        <v>174</v>
      </c>
      <c r="D190" s="55" t="s">
        <v>174</v>
      </c>
      <c r="E190" s="55" t="s">
        <v>174</v>
      </c>
      <c r="F190" s="55" t="s">
        <v>174</v>
      </c>
      <c r="G190" s="55" t="s">
        <v>174</v>
      </c>
      <c r="H190" s="28"/>
      <c r="I190" s="323" t="s">
        <v>173</v>
      </c>
      <c r="J190" s="323"/>
      <c r="K190" s="323"/>
      <c r="L190" s="323"/>
      <c r="M190" s="323"/>
      <c r="N190" s="323"/>
      <c r="O190" s="28"/>
      <c r="P190" s="323" t="s">
        <v>173</v>
      </c>
      <c r="Q190" s="323"/>
      <c r="R190" s="323"/>
      <c r="S190" s="323"/>
      <c r="T190" s="323"/>
      <c r="U190" s="323"/>
      <c r="V190" s="28"/>
      <c r="W190" s="28"/>
      <c r="X190" s="55" t="s">
        <v>174</v>
      </c>
      <c r="Y190" s="55" t="s">
        <v>174</v>
      </c>
      <c r="Z190" s="55" t="s">
        <v>174</v>
      </c>
      <c r="AA190" s="55" t="s">
        <v>174</v>
      </c>
      <c r="AB190" s="55" t="s">
        <v>174</v>
      </c>
      <c r="AC190" s="55" t="s">
        <v>174</v>
      </c>
      <c r="AD190" s="28"/>
      <c r="AE190" s="55" t="s">
        <v>174</v>
      </c>
      <c r="AF190" s="55" t="s">
        <v>174</v>
      </c>
      <c r="AG190" s="55" t="s">
        <v>174</v>
      </c>
      <c r="AH190" s="55" t="s">
        <v>174</v>
      </c>
      <c r="AI190" s="55" t="s">
        <v>174</v>
      </c>
      <c r="AJ190" s="55" t="s">
        <v>174</v>
      </c>
      <c r="AK190" s="28"/>
      <c r="AL190" s="55" t="s">
        <v>174</v>
      </c>
      <c r="AM190" s="55" t="s">
        <v>174</v>
      </c>
      <c r="AN190" s="55" t="s">
        <v>174</v>
      </c>
      <c r="AO190" s="55" t="s">
        <v>174</v>
      </c>
      <c r="AP190" s="55" t="s">
        <v>174</v>
      </c>
      <c r="AQ190" s="55" t="s">
        <v>174</v>
      </c>
      <c r="AR190" s="28"/>
    </row>
    <row r="191" spans="1:44">
      <c r="A191" s="28"/>
      <c r="B191" s="55" t="s">
        <v>174</v>
      </c>
      <c r="C191" s="55" t="s">
        <v>174</v>
      </c>
      <c r="D191" s="55" t="s">
        <v>174</v>
      </c>
      <c r="E191" s="55" t="s">
        <v>174</v>
      </c>
      <c r="F191" s="55" t="s">
        <v>174</v>
      </c>
      <c r="G191" s="55" t="s">
        <v>174</v>
      </c>
      <c r="H191" s="28"/>
      <c r="I191" s="53" t="s">
        <v>162</v>
      </c>
      <c r="J191" s="34" t="s">
        <v>167</v>
      </c>
      <c r="K191" s="34" t="s">
        <v>8</v>
      </c>
      <c r="L191" s="34" t="s">
        <v>156</v>
      </c>
      <c r="M191" s="34" t="s">
        <v>168</v>
      </c>
      <c r="N191" s="34" t="s">
        <v>169</v>
      </c>
      <c r="O191" s="28"/>
      <c r="P191" s="53" t="s">
        <v>162</v>
      </c>
      <c r="Q191" s="34" t="s">
        <v>167</v>
      </c>
      <c r="R191" s="34" t="s">
        <v>8</v>
      </c>
      <c r="S191" s="34" t="s">
        <v>156</v>
      </c>
      <c r="T191" s="34" t="s">
        <v>168</v>
      </c>
      <c r="U191" s="34" t="s">
        <v>169</v>
      </c>
      <c r="V191" s="28"/>
      <c r="W191" s="28"/>
      <c r="X191" s="55" t="s">
        <v>174</v>
      </c>
      <c r="Y191" s="55" t="s">
        <v>174</v>
      </c>
      <c r="Z191" s="55" t="s">
        <v>174</v>
      </c>
      <c r="AA191" s="55" t="s">
        <v>174</v>
      </c>
      <c r="AB191" s="55" t="s">
        <v>174</v>
      </c>
      <c r="AC191" s="55" t="s">
        <v>174</v>
      </c>
      <c r="AD191" s="28"/>
      <c r="AE191" s="55" t="s">
        <v>174</v>
      </c>
      <c r="AF191" s="55" t="s">
        <v>174</v>
      </c>
      <c r="AG191" s="55" t="s">
        <v>174</v>
      </c>
      <c r="AH191" s="55" t="s">
        <v>174</v>
      </c>
      <c r="AI191" s="55" t="s">
        <v>174</v>
      </c>
      <c r="AJ191" s="55" t="s">
        <v>174</v>
      </c>
      <c r="AK191" s="28"/>
      <c r="AL191" s="55" t="s">
        <v>174</v>
      </c>
      <c r="AM191" s="55" t="s">
        <v>174</v>
      </c>
      <c r="AN191" s="55" t="s">
        <v>174</v>
      </c>
      <c r="AO191" s="55" t="s">
        <v>174</v>
      </c>
      <c r="AP191" s="55" t="s">
        <v>174</v>
      </c>
      <c r="AQ191" s="55" t="s">
        <v>174</v>
      </c>
      <c r="AR191" s="28"/>
    </row>
    <row r="192" spans="1:44">
      <c r="A192" s="28"/>
      <c r="B192" s="55" t="s">
        <v>174</v>
      </c>
      <c r="C192" s="55" t="s">
        <v>174</v>
      </c>
      <c r="D192" s="55" t="s">
        <v>174</v>
      </c>
      <c r="E192" s="55" t="s">
        <v>174</v>
      </c>
      <c r="F192" s="55" t="s">
        <v>174</v>
      </c>
      <c r="G192" s="55" t="s">
        <v>174</v>
      </c>
      <c r="H192" s="28"/>
      <c r="I192" s="60">
        <v>2.8</v>
      </c>
      <c r="J192" s="31">
        <v>1.6999999999999999E-3</v>
      </c>
      <c r="K192" s="31">
        <v>1.0200000000000001E-2</v>
      </c>
      <c r="L192" s="38">
        <v>0.86950000000000005</v>
      </c>
      <c r="M192" s="38">
        <v>-1.84E-2</v>
      </c>
      <c r="N192" s="38">
        <v>2.1700000000000001E-2</v>
      </c>
      <c r="O192" s="28"/>
      <c r="P192" s="60">
        <v>2.8</v>
      </c>
      <c r="Q192" s="38">
        <v>-7.1000000000000004E-3</v>
      </c>
      <c r="R192" s="38">
        <v>1.24E-2</v>
      </c>
      <c r="S192" s="38">
        <v>0.56799999999999995</v>
      </c>
      <c r="T192" s="38">
        <v>-3.15E-2</v>
      </c>
      <c r="U192" s="38">
        <v>1.7299999999999999E-2</v>
      </c>
      <c r="V192" s="28"/>
      <c r="W192" s="28"/>
      <c r="X192" s="55" t="s">
        <v>174</v>
      </c>
      <c r="Y192" s="55" t="s">
        <v>174</v>
      </c>
      <c r="Z192" s="55" t="s">
        <v>174</v>
      </c>
      <c r="AA192" s="55" t="s">
        <v>174</v>
      </c>
      <c r="AB192" s="55" t="s">
        <v>174</v>
      </c>
      <c r="AC192" s="55" t="s">
        <v>174</v>
      </c>
      <c r="AD192" s="28"/>
      <c r="AE192" s="55" t="s">
        <v>174</v>
      </c>
      <c r="AF192" s="55" t="s">
        <v>174</v>
      </c>
      <c r="AG192" s="55" t="s">
        <v>174</v>
      </c>
      <c r="AH192" s="55" t="s">
        <v>174</v>
      </c>
      <c r="AI192" s="55" t="s">
        <v>174</v>
      </c>
      <c r="AJ192" s="55" t="s">
        <v>174</v>
      </c>
      <c r="AK192" s="28"/>
      <c r="AL192" s="55" t="s">
        <v>174</v>
      </c>
      <c r="AM192" s="55" t="s">
        <v>174</v>
      </c>
      <c r="AN192" s="55" t="s">
        <v>174</v>
      </c>
      <c r="AO192" s="55" t="s">
        <v>174</v>
      </c>
      <c r="AP192" s="55" t="s">
        <v>174</v>
      </c>
      <c r="AQ192" s="55" t="s">
        <v>174</v>
      </c>
      <c r="AR192" s="28"/>
    </row>
    <row r="193" spans="1:44">
      <c r="A193" s="28"/>
      <c r="B193" s="55" t="s">
        <v>174</v>
      </c>
      <c r="C193" s="55" t="s">
        <v>174</v>
      </c>
      <c r="D193" s="55" t="s">
        <v>174</v>
      </c>
      <c r="E193" s="55" t="s">
        <v>174</v>
      </c>
      <c r="F193" s="55" t="s">
        <v>174</v>
      </c>
      <c r="G193" s="55" t="s">
        <v>174</v>
      </c>
      <c r="H193" s="28"/>
      <c r="I193" s="60">
        <v>6.87</v>
      </c>
      <c r="J193" s="31">
        <v>6.7000000000000002E-3</v>
      </c>
      <c r="K193" s="31">
        <v>9.1000000000000004E-3</v>
      </c>
      <c r="L193" s="38">
        <v>0.45800000000000002</v>
      </c>
      <c r="M193" s="38">
        <v>-1.11E-2</v>
      </c>
      <c r="N193" s="38">
        <v>2.4500000000000001E-2</v>
      </c>
      <c r="O193" s="28"/>
      <c r="P193" s="60">
        <v>6.87</v>
      </c>
      <c r="Q193" s="38">
        <v>-1E-4</v>
      </c>
      <c r="R193" s="38">
        <v>1.12E-2</v>
      </c>
      <c r="S193" s="38">
        <v>0.99219999999999997</v>
      </c>
      <c r="T193" s="38">
        <v>-2.1999999999999999E-2</v>
      </c>
      <c r="U193" s="38">
        <v>2.18E-2</v>
      </c>
      <c r="V193" s="28"/>
      <c r="W193" s="28"/>
      <c r="X193" s="55" t="s">
        <v>174</v>
      </c>
      <c r="Y193" s="55" t="s">
        <v>174</v>
      </c>
      <c r="Z193" s="55" t="s">
        <v>174</v>
      </c>
      <c r="AA193" s="55" t="s">
        <v>174</v>
      </c>
      <c r="AB193" s="55" t="s">
        <v>174</v>
      </c>
      <c r="AC193" s="55" t="s">
        <v>174</v>
      </c>
      <c r="AD193" s="28"/>
      <c r="AE193" s="55" t="s">
        <v>174</v>
      </c>
      <c r="AF193" s="55" t="s">
        <v>174</v>
      </c>
      <c r="AG193" s="55" t="s">
        <v>174</v>
      </c>
      <c r="AH193" s="55" t="s">
        <v>174</v>
      </c>
      <c r="AI193" s="55" t="s">
        <v>174</v>
      </c>
      <c r="AJ193" s="55" t="s">
        <v>174</v>
      </c>
      <c r="AK193" s="28"/>
      <c r="AL193" s="55" t="s">
        <v>174</v>
      </c>
      <c r="AM193" s="55" t="s">
        <v>174</v>
      </c>
      <c r="AN193" s="55" t="s">
        <v>174</v>
      </c>
      <c r="AO193" s="55" t="s">
        <v>174</v>
      </c>
      <c r="AP193" s="55" t="s">
        <v>174</v>
      </c>
      <c r="AQ193" s="55" t="s">
        <v>174</v>
      </c>
      <c r="AR193" s="28"/>
    </row>
    <row r="194" spans="1:44">
      <c r="A194" s="28"/>
      <c r="B194" s="55" t="s">
        <v>174</v>
      </c>
      <c r="C194" s="55" t="s">
        <v>174</v>
      </c>
      <c r="D194" s="55" t="s">
        <v>174</v>
      </c>
      <c r="E194" s="55" t="s">
        <v>174</v>
      </c>
      <c r="F194" s="55" t="s">
        <v>174</v>
      </c>
      <c r="G194" s="55" t="s">
        <v>174</v>
      </c>
      <c r="H194" s="28"/>
      <c r="I194" s="60">
        <v>10.94</v>
      </c>
      <c r="J194" s="31">
        <v>1.18E-2</v>
      </c>
      <c r="K194" s="31">
        <v>8.0999999999999996E-3</v>
      </c>
      <c r="L194" s="38">
        <v>0.1457</v>
      </c>
      <c r="M194" s="38">
        <v>-4.1000000000000003E-3</v>
      </c>
      <c r="N194" s="38">
        <v>2.7699999999999999E-2</v>
      </c>
      <c r="O194" s="28"/>
      <c r="P194" s="60">
        <v>10.94</v>
      </c>
      <c r="Q194" s="38">
        <v>6.8999999999999999E-3</v>
      </c>
      <c r="R194" s="38">
        <v>1.01E-2</v>
      </c>
      <c r="S194" s="38">
        <v>0.49480000000000002</v>
      </c>
      <c r="T194" s="38">
        <v>-1.29E-2</v>
      </c>
      <c r="U194" s="38">
        <v>2.6700000000000002E-2</v>
      </c>
      <c r="V194" s="28"/>
      <c r="W194" s="28"/>
      <c r="X194" s="55" t="s">
        <v>174</v>
      </c>
      <c r="Y194" s="55" t="s">
        <v>174</v>
      </c>
      <c r="Z194" s="55" t="s">
        <v>174</v>
      </c>
      <c r="AA194" s="55" t="s">
        <v>174</v>
      </c>
      <c r="AB194" s="55" t="s">
        <v>174</v>
      </c>
      <c r="AC194" s="55" t="s">
        <v>174</v>
      </c>
      <c r="AD194" s="28"/>
      <c r="AE194" s="55" t="s">
        <v>174</v>
      </c>
      <c r="AF194" s="55" t="s">
        <v>174</v>
      </c>
      <c r="AG194" s="55" t="s">
        <v>174</v>
      </c>
      <c r="AH194" s="55" t="s">
        <v>174</v>
      </c>
      <c r="AI194" s="55" t="s">
        <v>174</v>
      </c>
      <c r="AJ194" s="55" t="s">
        <v>174</v>
      </c>
      <c r="AK194" s="28"/>
      <c r="AL194" s="55" t="s">
        <v>174</v>
      </c>
      <c r="AM194" s="55" t="s">
        <v>174</v>
      </c>
      <c r="AN194" s="55" t="s">
        <v>174</v>
      </c>
      <c r="AO194" s="55" t="s">
        <v>174</v>
      </c>
      <c r="AP194" s="55" t="s">
        <v>174</v>
      </c>
      <c r="AQ194" s="55" t="s">
        <v>174</v>
      </c>
      <c r="AR194" s="28"/>
    </row>
    <row r="195" spans="1:44">
      <c r="A195" s="28"/>
      <c r="B195" s="55" t="s">
        <v>174</v>
      </c>
      <c r="C195" s="55" t="s">
        <v>174</v>
      </c>
      <c r="D195" s="55" t="s">
        <v>174</v>
      </c>
      <c r="E195" s="55" t="s">
        <v>174</v>
      </c>
      <c r="F195" s="55" t="s">
        <v>174</v>
      </c>
      <c r="G195" s="55" t="s">
        <v>174</v>
      </c>
      <c r="H195" s="28"/>
      <c r="I195" s="68">
        <v>13.4628</v>
      </c>
      <c r="J195" s="31">
        <v>1.49E-2</v>
      </c>
      <c r="K195" s="31">
        <v>7.6E-3</v>
      </c>
      <c r="L195" s="37">
        <v>0.05</v>
      </c>
      <c r="M195" s="38">
        <v>0</v>
      </c>
      <c r="N195" s="38">
        <v>2.9899999999999999E-2</v>
      </c>
      <c r="O195" s="28"/>
      <c r="P195" s="60">
        <v>15.01</v>
      </c>
      <c r="Q195" s="38">
        <v>1.3899999999999999E-2</v>
      </c>
      <c r="R195" s="38">
        <v>9.1999999999999998E-3</v>
      </c>
      <c r="S195" s="38">
        <v>0.1328</v>
      </c>
      <c r="T195" s="38">
        <v>-4.1999999999999997E-3</v>
      </c>
      <c r="U195" s="38">
        <v>3.2000000000000001E-2</v>
      </c>
      <c r="V195" s="28"/>
      <c r="W195" s="28"/>
      <c r="X195" s="55" t="s">
        <v>174</v>
      </c>
      <c r="Y195" s="55" t="s">
        <v>174</v>
      </c>
      <c r="Z195" s="55" t="s">
        <v>174</v>
      </c>
      <c r="AA195" s="55" t="s">
        <v>174</v>
      </c>
      <c r="AB195" s="55" t="s">
        <v>174</v>
      </c>
      <c r="AC195" s="55" t="s">
        <v>174</v>
      </c>
      <c r="AD195" s="28"/>
      <c r="AE195" s="55" t="s">
        <v>174</v>
      </c>
      <c r="AF195" s="55" t="s">
        <v>174</v>
      </c>
      <c r="AG195" s="55" t="s">
        <v>174</v>
      </c>
      <c r="AH195" s="55" t="s">
        <v>174</v>
      </c>
      <c r="AI195" s="55" t="s">
        <v>174</v>
      </c>
      <c r="AJ195" s="55" t="s">
        <v>174</v>
      </c>
      <c r="AK195" s="28"/>
      <c r="AL195" s="55" t="s">
        <v>174</v>
      </c>
      <c r="AM195" s="55" t="s">
        <v>174</v>
      </c>
      <c r="AN195" s="55" t="s">
        <v>174</v>
      </c>
      <c r="AO195" s="55" t="s">
        <v>174</v>
      </c>
      <c r="AP195" s="55" t="s">
        <v>174</v>
      </c>
      <c r="AQ195" s="55" t="s">
        <v>174</v>
      </c>
      <c r="AR195" s="28"/>
    </row>
    <row r="196" spans="1:44">
      <c r="A196" s="28"/>
      <c r="B196" s="55" t="s">
        <v>174</v>
      </c>
      <c r="C196" s="55" t="s">
        <v>174</v>
      </c>
      <c r="D196" s="55" t="s">
        <v>174</v>
      </c>
      <c r="E196" s="55" t="s">
        <v>174</v>
      </c>
      <c r="F196" s="55" t="s">
        <v>174</v>
      </c>
      <c r="G196" s="55" t="s">
        <v>174</v>
      </c>
      <c r="H196" s="28"/>
      <c r="I196" s="68">
        <v>15.01</v>
      </c>
      <c r="J196" s="31">
        <v>1.6899999999999998E-2</v>
      </c>
      <c r="K196" s="31">
        <v>7.4000000000000003E-3</v>
      </c>
      <c r="L196" s="37">
        <v>2.2200000000000001E-2</v>
      </c>
      <c r="M196" s="38">
        <v>2.3999999999999998E-3</v>
      </c>
      <c r="N196" s="38">
        <v>3.1300000000000001E-2</v>
      </c>
      <c r="O196" s="28"/>
      <c r="P196" s="68">
        <v>17.0959</v>
      </c>
      <c r="Q196" s="38">
        <v>1.7500000000000002E-2</v>
      </c>
      <c r="R196" s="38">
        <v>8.8999999999999999E-3</v>
      </c>
      <c r="S196" s="37">
        <v>0.05</v>
      </c>
      <c r="T196" s="38">
        <v>0</v>
      </c>
      <c r="U196" s="38">
        <v>3.49E-2</v>
      </c>
      <c r="V196" s="28"/>
      <c r="W196" s="28"/>
      <c r="X196" s="55" t="s">
        <v>174</v>
      </c>
      <c r="Y196" s="55" t="s">
        <v>174</v>
      </c>
      <c r="Z196" s="55" t="s">
        <v>174</v>
      </c>
      <c r="AA196" s="55" t="s">
        <v>174</v>
      </c>
      <c r="AB196" s="55" t="s">
        <v>174</v>
      </c>
      <c r="AC196" s="55" t="s">
        <v>174</v>
      </c>
      <c r="AD196" s="28"/>
      <c r="AE196" s="55" t="s">
        <v>174</v>
      </c>
      <c r="AF196" s="55" t="s">
        <v>174</v>
      </c>
      <c r="AG196" s="55" t="s">
        <v>174</v>
      </c>
      <c r="AH196" s="55" t="s">
        <v>174</v>
      </c>
      <c r="AI196" s="55" t="s">
        <v>174</v>
      </c>
      <c r="AJ196" s="55" t="s">
        <v>174</v>
      </c>
      <c r="AK196" s="28"/>
      <c r="AL196" s="55" t="s">
        <v>174</v>
      </c>
      <c r="AM196" s="55" t="s">
        <v>174</v>
      </c>
      <c r="AN196" s="55" t="s">
        <v>174</v>
      </c>
      <c r="AO196" s="55" t="s">
        <v>174</v>
      </c>
      <c r="AP196" s="55" t="s">
        <v>174</v>
      </c>
      <c r="AQ196" s="55" t="s">
        <v>174</v>
      </c>
      <c r="AR196" s="28"/>
    </row>
    <row r="197" spans="1:44">
      <c r="A197" s="28"/>
      <c r="B197" s="55" t="s">
        <v>174</v>
      </c>
      <c r="C197" s="55" t="s">
        <v>174</v>
      </c>
      <c r="D197" s="55" t="s">
        <v>174</v>
      </c>
      <c r="E197" s="55" t="s">
        <v>174</v>
      </c>
      <c r="F197" s="55" t="s">
        <v>174</v>
      </c>
      <c r="G197" s="55" t="s">
        <v>174</v>
      </c>
      <c r="H197" s="28"/>
      <c r="I197" s="68">
        <v>19.079999999999998</v>
      </c>
      <c r="J197" s="31">
        <v>2.1899999999999999E-2</v>
      </c>
      <c r="K197" s="31">
        <v>6.8999999999999999E-3</v>
      </c>
      <c r="L197" s="37">
        <v>1.6000000000000001E-3</v>
      </c>
      <c r="M197" s="38">
        <v>8.3000000000000001E-3</v>
      </c>
      <c r="N197" s="38">
        <v>3.5499999999999997E-2</v>
      </c>
      <c r="O197" s="28"/>
      <c r="P197" s="68">
        <v>19.079999999999998</v>
      </c>
      <c r="Q197" s="38">
        <v>2.0899999999999998E-2</v>
      </c>
      <c r="R197" s="38">
        <v>8.6999999999999994E-3</v>
      </c>
      <c r="S197" s="37">
        <v>1.6299999999999999E-2</v>
      </c>
      <c r="T197" s="38">
        <v>3.8999999999999998E-3</v>
      </c>
      <c r="U197" s="38">
        <v>3.7900000000000003E-2</v>
      </c>
      <c r="V197" s="28"/>
      <c r="W197" s="28"/>
      <c r="X197" s="55" t="s">
        <v>174</v>
      </c>
      <c r="Y197" s="55" t="s">
        <v>174</v>
      </c>
      <c r="Z197" s="55" t="s">
        <v>174</v>
      </c>
      <c r="AA197" s="55" t="s">
        <v>174</v>
      </c>
      <c r="AB197" s="55" t="s">
        <v>174</v>
      </c>
      <c r="AC197" s="55" t="s">
        <v>174</v>
      </c>
      <c r="AD197" s="28"/>
      <c r="AE197" s="55" t="s">
        <v>174</v>
      </c>
      <c r="AF197" s="55" t="s">
        <v>174</v>
      </c>
      <c r="AG197" s="55" t="s">
        <v>174</v>
      </c>
      <c r="AH197" s="55" t="s">
        <v>174</v>
      </c>
      <c r="AI197" s="55" t="s">
        <v>174</v>
      </c>
      <c r="AJ197" s="55" t="s">
        <v>174</v>
      </c>
      <c r="AK197" s="28"/>
      <c r="AL197" s="55" t="s">
        <v>174</v>
      </c>
      <c r="AM197" s="55" t="s">
        <v>174</v>
      </c>
      <c r="AN197" s="55" t="s">
        <v>174</v>
      </c>
      <c r="AO197" s="55" t="s">
        <v>174</v>
      </c>
      <c r="AP197" s="55" t="s">
        <v>174</v>
      </c>
      <c r="AQ197" s="55" t="s">
        <v>174</v>
      </c>
      <c r="AR197" s="28"/>
    </row>
    <row r="198" spans="1:44">
      <c r="A198" s="28"/>
      <c r="B198" s="55" t="s">
        <v>174</v>
      </c>
      <c r="C198" s="55" t="s">
        <v>174</v>
      </c>
      <c r="D198" s="55" t="s">
        <v>174</v>
      </c>
      <c r="E198" s="55" t="s">
        <v>174</v>
      </c>
      <c r="F198" s="55" t="s">
        <v>174</v>
      </c>
      <c r="G198" s="55" t="s">
        <v>174</v>
      </c>
      <c r="H198" s="28"/>
      <c r="I198" s="68">
        <v>23.15</v>
      </c>
      <c r="J198" s="31">
        <v>2.7E-2</v>
      </c>
      <c r="K198" s="31">
        <v>6.8999999999999999E-3</v>
      </c>
      <c r="L198" s="37">
        <v>1E-4</v>
      </c>
      <c r="M198" s="38">
        <v>1.35E-2</v>
      </c>
      <c r="N198" s="38">
        <v>4.0399999999999998E-2</v>
      </c>
      <c r="O198" s="28"/>
      <c r="P198" s="68">
        <v>23.15</v>
      </c>
      <c r="Q198" s="38">
        <v>2.7900000000000001E-2</v>
      </c>
      <c r="R198" s="38">
        <v>8.5000000000000006E-3</v>
      </c>
      <c r="S198" s="37">
        <v>1.1000000000000001E-3</v>
      </c>
      <c r="T198" s="38">
        <v>1.12E-2</v>
      </c>
      <c r="U198" s="38">
        <v>4.4499999999999998E-2</v>
      </c>
      <c r="V198" s="28"/>
      <c r="W198" s="28"/>
      <c r="X198" s="55" t="s">
        <v>174</v>
      </c>
      <c r="Y198" s="55" t="s">
        <v>174</v>
      </c>
      <c r="Z198" s="55" t="s">
        <v>174</v>
      </c>
      <c r="AA198" s="55" t="s">
        <v>174</v>
      </c>
      <c r="AB198" s="55" t="s">
        <v>174</v>
      </c>
      <c r="AC198" s="55" t="s">
        <v>174</v>
      </c>
      <c r="AD198" s="28"/>
      <c r="AE198" s="55" t="s">
        <v>174</v>
      </c>
      <c r="AF198" s="55" t="s">
        <v>174</v>
      </c>
      <c r="AG198" s="55" t="s">
        <v>174</v>
      </c>
      <c r="AH198" s="55" t="s">
        <v>174</v>
      </c>
      <c r="AI198" s="55" t="s">
        <v>174</v>
      </c>
      <c r="AJ198" s="55" t="s">
        <v>174</v>
      </c>
      <c r="AK198" s="28"/>
      <c r="AL198" s="55" t="s">
        <v>174</v>
      </c>
      <c r="AM198" s="55" t="s">
        <v>174</v>
      </c>
      <c r="AN198" s="55" t="s">
        <v>174</v>
      </c>
      <c r="AO198" s="55" t="s">
        <v>174</v>
      </c>
      <c r="AP198" s="55" t="s">
        <v>174</v>
      </c>
      <c r="AQ198" s="55" t="s">
        <v>174</v>
      </c>
      <c r="AR198" s="28"/>
    </row>
    <row r="199" spans="1:44">
      <c r="A199" s="28"/>
      <c r="B199" s="55" t="s">
        <v>174</v>
      </c>
      <c r="C199" s="55" t="s">
        <v>174</v>
      </c>
      <c r="D199" s="55" t="s">
        <v>174</v>
      </c>
      <c r="E199" s="55" t="s">
        <v>174</v>
      </c>
      <c r="F199" s="55" t="s">
        <v>174</v>
      </c>
      <c r="G199" s="55" t="s">
        <v>174</v>
      </c>
      <c r="H199" s="28"/>
      <c r="I199" s="68">
        <v>27.22</v>
      </c>
      <c r="J199" s="31">
        <v>3.2000000000000001E-2</v>
      </c>
      <c r="K199" s="31">
        <v>7.1999999999999998E-3</v>
      </c>
      <c r="L199" s="37">
        <v>0</v>
      </c>
      <c r="M199" s="38">
        <v>1.7999999999999999E-2</v>
      </c>
      <c r="N199" s="38">
        <v>4.6100000000000002E-2</v>
      </c>
      <c r="O199" s="28"/>
      <c r="P199" s="68">
        <v>27.22</v>
      </c>
      <c r="Q199" s="38">
        <v>3.49E-2</v>
      </c>
      <c r="R199" s="38">
        <v>8.6999999999999994E-3</v>
      </c>
      <c r="S199" s="37">
        <v>1E-4</v>
      </c>
      <c r="T199" s="38">
        <v>1.78E-2</v>
      </c>
      <c r="U199" s="38">
        <v>5.1900000000000002E-2</v>
      </c>
      <c r="V199" s="28"/>
      <c r="W199" s="28"/>
      <c r="X199" s="55" t="s">
        <v>174</v>
      </c>
      <c r="Y199" s="55" t="s">
        <v>174</v>
      </c>
      <c r="Z199" s="55" t="s">
        <v>174</v>
      </c>
      <c r="AA199" s="55" t="s">
        <v>174</v>
      </c>
      <c r="AB199" s="55" t="s">
        <v>174</v>
      </c>
      <c r="AC199" s="55" t="s">
        <v>174</v>
      </c>
      <c r="AD199" s="28"/>
      <c r="AE199" s="55" t="s">
        <v>174</v>
      </c>
      <c r="AF199" s="55" t="s">
        <v>174</v>
      </c>
      <c r="AG199" s="55" t="s">
        <v>174</v>
      </c>
      <c r="AH199" s="55" t="s">
        <v>174</v>
      </c>
      <c r="AI199" s="55" t="s">
        <v>174</v>
      </c>
      <c r="AJ199" s="55" t="s">
        <v>174</v>
      </c>
      <c r="AK199" s="28"/>
      <c r="AL199" s="55" t="s">
        <v>174</v>
      </c>
      <c r="AM199" s="55" t="s">
        <v>174</v>
      </c>
      <c r="AN199" s="55" t="s">
        <v>174</v>
      </c>
      <c r="AO199" s="55" t="s">
        <v>174</v>
      </c>
      <c r="AP199" s="55" t="s">
        <v>174</v>
      </c>
      <c r="AQ199" s="55" t="s">
        <v>174</v>
      </c>
      <c r="AR199" s="28"/>
    </row>
    <row r="200" spans="1:44">
      <c r="A200" s="28"/>
      <c r="B200" s="55" t="s">
        <v>174</v>
      </c>
      <c r="C200" s="55" t="s">
        <v>174</v>
      </c>
      <c r="D200" s="55" t="s">
        <v>174</v>
      </c>
      <c r="E200" s="55" t="s">
        <v>174</v>
      </c>
      <c r="F200" s="55" t="s">
        <v>174</v>
      </c>
      <c r="G200" s="55" t="s">
        <v>174</v>
      </c>
      <c r="H200" s="28"/>
      <c r="I200" s="68">
        <v>31.29</v>
      </c>
      <c r="J200" s="31">
        <v>3.7100000000000001E-2</v>
      </c>
      <c r="K200" s="31">
        <v>7.7999999999999996E-3</v>
      </c>
      <c r="L200" s="37">
        <v>0</v>
      </c>
      <c r="M200" s="38">
        <v>2.18E-2</v>
      </c>
      <c r="N200" s="38">
        <v>5.2400000000000002E-2</v>
      </c>
      <c r="O200" s="28"/>
      <c r="P200" s="68">
        <v>31.29</v>
      </c>
      <c r="Q200" s="38">
        <v>4.19E-2</v>
      </c>
      <c r="R200" s="38">
        <v>9.1999999999999998E-3</v>
      </c>
      <c r="S200" s="37">
        <v>0</v>
      </c>
      <c r="T200" s="38">
        <v>2.3699999999999999E-2</v>
      </c>
      <c r="U200" s="38">
        <v>0.06</v>
      </c>
      <c r="V200" s="28"/>
      <c r="W200" s="28"/>
      <c r="X200" s="55" t="s">
        <v>174</v>
      </c>
      <c r="Y200" s="55" t="s">
        <v>174</v>
      </c>
      <c r="Z200" s="55" t="s">
        <v>174</v>
      </c>
      <c r="AA200" s="55" t="s">
        <v>174</v>
      </c>
      <c r="AB200" s="55" t="s">
        <v>174</v>
      </c>
      <c r="AC200" s="55" t="s">
        <v>174</v>
      </c>
      <c r="AD200" s="28"/>
      <c r="AE200" s="55" t="s">
        <v>174</v>
      </c>
      <c r="AF200" s="55" t="s">
        <v>174</v>
      </c>
      <c r="AG200" s="55" t="s">
        <v>174</v>
      </c>
      <c r="AH200" s="55" t="s">
        <v>174</v>
      </c>
      <c r="AI200" s="55" t="s">
        <v>174</v>
      </c>
      <c r="AJ200" s="55" t="s">
        <v>174</v>
      </c>
      <c r="AK200" s="28"/>
      <c r="AL200" s="55" t="s">
        <v>174</v>
      </c>
      <c r="AM200" s="55" t="s">
        <v>174</v>
      </c>
      <c r="AN200" s="55" t="s">
        <v>174</v>
      </c>
      <c r="AO200" s="55" t="s">
        <v>174</v>
      </c>
      <c r="AP200" s="55" t="s">
        <v>174</v>
      </c>
      <c r="AQ200" s="55" t="s">
        <v>174</v>
      </c>
      <c r="AR200" s="28"/>
    </row>
    <row r="201" spans="1:44">
      <c r="A201" s="28"/>
      <c r="B201" s="55" t="s">
        <v>174</v>
      </c>
      <c r="C201" s="55" t="s">
        <v>174</v>
      </c>
      <c r="D201" s="55" t="s">
        <v>174</v>
      </c>
      <c r="E201" s="55" t="s">
        <v>174</v>
      </c>
      <c r="F201" s="55" t="s">
        <v>174</v>
      </c>
      <c r="G201" s="55" t="s">
        <v>174</v>
      </c>
      <c r="H201" s="28"/>
      <c r="I201" s="68">
        <v>35.36</v>
      </c>
      <c r="J201" s="31">
        <v>4.2099999999999999E-2</v>
      </c>
      <c r="K201" s="31">
        <v>8.6999999999999994E-3</v>
      </c>
      <c r="L201" s="37">
        <v>0</v>
      </c>
      <c r="M201" s="38">
        <v>2.5100000000000001E-2</v>
      </c>
      <c r="N201" s="38">
        <v>5.9200000000000003E-2</v>
      </c>
      <c r="O201" s="28"/>
      <c r="P201" s="68">
        <v>35.36</v>
      </c>
      <c r="Q201" s="38">
        <v>4.8800000000000003E-2</v>
      </c>
      <c r="R201" s="38">
        <v>1.01E-2</v>
      </c>
      <c r="S201" s="37">
        <v>0</v>
      </c>
      <c r="T201" s="38">
        <v>2.9000000000000001E-2</v>
      </c>
      <c r="U201" s="38">
        <v>6.8699999999999997E-2</v>
      </c>
      <c r="V201" s="28"/>
      <c r="W201" s="28"/>
      <c r="X201" s="55" t="s">
        <v>174</v>
      </c>
      <c r="Y201" s="55" t="s">
        <v>174</v>
      </c>
      <c r="Z201" s="55" t="s">
        <v>174</v>
      </c>
      <c r="AA201" s="55" t="s">
        <v>174</v>
      </c>
      <c r="AB201" s="55" t="s">
        <v>174</v>
      </c>
      <c r="AC201" s="55" t="s">
        <v>174</v>
      </c>
      <c r="AD201" s="28"/>
      <c r="AE201" s="55" t="s">
        <v>174</v>
      </c>
      <c r="AF201" s="55" t="s">
        <v>174</v>
      </c>
      <c r="AG201" s="55" t="s">
        <v>174</v>
      </c>
      <c r="AH201" s="55" t="s">
        <v>174</v>
      </c>
      <c r="AI201" s="55" t="s">
        <v>174</v>
      </c>
      <c r="AJ201" s="55" t="s">
        <v>174</v>
      </c>
      <c r="AK201" s="28"/>
      <c r="AL201" s="55" t="s">
        <v>174</v>
      </c>
      <c r="AM201" s="55" t="s">
        <v>174</v>
      </c>
      <c r="AN201" s="55" t="s">
        <v>174</v>
      </c>
      <c r="AO201" s="55" t="s">
        <v>174</v>
      </c>
      <c r="AP201" s="55" t="s">
        <v>174</v>
      </c>
      <c r="AQ201" s="55" t="s">
        <v>174</v>
      </c>
      <c r="AR201" s="28"/>
    </row>
    <row r="202" spans="1:44">
      <c r="A202" s="28"/>
      <c r="B202" s="55" t="s">
        <v>174</v>
      </c>
      <c r="C202" s="55" t="s">
        <v>174</v>
      </c>
      <c r="D202" s="55" t="s">
        <v>174</v>
      </c>
      <c r="E202" s="55" t="s">
        <v>174</v>
      </c>
      <c r="F202" s="55" t="s">
        <v>174</v>
      </c>
      <c r="G202" s="55" t="s">
        <v>174</v>
      </c>
      <c r="H202" s="28"/>
      <c r="I202" s="68">
        <v>39.43</v>
      </c>
      <c r="J202" s="31">
        <v>4.7199999999999999E-2</v>
      </c>
      <c r="K202" s="31">
        <v>9.7999999999999997E-3</v>
      </c>
      <c r="L202" s="37">
        <v>0</v>
      </c>
      <c r="M202" s="38">
        <v>2.8000000000000001E-2</v>
      </c>
      <c r="N202" s="38">
        <v>6.6400000000000001E-2</v>
      </c>
      <c r="O202" s="28"/>
      <c r="P202" s="68">
        <v>39.43</v>
      </c>
      <c r="Q202" s="38">
        <v>5.5800000000000002E-2</v>
      </c>
      <c r="R202" s="38">
        <v>1.12E-2</v>
      </c>
      <c r="S202" s="37">
        <v>0</v>
      </c>
      <c r="T202" s="38">
        <v>3.39E-2</v>
      </c>
      <c r="U202" s="38">
        <v>7.7799999999999994E-2</v>
      </c>
      <c r="V202" s="28"/>
      <c r="W202" s="28"/>
      <c r="X202" s="55" t="s">
        <v>174</v>
      </c>
      <c r="Y202" s="55" t="s">
        <v>174</v>
      </c>
      <c r="Z202" s="55" t="s">
        <v>174</v>
      </c>
      <c r="AA202" s="55" t="s">
        <v>174</v>
      </c>
      <c r="AB202" s="55" t="s">
        <v>174</v>
      </c>
      <c r="AC202" s="55" t="s">
        <v>174</v>
      </c>
      <c r="AD202" s="28"/>
      <c r="AE202" s="55" t="s">
        <v>174</v>
      </c>
      <c r="AF202" s="55" t="s">
        <v>174</v>
      </c>
      <c r="AG202" s="55" t="s">
        <v>174</v>
      </c>
      <c r="AH202" s="55" t="s">
        <v>174</v>
      </c>
      <c r="AI202" s="55" t="s">
        <v>174</v>
      </c>
      <c r="AJ202" s="55" t="s">
        <v>174</v>
      </c>
      <c r="AK202" s="28"/>
      <c r="AL202" s="55" t="s">
        <v>174</v>
      </c>
      <c r="AM202" s="55" t="s">
        <v>174</v>
      </c>
      <c r="AN202" s="55" t="s">
        <v>174</v>
      </c>
      <c r="AO202" s="55" t="s">
        <v>174</v>
      </c>
      <c r="AP202" s="55" t="s">
        <v>174</v>
      </c>
      <c r="AQ202" s="55" t="s">
        <v>174</v>
      </c>
      <c r="AR202" s="28"/>
    </row>
    <row r="203" spans="1:44">
      <c r="A203" s="28"/>
      <c r="B203" s="55" t="s">
        <v>174</v>
      </c>
      <c r="C203" s="55" t="s">
        <v>174</v>
      </c>
      <c r="D203" s="55" t="s">
        <v>174</v>
      </c>
      <c r="E203" s="55" t="s">
        <v>174</v>
      </c>
      <c r="F203" s="55" t="s">
        <v>174</v>
      </c>
      <c r="G203" s="55" t="s">
        <v>174</v>
      </c>
      <c r="H203" s="28"/>
      <c r="I203" s="68">
        <v>43.5</v>
      </c>
      <c r="J203" s="31">
        <v>5.2299999999999999E-2</v>
      </c>
      <c r="K203" s="31">
        <v>1.0999999999999999E-2</v>
      </c>
      <c r="L203" s="37">
        <v>0</v>
      </c>
      <c r="M203" s="38">
        <v>3.0700000000000002E-2</v>
      </c>
      <c r="N203" s="38">
        <v>7.3800000000000004E-2</v>
      </c>
      <c r="O203" s="28"/>
      <c r="P203" s="68">
        <v>43.5</v>
      </c>
      <c r="Q203" s="38">
        <v>6.2799999999999995E-2</v>
      </c>
      <c r="R203" s="38">
        <v>1.2500000000000001E-2</v>
      </c>
      <c r="S203" s="37">
        <v>0</v>
      </c>
      <c r="T203" s="38">
        <v>3.8399999999999997E-2</v>
      </c>
      <c r="U203" s="38">
        <v>8.7300000000000003E-2</v>
      </c>
      <c r="V203" s="28"/>
      <c r="W203" s="28"/>
      <c r="X203" s="55" t="s">
        <v>174</v>
      </c>
      <c r="Y203" s="55" t="s">
        <v>174</v>
      </c>
      <c r="Z203" s="55" t="s">
        <v>174</v>
      </c>
      <c r="AA203" s="55" t="s">
        <v>174</v>
      </c>
      <c r="AB203" s="55" t="s">
        <v>174</v>
      </c>
      <c r="AC203" s="55" t="s">
        <v>174</v>
      </c>
      <c r="AD203" s="28"/>
      <c r="AE203" s="55" t="s">
        <v>174</v>
      </c>
      <c r="AF203" s="55" t="s">
        <v>174</v>
      </c>
      <c r="AG203" s="55" t="s">
        <v>174</v>
      </c>
      <c r="AH203" s="55" t="s">
        <v>174</v>
      </c>
      <c r="AI203" s="55" t="s">
        <v>174</v>
      </c>
      <c r="AJ203" s="55" t="s">
        <v>174</v>
      </c>
      <c r="AK203" s="28"/>
      <c r="AL203" s="55" t="s">
        <v>174</v>
      </c>
      <c r="AM203" s="55" t="s">
        <v>174</v>
      </c>
      <c r="AN203" s="55" t="s">
        <v>174</v>
      </c>
      <c r="AO203" s="55" t="s">
        <v>174</v>
      </c>
      <c r="AP203" s="55" t="s">
        <v>174</v>
      </c>
      <c r="AQ203" s="55" t="s">
        <v>174</v>
      </c>
      <c r="AR203" s="28"/>
    </row>
    <row r="204" spans="1:44">
      <c r="A204" s="28"/>
      <c r="B204" s="55" t="s">
        <v>174</v>
      </c>
      <c r="C204" s="55" t="s">
        <v>174</v>
      </c>
      <c r="D204" s="55" t="s">
        <v>174</v>
      </c>
      <c r="E204" s="55" t="s">
        <v>174</v>
      </c>
      <c r="F204" s="55" t="s">
        <v>174</v>
      </c>
      <c r="G204" s="55" t="s">
        <v>174</v>
      </c>
      <c r="H204" s="28"/>
      <c r="I204" s="68">
        <v>47.57</v>
      </c>
      <c r="J204" s="31">
        <v>5.7299999999999997E-2</v>
      </c>
      <c r="K204" s="31">
        <v>1.23E-2</v>
      </c>
      <c r="L204" s="37">
        <v>0</v>
      </c>
      <c r="M204" s="38">
        <v>3.32E-2</v>
      </c>
      <c r="N204" s="38">
        <v>8.14E-2</v>
      </c>
      <c r="O204" s="28"/>
      <c r="P204" s="68">
        <v>47.57</v>
      </c>
      <c r="Q204" s="38">
        <v>6.9800000000000001E-2</v>
      </c>
      <c r="R204" s="38">
        <v>1.3899999999999999E-2</v>
      </c>
      <c r="S204" s="37">
        <v>0</v>
      </c>
      <c r="T204" s="38">
        <v>4.2599999999999999E-2</v>
      </c>
      <c r="U204" s="38">
        <v>9.7000000000000003E-2</v>
      </c>
      <c r="V204" s="28"/>
      <c r="W204" s="28"/>
      <c r="X204" s="55" t="s">
        <v>174</v>
      </c>
      <c r="Y204" s="55" t="s">
        <v>174</v>
      </c>
      <c r="Z204" s="55" t="s">
        <v>174</v>
      </c>
      <c r="AA204" s="55" t="s">
        <v>174</v>
      </c>
      <c r="AB204" s="55" t="s">
        <v>174</v>
      </c>
      <c r="AC204" s="55" t="s">
        <v>174</v>
      </c>
      <c r="AD204" s="28"/>
      <c r="AE204" s="55" t="s">
        <v>174</v>
      </c>
      <c r="AF204" s="55" t="s">
        <v>174</v>
      </c>
      <c r="AG204" s="55" t="s">
        <v>174</v>
      </c>
      <c r="AH204" s="55" t="s">
        <v>174</v>
      </c>
      <c r="AI204" s="55" t="s">
        <v>174</v>
      </c>
      <c r="AJ204" s="55" t="s">
        <v>174</v>
      </c>
      <c r="AK204" s="28"/>
      <c r="AL204" s="55" t="s">
        <v>174</v>
      </c>
      <c r="AM204" s="55" t="s">
        <v>174</v>
      </c>
      <c r="AN204" s="55" t="s">
        <v>174</v>
      </c>
      <c r="AO204" s="55" t="s">
        <v>174</v>
      </c>
      <c r="AP204" s="55" t="s">
        <v>174</v>
      </c>
      <c r="AQ204" s="55" t="s">
        <v>174</v>
      </c>
      <c r="AR204" s="28"/>
    </row>
    <row r="205" spans="1:44">
      <c r="A205" s="28"/>
      <c r="B205" s="55" t="s">
        <v>174</v>
      </c>
      <c r="C205" s="55" t="s">
        <v>174</v>
      </c>
      <c r="D205" s="55" t="s">
        <v>174</v>
      </c>
      <c r="E205" s="55" t="s">
        <v>174</v>
      </c>
      <c r="F205" s="55" t="s">
        <v>174</v>
      </c>
      <c r="G205" s="55" t="s">
        <v>174</v>
      </c>
      <c r="H205" s="28"/>
      <c r="I205" s="68">
        <v>51.64</v>
      </c>
      <c r="J205" s="31">
        <v>6.2399999999999997E-2</v>
      </c>
      <c r="K205" s="31">
        <v>1.37E-2</v>
      </c>
      <c r="L205" s="37">
        <v>0</v>
      </c>
      <c r="M205" s="38">
        <v>3.56E-2</v>
      </c>
      <c r="N205" s="38">
        <v>8.9200000000000002E-2</v>
      </c>
      <c r="O205" s="28"/>
      <c r="P205" s="68">
        <v>51.64</v>
      </c>
      <c r="Q205" s="38">
        <v>7.6799999999999993E-2</v>
      </c>
      <c r="R205" s="38">
        <v>1.5299999999999999E-2</v>
      </c>
      <c r="S205" s="37">
        <v>0</v>
      </c>
      <c r="T205" s="38">
        <v>4.6699999999999998E-2</v>
      </c>
      <c r="U205" s="38">
        <v>0.1069</v>
      </c>
      <c r="V205" s="28"/>
      <c r="W205" s="28"/>
      <c r="X205" s="55" t="s">
        <v>174</v>
      </c>
      <c r="Y205" s="55" t="s">
        <v>174</v>
      </c>
      <c r="Z205" s="55" t="s">
        <v>174</v>
      </c>
      <c r="AA205" s="55" t="s">
        <v>174</v>
      </c>
      <c r="AB205" s="55" t="s">
        <v>174</v>
      </c>
      <c r="AC205" s="55" t="s">
        <v>174</v>
      </c>
      <c r="AD205" s="28"/>
      <c r="AE205" s="55" t="s">
        <v>174</v>
      </c>
      <c r="AF205" s="55" t="s">
        <v>174</v>
      </c>
      <c r="AG205" s="55" t="s">
        <v>174</v>
      </c>
      <c r="AH205" s="55" t="s">
        <v>174</v>
      </c>
      <c r="AI205" s="55" t="s">
        <v>174</v>
      </c>
      <c r="AJ205" s="55" t="s">
        <v>174</v>
      </c>
      <c r="AK205" s="28"/>
      <c r="AL205" s="55" t="s">
        <v>174</v>
      </c>
      <c r="AM205" s="55" t="s">
        <v>174</v>
      </c>
      <c r="AN205" s="55" t="s">
        <v>174</v>
      </c>
      <c r="AO205" s="55" t="s">
        <v>174</v>
      </c>
      <c r="AP205" s="55" t="s">
        <v>174</v>
      </c>
      <c r="AQ205" s="55" t="s">
        <v>174</v>
      </c>
      <c r="AR205" s="28"/>
    </row>
    <row r="206" spans="1:44">
      <c r="A206" s="28"/>
      <c r="B206" s="55" t="s">
        <v>174</v>
      </c>
      <c r="C206" s="55" t="s">
        <v>174</v>
      </c>
      <c r="D206" s="55" t="s">
        <v>174</v>
      </c>
      <c r="E206" s="55" t="s">
        <v>174</v>
      </c>
      <c r="F206" s="55" t="s">
        <v>174</v>
      </c>
      <c r="G206" s="55" t="s">
        <v>174</v>
      </c>
      <c r="H206" s="28"/>
      <c r="I206" s="68">
        <v>55.71</v>
      </c>
      <c r="J206" s="31">
        <v>6.7400000000000002E-2</v>
      </c>
      <c r="K206" s="31">
        <v>1.5100000000000001E-2</v>
      </c>
      <c r="L206" s="37">
        <v>0</v>
      </c>
      <c r="M206" s="38">
        <v>3.78E-2</v>
      </c>
      <c r="N206" s="38">
        <v>9.7000000000000003E-2</v>
      </c>
      <c r="O206" s="28"/>
      <c r="P206" s="68">
        <v>55.71</v>
      </c>
      <c r="Q206" s="38">
        <v>8.3799999999999999E-2</v>
      </c>
      <c r="R206" s="38">
        <v>1.6899999999999998E-2</v>
      </c>
      <c r="S206" s="37">
        <v>0</v>
      </c>
      <c r="T206" s="38">
        <v>5.0700000000000002E-2</v>
      </c>
      <c r="U206" s="38">
        <v>0.11700000000000001</v>
      </c>
      <c r="V206" s="28"/>
      <c r="W206" s="28"/>
      <c r="X206" s="55" t="s">
        <v>174</v>
      </c>
      <c r="Y206" s="55" t="s">
        <v>174</v>
      </c>
      <c r="Z206" s="55" t="s">
        <v>174</v>
      </c>
      <c r="AA206" s="55" t="s">
        <v>174</v>
      </c>
      <c r="AB206" s="55" t="s">
        <v>174</v>
      </c>
      <c r="AC206" s="55" t="s">
        <v>174</v>
      </c>
      <c r="AD206" s="28"/>
      <c r="AE206" s="55" t="s">
        <v>174</v>
      </c>
      <c r="AF206" s="55" t="s">
        <v>174</v>
      </c>
      <c r="AG206" s="55" t="s">
        <v>174</v>
      </c>
      <c r="AH206" s="55" t="s">
        <v>174</v>
      </c>
      <c r="AI206" s="55" t="s">
        <v>174</v>
      </c>
      <c r="AJ206" s="55" t="s">
        <v>174</v>
      </c>
      <c r="AK206" s="28"/>
      <c r="AL206" s="55" t="s">
        <v>174</v>
      </c>
      <c r="AM206" s="55" t="s">
        <v>174</v>
      </c>
      <c r="AN206" s="55" t="s">
        <v>174</v>
      </c>
      <c r="AO206" s="55" t="s">
        <v>174</v>
      </c>
      <c r="AP206" s="55" t="s">
        <v>174</v>
      </c>
      <c r="AQ206" s="55" t="s">
        <v>174</v>
      </c>
      <c r="AR206" s="28"/>
    </row>
    <row r="207" spans="1:44">
      <c r="A207" s="28"/>
      <c r="B207" s="55" t="s">
        <v>174</v>
      </c>
      <c r="C207" s="55" t="s">
        <v>174</v>
      </c>
      <c r="D207" s="55" t="s">
        <v>174</v>
      </c>
      <c r="E207" s="55" t="s">
        <v>174</v>
      </c>
      <c r="F207" s="55" t="s">
        <v>174</v>
      </c>
      <c r="G207" s="55" t="s">
        <v>174</v>
      </c>
      <c r="H207" s="28"/>
      <c r="I207" s="68">
        <v>59.78</v>
      </c>
      <c r="J207" s="31">
        <v>7.2499999999999995E-2</v>
      </c>
      <c r="K207" s="31">
        <v>1.6500000000000001E-2</v>
      </c>
      <c r="L207" s="37">
        <v>0</v>
      </c>
      <c r="M207" s="38">
        <v>0.04</v>
      </c>
      <c r="N207" s="38">
        <v>0.10489999999999999</v>
      </c>
      <c r="O207" s="28"/>
      <c r="P207" s="68">
        <v>59.78</v>
      </c>
      <c r="Q207" s="38">
        <v>9.0800000000000006E-2</v>
      </c>
      <c r="R207" s="38">
        <v>1.8499999999999999E-2</v>
      </c>
      <c r="S207" s="37">
        <v>0</v>
      </c>
      <c r="T207" s="38">
        <v>5.45E-2</v>
      </c>
      <c r="U207" s="38">
        <v>0.12709999999999999</v>
      </c>
      <c r="V207" s="28"/>
      <c r="W207" s="28"/>
      <c r="X207" s="55" t="s">
        <v>174</v>
      </c>
      <c r="Y207" s="55" t="s">
        <v>174</v>
      </c>
      <c r="Z207" s="55" t="s">
        <v>174</v>
      </c>
      <c r="AA207" s="55" t="s">
        <v>174</v>
      </c>
      <c r="AB207" s="55" t="s">
        <v>174</v>
      </c>
      <c r="AC207" s="55" t="s">
        <v>174</v>
      </c>
      <c r="AD207" s="28"/>
      <c r="AE207" s="55" t="s">
        <v>174</v>
      </c>
      <c r="AF207" s="55" t="s">
        <v>174</v>
      </c>
      <c r="AG207" s="55" t="s">
        <v>174</v>
      </c>
      <c r="AH207" s="55" t="s">
        <v>174</v>
      </c>
      <c r="AI207" s="55" t="s">
        <v>174</v>
      </c>
      <c r="AJ207" s="55" t="s">
        <v>174</v>
      </c>
      <c r="AK207" s="28"/>
      <c r="AL207" s="55" t="s">
        <v>174</v>
      </c>
      <c r="AM207" s="55" t="s">
        <v>174</v>
      </c>
      <c r="AN207" s="55" t="s">
        <v>174</v>
      </c>
      <c r="AO207" s="55" t="s">
        <v>174</v>
      </c>
      <c r="AP207" s="55" t="s">
        <v>174</v>
      </c>
      <c r="AQ207" s="55" t="s">
        <v>174</v>
      </c>
      <c r="AR207" s="28"/>
    </row>
    <row r="208" spans="1:44">
      <c r="A208" s="28"/>
      <c r="B208" s="55" t="s">
        <v>174</v>
      </c>
      <c r="C208" s="55" t="s">
        <v>174</v>
      </c>
      <c r="D208" s="55" t="s">
        <v>174</v>
      </c>
      <c r="E208" s="55" t="s">
        <v>174</v>
      </c>
      <c r="F208" s="55" t="s">
        <v>174</v>
      </c>
      <c r="G208" s="55" t="s">
        <v>174</v>
      </c>
      <c r="H208" s="28"/>
      <c r="I208" s="68">
        <v>63.85</v>
      </c>
      <c r="J208" s="31">
        <v>7.7499999999999999E-2</v>
      </c>
      <c r="K208" s="31">
        <v>1.7999999999999999E-2</v>
      </c>
      <c r="L208" s="37">
        <v>0</v>
      </c>
      <c r="M208" s="38">
        <v>4.2200000000000001E-2</v>
      </c>
      <c r="N208" s="38">
        <v>0.1129</v>
      </c>
      <c r="O208" s="28"/>
      <c r="P208" s="68">
        <v>63.85</v>
      </c>
      <c r="Q208" s="38">
        <v>9.7799999999999998E-2</v>
      </c>
      <c r="R208" s="38">
        <v>2.01E-2</v>
      </c>
      <c r="S208" s="37">
        <v>0</v>
      </c>
      <c r="T208" s="38">
        <v>5.8299999999999998E-2</v>
      </c>
      <c r="U208" s="38">
        <v>0.13730000000000001</v>
      </c>
      <c r="V208" s="28"/>
      <c r="W208" s="28"/>
      <c r="X208" s="55" t="s">
        <v>174</v>
      </c>
      <c r="Y208" s="55" t="s">
        <v>174</v>
      </c>
      <c r="Z208" s="55" t="s">
        <v>174</v>
      </c>
      <c r="AA208" s="55" t="s">
        <v>174</v>
      </c>
      <c r="AB208" s="55" t="s">
        <v>174</v>
      </c>
      <c r="AC208" s="55" t="s">
        <v>174</v>
      </c>
      <c r="AD208" s="28"/>
      <c r="AE208" s="55" t="s">
        <v>174</v>
      </c>
      <c r="AF208" s="55" t="s">
        <v>174</v>
      </c>
      <c r="AG208" s="55" t="s">
        <v>174</v>
      </c>
      <c r="AH208" s="55" t="s">
        <v>174</v>
      </c>
      <c r="AI208" s="55" t="s">
        <v>174</v>
      </c>
      <c r="AJ208" s="55" t="s">
        <v>174</v>
      </c>
      <c r="AK208" s="28"/>
      <c r="AL208" s="55" t="s">
        <v>174</v>
      </c>
      <c r="AM208" s="55" t="s">
        <v>174</v>
      </c>
      <c r="AN208" s="55" t="s">
        <v>174</v>
      </c>
      <c r="AO208" s="55" t="s">
        <v>174</v>
      </c>
      <c r="AP208" s="55" t="s">
        <v>174</v>
      </c>
      <c r="AQ208" s="55" t="s">
        <v>174</v>
      </c>
      <c r="AR208" s="28"/>
    </row>
    <row r="209" spans="1:44">
      <c r="A209" s="28"/>
      <c r="B209" s="55" t="s">
        <v>174</v>
      </c>
      <c r="C209" s="55" t="s">
        <v>174</v>
      </c>
      <c r="D209" s="55" t="s">
        <v>174</v>
      </c>
      <c r="E209" s="55" t="s">
        <v>174</v>
      </c>
      <c r="F209" s="55" t="s">
        <v>174</v>
      </c>
      <c r="G209" s="55" t="s">
        <v>174</v>
      </c>
      <c r="H209" s="28"/>
      <c r="I209" s="68">
        <v>67.92</v>
      </c>
      <c r="J209" s="31">
        <v>8.2600000000000007E-2</v>
      </c>
      <c r="K209" s="31">
        <v>1.95E-2</v>
      </c>
      <c r="L209" s="37">
        <v>0</v>
      </c>
      <c r="M209" s="38">
        <v>4.4299999999999999E-2</v>
      </c>
      <c r="N209" s="38">
        <v>0.12089999999999999</v>
      </c>
      <c r="O209" s="28"/>
      <c r="P209" s="68">
        <v>67.92</v>
      </c>
      <c r="Q209" s="38">
        <v>0.1048</v>
      </c>
      <c r="R209" s="38">
        <v>2.18E-2</v>
      </c>
      <c r="S209" s="37">
        <v>0</v>
      </c>
      <c r="T209" s="38">
        <v>6.2E-2</v>
      </c>
      <c r="U209" s="38">
        <v>0.14760000000000001</v>
      </c>
      <c r="V209" s="28"/>
      <c r="W209" s="28"/>
      <c r="X209" s="55" t="s">
        <v>174</v>
      </c>
      <c r="Y209" s="55" t="s">
        <v>174</v>
      </c>
      <c r="Z209" s="55" t="s">
        <v>174</v>
      </c>
      <c r="AA209" s="55" t="s">
        <v>174</v>
      </c>
      <c r="AB209" s="55" t="s">
        <v>174</v>
      </c>
      <c r="AC209" s="55" t="s">
        <v>174</v>
      </c>
      <c r="AD209" s="28"/>
      <c r="AE209" s="55" t="s">
        <v>174</v>
      </c>
      <c r="AF209" s="55" t="s">
        <v>174</v>
      </c>
      <c r="AG209" s="55" t="s">
        <v>174</v>
      </c>
      <c r="AH209" s="55" t="s">
        <v>174</v>
      </c>
      <c r="AI209" s="55" t="s">
        <v>174</v>
      </c>
      <c r="AJ209" s="55" t="s">
        <v>174</v>
      </c>
      <c r="AK209" s="28"/>
      <c r="AL209" s="55" t="s">
        <v>174</v>
      </c>
      <c r="AM209" s="55" t="s">
        <v>174</v>
      </c>
      <c r="AN209" s="55" t="s">
        <v>174</v>
      </c>
      <c r="AO209" s="55" t="s">
        <v>174</v>
      </c>
      <c r="AP209" s="55" t="s">
        <v>174</v>
      </c>
      <c r="AQ209" s="55" t="s">
        <v>174</v>
      </c>
      <c r="AR209" s="28"/>
    </row>
    <row r="210" spans="1:44">
      <c r="A210" s="28"/>
      <c r="B210" s="55" t="s">
        <v>174</v>
      </c>
      <c r="C210" s="55" t="s">
        <v>174</v>
      </c>
      <c r="D210" s="55" t="s">
        <v>174</v>
      </c>
      <c r="E210" s="55" t="s">
        <v>174</v>
      </c>
      <c r="F210" s="55" t="s">
        <v>174</v>
      </c>
      <c r="G210" s="55" t="s">
        <v>174</v>
      </c>
      <c r="H210" s="28"/>
      <c r="I210" s="68">
        <v>71.989999999999995</v>
      </c>
      <c r="J210" s="31">
        <v>8.77E-2</v>
      </c>
      <c r="K210" s="31">
        <v>2.1100000000000001E-2</v>
      </c>
      <c r="L210" s="37">
        <v>0</v>
      </c>
      <c r="M210" s="38">
        <v>4.6300000000000001E-2</v>
      </c>
      <c r="N210" s="38">
        <v>0.129</v>
      </c>
      <c r="O210" s="28"/>
      <c r="P210" s="68">
        <v>71.989999999999995</v>
      </c>
      <c r="Q210" s="38">
        <v>0.1118</v>
      </c>
      <c r="R210" s="38">
        <v>2.35E-2</v>
      </c>
      <c r="S210" s="37">
        <v>0</v>
      </c>
      <c r="T210" s="38">
        <v>6.5699999999999995E-2</v>
      </c>
      <c r="U210" s="38">
        <v>0.15790000000000001</v>
      </c>
      <c r="V210" s="28"/>
      <c r="W210" s="28"/>
      <c r="X210" s="55" t="s">
        <v>174</v>
      </c>
      <c r="Y210" s="55" t="s">
        <v>174</v>
      </c>
      <c r="Z210" s="55" t="s">
        <v>174</v>
      </c>
      <c r="AA210" s="55" t="s">
        <v>174</v>
      </c>
      <c r="AB210" s="55" t="s">
        <v>174</v>
      </c>
      <c r="AC210" s="55" t="s">
        <v>174</v>
      </c>
      <c r="AD210" s="28"/>
      <c r="AE210" s="55" t="s">
        <v>174</v>
      </c>
      <c r="AF210" s="55" t="s">
        <v>174</v>
      </c>
      <c r="AG210" s="55" t="s">
        <v>174</v>
      </c>
      <c r="AH210" s="55" t="s">
        <v>174</v>
      </c>
      <c r="AI210" s="55" t="s">
        <v>174</v>
      </c>
      <c r="AJ210" s="55" t="s">
        <v>174</v>
      </c>
      <c r="AK210" s="28"/>
      <c r="AL210" s="55" t="s">
        <v>174</v>
      </c>
      <c r="AM210" s="55" t="s">
        <v>174</v>
      </c>
      <c r="AN210" s="55" t="s">
        <v>174</v>
      </c>
      <c r="AO210" s="55" t="s">
        <v>174</v>
      </c>
      <c r="AP210" s="55" t="s">
        <v>174</v>
      </c>
      <c r="AQ210" s="55" t="s">
        <v>174</v>
      </c>
      <c r="AR210" s="28"/>
    </row>
    <row r="211" spans="1:44">
      <c r="A211" s="28"/>
      <c r="B211" s="55" t="s">
        <v>174</v>
      </c>
      <c r="C211" s="55" t="s">
        <v>174</v>
      </c>
      <c r="D211" s="55" t="s">
        <v>174</v>
      </c>
      <c r="E211" s="55" t="s">
        <v>174</v>
      </c>
      <c r="F211" s="55" t="s">
        <v>174</v>
      </c>
      <c r="G211" s="55" t="s">
        <v>174</v>
      </c>
      <c r="H211" s="28"/>
      <c r="I211" s="68">
        <v>76.06</v>
      </c>
      <c r="J211" s="31">
        <v>9.2700000000000005E-2</v>
      </c>
      <c r="K211" s="31">
        <v>2.2599999999999999E-2</v>
      </c>
      <c r="L211" s="37">
        <v>0</v>
      </c>
      <c r="M211" s="38">
        <v>4.8399999999999999E-2</v>
      </c>
      <c r="N211" s="38">
        <v>0.13700000000000001</v>
      </c>
      <c r="O211" s="28"/>
      <c r="P211" s="68">
        <v>76.06</v>
      </c>
      <c r="Q211" s="38">
        <v>0.1188</v>
      </c>
      <c r="R211" s="38">
        <v>2.52E-2</v>
      </c>
      <c r="S211" s="37">
        <v>0</v>
      </c>
      <c r="T211" s="38">
        <v>6.9400000000000003E-2</v>
      </c>
      <c r="U211" s="38">
        <v>0.16819999999999999</v>
      </c>
      <c r="V211" s="28"/>
      <c r="W211" s="28"/>
      <c r="X211" s="55" t="s">
        <v>174</v>
      </c>
      <c r="Y211" s="55" t="s">
        <v>174</v>
      </c>
      <c r="Z211" s="55" t="s">
        <v>174</v>
      </c>
      <c r="AA211" s="55" t="s">
        <v>174</v>
      </c>
      <c r="AB211" s="55" t="s">
        <v>174</v>
      </c>
      <c r="AC211" s="55" t="s">
        <v>174</v>
      </c>
      <c r="AD211" s="28"/>
      <c r="AE211" s="55" t="s">
        <v>174</v>
      </c>
      <c r="AF211" s="55" t="s">
        <v>174</v>
      </c>
      <c r="AG211" s="55" t="s">
        <v>174</v>
      </c>
      <c r="AH211" s="55" t="s">
        <v>174</v>
      </c>
      <c r="AI211" s="55" t="s">
        <v>174</v>
      </c>
      <c r="AJ211" s="55" t="s">
        <v>174</v>
      </c>
      <c r="AK211" s="28"/>
      <c r="AL211" s="55" t="s">
        <v>174</v>
      </c>
      <c r="AM211" s="55" t="s">
        <v>174</v>
      </c>
      <c r="AN211" s="55" t="s">
        <v>174</v>
      </c>
      <c r="AO211" s="55" t="s">
        <v>174</v>
      </c>
      <c r="AP211" s="55" t="s">
        <v>174</v>
      </c>
      <c r="AQ211" s="55" t="s">
        <v>174</v>
      </c>
      <c r="AR211" s="28"/>
    </row>
    <row r="212" spans="1:44">
      <c r="A212" s="28"/>
      <c r="B212" s="55" t="s">
        <v>174</v>
      </c>
      <c r="C212" s="55" t="s">
        <v>174</v>
      </c>
      <c r="D212" s="55" t="s">
        <v>174</v>
      </c>
      <c r="E212" s="55" t="s">
        <v>174</v>
      </c>
      <c r="F212" s="55" t="s">
        <v>174</v>
      </c>
      <c r="G212" s="55" t="s">
        <v>174</v>
      </c>
      <c r="H212" s="28"/>
      <c r="I212" s="68">
        <v>80.13</v>
      </c>
      <c r="J212" s="31">
        <v>9.7799999999999998E-2</v>
      </c>
      <c r="K212" s="31">
        <v>2.41E-2</v>
      </c>
      <c r="L212" s="37">
        <v>1E-4</v>
      </c>
      <c r="M212" s="38">
        <v>5.04E-2</v>
      </c>
      <c r="N212" s="38">
        <v>0.14510000000000001</v>
      </c>
      <c r="O212" s="28"/>
      <c r="P212" s="68">
        <v>80.13</v>
      </c>
      <c r="Q212" s="38">
        <v>0.1258</v>
      </c>
      <c r="R212" s="38">
        <v>2.69E-2</v>
      </c>
      <c r="S212" s="37">
        <v>0</v>
      </c>
      <c r="T212" s="38">
        <v>7.2999999999999995E-2</v>
      </c>
      <c r="U212" s="38">
        <v>0.17860000000000001</v>
      </c>
      <c r="V212" s="28"/>
      <c r="W212" s="28"/>
      <c r="X212" s="55" t="s">
        <v>174</v>
      </c>
      <c r="Y212" s="55" t="s">
        <v>174</v>
      </c>
      <c r="Z212" s="55" t="s">
        <v>174</v>
      </c>
      <c r="AA212" s="55" t="s">
        <v>174</v>
      </c>
      <c r="AB212" s="55" t="s">
        <v>174</v>
      </c>
      <c r="AC212" s="55" t="s">
        <v>174</v>
      </c>
      <c r="AD212" s="28"/>
      <c r="AE212" s="55" t="s">
        <v>174</v>
      </c>
      <c r="AF212" s="55" t="s">
        <v>174</v>
      </c>
      <c r="AG212" s="55" t="s">
        <v>174</v>
      </c>
      <c r="AH212" s="55" t="s">
        <v>174</v>
      </c>
      <c r="AI212" s="55" t="s">
        <v>174</v>
      </c>
      <c r="AJ212" s="55" t="s">
        <v>174</v>
      </c>
      <c r="AK212" s="28"/>
      <c r="AL212" s="55" t="s">
        <v>174</v>
      </c>
      <c r="AM212" s="55" t="s">
        <v>174</v>
      </c>
      <c r="AN212" s="55" t="s">
        <v>174</v>
      </c>
      <c r="AO212" s="55" t="s">
        <v>174</v>
      </c>
      <c r="AP212" s="55" t="s">
        <v>174</v>
      </c>
      <c r="AQ212" s="55" t="s">
        <v>174</v>
      </c>
      <c r="AR212" s="28"/>
    </row>
    <row r="213" spans="1:44">
      <c r="A213" s="28"/>
      <c r="B213" s="55" t="s">
        <v>174</v>
      </c>
      <c r="C213" s="55" t="s">
        <v>174</v>
      </c>
      <c r="D213" s="55" t="s">
        <v>174</v>
      </c>
      <c r="E213" s="55" t="s">
        <v>174</v>
      </c>
      <c r="F213" s="55" t="s">
        <v>174</v>
      </c>
      <c r="G213" s="55" t="s">
        <v>174</v>
      </c>
      <c r="H213" s="28"/>
      <c r="I213" s="68">
        <v>84.2</v>
      </c>
      <c r="J213" s="31">
        <v>0.1028</v>
      </c>
      <c r="K213" s="31">
        <v>2.5700000000000001E-2</v>
      </c>
      <c r="L213" s="37">
        <v>1E-4</v>
      </c>
      <c r="M213" s="38">
        <v>5.2400000000000002E-2</v>
      </c>
      <c r="N213" s="38">
        <v>0.1532</v>
      </c>
      <c r="O213" s="28"/>
      <c r="P213" s="68">
        <v>84.2</v>
      </c>
      <c r="Q213" s="38">
        <v>0.1328</v>
      </c>
      <c r="R213" s="38">
        <v>2.86E-2</v>
      </c>
      <c r="S213" s="37">
        <v>0</v>
      </c>
      <c r="T213" s="38">
        <v>7.6600000000000001E-2</v>
      </c>
      <c r="U213" s="38">
        <v>0.189</v>
      </c>
      <c r="V213" s="28"/>
      <c r="W213" s="28"/>
      <c r="X213" s="55" t="s">
        <v>174</v>
      </c>
      <c r="Y213" s="55" t="s">
        <v>174</v>
      </c>
      <c r="Z213" s="55" t="s">
        <v>174</v>
      </c>
      <c r="AA213" s="55" t="s">
        <v>174</v>
      </c>
      <c r="AB213" s="55" t="s">
        <v>174</v>
      </c>
      <c r="AC213" s="55" t="s">
        <v>174</v>
      </c>
      <c r="AD213" s="28"/>
      <c r="AE213" s="55" t="s">
        <v>174</v>
      </c>
      <c r="AF213" s="55" t="s">
        <v>174</v>
      </c>
      <c r="AG213" s="55" t="s">
        <v>174</v>
      </c>
      <c r="AH213" s="55" t="s">
        <v>174</v>
      </c>
      <c r="AI213" s="55" t="s">
        <v>174</v>
      </c>
      <c r="AJ213" s="55" t="s">
        <v>174</v>
      </c>
      <c r="AK213" s="28"/>
      <c r="AL213" s="55" t="s">
        <v>174</v>
      </c>
      <c r="AM213" s="55" t="s">
        <v>174</v>
      </c>
      <c r="AN213" s="55" t="s">
        <v>174</v>
      </c>
      <c r="AO213" s="55" t="s">
        <v>174</v>
      </c>
      <c r="AP213" s="55" t="s">
        <v>174</v>
      </c>
      <c r="AQ213" s="55" t="s">
        <v>174</v>
      </c>
      <c r="AR213" s="28"/>
    </row>
    <row r="214" spans="1:44">
      <c r="A214" s="28"/>
      <c r="B214" s="322" t="s">
        <v>762</v>
      </c>
      <c r="C214" s="299"/>
      <c r="D214" s="299"/>
      <c r="E214" s="299"/>
      <c r="F214" s="299"/>
      <c r="G214" s="299"/>
      <c r="H214" s="28"/>
      <c r="I214" s="322" t="s">
        <v>763</v>
      </c>
      <c r="J214" s="299"/>
      <c r="K214" s="299"/>
      <c r="L214" s="299"/>
      <c r="M214" s="299"/>
      <c r="N214" s="299"/>
      <c r="O214" s="28"/>
      <c r="P214" s="322" t="s">
        <v>763</v>
      </c>
      <c r="Q214" s="299"/>
      <c r="R214" s="299"/>
      <c r="S214" s="299"/>
      <c r="T214" s="299"/>
      <c r="U214" s="299"/>
      <c r="V214" s="28"/>
      <c r="W214" s="28"/>
      <c r="X214" s="322" t="s">
        <v>762</v>
      </c>
      <c r="Y214" s="299"/>
      <c r="Z214" s="299"/>
      <c r="AA214" s="299"/>
      <c r="AB214" s="299"/>
      <c r="AC214" s="299"/>
      <c r="AD214" s="28"/>
      <c r="AE214" s="322" t="s">
        <v>763</v>
      </c>
      <c r="AF214" s="299"/>
      <c r="AG214" s="299"/>
      <c r="AH214" s="299"/>
      <c r="AI214" s="299"/>
      <c r="AJ214" s="299"/>
      <c r="AK214" s="28"/>
      <c r="AL214" s="322" t="s">
        <v>764</v>
      </c>
      <c r="AM214" s="299"/>
      <c r="AN214" s="299"/>
      <c r="AO214" s="299"/>
      <c r="AP214" s="299"/>
      <c r="AQ214" s="299"/>
      <c r="AR214" s="28"/>
    </row>
    <row r="215" spans="1:44">
      <c r="A215" s="28"/>
      <c r="B215" s="321" t="s">
        <v>165</v>
      </c>
      <c r="C215" s="321"/>
      <c r="D215" s="321"/>
      <c r="E215" s="321"/>
      <c r="F215" s="321"/>
      <c r="G215" s="321"/>
      <c r="H215" s="28"/>
      <c r="I215" s="321" t="s">
        <v>165</v>
      </c>
      <c r="J215" s="321"/>
      <c r="K215" s="321"/>
      <c r="L215" s="321"/>
      <c r="M215" s="321"/>
      <c r="N215" s="321"/>
      <c r="O215" s="28"/>
      <c r="P215" s="321" t="s">
        <v>165</v>
      </c>
      <c r="Q215" s="321"/>
      <c r="R215" s="321"/>
      <c r="S215" s="321"/>
      <c r="T215" s="321"/>
      <c r="U215" s="321"/>
      <c r="V215" s="28"/>
      <c r="W215" s="28"/>
      <c r="X215" s="321" t="s">
        <v>192</v>
      </c>
      <c r="Y215" s="321"/>
      <c r="Z215" s="321"/>
      <c r="AA215" s="321"/>
      <c r="AB215" s="321"/>
      <c r="AC215" s="321"/>
      <c r="AD215" s="28"/>
      <c r="AE215" s="321" t="s">
        <v>192</v>
      </c>
      <c r="AF215" s="321"/>
      <c r="AG215" s="321"/>
      <c r="AH215" s="321"/>
      <c r="AI215" s="321"/>
      <c r="AJ215" s="321"/>
      <c r="AK215" s="28"/>
      <c r="AL215" s="321" t="s">
        <v>192</v>
      </c>
      <c r="AM215" s="321"/>
      <c r="AN215" s="321"/>
      <c r="AO215" s="321"/>
      <c r="AP215" s="321"/>
      <c r="AQ215" s="321"/>
      <c r="AR215" s="28"/>
    </row>
    <row r="216" spans="1:44" ht="15.75">
      <c r="A216" s="28"/>
      <c r="B216" s="319" t="s">
        <v>155</v>
      </c>
      <c r="C216" s="319"/>
      <c r="D216" s="319" t="s">
        <v>166</v>
      </c>
      <c r="E216" s="319"/>
      <c r="F216" s="319" t="s">
        <v>156</v>
      </c>
      <c r="G216" s="319"/>
      <c r="H216" s="28"/>
      <c r="I216" s="319" t="s">
        <v>155</v>
      </c>
      <c r="J216" s="319"/>
      <c r="K216" s="319" t="s">
        <v>166</v>
      </c>
      <c r="L216" s="319"/>
      <c r="M216" s="319" t="s">
        <v>156</v>
      </c>
      <c r="N216" s="319"/>
      <c r="O216" s="28"/>
      <c r="P216" s="319" t="s">
        <v>155</v>
      </c>
      <c r="Q216" s="319"/>
      <c r="R216" s="319" t="s">
        <v>166</v>
      </c>
      <c r="S216" s="319"/>
      <c r="T216" s="319" t="s">
        <v>156</v>
      </c>
      <c r="U216" s="319"/>
      <c r="V216" s="28"/>
      <c r="W216" s="28"/>
      <c r="X216" s="319" t="s">
        <v>155</v>
      </c>
      <c r="Y216" s="319"/>
      <c r="Z216" s="319" t="s">
        <v>166</v>
      </c>
      <c r="AA216" s="319"/>
      <c r="AB216" s="319" t="s">
        <v>156</v>
      </c>
      <c r="AC216" s="319"/>
      <c r="AD216" s="28"/>
      <c r="AE216" s="319" t="s">
        <v>155</v>
      </c>
      <c r="AF216" s="319"/>
      <c r="AG216" s="319" t="s">
        <v>166</v>
      </c>
      <c r="AH216" s="319"/>
      <c r="AI216" s="319" t="s">
        <v>156</v>
      </c>
      <c r="AJ216" s="319"/>
      <c r="AK216" s="28"/>
      <c r="AL216" s="319" t="s">
        <v>155</v>
      </c>
      <c r="AM216" s="319"/>
      <c r="AN216" s="319" t="s">
        <v>166</v>
      </c>
      <c r="AO216" s="319"/>
      <c r="AP216" s="319" t="s">
        <v>156</v>
      </c>
      <c r="AQ216" s="319"/>
      <c r="AR216" s="28"/>
    </row>
    <row r="217" spans="1:44">
      <c r="A217" s="28"/>
      <c r="B217" s="320">
        <v>0.3962</v>
      </c>
      <c r="C217" s="320"/>
      <c r="D217" s="320">
        <v>0.15690000000000001</v>
      </c>
      <c r="E217" s="320"/>
      <c r="F217" s="317" t="s">
        <v>170</v>
      </c>
      <c r="G217" s="317"/>
      <c r="H217" s="28"/>
      <c r="I217" s="320">
        <v>0.60960000000000003</v>
      </c>
      <c r="J217" s="320"/>
      <c r="K217" s="320">
        <v>0.37159999999999999</v>
      </c>
      <c r="L217" s="320"/>
      <c r="M217" s="317" t="s">
        <v>170</v>
      </c>
      <c r="N217" s="317"/>
      <c r="O217" s="28"/>
      <c r="P217" s="320">
        <v>0.58340000000000003</v>
      </c>
      <c r="Q217" s="320"/>
      <c r="R217" s="320">
        <v>0.34039999999999998</v>
      </c>
      <c r="S217" s="320"/>
      <c r="T217" s="317" t="s">
        <v>170</v>
      </c>
      <c r="U217" s="317"/>
      <c r="V217" s="28"/>
      <c r="W217" s="28"/>
      <c r="X217" s="320">
        <v>0.39739999999999998</v>
      </c>
      <c r="Y217" s="320"/>
      <c r="Z217" s="320">
        <v>0.15790000000000001</v>
      </c>
      <c r="AA217" s="320"/>
      <c r="AB217" s="317" t="s">
        <v>170</v>
      </c>
      <c r="AC217" s="317"/>
      <c r="AD217" s="28"/>
      <c r="AE217" s="320">
        <v>0.60709999999999997</v>
      </c>
      <c r="AF217" s="320"/>
      <c r="AG217" s="320">
        <v>0.36859999999999998</v>
      </c>
      <c r="AH217" s="320"/>
      <c r="AI217" s="317" t="s">
        <v>170</v>
      </c>
      <c r="AJ217" s="317"/>
      <c r="AK217" s="28"/>
      <c r="AL217" s="320">
        <v>0.57879999999999998</v>
      </c>
      <c r="AM217" s="320"/>
      <c r="AN217" s="320">
        <v>0.33500000000000002</v>
      </c>
      <c r="AO217" s="320"/>
      <c r="AP217" s="317" t="s">
        <v>170</v>
      </c>
      <c r="AQ217" s="317"/>
      <c r="AR217" s="28"/>
    </row>
    <row r="218" spans="1:44">
      <c r="A218" s="28"/>
      <c r="B218" s="318" t="s">
        <v>154</v>
      </c>
      <c r="C218" s="318"/>
      <c r="D218" s="318"/>
      <c r="E218" s="318"/>
      <c r="F218" s="318"/>
      <c r="G218" s="318"/>
      <c r="H218" s="28"/>
      <c r="I218" s="318" t="s">
        <v>154</v>
      </c>
      <c r="J218" s="318"/>
      <c r="K218" s="318"/>
      <c r="L218" s="318"/>
      <c r="M218" s="318"/>
      <c r="N218" s="318"/>
      <c r="P218" s="318" t="s">
        <v>154</v>
      </c>
      <c r="Q218" s="318"/>
      <c r="R218" s="318"/>
      <c r="S218" s="318"/>
      <c r="T218" s="318"/>
      <c r="U218" s="318"/>
      <c r="V218" s="28"/>
      <c r="W218" s="28"/>
      <c r="X218" s="318" t="s">
        <v>154</v>
      </c>
      <c r="Y218" s="318"/>
      <c r="Z218" s="318"/>
      <c r="AA218" s="318"/>
      <c r="AB218" s="318"/>
      <c r="AC218" s="318"/>
      <c r="AD218" s="28"/>
      <c r="AE218" s="318" t="s">
        <v>154</v>
      </c>
      <c r="AF218" s="318"/>
      <c r="AG218" s="318"/>
      <c r="AH218" s="318"/>
      <c r="AI218" s="318"/>
      <c r="AJ218" s="318"/>
      <c r="AK218" s="28"/>
      <c r="AL218" s="318" t="s">
        <v>154</v>
      </c>
      <c r="AM218" s="318"/>
      <c r="AN218" s="318"/>
      <c r="AO218" s="318"/>
      <c r="AP218" s="318"/>
      <c r="AQ218" s="318"/>
      <c r="AR218" s="28"/>
    </row>
    <row r="219" spans="1:44">
      <c r="A219" s="28"/>
      <c r="B219" s="33"/>
      <c r="C219" s="34" t="s">
        <v>158</v>
      </c>
      <c r="D219" s="34" t="s">
        <v>159</v>
      </c>
      <c r="E219" s="34" t="s">
        <v>151</v>
      </c>
      <c r="F219" s="34" t="s">
        <v>171</v>
      </c>
      <c r="G219" s="34" t="s">
        <v>172</v>
      </c>
      <c r="H219" s="28"/>
      <c r="I219" s="33"/>
      <c r="J219" s="34" t="s">
        <v>158</v>
      </c>
      <c r="K219" s="34" t="s">
        <v>159</v>
      </c>
      <c r="L219" s="34" t="s">
        <v>151</v>
      </c>
      <c r="M219" s="34" t="s">
        <v>171</v>
      </c>
      <c r="N219" s="34" t="s">
        <v>172</v>
      </c>
      <c r="O219" s="28"/>
      <c r="P219" s="33"/>
      <c r="Q219" s="34" t="s">
        <v>158</v>
      </c>
      <c r="R219" s="34" t="s">
        <v>159</v>
      </c>
      <c r="S219" s="34" t="s">
        <v>151</v>
      </c>
      <c r="T219" s="34" t="s">
        <v>171</v>
      </c>
      <c r="U219" s="34" t="s">
        <v>172</v>
      </c>
      <c r="V219" s="28"/>
      <c r="W219" s="28"/>
      <c r="X219" s="33"/>
      <c r="Y219" s="34" t="s">
        <v>158</v>
      </c>
      <c r="Z219" s="34" t="s">
        <v>159</v>
      </c>
      <c r="AA219" s="34" t="s">
        <v>151</v>
      </c>
      <c r="AB219" s="34" t="s">
        <v>171</v>
      </c>
      <c r="AC219" s="34" t="s">
        <v>172</v>
      </c>
      <c r="AD219" s="28"/>
      <c r="AE219" s="33"/>
      <c r="AF219" s="34" t="s">
        <v>158</v>
      </c>
      <c r="AG219" s="34" t="s">
        <v>159</v>
      </c>
      <c r="AH219" s="34" t="s">
        <v>151</v>
      </c>
      <c r="AI219" s="34" t="s">
        <v>171</v>
      </c>
      <c r="AJ219" s="34" t="s">
        <v>172</v>
      </c>
      <c r="AK219" s="28"/>
      <c r="AL219" s="33"/>
      <c r="AM219" s="34" t="s">
        <v>158</v>
      </c>
      <c r="AN219" s="34" t="s">
        <v>159</v>
      </c>
      <c r="AO219" s="34" t="s">
        <v>151</v>
      </c>
      <c r="AP219" s="34" t="s">
        <v>171</v>
      </c>
      <c r="AQ219" s="34" t="s">
        <v>172</v>
      </c>
      <c r="AR219" s="28"/>
    </row>
    <row r="220" spans="1:44">
      <c r="A220" s="28"/>
      <c r="B220" s="32" t="s">
        <v>160</v>
      </c>
      <c r="C220" s="38">
        <v>0.33560000000000001</v>
      </c>
      <c r="D220" s="38">
        <v>8.5000000000000006E-3</v>
      </c>
      <c r="E220" s="41">
        <v>0</v>
      </c>
      <c r="F220" s="38">
        <v>0.31900000000000001</v>
      </c>
      <c r="G220" s="38">
        <v>0.35220000000000001</v>
      </c>
      <c r="H220" s="28"/>
      <c r="I220" s="32" t="s">
        <v>160</v>
      </c>
      <c r="J220" s="38">
        <v>0.46029999999999999</v>
      </c>
      <c r="K220" s="38">
        <v>1.01E-2</v>
      </c>
      <c r="L220" s="38">
        <v>0</v>
      </c>
      <c r="M220" s="38">
        <v>0.4405</v>
      </c>
      <c r="N220" s="38">
        <v>0.48010000000000003</v>
      </c>
      <c r="O220" s="28"/>
      <c r="P220" s="32" t="s">
        <v>160</v>
      </c>
      <c r="Q220" s="38">
        <v>0.31559999999999999</v>
      </c>
      <c r="R220" s="38">
        <v>1.5100000000000001E-2</v>
      </c>
      <c r="S220" s="38">
        <v>0</v>
      </c>
      <c r="T220" s="38">
        <v>0.28589999999999999</v>
      </c>
      <c r="U220" s="38">
        <v>0.3453</v>
      </c>
      <c r="V220" s="28"/>
      <c r="W220" s="28"/>
      <c r="X220" s="40" t="s">
        <v>160</v>
      </c>
      <c r="Y220" s="85">
        <v>0.32950000000000002</v>
      </c>
      <c r="Z220" s="85">
        <v>1.0200000000000001E-2</v>
      </c>
      <c r="AA220" s="85">
        <v>0</v>
      </c>
      <c r="AB220" s="85">
        <v>0.30940000000000001</v>
      </c>
      <c r="AC220" s="85">
        <v>0.34960000000000002</v>
      </c>
      <c r="AD220" s="28"/>
      <c r="AE220" s="40" t="s">
        <v>160</v>
      </c>
      <c r="AF220" s="85">
        <v>0.4587</v>
      </c>
      <c r="AG220" s="85">
        <v>1.2500000000000001E-2</v>
      </c>
      <c r="AH220" s="85">
        <v>0</v>
      </c>
      <c r="AI220" s="85">
        <v>0.43419999999999997</v>
      </c>
      <c r="AJ220" s="85">
        <v>0.48320000000000002</v>
      </c>
      <c r="AK220" s="28"/>
      <c r="AL220" s="40" t="s">
        <v>160</v>
      </c>
      <c r="AM220" s="95">
        <v>0.30780000000000002</v>
      </c>
      <c r="AN220" s="95">
        <v>1.83E-2</v>
      </c>
      <c r="AO220" s="95">
        <v>0</v>
      </c>
      <c r="AP220" s="95">
        <v>0.27189999999999998</v>
      </c>
      <c r="AQ220" s="95">
        <v>0.34370000000000001</v>
      </c>
      <c r="AR220" s="28"/>
    </row>
    <row r="221" spans="1:44">
      <c r="A221" s="28"/>
      <c r="B221" s="40" t="s">
        <v>161</v>
      </c>
      <c r="C221" s="38">
        <v>-2.0000000000000001E-4</v>
      </c>
      <c r="D221" s="38">
        <v>3.8999999999999998E-3</v>
      </c>
      <c r="E221" s="38">
        <v>0.95450000000000002</v>
      </c>
      <c r="F221" s="38">
        <v>-8.0000000000000002E-3</v>
      </c>
      <c r="G221" s="38">
        <v>7.4999999999999997E-3</v>
      </c>
      <c r="H221" s="28"/>
      <c r="I221" s="40" t="s">
        <v>161</v>
      </c>
      <c r="J221" s="38">
        <v>1.2999999999999999E-3</v>
      </c>
      <c r="K221" s="38">
        <v>4.4999999999999997E-3</v>
      </c>
      <c r="L221" s="38">
        <v>0.76970000000000005</v>
      </c>
      <c r="M221" s="38">
        <v>-7.4999999999999997E-3</v>
      </c>
      <c r="N221" s="38">
        <v>1.0200000000000001E-2</v>
      </c>
      <c r="O221" s="28"/>
      <c r="P221" s="40" t="s">
        <v>161</v>
      </c>
      <c r="Q221" s="38">
        <v>-1.1999999999999999E-3</v>
      </c>
      <c r="R221" s="38">
        <v>6.6E-3</v>
      </c>
      <c r="S221" s="38">
        <v>0.8498</v>
      </c>
      <c r="T221" s="38">
        <v>-1.41E-2</v>
      </c>
      <c r="U221" s="38">
        <v>1.1599999999999999E-2</v>
      </c>
      <c r="V221" s="28"/>
      <c r="W221" s="28"/>
      <c r="X221" s="40" t="s">
        <v>161</v>
      </c>
      <c r="Y221" s="85">
        <v>1.37E-2</v>
      </c>
      <c r="Z221" s="85">
        <v>1.4500000000000001E-2</v>
      </c>
      <c r="AA221" s="85">
        <v>0.34499999999999997</v>
      </c>
      <c r="AB221" s="85">
        <v>-1.4800000000000001E-2</v>
      </c>
      <c r="AC221" s="85">
        <v>4.2200000000000001E-2</v>
      </c>
      <c r="AD221" s="28"/>
      <c r="AE221" s="40" t="s">
        <v>161</v>
      </c>
      <c r="AF221" s="85">
        <v>1.06E-2</v>
      </c>
      <c r="AG221" s="85">
        <v>1.8200000000000001E-2</v>
      </c>
      <c r="AH221" s="85">
        <v>0.56010000000000004</v>
      </c>
      <c r="AI221" s="85">
        <v>-2.5100000000000001E-2</v>
      </c>
      <c r="AJ221" s="85">
        <v>4.6300000000000001E-2</v>
      </c>
      <c r="AK221" s="28"/>
      <c r="AL221" s="40" t="s">
        <v>161</v>
      </c>
      <c r="AM221" s="85">
        <v>2.7699999999999999E-2</v>
      </c>
      <c r="AN221" s="85">
        <v>2.7400000000000001E-2</v>
      </c>
      <c r="AO221" s="85">
        <v>0.3115</v>
      </c>
      <c r="AP221" s="85">
        <v>-2.5999999999999999E-2</v>
      </c>
      <c r="AQ221" s="85">
        <v>8.1500000000000003E-2</v>
      </c>
      <c r="AR221" s="28"/>
    </row>
    <row r="222" spans="1:44">
      <c r="A222" s="28"/>
      <c r="B222" s="39" t="s">
        <v>162</v>
      </c>
      <c r="C222" s="38">
        <v>1.1000000000000001E-3</v>
      </c>
      <c r="D222" s="38">
        <v>2.0000000000000001E-4</v>
      </c>
      <c r="E222" s="37">
        <v>0</v>
      </c>
      <c r="F222" s="38">
        <v>6.9999999999999999E-4</v>
      </c>
      <c r="G222" s="38">
        <v>1.4E-3</v>
      </c>
      <c r="H222" s="28"/>
      <c r="I222" s="39" t="s">
        <v>162</v>
      </c>
      <c r="J222" s="38">
        <v>2.3E-3</v>
      </c>
      <c r="K222" s="38">
        <v>1E-4</v>
      </c>
      <c r="L222" s="37">
        <v>0</v>
      </c>
      <c r="M222" s="38">
        <v>2E-3</v>
      </c>
      <c r="N222" s="38">
        <v>2.5000000000000001E-3</v>
      </c>
      <c r="O222" s="28"/>
      <c r="P222" s="39" t="s">
        <v>162</v>
      </c>
      <c r="Q222" s="38">
        <v>2.2000000000000001E-3</v>
      </c>
      <c r="R222" s="38">
        <v>2.0000000000000001E-4</v>
      </c>
      <c r="S222" s="37">
        <v>0</v>
      </c>
      <c r="T222" s="38">
        <v>1.8E-3</v>
      </c>
      <c r="U222" s="38">
        <v>2.5000000000000001E-3</v>
      </c>
      <c r="V222" s="28"/>
      <c r="W222" s="28"/>
      <c r="X222" s="40" t="s">
        <v>164</v>
      </c>
      <c r="Y222" s="85">
        <v>1.09E-2</v>
      </c>
      <c r="Z222" s="85">
        <v>7.4000000000000003E-3</v>
      </c>
      <c r="AA222" s="85">
        <v>0.1404</v>
      </c>
      <c r="AB222" s="85">
        <v>-3.5999999999999999E-3</v>
      </c>
      <c r="AC222" s="85">
        <v>2.5399999999999999E-2</v>
      </c>
      <c r="AD222" s="28"/>
      <c r="AE222" s="39" t="s">
        <v>164</v>
      </c>
      <c r="AF222" s="85">
        <v>-0.1273</v>
      </c>
      <c r="AG222" s="85">
        <v>8.5000000000000006E-3</v>
      </c>
      <c r="AH222" s="63">
        <v>0</v>
      </c>
      <c r="AI222" s="85">
        <v>-0.14399999999999999</v>
      </c>
      <c r="AJ222" s="85">
        <v>-0.1106</v>
      </c>
      <c r="AK222" s="28"/>
      <c r="AL222" s="39" t="s">
        <v>164</v>
      </c>
      <c r="AM222" s="85">
        <v>-5.28E-2</v>
      </c>
      <c r="AN222" s="85">
        <v>1.23E-2</v>
      </c>
      <c r="AO222" s="63">
        <v>0</v>
      </c>
      <c r="AP222" s="85">
        <v>-7.6899999999999996E-2</v>
      </c>
      <c r="AQ222" s="85">
        <v>-2.86E-2</v>
      </c>
      <c r="AR222" s="28"/>
    </row>
    <row r="223" spans="1:44">
      <c r="A223" s="28"/>
      <c r="B223" s="32" t="s">
        <v>163</v>
      </c>
      <c r="C223" s="38">
        <v>-1E-4</v>
      </c>
      <c r="D223" s="38">
        <v>2.0000000000000001E-4</v>
      </c>
      <c r="E223" s="38">
        <v>0.57930000000000004</v>
      </c>
      <c r="F223" s="38">
        <v>-5.0000000000000001E-4</v>
      </c>
      <c r="G223" s="38">
        <v>2.9999999999999997E-4</v>
      </c>
      <c r="H223" s="28"/>
      <c r="I223" s="39" t="s">
        <v>163</v>
      </c>
      <c r="J223" s="38">
        <v>4.0000000000000002E-4</v>
      </c>
      <c r="K223" s="38">
        <v>2.0000000000000001E-4</v>
      </c>
      <c r="L223" s="37">
        <v>1.7299999999999999E-2</v>
      </c>
      <c r="M223" s="38">
        <v>1E-4</v>
      </c>
      <c r="N223" s="38">
        <v>6.9999999999999999E-4</v>
      </c>
      <c r="O223" s="28"/>
      <c r="P223" s="39" t="s">
        <v>163</v>
      </c>
      <c r="Q223" s="38">
        <v>5.9999999999999995E-4</v>
      </c>
      <c r="R223" s="38">
        <v>2.0000000000000001E-4</v>
      </c>
      <c r="S223" s="37">
        <v>9.4999999999999998E-3</v>
      </c>
      <c r="T223" s="38">
        <v>1E-4</v>
      </c>
      <c r="U223" s="38">
        <v>1E-3</v>
      </c>
      <c r="V223" s="28"/>
      <c r="W223" s="28"/>
      <c r="X223" s="32" t="s">
        <v>193</v>
      </c>
      <c r="Y223" s="85">
        <v>-1.09E-2</v>
      </c>
      <c r="Z223" s="85">
        <v>0.01</v>
      </c>
      <c r="AA223" s="85">
        <v>0.27560000000000001</v>
      </c>
      <c r="AB223" s="85">
        <v>-3.0499999999999999E-2</v>
      </c>
      <c r="AC223" s="85">
        <v>8.6999999999999994E-3</v>
      </c>
      <c r="AD223" s="28"/>
      <c r="AE223" s="32" t="s">
        <v>193</v>
      </c>
      <c r="AF223" s="85">
        <v>-5.0000000000000001E-4</v>
      </c>
      <c r="AG223" s="85">
        <v>1.18E-2</v>
      </c>
      <c r="AH223" s="85">
        <v>0.96440000000000003</v>
      </c>
      <c r="AI223" s="85">
        <v>-2.3699999999999999E-2</v>
      </c>
      <c r="AJ223" s="85">
        <v>2.2700000000000001E-2</v>
      </c>
      <c r="AK223" s="28"/>
      <c r="AL223" s="32" t="s">
        <v>193</v>
      </c>
      <c r="AM223" s="85">
        <v>-1.04E-2</v>
      </c>
      <c r="AN223" s="85">
        <v>1.78E-2</v>
      </c>
      <c r="AO223" s="85">
        <v>0.56000000000000005</v>
      </c>
      <c r="AP223" s="85">
        <v>-4.5400000000000003E-2</v>
      </c>
      <c r="AQ223" s="85">
        <v>2.46E-2</v>
      </c>
      <c r="AR223" s="28"/>
    </row>
    <row r="224" spans="1:44">
      <c r="A224" s="28"/>
      <c r="B224" s="47" t="s">
        <v>164</v>
      </c>
      <c r="C224" s="46">
        <v>6.1999999999999998E-3</v>
      </c>
      <c r="D224" s="46">
        <v>6.4000000000000003E-3</v>
      </c>
      <c r="E224" s="46">
        <v>0.33550000000000002</v>
      </c>
      <c r="F224" s="46">
        <v>-6.4000000000000003E-3</v>
      </c>
      <c r="G224" s="46">
        <v>1.8700000000000001E-2</v>
      </c>
      <c r="H224" s="28"/>
      <c r="I224" s="42" t="s">
        <v>164</v>
      </c>
      <c r="J224" s="46">
        <v>-0.12540000000000001</v>
      </c>
      <c r="K224" s="46">
        <v>7.1000000000000004E-3</v>
      </c>
      <c r="L224" s="44">
        <v>0</v>
      </c>
      <c r="M224" s="46">
        <v>-0.13930000000000001</v>
      </c>
      <c r="N224" s="46">
        <v>-0.1114</v>
      </c>
      <c r="O224" s="28"/>
      <c r="P224" s="42" t="s">
        <v>164</v>
      </c>
      <c r="Q224" s="38">
        <v>-5.33E-2</v>
      </c>
      <c r="R224" s="38">
        <v>1.0500000000000001E-2</v>
      </c>
      <c r="S224" s="37">
        <v>0</v>
      </c>
      <c r="T224" s="38">
        <v>-7.3899999999999993E-2</v>
      </c>
      <c r="U224" s="38">
        <v>-3.27E-2</v>
      </c>
      <c r="V224" s="28"/>
      <c r="W224" s="28"/>
      <c r="X224" s="42" t="s">
        <v>162</v>
      </c>
      <c r="Y224" s="91">
        <v>1E-3</v>
      </c>
      <c r="Z224" s="91">
        <v>1E-4</v>
      </c>
      <c r="AA224" s="64">
        <v>0</v>
      </c>
      <c r="AB224" s="91">
        <v>8.0000000000000004E-4</v>
      </c>
      <c r="AC224" s="91">
        <v>1.1999999999999999E-3</v>
      </c>
      <c r="AD224" s="28"/>
      <c r="AE224" s="42" t="s">
        <v>162</v>
      </c>
      <c r="AF224" s="91">
        <v>2.5000000000000001E-3</v>
      </c>
      <c r="AG224" s="91">
        <v>1E-4</v>
      </c>
      <c r="AH224" s="64">
        <v>0</v>
      </c>
      <c r="AI224" s="91">
        <v>2.3E-3</v>
      </c>
      <c r="AJ224" s="91">
        <v>2.7000000000000001E-3</v>
      </c>
      <c r="AK224" s="28"/>
      <c r="AL224" s="42" t="s">
        <v>162</v>
      </c>
      <c r="AM224" s="91">
        <v>2.5000000000000001E-3</v>
      </c>
      <c r="AN224" s="91">
        <v>1E-4</v>
      </c>
      <c r="AO224" s="64">
        <v>0</v>
      </c>
      <c r="AP224" s="91">
        <v>2.2000000000000001E-3</v>
      </c>
      <c r="AQ224" s="91">
        <v>2.7000000000000001E-3</v>
      </c>
      <c r="AR224" s="28"/>
    </row>
    <row r="225" spans="1:44">
      <c r="A225" s="28"/>
      <c r="B225" s="61" t="s">
        <v>174</v>
      </c>
      <c r="C225" s="61" t="s">
        <v>174</v>
      </c>
      <c r="D225" s="61" t="s">
        <v>174</v>
      </c>
      <c r="E225" s="61" t="s">
        <v>174</v>
      </c>
      <c r="F225" s="61" t="s">
        <v>174</v>
      </c>
      <c r="G225" s="61" t="s">
        <v>174</v>
      </c>
      <c r="H225" s="28"/>
      <c r="I225" s="323" t="s">
        <v>173</v>
      </c>
      <c r="J225" s="323"/>
      <c r="K225" s="323"/>
      <c r="L225" s="323"/>
      <c r="M225" s="323"/>
      <c r="N225" s="323"/>
      <c r="O225" s="28"/>
      <c r="P225" s="323" t="s">
        <v>173</v>
      </c>
      <c r="Q225" s="323"/>
      <c r="R225" s="323"/>
      <c r="S225" s="323"/>
      <c r="T225" s="323"/>
      <c r="U225" s="323"/>
      <c r="V225" s="28"/>
      <c r="W225" s="28"/>
      <c r="X225" s="55" t="s">
        <v>174</v>
      </c>
      <c r="Y225" s="55" t="s">
        <v>174</v>
      </c>
      <c r="Z225" s="55" t="s">
        <v>174</v>
      </c>
      <c r="AA225" s="55" t="s">
        <v>174</v>
      </c>
      <c r="AB225" s="55" t="s">
        <v>174</v>
      </c>
      <c r="AC225" s="55" t="s">
        <v>174</v>
      </c>
      <c r="AD225" s="28"/>
      <c r="AE225" s="55" t="s">
        <v>174</v>
      </c>
      <c r="AF225" s="55" t="s">
        <v>174</v>
      </c>
      <c r="AG225" s="55" t="s">
        <v>174</v>
      </c>
      <c r="AH225" s="55" t="s">
        <v>174</v>
      </c>
      <c r="AI225" s="55" t="s">
        <v>174</v>
      </c>
      <c r="AJ225" s="55" t="s">
        <v>174</v>
      </c>
      <c r="AK225" s="28"/>
      <c r="AL225" s="55" t="s">
        <v>174</v>
      </c>
      <c r="AM225" s="55" t="s">
        <v>174</v>
      </c>
      <c r="AN225" s="55" t="s">
        <v>174</v>
      </c>
      <c r="AO225" s="55" t="s">
        <v>174</v>
      </c>
      <c r="AP225" s="55" t="s">
        <v>174</v>
      </c>
      <c r="AQ225" s="55" t="s">
        <v>174</v>
      </c>
      <c r="AR225" s="28"/>
    </row>
    <row r="226" spans="1:44">
      <c r="A226" s="28"/>
      <c r="B226" s="55" t="s">
        <v>174</v>
      </c>
      <c r="C226" s="55" t="s">
        <v>174</v>
      </c>
      <c r="D226" s="55" t="s">
        <v>174</v>
      </c>
      <c r="E226" s="55" t="s">
        <v>174</v>
      </c>
      <c r="F226" s="55" t="s">
        <v>174</v>
      </c>
      <c r="G226" s="55" t="s">
        <v>174</v>
      </c>
      <c r="H226" s="28"/>
      <c r="I226" s="53" t="s">
        <v>162</v>
      </c>
      <c r="J226" s="34" t="s">
        <v>167</v>
      </c>
      <c r="K226" s="34" t="s">
        <v>8</v>
      </c>
      <c r="L226" s="34" t="s">
        <v>156</v>
      </c>
      <c r="M226" s="34" t="s">
        <v>168</v>
      </c>
      <c r="N226" s="34" t="s">
        <v>169</v>
      </c>
      <c r="O226" s="28"/>
      <c r="P226" s="53" t="s">
        <v>162</v>
      </c>
      <c r="Q226" s="34" t="s">
        <v>167</v>
      </c>
      <c r="R226" s="34" t="s">
        <v>8</v>
      </c>
      <c r="S226" s="34" t="s">
        <v>156</v>
      </c>
      <c r="T226" s="34" t="s">
        <v>168</v>
      </c>
      <c r="U226" s="34" t="s">
        <v>169</v>
      </c>
      <c r="V226" s="28"/>
      <c r="W226" s="28"/>
      <c r="X226" s="55" t="s">
        <v>174</v>
      </c>
      <c r="Y226" s="55" t="s">
        <v>174</v>
      </c>
      <c r="Z226" s="55" t="s">
        <v>174</v>
      </c>
      <c r="AA226" s="55" t="s">
        <v>174</v>
      </c>
      <c r="AB226" s="55" t="s">
        <v>174</v>
      </c>
      <c r="AC226" s="55" t="s">
        <v>174</v>
      </c>
      <c r="AD226" s="28"/>
      <c r="AE226" s="55" t="s">
        <v>174</v>
      </c>
      <c r="AF226" s="55" t="s">
        <v>174</v>
      </c>
      <c r="AG226" s="55" t="s">
        <v>174</v>
      </c>
      <c r="AH226" s="55" t="s">
        <v>174</v>
      </c>
      <c r="AI226" s="55" t="s">
        <v>174</v>
      </c>
      <c r="AJ226" s="55" t="s">
        <v>174</v>
      </c>
      <c r="AK226" s="28"/>
      <c r="AL226" s="55" t="s">
        <v>174</v>
      </c>
      <c r="AM226" s="55" t="s">
        <v>174</v>
      </c>
      <c r="AN226" s="55" t="s">
        <v>174</v>
      </c>
      <c r="AO226" s="55" t="s">
        <v>174</v>
      </c>
      <c r="AP226" s="55" t="s">
        <v>174</v>
      </c>
      <c r="AQ226" s="55" t="s">
        <v>174</v>
      </c>
      <c r="AR226" s="28"/>
    </row>
    <row r="227" spans="1:44">
      <c r="A227" s="28"/>
      <c r="B227" s="55" t="s">
        <v>174</v>
      </c>
      <c r="C227" s="55" t="s">
        <v>174</v>
      </c>
      <c r="D227" s="55" t="s">
        <v>174</v>
      </c>
      <c r="E227" s="55" t="s">
        <v>174</v>
      </c>
      <c r="F227" s="55" t="s">
        <v>174</v>
      </c>
      <c r="G227" s="55" t="s">
        <v>174</v>
      </c>
      <c r="H227" s="28"/>
      <c r="I227" s="60">
        <v>2.8</v>
      </c>
      <c r="J227" s="38">
        <v>2.3999999999999998E-3</v>
      </c>
      <c r="K227" s="38">
        <v>4.1999999999999997E-3</v>
      </c>
      <c r="L227" s="38">
        <v>0.56389999999999996</v>
      </c>
      <c r="M227" s="38">
        <v>-5.7999999999999996E-3</v>
      </c>
      <c r="N227" s="38">
        <v>1.06E-2</v>
      </c>
      <c r="O227" s="28"/>
      <c r="P227" s="60">
        <v>2.8</v>
      </c>
      <c r="Q227" s="38">
        <v>4.0000000000000002E-4</v>
      </c>
      <c r="R227" s="38">
        <v>6.1000000000000004E-3</v>
      </c>
      <c r="S227" s="38">
        <v>0.9536</v>
      </c>
      <c r="T227" s="38">
        <v>-1.1599999999999999E-2</v>
      </c>
      <c r="U227" s="38">
        <v>1.23E-2</v>
      </c>
      <c r="V227" s="28"/>
      <c r="W227" s="28"/>
      <c r="X227" s="55" t="s">
        <v>174</v>
      </c>
      <c r="Y227" s="55" t="s">
        <v>174</v>
      </c>
      <c r="Z227" s="55" t="s">
        <v>174</v>
      </c>
      <c r="AA227" s="55" t="s">
        <v>174</v>
      </c>
      <c r="AB227" s="55" t="s">
        <v>174</v>
      </c>
      <c r="AC227" s="55" t="s">
        <v>174</v>
      </c>
      <c r="AD227" s="28"/>
      <c r="AE227" s="55" t="s">
        <v>174</v>
      </c>
      <c r="AF227" s="55" t="s">
        <v>174</v>
      </c>
      <c r="AG227" s="55" t="s">
        <v>174</v>
      </c>
      <c r="AH227" s="55" t="s">
        <v>174</v>
      </c>
      <c r="AI227" s="55" t="s">
        <v>174</v>
      </c>
      <c r="AJ227" s="55" t="s">
        <v>174</v>
      </c>
      <c r="AK227" s="28"/>
      <c r="AL227" s="55" t="s">
        <v>174</v>
      </c>
      <c r="AM227" s="55" t="s">
        <v>174</v>
      </c>
      <c r="AN227" s="55" t="s">
        <v>174</v>
      </c>
      <c r="AO227" s="55" t="s">
        <v>174</v>
      </c>
      <c r="AP227" s="55" t="s">
        <v>174</v>
      </c>
      <c r="AQ227" s="55" t="s">
        <v>174</v>
      </c>
      <c r="AR227" s="28"/>
    </row>
    <row r="228" spans="1:44">
      <c r="A228" s="28"/>
      <c r="B228" s="55" t="s">
        <v>174</v>
      </c>
      <c r="C228" s="55" t="s">
        <v>174</v>
      </c>
      <c r="D228" s="55" t="s">
        <v>174</v>
      </c>
      <c r="E228" s="55" t="s">
        <v>174</v>
      </c>
      <c r="F228" s="55" t="s">
        <v>174</v>
      </c>
      <c r="G228" s="55" t="s">
        <v>174</v>
      </c>
      <c r="H228" s="28"/>
      <c r="I228" s="60">
        <v>6.87</v>
      </c>
      <c r="J228" s="38">
        <v>4.0000000000000001E-3</v>
      </c>
      <c r="K228" s="38">
        <v>3.7000000000000002E-3</v>
      </c>
      <c r="L228" s="38">
        <v>0.28270000000000001</v>
      </c>
      <c r="M228" s="38">
        <v>-3.3E-3</v>
      </c>
      <c r="N228" s="38">
        <v>1.1299999999999999E-2</v>
      </c>
      <c r="O228" s="28"/>
      <c r="P228" s="60">
        <v>6.87</v>
      </c>
      <c r="Q228" s="38">
        <v>2.7000000000000001E-3</v>
      </c>
      <c r="R228" s="38">
        <v>5.4999999999999997E-3</v>
      </c>
      <c r="S228" s="38">
        <v>0.62509999999999999</v>
      </c>
      <c r="T228" s="38">
        <v>-8.0999999999999996E-3</v>
      </c>
      <c r="U228" s="38">
        <v>1.34E-2</v>
      </c>
      <c r="V228" s="28"/>
      <c r="W228" s="28"/>
      <c r="X228" s="55" t="s">
        <v>174</v>
      </c>
      <c r="Y228" s="55" t="s">
        <v>174</v>
      </c>
      <c r="Z228" s="55" t="s">
        <v>174</v>
      </c>
      <c r="AA228" s="55" t="s">
        <v>174</v>
      </c>
      <c r="AB228" s="55" t="s">
        <v>174</v>
      </c>
      <c r="AC228" s="55" t="s">
        <v>174</v>
      </c>
      <c r="AD228" s="28"/>
      <c r="AE228" s="55" t="s">
        <v>174</v>
      </c>
      <c r="AF228" s="55" t="s">
        <v>174</v>
      </c>
      <c r="AG228" s="55" t="s">
        <v>174</v>
      </c>
      <c r="AH228" s="55" t="s">
        <v>174</v>
      </c>
      <c r="AI228" s="55" t="s">
        <v>174</v>
      </c>
      <c r="AJ228" s="55" t="s">
        <v>174</v>
      </c>
      <c r="AK228" s="28"/>
      <c r="AL228" s="55" t="s">
        <v>174</v>
      </c>
      <c r="AM228" s="55" t="s">
        <v>174</v>
      </c>
      <c r="AN228" s="55" t="s">
        <v>174</v>
      </c>
      <c r="AO228" s="55" t="s">
        <v>174</v>
      </c>
      <c r="AP228" s="55" t="s">
        <v>174</v>
      </c>
      <c r="AQ228" s="55" t="s">
        <v>174</v>
      </c>
      <c r="AR228" s="28"/>
    </row>
    <row r="229" spans="1:44">
      <c r="A229" s="28"/>
      <c r="B229" s="55" t="s">
        <v>174</v>
      </c>
      <c r="C229" s="55" t="s">
        <v>174</v>
      </c>
      <c r="D229" s="55" t="s">
        <v>174</v>
      </c>
      <c r="E229" s="55" t="s">
        <v>174</v>
      </c>
      <c r="F229" s="55" t="s">
        <v>174</v>
      </c>
      <c r="G229" s="55" t="s">
        <v>174</v>
      </c>
      <c r="H229" s="28"/>
      <c r="I229" s="60">
        <v>10.94</v>
      </c>
      <c r="J229" s="38">
        <v>5.5999999999999999E-3</v>
      </c>
      <c r="K229" s="38">
        <v>3.3E-3</v>
      </c>
      <c r="L229" s="38">
        <v>9.3200000000000005E-2</v>
      </c>
      <c r="M229" s="38">
        <v>-8.9999999999999998E-4</v>
      </c>
      <c r="N229" s="38">
        <v>1.2E-2</v>
      </c>
      <c r="O229" s="28"/>
      <c r="P229" s="60">
        <v>10.94</v>
      </c>
      <c r="Q229" s="38">
        <v>5.0000000000000001E-3</v>
      </c>
      <c r="R229" s="38">
        <v>4.8999999999999998E-3</v>
      </c>
      <c r="S229" s="38">
        <v>0.312</v>
      </c>
      <c r="T229" s="38">
        <v>-4.7000000000000002E-3</v>
      </c>
      <c r="U229" s="38">
        <v>1.47E-2</v>
      </c>
      <c r="V229" s="28"/>
      <c r="W229" s="28"/>
      <c r="X229" s="55" t="s">
        <v>174</v>
      </c>
      <c r="Y229" s="55" t="s">
        <v>174</v>
      </c>
      <c r="Z229" s="55" t="s">
        <v>174</v>
      </c>
      <c r="AA229" s="55" t="s">
        <v>174</v>
      </c>
      <c r="AB229" s="55" t="s">
        <v>174</v>
      </c>
      <c r="AC229" s="55" t="s">
        <v>174</v>
      </c>
      <c r="AD229" s="28"/>
      <c r="AE229" s="55" t="s">
        <v>174</v>
      </c>
      <c r="AF229" s="55" t="s">
        <v>174</v>
      </c>
      <c r="AG229" s="55" t="s">
        <v>174</v>
      </c>
      <c r="AH229" s="55" t="s">
        <v>174</v>
      </c>
      <c r="AI229" s="55" t="s">
        <v>174</v>
      </c>
      <c r="AJ229" s="55" t="s">
        <v>174</v>
      </c>
      <c r="AK229" s="28"/>
      <c r="AL229" s="55" t="s">
        <v>174</v>
      </c>
      <c r="AM229" s="55" t="s">
        <v>174</v>
      </c>
      <c r="AN229" s="55" t="s">
        <v>174</v>
      </c>
      <c r="AO229" s="55" t="s">
        <v>174</v>
      </c>
      <c r="AP229" s="55" t="s">
        <v>174</v>
      </c>
      <c r="AQ229" s="55" t="s">
        <v>174</v>
      </c>
      <c r="AR229" s="28"/>
    </row>
    <row r="230" spans="1:44">
      <c r="A230" s="28"/>
      <c r="B230" s="55" t="s">
        <v>174</v>
      </c>
      <c r="C230" s="55" t="s">
        <v>174</v>
      </c>
      <c r="D230" s="55" t="s">
        <v>174</v>
      </c>
      <c r="E230" s="55" t="s">
        <v>174</v>
      </c>
      <c r="F230" s="55" t="s">
        <v>174</v>
      </c>
      <c r="G230" s="55" t="s">
        <v>174</v>
      </c>
      <c r="H230" s="28"/>
      <c r="I230" s="68">
        <v>12.642200000000001</v>
      </c>
      <c r="J230" s="38">
        <v>6.1999999999999998E-3</v>
      </c>
      <c r="K230" s="38">
        <v>3.2000000000000002E-3</v>
      </c>
      <c r="L230" s="37">
        <v>0.05</v>
      </c>
      <c r="M230" s="38">
        <v>0</v>
      </c>
      <c r="N230" s="38">
        <v>1.24E-2</v>
      </c>
      <c r="O230" s="28"/>
      <c r="P230" s="60">
        <v>15.01</v>
      </c>
      <c r="Q230" s="38">
        <v>7.3000000000000001E-3</v>
      </c>
      <c r="R230" s="38">
        <v>4.4999999999999997E-3</v>
      </c>
      <c r="S230" s="38">
        <v>0.1057</v>
      </c>
      <c r="T230" s="38">
        <v>-1.6000000000000001E-3</v>
      </c>
      <c r="U230" s="38">
        <v>1.6199999999999999E-2</v>
      </c>
      <c r="V230" s="28"/>
      <c r="W230" s="28"/>
      <c r="X230" s="55" t="s">
        <v>174</v>
      </c>
      <c r="Y230" s="55" t="s">
        <v>174</v>
      </c>
      <c r="Z230" s="55" t="s">
        <v>174</v>
      </c>
      <c r="AA230" s="55" t="s">
        <v>174</v>
      </c>
      <c r="AB230" s="55" t="s">
        <v>174</v>
      </c>
      <c r="AC230" s="55" t="s">
        <v>174</v>
      </c>
      <c r="AD230" s="28"/>
      <c r="AE230" s="55" t="s">
        <v>174</v>
      </c>
      <c r="AF230" s="55" t="s">
        <v>174</v>
      </c>
      <c r="AG230" s="55" t="s">
        <v>174</v>
      </c>
      <c r="AH230" s="55" t="s">
        <v>174</v>
      </c>
      <c r="AI230" s="55" t="s">
        <v>174</v>
      </c>
      <c r="AJ230" s="55" t="s">
        <v>174</v>
      </c>
      <c r="AK230" s="28"/>
      <c r="AL230" s="55" t="s">
        <v>174</v>
      </c>
      <c r="AM230" s="55" t="s">
        <v>174</v>
      </c>
      <c r="AN230" s="55" t="s">
        <v>174</v>
      </c>
      <c r="AO230" s="55" t="s">
        <v>174</v>
      </c>
      <c r="AP230" s="55" t="s">
        <v>174</v>
      </c>
      <c r="AQ230" s="55" t="s">
        <v>174</v>
      </c>
      <c r="AR230" s="28"/>
    </row>
    <row r="231" spans="1:44">
      <c r="A231" s="28"/>
      <c r="B231" s="55" t="s">
        <v>174</v>
      </c>
      <c r="C231" s="55" t="s">
        <v>174</v>
      </c>
      <c r="D231" s="55" t="s">
        <v>174</v>
      </c>
      <c r="E231" s="55" t="s">
        <v>174</v>
      </c>
      <c r="F231" s="55" t="s">
        <v>174</v>
      </c>
      <c r="G231" s="55" t="s">
        <v>174</v>
      </c>
      <c r="H231" s="28"/>
      <c r="I231" s="68">
        <v>15.01</v>
      </c>
      <c r="J231" s="38">
        <v>7.1000000000000004E-3</v>
      </c>
      <c r="K231" s="38">
        <v>3.0000000000000001E-3</v>
      </c>
      <c r="L231" s="37">
        <v>1.78E-2</v>
      </c>
      <c r="M231" s="38">
        <v>1.1999999999999999E-3</v>
      </c>
      <c r="N231" s="38">
        <v>1.2999999999999999E-2</v>
      </c>
      <c r="O231" s="28"/>
      <c r="P231" s="68">
        <v>17.165400000000002</v>
      </c>
      <c r="Q231" s="38">
        <v>8.6E-3</v>
      </c>
      <c r="R231" s="38">
        <v>4.4000000000000003E-3</v>
      </c>
      <c r="S231" s="37">
        <v>0.05</v>
      </c>
      <c r="T231" s="38">
        <v>0</v>
      </c>
      <c r="U231" s="38">
        <v>1.7100000000000001E-2</v>
      </c>
      <c r="V231" s="28"/>
      <c r="W231" s="28"/>
      <c r="X231" s="55" t="s">
        <v>174</v>
      </c>
      <c r="Y231" s="55" t="s">
        <v>174</v>
      </c>
      <c r="Z231" s="55" t="s">
        <v>174</v>
      </c>
      <c r="AA231" s="55" t="s">
        <v>174</v>
      </c>
      <c r="AB231" s="55" t="s">
        <v>174</v>
      </c>
      <c r="AC231" s="55" t="s">
        <v>174</v>
      </c>
      <c r="AD231" s="28"/>
      <c r="AE231" s="55" t="s">
        <v>174</v>
      </c>
      <c r="AF231" s="55" t="s">
        <v>174</v>
      </c>
      <c r="AG231" s="55" t="s">
        <v>174</v>
      </c>
      <c r="AH231" s="55" t="s">
        <v>174</v>
      </c>
      <c r="AI231" s="55" t="s">
        <v>174</v>
      </c>
      <c r="AJ231" s="55" t="s">
        <v>174</v>
      </c>
      <c r="AK231" s="28"/>
      <c r="AL231" s="55" t="s">
        <v>174</v>
      </c>
      <c r="AM231" s="55" t="s">
        <v>174</v>
      </c>
      <c r="AN231" s="55" t="s">
        <v>174</v>
      </c>
      <c r="AO231" s="55" t="s">
        <v>174</v>
      </c>
      <c r="AP231" s="55" t="s">
        <v>174</v>
      </c>
      <c r="AQ231" s="55" t="s">
        <v>174</v>
      </c>
      <c r="AR231" s="28"/>
    </row>
    <row r="232" spans="1:44">
      <c r="A232" s="28"/>
      <c r="B232" s="55" t="s">
        <v>174</v>
      </c>
      <c r="C232" s="55" t="s">
        <v>174</v>
      </c>
      <c r="D232" s="55" t="s">
        <v>174</v>
      </c>
      <c r="E232" s="55" t="s">
        <v>174</v>
      </c>
      <c r="F232" s="55" t="s">
        <v>174</v>
      </c>
      <c r="G232" s="55" t="s">
        <v>174</v>
      </c>
      <c r="H232" s="28"/>
      <c r="I232" s="68">
        <v>19.079999999999998</v>
      </c>
      <c r="J232" s="38">
        <v>8.6999999999999994E-3</v>
      </c>
      <c r="K232" s="38">
        <v>2.8E-3</v>
      </c>
      <c r="L232" s="37">
        <v>2.0999999999999999E-3</v>
      </c>
      <c r="M232" s="38">
        <v>3.2000000000000002E-3</v>
      </c>
      <c r="N232" s="38">
        <v>1.43E-2</v>
      </c>
      <c r="O232" s="28"/>
      <c r="P232" s="68">
        <v>19.079999999999998</v>
      </c>
      <c r="Q232" s="38">
        <v>9.5999999999999992E-3</v>
      </c>
      <c r="R232" s="38">
        <v>4.1999999999999997E-3</v>
      </c>
      <c r="S232" s="37">
        <v>2.35E-2</v>
      </c>
      <c r="T232" s="38">
        <v>1.2999999999999999E-3</v>
      </c>
      <c r="U232" s="38">
        <v>1.7999999999999999E-2</v>
      </c>
      <c r="V232" s="28"/>
      <c r="W232" s="28"/>
      <c r="X232" s="55" t="s">
        <v>174</v>
      </c>
      <c r="Y232" s="55" t="s">
        <v>174</v>
      </c>
      <c r="Z232" s="55" t="s">
        <v>174</v>
      </c>
      <c r="AA232" s="55" t="s">
        <v>174</v>
      </c>
      <c r="AB232" s="55" t="s">
        <v>174</v>
      </c>
      <c r="AC232" s="55" t="s">
        <v>174</v>
      </c>
      <c r="AD232" s="28"/>
      <c r="AE232" s="55" t="s">
        <v>174</v>
      </c>
      <c r="AF232" s="55" t="s">
        <v>174</v>
      </c>
      <c r="AG232" s="55" t="s">
        <v>174</v>
      </c>
      <c r="AH232" s="55" t="s">
        <v>174</v>
      </c>
      <c r="AI232" s="55" t="s">
        <v>174</v>
      </c>
      <c r="AJ232" s="55" t="s">
        <v>174</v>
      </c>
      <c r="AK232" s="28"/>
      <c r="AL232" s="55" t="s">
        <v>174</v>
      </c>
      <c r="AM232" s="55" t="s">
        <v>174</v>
      </c>
      <c r="AN232" s="55" t="s">
        <v>174</v>
      </c>
      <c r="AO232" s="55" t="s">
        <v>174</v>
      </c>
      <c r="AP232" s="55" t="s">
        <v>174</v>
      </c>
      <c r="AQ232" s="55" t="s">
        <v>174</v>
      </c>
      <c r="AR232" s="28"/>
    </row>
    <row r="233" spans="1:44">
      <c r="A233" s="28"/>
      <c r="B233" s="55" t="s">
        <v>174</v>
      </c>
      <c r="C233" s="55" t="s">
        <v>174</v>
      </c>
      <c r="D233" s="55" t="s">
        <v>174</v>
      </c>
      <c r="E233" s="55" t="s">
        <v>174</v>
      </c>
      <c r="F233" s="55" t="s">
        <v>174</v>
      </c>
      <c r="G233" s="55" t="s">
        <v>174</v>
      </c>
      <c r="H233" s="28"/>
      <c r="I233" s="68">
        <v>23.15</v>
      </c>
      <c r="J233" s="38">
        <v>1.03E-2</v>
      </c>
      <c r="K233" s="38">
        <v>2.8E-3</v>
      </c>
      <c r="L233" s="37">
        <v>2.0000000000000001E-4</v>
      </c>
      <c r="M233" s="38">
        <v>4.7999999999999996E-3</v>
      </c>
      <c r="N233" s="38">
        <v>1.5800000000000002E-2</v>
      </c>
      <c r="O233" s="28"/>
      <c r="P233" s="68">
        <v>23.15</v>
      </c>
      <c r="Q233" s="38">
        <v>1.2E-2</v>
      </c>
      <c r="R233" s="38">
        <v>4.1999999999999997E-3</v>
      </c>
      <c r="S233" s="37">
        <v>4.1000000000000003E-3</v>
      </c>
      <c r="T233" s="38">
        <v>3.8E-3</v>
      </c>
      <c r="U233" s="38">
        <v>2.01E-2</v>
      </c>
      <c r="V233" s="28"/>
      <c r="W233" s="28"/>
      <c r="X233" s="55" t="s">
        <v>174</v>
      </c>
      <c r="Y233" s="55" t="s">
        <v>174</v>
      </c>
      <c r="Z233" s="55" t="s">
        <v>174</v>
      </c>
      <c r="AA233" s="55" t="s">
        <v>174</v>
      </c>
      <c r="AB233" s="55" t="s">
        <v>174</v>
      </c>
      <c r="AC233" s="55" t="s">
        <v>174</v>
      </c>
      <c r="AD233" s="28"/>
      <c r="AE233" s="55" t="s">
        <v>174</v>
      </c>
      <c r="AF233" s="55" t="s">
        <v>174</v>
      </c>
      <c r="AG233" s="55" t="s">
        <v>174</v>
      </c>
      <c r="AH233" s="55" t="s">
        <v>174</v>
      </c>
      <c r="AI233" s="55" t="s">
        <v>174</v>
      </c>
      <c r="AJ233" s="55" t="s">
        <v>174</v>
      </c>
      <c r="AK233" s="28"/>
      <c r="AL233" s="55" t="s">
        <v>174</v>
      </c>
      <c r="AM233" s="55" t="s">
        <v>174</v>
      </c>
      <c r="AN233" s="55" t="s">
        <v>174</v>
      </c>
      <c r="AO233" s="55" t="s">
        <v>174</v>
      </c>
      <c r="AP233" s="55" t="s">
        <v>174</v>
      </c>
      <c r="AQ233" s="55" t="s">
        <v>174</v>
      </c>
      <c r="AR233" s="28"/>
    </row>
    <row r="234" spans="1:44">
      <c r="A234" s="28"/>
      <c r="B234" s="55" t="s">
        <v>174</v>
      </c>
      <c r="C234" s="55" t="s">
        <v>174</v>
      </c>
      <c r="D234" s="55" t="s">
        <v>174</v>
      </c>
      <c r="E234" s="55" t="s">
        <v>174</v>
      </c>
      <c r="F234" s="55" t="s">
        <v>174</v>
      </c>
      <c r="G234" s="55" t="s">
        <v>174</v>
      </c>
      <c r="H234" s="28"/>
      <c r="I234" s="68">
        <v>27.22</v>
      </c>
      <c r="J234" s="38">
        <v>1.1900000000000001E-2</v>
      </c>
      <c r="K234" s="38">
        <v>2.8999999999999998E-3</v>
      </c>
      <c r="L234" s="37">
        <v>1E-4</v>
      </c>
      <c r="M234" s="38">
        <v>6.1000000000000004E-3</v>
      </c>
      <c r="N234" s="38">
        <v>1.7600000000000001E-2</v>
      </c>
      <c r="O234" s="28"/>
      <c r="P234" s="68">
        <v>27.22</v>
      </c>
      <c r="Q234" s="38">
        <v>1.43E-2</v>
      </c>
      <c r="R234" s="38">
        <v>4.3E-3</v>
      </c>
      <c r="S234" s="37">
        <v>8.0000000000000004E-4</v>
      </c>
      <c r="T234" s="38">
        <v>5.8999999999999999E-3</v>
      </c>
      <c r="U234" s="38">
        <v>2.2599999999999999E-2</v>
      </c>
      <c r="V234" s="28"/>
      <c r="W234" s="28"/>
      <c r="X234" s="55" t="s">
        <v>174</v>
      </c>
      <c r="Y234" s="55" t="s">
        <v>174</v>
      </c>
      <c r="Z234" s="55" t="s">
        <v>174</v>
      </c>
      <c r="AA234" s="55" t="s">
        <v>174</v>
      </c>
      <c r="AB234" s="55" t="s">
        <v>174</v>
      </c>
      <c r="AC234" s="55" t="s">
        <v>174</v>
      </c>
      <c r="AD234" s="28"/>
      <c r="AE234" s="55" t="s">
        <v>174</v>
      </c>
      <c r="AF234" s="55" t="s">
        <v>174</v>
      </c>
      <c r="AG234" s="55" t="s">
        <v>174</v>
      </c>
      <c r="AH234" s="55" t="s">
        <v>174</v>
      </c>
      <c r="AI234" s="55" t="s">
        <v>174</v>
      </c>
      <c r="AJ234" s="55" t="s">
        <v>174</v>
      </c>
      <c r="AK234" s="28"/>
      <c r="AL234" s="55" t="s">
        <v>174</v>
      </c>
      <c r="AM234" s="55" t="s">
        <v>174</v>
      </c>
      <c r="AN234" s="55" t="s">
        <v>174</v>
      </c>
      <c r="AO234" s="55" t="s">
        <v>174</v>
      </c>
      <c r="AP234" s="55" t="s">
        <v>174</v>
      </c>
      <c r="AQ234" s="55" t="s">
        <v>174</v>
      </c>
      <c r="AR234" s="28"/>
    </row>
    <row r="235" spans="1:44">
      <c r="A235" s="28"/>
      <c r="B235" s="55" t="s">
        <v>174</v>
      </c>
      <c r="C235" s="55" t="s">
        <v>174</v>
      </c>
      <c r="D235" s="55" t="s">
        <v>174</v>
      </c>
      <c r="E235" s="55" t="s">
        <v>174</v>
      </c>
      <c r="F235" s="55" t="s">
        <v>174</v>
      </c>
      <c r="G235" s="55" t="s">
        <v>174</v>
      </c>
      <c r="H235" s="28"/>
      <c r="I235" s="68">
        <v>31.29</v>
      </c>
      <c r="J235" s="38">
        <v>1.34E-2</v>
      </c>
      <c r="K235" s="38">
        <v>3.2000000000000002E-3</v>
      </c>
      <c r="L235" s="37">
        <v>0</v>
      </c>
      <c r="M235" s="38">
        <v>7.1999999999999998E-3</v>
      </c>
      <c r="N235" s="38">
        <v>1.9699999999999999E-2</v>
      </c>
      <c r="O235" s="28"/>
      <c r="P235" s="68">
        <v>31.29</v>
      </c>
      <c r="Q235" s="38">
        <v>1.66E-2</v>
      </c>
      <c r="R235" s="38">
        <v>4.4999999999999997E-3</v>
      </c>
      <c r="S235" s="37">
        <v>2.9999999999999997E-4</v>
      </c>
      <c r="T235" s="38">
        <v>7.7000000000000002E-3</v>
      </c>
      <c r="U235" s="38">
        <v>2.5499999999999998E-2</v>
      </c>
      <c r="V235" s="28"/>
      <c r="W235" s="28"/>
      <c r="X235" s="55" t="s">
        <v>174</v>
      </c>
      <c r="Y235" s="55" t="s">
        <v>174</v>
      </c>
      <c r="Z235" s="55" t="s">
        <v>174</v>
      </c>
      <c r="AA235" s="55" t="s">
        <v>174</v>
      </c>
      <c r="AB235" s="55" t="s">
        <v>174</v>
      </c>
      <c r="AC235" s="55" t="s">
        <v>174</v>
      </c>
      <c r="AD235" s="28"/>
      <c r="AE235" s="55" t="s">
        <v>174</v>
      </c>
      <c r="AF235" s="55" t="s">
        <v>174</v>
      </c>
      <c r="AG235" s="55" t="s">
        <v>174</v>
      </c>
      <c r="AH235" s="55" t="s">
        <v>174</v>
      </c>
      <c r="AI235" s="55" t="s">
        <v>174</v>
      </c>
      <c r="AJ235" s="55" t="s">
        <v>174</v>
      </c>
      <c r="AK235" s="28"/>
      <c r="AL235" s="55" t="s">
        <v>174</v>
      </c>
      <c r="AM235" s="55" t="s">
        <v>174</v>
      </c>
      <c r="AN235" s="55" t="s">
        <v>174</v>
      </c>
      <c r="AO235" s="55" t="s">
        <v>174</v>
      </c>
      <c r="AP235" s="55" t="s">
        <v>174</v>
      </c>
      <c r="AQ235" s="55" t="s">
        <v>174</v>
      </c>
      <c r="AR235" s="28"/>
    </row>
    <row r="236" spans="1:44">
      <c r="A236" s="28"/>
      <c r="B236" s="55" t="s">
        <v>174</v>
      </c>
      <c r="C236" s="55" t="s">
        <v>174</v>
      </c>
      <c r="D236" s="55" t="s">
        <v>174</v>
      </c>
      <c r="E236" s="55" t="s">
        <v>174</v>
      </c>
      <c r="F236" s="55" t="s">
        <v>174</v>
      </c>
      <c r="G236" s="55" t="s">
        <v>174</v>
      </c>
      <c r="H236" s="28"/>
      <c r="I236" s="68">
        <v>35.36</v>
      </c>
      <c r="J236" s="38">
        <v>1.4999999999999999E-2</v>
      </c>
      <c r="K236" s="38">
        <v>3.5000000000000001E-3</v>
      </c>
      <c r="L236" s="37">
        <v>0</v>
      </c>
      <c r="M236" s="38">
        <v>8.0999999999999996E-3</v>
      </c>
      <c r="N236" s="38">
        <v>2.1999999999999999E-2</v>
      </c>
      <c r="O236" s="28"/>
      <c r="P236" s="68">
        <v>35.36</v>
      </c>
      <c r="Q236" s="38">
        <v>1.89E-2</v>
      </c>
      <c r="R236" s="38">
        <v>5.0000000000000001E-3</v>
      </c>
      <c r="S236" s="37">
        <v>1E-4</v>
      </c>
      <c r="T236" s="38">
        <v>9.1999999999999998E-3</v>
      </c>
      <c r="U236" s="38">
        <v>2.87E-2</v>
      </c>
      <c r="V236" s="28"/>
      <c r="W236" s="28"/>
      <c r="X236" s="55" t="s">
        <v>174</v>
      </c>
      <c r="Y236" s="55" t="s">
        <v>174</v>
      </c>
      <c r="Z236" s="55" t="s">
        <v>174</v>
      </c>
      <c r="AA236" s="55" t="s">
        <v>174</v>
      </c>
      <c r="AB236" s="55" t="s">
        <v>174</v>
      </c>
      <c r="AC236" s="55" t="s">
        <v>174</v>
      </c>
      <c r="AD236" s="28"/>
      <c r="AE236" s="55" t="s">
        <v>174</v>
      </c>
      <c r="AF236" s="55" t="s">
        <v>174</v>
      </c>
      <c r="AG236" s="55" t="s">
        <v>174</v>
      </c>
      <c r="AH236" s="55" t="s">
        <v>174</v>
      </c>
      <c r="AI236" s="55" t="s">
        <v>174</v>
      </c>
      <c r="AJ236" s="55" t="s">
        <v>174</v>
      </c>
      <c r="AK236" s="28"/>
      <c r="AL236" s="55" t="s">
        <v>174</v>
      </c>
      <c r="AM236" s="55" t="s">
        <v>174</v>
      </c>
      <c r="AN236" s="55" t="s">
        <v>174</v>
      </c>
      <c r="AO236" s="55" t="s">
        <v>174</v>
      </c>
      <c r="AP236" s="55" t="s">
        <v>174</v>
      </c>
      <c r="AQ236" s="55" t="s">
        <v>174</v>
      </c>
      <c r="AR236" s="28"/>
    </row>
    <row r="237" spans="1:44">
      <c r="A237" s="28"/>
      <c r="B237" s="55" t="s">
        <v>174</v>
      </c>
      <c r="C237" s="55" t="s">
        <v>174</v>
      </c>
      <c r="D237" s="55" t="s">
        <v>174</v>
      </c>
      <c r="E237" s="55" t="s">
        <v>174</v>
      </c>
      <c r="F237" s="55" t="s">
        <v>174</v>
      </c>
      <c r="G237" s="55" t="s">
        <v>174</v>
      </c>
      <c r="H237" s="28"/>
      <c r="I237" s="68">
        <v>39.43</v>
      </c>
      <c r="J237" s="38">
        <v>1.66E-2</v>
      </c>
      <c r="K237" s="38">
        <v>4.0000000000000001E-3</v>
      </c>
      <c r="L237" s="37">
        <v>0</v>
      </c>
      <c r="M237" s="38">
        <v>8.8000000000000005E-3</v>
      </c>
      <c r="N237" s="38">
        <v>2.4400000000000002E-2</v>
      </c>
      <c r="O237" s="28"/>
      <c r="P237" s="68">
        <v>39.43</v>
      </c>
      <c r="Q237" s="38">
        <v>2.1299999999999999E-2</v>
      </c>
      <c r="R237" s="38">
        <v>5.4999999999999997E-3</v>
      </c>
      <c r="S237" s="37">
        <v>1E-4</v>
      </c>
      <c r="T237" s="38">
        <v>1.0500000000000001E-2</v>
      </c>
      <c r="U237" s="38">
        <v>3.2000000000000001E-2</v>
      </c>
      <c r="V237" s="28"/>
      <c r="W237" s="28"/>
      <c r="X237" s="55" t="s">
        <v>174</v>
      </c>
      <c r="Y237" s="55" t="s">
        <v>174</v>
      </c>
      <c r="Z237" s="55" t="s">
        <v>174</v>
      </c>
      <c r="AA237" s="55" t="s">
        <v>174</v>
      </c>
      <c r="AB237" s="55" t="s">
        <v>174</v>
      </c>
      <c r="AC237" s="55" t="s">
        <v>174</v>
      </c>
      <c r="AD237" s="28"/>
      <c r="AE237" s="55" t="s">
        <v>174</v>
      </c>
      <c r="AF237" s="55" t="s">
        <v>174</v>
      </c>
      <c r="AG237" s="55" t="s">
        <v>174</v>
      </c>
      <c r="AH237" s="55" t="s">
        <v>174</v>
      </c>
      <c r="AI237" s="55" t="s">
        <v>174</v>
      </c>
      <c r="AJ237" s="55" t="s">
        <v>174</v>
      </c>
      <c r="AK237" s="28"/>
      <c r="AL237" s="55" t="s">
        <v>174</v>
      </c>
      <c r="AM237" s="55" t="s">
        <v>174</v>
      </c>
      <c r="AN237" s="55" t="s">
        <v>174</v>
      </c>
      <c r="AO237" s="55" t="s">
        <v>174</v>
      </c>
      <c r="AP237" s="55" t="s">
        <v>174</v>
      </c>
      <c r="AQ237" s="55" t="s">
        <v>174</v>
      </c>
      <c r="AR237" s="28"/>
    </row>
    <row r="238" spans="1:44">
      <c r="A238" s="28"/>
      <c r="B238" s="55" t="s">
        <v>174</v>
      </c>
      <c r="C238" s="55" t="s">
        <v>174</v>
      </c>
      <c r="D238" s="55" t="s">
        <v>174</v>
      </c>
      <c r="E238" s="55" t="s">
        <v>174</v>
      </c>
      <c r="F238" s="55" t="s">
        <v>174</v>
      </c>
      <c r="G238" s="55" t="s">
        <v>174</v>
      </c>
      <c r="H238" s="28"/>
      <c r="I238" s="68">
        <v>43.5</v>
      </c>
      <c r="J238" s="38">
        <v>1.8200000000000001E-2</v>
      </c>
      <c r="K238" s="38">
        <v>4.4999999999999997E-3</v>
      </c>
      <c r="L238" s="37">
        <v>1E-4</v>
      </c>
      <c r="M238" s="38">
        <v>9.4000000000000004E-3</v>
      </c>
      <c r="N238" s="38">
        <v>2.7E-2</v>
      </c>
      <c r="O238" s="28"/>
      <c r="P238" s="68">
        <v>43.5</v>
      </c>
      <c r="Q238" s="38">
        <v>2.3599999999999999E-2</v>
      </c>
      <c r="R238" s="38">
        <v>6.1000000000000004E-3</v>
      </c>
      <c r="S238" s="37">
        <v>1E-4</v>
      </c>
      <c r="T238" s="38">
        <v>1.1599999999999999E-2</v>
      </c>
      <c r="U238" s="38">
        <v>3.56E-2</v>
      </c>
      <c r="V238" s="28"/>
      <c r="W238" s="28"/>
      <c r="X238" s="55" t="s">
        <v>174</v>
      </c>
      <c r="Y238" s="55" t="s">
        <v>174</v>
      </c>
      <c r="Z238" s="55" t="s">
        <v>174</v>
      </c>
      <c r="AA238" s="55" t="s">
        <v>174</v>
      </c>
      <c r="AB238" s="55" t="s">
        <v>174</v>
      </c>
      <c r="AC238" s="55" t="s">
        <v>174</v>
      </c>
      <c r="AD238" s="28"/>
      <c r="AE238" s="55" t="s">
        <v>174</v>
      </c>
      <c r="AF238" s="55" t="s">
        <v>174</v>
      </c>
      <c r="AG238" s="55" t="s">
        <v>174</v>
      </c>
      <c r="AH238" s="55" t="s">
        <v>174</v>
      </c>
      <c r="AI238" s="55" t="s">
        <v>174</v>
      </c>
      <c r="AJ238" s="55" t="s">
        <v>174</v>
      </c>
      <c r="AK238" s="28"/>
      <c r="AL238" s="55" t="s">
        <v>174</v>
      </c>
      <c r="AM238" s="55" t="s">
        <v>174</v>
      </c>
      <c r="AN238" s="55" t="s">
        <v>174</v>
      </c>
      <c r="AO238" s="55" t="s">
        <v>174</v>
      </c>
      <c r="AP238" s="55" t="s">
        <v>174</v>
      </c>
      <c r="AQ238" s="55" t="s">
        <v>174</v>
      </c>
      <c r="AR238" s="28"/>
    </row>
    <row r="239" spans="1:44">
      <c r="A239" s="28"/>
      <c r="B239" s="55" t="s">
        <v>174</v>
      </c>
      <c r="C239" s="55" t="s">
        <v>174</v>
      </c>
      <c r="D239" s="55" t="s">
        <v>174</v>
      </c>
      <c r="E239" s="55" t="s">
        <v>174</v>
      </c>
      <c r="F239" s="55" t="s">
        <v>174</v>
      </c>
      <c r="G239" s="55" t="s">
        <v>174</v>
      </c>
      <c r="H239" s="28"/>
      <c r="I239" s="68">
        <v>47.57</v>
      </c>
      <c r="J239" s="38">
        <v>1.9699999999999999E-2</v>
      </c>
      <c r="K239" s="38">
        <v>5.0000000000000001E-3</v>
      </c>
      <c r="L239" s="37">
        <v>1E-4</v>
      </c>
      <c r="M239" s="38">
        <v>9.9000000000000008E-3</v>
      </c>
      <c r="N239" s="38">
        <v>2.9600000000000001E-2</v>
      </c>
      <c r="O239" s="28"/>
      <c r="P239" s="68">
        <v>47.57</v>
      </c>
      <c r="Q239" s="38">
        <v>2.5899999999999999E-2</v>
      </c>
      <c r="R239" s="38">
        <v>6.7999999999999996E-3</v>
      </c>
      <c r="S239" s="37">
        <v>1E-4</v>
      </c>
      <c r="T239" s="38">
        <v>1.26E-2</v>
      </c>
      <c r="U239" s="38">
        <v>3.9199999999999999E-2</v>
      </c>
      <c r="V239" s="28"/>
      <c r="W239" s="28"/>
      <c r="X239" s="55" t="s">
        <v>174</v>
      </c>
      <c r="Y239" s="55" t="s">
        <v>174</v>
      </c>
      <c r="Z239" s="55" t="s">
        <v>174</v>
      </c>
      <c r="AA239" s="55" t="s">
        <v>174</v>
      </c>
      <c r="AB239" s="55" t="s">
        <v>174</v>
      </c>
      <c r="AC239" s="55" t="s">
        <v>174</v>
      </c>
      <c r="AD239" s="28"/>
      <c r="AE239" s="55" t="s">
        <v>174</v>
      </c>
      <c r="AF239" s="55" t="s">
        <v>174</v>
      </c>
      <c r="AG239" s="55" t="s">
        <v>174</v>
      </c>
      <c r="AH239" s="55" t="s">
        <v>174</v>
      </c>
      <c r="AI239" s="55" t="s">
        <v>174</v>
      </c>
      <c r="AJ239" s="55" t="s">
        <v>174</v>
      </c>
      <c r="AK239" s="28"/>
      <c r="AL239" s="55" t="s">
        <v>174</v>
      </c>
      <c r="AM239" s="55" t="s">
        <v>174</v>
      </c>
      <c r="AN239" s="55" t="s">
        <v>174</v>
      </c>
      <c r="AO239" s="55" t="s">
        <v>174</v>
      </c>
      <c r="AP239" s="55" t="s">
        <v>174</v>
      </c>
      <c r="AQ239" s="55" t="s">
        <v>174</v>
      </c>
      <c r="AR239" s="28"/>
    </row>
    <row r="240" spans="1:44">
      <c r="A240" s="28"/>
      <c r="B240" s="55" t="s">
        <v>174</v>
      </c>
      <c r="C240" s="55" t="s">
        <v>174</v>
      </c>
      <c r="D240" s="55" t="s">
        <v>174</v>
      </c>
      <c r="E240" s="55" t="s">
        <v>174</v>
      </c>
      <c r="F240" s="55" t="s">
        <v>174</v>
      </c>
      <c r="G240" s="55" t="s">
        <v>174</v>
      </c>
      <c r="H240" s="28"/>
      <c r="I240" s="68">
        <v>51.64</v>
      </c>
      <c r="J240" s="38">
        <v>2.1299999999999999E-2</v>
      </c>
      <c r="K240" s="38">
        <v>5.5999999999999999E-3</v>
      </c>
      <c r="L240" s="37">
        <v>1E-4</v>
      </c>
      <c r="M240" s="38">
        <v>1.04E-2</v>
      </c>
      <c r="N240" s="38">
        <v>3.2300000000000002E-2</v>
      </c>
      <c r="O240" s="28"/>
      <c r="P240" s="68">
        <v>51.64</v>
      </c>
      <c r="Q240" s="38">
        <v>2.8199999999999999E-2</v>
      </c>
      <c r="R240" s="38">
        <v>7.4999999999999997E-3</v>
      </c>
      <c r="S240" s="37">
        <v>2.0000000000000001E-4</v>
      </c>
      <c r="T240" s="38">
        <v>1.35E-2</v>
      </c>
      <c r="U240" s="38">
        <v>4.2999999999999997E-2</v>
      </c>
      <c r="V240" s="28"/>
      <c r="W240" s="28"/>
      <c r="X240" s="55" t="s">
        <v>174</v>
      </c>
      <c r="Y240" s="55" t="s">
        <v>174</v>
      </c>
      <c r="Z240" s="55" t="s">
        <v>174</v>
      </c>
      <c r="AA240" s="55" t="s">
        <v>174</v>
      </c>
      <c r="AB240" s="55" t="s">
        <v>174</v>
      </c>
      <c r="AC240" s="55" t="s">
        <v>174</v>
      </c>
      <c r="AD240" s="28"/>
      <c r="AE240" s="55" t="s">
        <v>174</v>
      </c>
      <c r="AF240" s="55" t="s">
        <v>174</v>
      </c>
      <c r="AG240" s="55" t="s">
        <v>174</v>
      </c>
      <c r="AH240" s="55" t="s">
        <v>174</v>
      </c>
      <c r="AI240" s="55" t="s">
        <v>174</v>
      </c>
      <c r="AJ240" s="55" t="s">
        <v>174</v>
      </c>
      <c r="AK240" s="28"/>
      <c r="AL240" s="55" t="s">
        <v>174</v>
      </c>
      <c r="AM240" s="55" t="s">
        <v>174</v>
      </c>
      <c r="AN240" s="55" t="s">
        <v>174</v>
      </c>
      <c r="AO240" s="55" t="s">
        <v>174</v>
      </c>
      <c r="AP240" s="55" t="s">
        <v>174</v>
      </c>
      <c r="AQ240" s="55" t="s">
        <v>174</v>
      </c>
      <c r="AR240" s="28"/>
    </row>
    <row r="241" spans="1:44">
      <c r="A241" s="28"/>
      <c r="B241" s="55" t="s">
        <v>174</v>
      </c>
      <c r="C241" s="55" t="s">
        <v>174</v>
      </c>
      <c r="D241" s="55" t="s">
        <v>174</v>
      </c>
      <c r="E241" s="55" t="s">
        <v>174</v>
      </c>
      <c r="F241" s="55" t="s">
        <v>174</v>
      </c>
      <c r="G241" s="55" t="s">
        <v>174</v>
      </c>
      <c r="H241" s="28"/>
      <c r="I241" s="68">
        <v>55.71</v>
      </c>
      <c r="J241" s="38">
        <v>2.29E-2</v>
      </c>
      <c r="K241" s="38">
        <v>6.1999999999999998E-3</v>
      </c>
      <c r="L241" s="37">
        <v>2.0000000000000001E-4</v>
      </c>
      <c r="M241" s="38">
        <v>1.0800000000000001E-2</v>
      </c>
      <c r="N241" s="38">
        <v>3.5000000000000003E-2</v>
      </c>
      <c r="O241" s="28"/>
      <c r="P241" s="68">
        <v>55.71</v>
      </c>
      <c r="Q241" s="38">
        <v>3.0499999999999999E-2</v>
      </c>
      <c r="R241" s="38">
        <v>8.3000000000000001E-3</v>
      </c>
      <c r="S241" s="37">
        <v>2.0000000000000001E-4</v>
      </c>
      <c r="T241" s="38">
        <v>1.43E-2</v>
      </c>
      <c r="U241" s="38">
        <v>4.6800000000000001E-2</v>
      </c>
      <c r="V241" s="28"/>
      <c r="W241" s="28"/>
      <c r="X241" s="55" t="s">
        <v>174</v>
      </c>
      <c r="Y241" s="55" t="s">
        <v>174</v>
      </c>
      <c r="Z241" s="55" t="s">
        <v>174</v>
      </c>
      <c r="AA241" s="55" t="s">
        <v>174</v>
      </c>
      <c r="AB241" s="55" t="s">
        <v>174</v>
      </c>
      <c r="AC241" s="55" t="s">
        <v>174</v>
      </c>
      <c r="AD241" s="28"/>
      <c r="AE241" s="55" t="s">
        <v>174</v>
      </c>
      <c r="AF241" s="55" t="s">
        <v>174</v>
      </c>
      <c r="AG241" s="55" t="s">
        <v>174</v>
      </c>
      <c r="AH241" s="55" t="s">
        <v>174</v>
      </c>
      <c r="AI241" s="55" t="s">
        <v>174</v>
      </c>
      <c r="AJ241" s="55" t="s">
        <v>174</v>
      </c>
      <c r="AK241" s="28"/>
      <c r="AL241" s="55" t="s">
        <v>174</v>
      </c>
      <c r="AM241" s="55" t="s">
        <v>174</v>
      </c>
      <c r="AN241" s="55" t="s">
        <v>174</v>
      </c>
      <c r="AO241" s="55" t="s">
        <v>174</v>
      </c>
      <c r="AP241" s="55" t="s">
        <v>174</v>
      </c>
      <c r="AQ241" s="55" t="s">
        <v>174</v>
      </c>
      <c r="AR241" s="28"/>
    </row>
    <row r="242" spans="1:44">
      <c r="A242" s="28"/>
      <c r="B242" s="55" t="s">
        <v>174</v>
      </c>
      <c r="C242" s="55" t="s">
        <v>174</v>
      </c>
      <c r="D242" s="55" t="s">
        <v>174</v>
      </c>
      <c r="E242" s="55" t="s">
        <v>174</v>
      </c>
      <c r="F242" s="55" t="s">
        <v>174</v>
      </c>
      <c r="G242" s="55" t="s">
        <v>174</v>
      </c>
      <c r="H242" s="28"/>
      <c r="I242" s="68">
        <v>59.78</v>
      </c>
      <c r="J242" s="38">
        <v>2.4500000000000001E-2</v>
      </c>
      <c r="K242" s="38">
        <v>6.7999999999999996E-3</v>
      </c>
      <c r="L242" s="37">
        <v>2.9999999999999997E-4</v>
      </c>
      <c r="M242" s="38">
        <v>1.12E-2</v>
      </c>
      <c r="N242" s="38">
        <v>3.7699999999999997E-2</v>
      </c>
      <c r="O242" s="28"/>
      <c r="P242" s="68">
        <v>59.78</v>
      </c>
      <c r="Q242" s="38">
        <v>3.2899999999999999E-2</v>
      </c>
      <c r="R242" s="38">
        <v>9.1000000000000004E-3</v>
      </c>
      <c r="S242" s="37">
        <v>2.9999999999999997E-4</v>
      </c>
      <c r="T242" s="38">
        <v>1.5100000000000001E-2</v>
      </c>
      <c r="U242" s="38">
        <v>5.0700000000000002E-2</v>
      </c>
      <c r="V242" s="28"/>
      <c r="W242" s="28"/>
      <c r="X242" s="55" t="s">
        <v>174</v>
      </c>
      <c r="Y242" s="55" t="s">
        <v>174</v>
      </c>
      <c r="Z242" s="55" t="s">
        <v>174</v>
      </c>
      <c r="AA242" s="55" t="s">
        <v>174</v>
      </c>
      <c r="AB242" s="55" t="s">
        <v>174</v>
      </c>
      <c r="AC242" s="55" t="s">
        <v>174</v>
      </c>
      <c r="AD242" s="28"/>
      <c r="AE242" s="55" t="s">
        <v>174</v>
      </c>
      <c r="AF242" s="55" t="s">
        <v>174</v>
      </c>
      <c r="AG242" s="55" t="s">
        <v>174</v>
      </c>
      <c r="AH242" s="55" t="s">
        <v>174</v>
      </c>
      <c r="AI242" s="55" t="s">
        <v>174</v>
      </c>
      <c r="AJ242" s="55" t="s">
        <v>174</v>
      </c>
      <c r="AK242" s="28"/>
      <c r="AL242" s="55" t="s">
        <v>174</v>
      </c>
      <c r="AM242" s="55" t="s">
        <v>174</v>
      </c>
      <c r="AN242" s="55" t="s">
        <v>174</v>
      </c>
      <c r="AO242" s="55" t="s">
        <v>174</v>
      </c>
      <c r="AP242" s="55" t="s">
        <v>174</v>
      </c>
      <c r="AQ242" s="55" t="s">
        <v>174</v>
      </c>
      <c r="AR242" s="28"/>
    </row>
    <row r="243" spans="1:44">
      <c r="A243" s="28"/>
      <c r="B243" s="55" t="s">
        <v>174</v>
      </c>
      <c r="C243" s="55" t="s">
        <v>174</v>
      </c>
      <c r="D243" s="55" t="s">
        <v>174</v>
      </c>
      <c r="E243" s="55" t="s">
        <v>174</v>
      </c>
      <c r="F243" s="55" t="s">
        <v>174</v>
      </c>
      <c r="G243" s="55" t="s">
        <v>174</v>
      </c>
      <c r="H243" s="28"/>
      <c r="I243" s="68">
        <v>63.85</v>
      </c>
      <c r="J243" s="38">
        <v>2.5999999999999999E-2</v>
      </c>
      <c r="K243" s="38">
        <v>7.4000000000000003E-3</v>
      </c>
      <c r="L243" s="37">
        <v>4.0000000000000002E-4</v>
      </c>
      <c r="M243" s="38">
        <v>1.1599999999999999E-2</v>
      </c>
      <c r="N243" s="38">
        <v>4.0500000000000001E-2</v>
      </c>
      <c r="O243" s="28"/>
      <c r="P243" s="68">
        <v>63.85</v>
      </c>
      <c r="Q243" s="38">
        <v>3.5200000000000002E-2</v>
      </c>
      <c r="R243" s="38">
        <v>9.9000000000000008E-3</v>
      </c>
      <c r="S243" s="37">
        <v>4.0000000000000002E-4</v>
      </c>
      <c r="T243" s="38">
        <v>1.5800000000000002E-2</v>
      </c>
      <c r="U243" s="38">
        <v>5.4600000000000003E-2</v>
      </c>
      <c r="V243" s="28"/>
      <c r="W243" s="28"/>
      <c r="X243" s="55" t="s">
        <v>174</v>
      </c>
      <c r="Y243" s="55" t="s">
        <v>174</v>
      </c>
      <c r="Z243" s="55" t="s">
        <v>174</v>
      </c>
      <c r="AA243" s="55" t="s">
        <v>174</v>
      </c>
      <c r="AB243" s="55" t="s">
        <v>174</v>
      </c>
      <c r="AC243" s="55" t="s">
        <v>174</v>
      </c>
      <c r="AD243" s="28"/>
      <c r="AE243" s="55" t="s">
        <v>174</v>
      </c>
      <c r="AF243" s="55" t="s">
        <v>174</v>
      </c>
      <c r="AG243" s="55" t="s">
        <v>174</v>
      </c>
      <c r="AH243" s="55" t="s">
        <v>174</v>
      </c>
      <c r="AI243" s="55" t="s">
        <v>174</v>
      </c>
      <c r="AJ243" s="55" t="s">
        <v>174</v>
      </c>
      <c r="AK243" s="28"/>
      <c r="AL243" s="55" t="s">
        <v>174</v>
      </c>
      <c r="AM243" s="55" t="s">
        <v>174</v>
      </c>
      <c r="AN243" s="55" t="s">
        <v>174</v>
      </c>
      <c r="AO243" s="55" t="s">
        <v>174</v>
      </c>
      <c r="AP243" s="55" t="s">
        <v>174</v>
      </c>
      <c r="AQ243" s="55" t="s">
        <v>174</v>
      </c>
      <c r="AR243" s="28"/>
    </row>
    <row r="244" spans="1:44">
      <c r="A244" s="28"/>
      <c r="B244" s="55" t="s">
        <v>174</v>
      </c>
      <c r="C244" s="55" t="s">
        <v>174</v>
      </c>
      <c r="D244" s="55" t="s">
        <v>174</v>
      </c>
      <c r="E244" s="55" t="s">
        <v>174</v>
      </c>
      <c r="F244" s="55" t="s">
        <v>174</v>
      </c>
      <c r="G244" s="55" t="s">
        <v>174</v>
      </c>
      <c r="H244" s="28"/>
      <c r="I244" s="68">
        <v>67.92</v>
      </c>
      <c r="J244" s="38">
        <v>2.76E-2</v>
      </c>
      <c r="K244" s="38">
        <v>8.0000000000000002E-3</v>
      </c>
      <c r="L244" s="37">
        <v>5.9999999999999995E-4</v>
      </c>
      <c r="M244" s="38">
        <v>1.2E-2</v>
      </c>
      <c r="N244" s="38">
        <v>4.3299999999999998E-2</v>
      </c>
      <c r="O244" s="28"/>
      <c r="P244" s="68">
        <v>67.92</v>
      </c>
      <c r="Q244" s="38">
        <v>3.7499999999999999E-2</v>
      </c>
      <c r="R244" s="38">
        <v>1.0699999999999999E-2</v>
      </c>
      <c r="S244" s="37">
        <v>5.0000000000000001E-4</v>
      </c>
      <c r="T244" s="38">
        <v>1.66E-2</v>
      </c>
      <c r="U244" s="38">
        <v>5.8500000000000003E-2</v>
      </c>
      <c r="V244" s="28"/>
      <c r="W244" s="28"/>
      <c r="X244" s="55" t="s">
        <v>174</v>
      </c>
      <c r="Y244" s="55" t="s">
        <v>174</v>
      </c>
      <c r="Z244" s="55" t="s">
        <v>174</v>
      </c>
      <c r="AA244" s="55" t="s">
        <v>174</v>
      </c>
      <c r="AB244" s="55" t="s">
        <v>174</v>
      </c>
      <c r="AC244" s="55" t="s">
        <v>174</v>
      </c>
      <c r="AD244" s="28"/>
      <c r="AE244" s="55" t="s">
        <v>174</v>
      </c>
      <c r="AF244" s="55" t="s">
        <v>174</v>
      </c>
      <c r="AG244" s="55" t="s">
        <v>174</v>
      </c>
      <c r="AH244" s="55" t="s">
        <v>174</v>
      </c>
      <c r="AI244" s="55" t="s">
        <v>174</v>
      </c>
      <c r="AJ244" s="55" t="s">
        <v>174</v>
      </c>
      <c r="AK244" s="28"/>
      <c r="AL244" s="55" t="s">
        <v>174</v>
      </c>
      <c r="AM244" s="55" t="s">
        <v>174</v>
      </c>
      <c r="AN244" s="55" t="s">
        <v>174</v>
      </c>
      <c r="AO244" s="55" t="s">
        <v>174</v>
      </c>
      <c r="AP244" s="55" t="s">
        <v>174</v>
      </c>
      <c r="AQ244" s="55" t="s">
        <v>174</v>
      </c>
      <c r="AR244" s="28"/>
    </row>
    <row r="245" spans="1:44">
      <c r="A245" s="28"/>
      <c r="B245" s="55" t="s">
        <v>174</v>
      </c>
      <c r="C245" s="55" t="s">
        <v>174</v>
      </c>
      <c r="D245" s="55" t="s">
        <v>174</v>
      </c>
      <c r="E245" s="55" t="s">
        <v>174</v>
      </c>
      <c r="F245" s="55" t="s">
        <v>174</v>
      </c>
      <c r="G245" s="55" t="s">
        <v>174</v>
      </c>
      <c r="H245" s="28"/>
      <c r="I245" s="68">
        <v>71.989999999999995</v>
      </c>
      <c r="J245" s="38">
        <v>2.92E-2</v>
      </c>
      <c r="K245" s="38">
        <v>8.6E-3</v>
      </c>
      <c r="L245" s="37">
        <v>6.9999999999999999E-4</v>
      </c>
      <c r="M245" s="38">
        <v>1.23E-2</v>
      </c>
      <c r="N245" s="38">
        <v>4.6100000000000002E-2</v>
      </c>
      <c r="O245" s="28"/>
      <c r="P245" s="68">
        <v>71.989999999999995</v>
      </c>
      <c r="Q245" s="38">
        <v>3.9800000000000002E-2</v>
      </c>
      <c r="R245" s="38">
        <v>1.15E-2</v>
      </c>
      <c r="S245" s="37">
        <v>5.9999999999999995E-4</v>
      </c>
      <c r="T245" s="38">
        <v>1.72E-2</v>
      </c>
      <c r="U245" s="38">
        <v>6.2399999999999997E-2</v>
      </c>
      <c r="V245" s="28"/>
      <c r="W245" s="28"/>
      <c r="X245" s="55" t="s">
        <v>174</v>
      </c>
      <c r="Y245" s="55" t="s">
        <v>174</v>
      </c>
      <c r="Z245" s="55" t="s">
        <v>174</v>
      </c>
      <c r="AA245" s="55" t="s">
        <v>174</v>
      </c>
      <c r="AB245" s="55" t="s">
        <v>174</v>
      </c>
      <c r="AC245" s="55" t="s">
        <v>174</v>
      </c>
      <c r="AD245" s="28"/>
      <c r="AE245" s="55" t="s">
        <v>174</v>
      </c>
      <c r="AF245" s="55" t="s">
        <v>174</v>
      </c>
      <c r="AG245" s="55" t="s">
        <v>174</v>
      </c>
      <c r="AH245" s="55" t="s">
        <v>174</v>
      </c>
      <c r="AI245" s="55" t="s">
        <v>174</v>
      </c>
      <c r="AJ245" s="55" t="s">
        <v>174</v>
      </c>
      <c r="AK245" s="28"/>
      <c r="AL245" s="55" t="s">
        <v>174</v>
      </c>
      <c r="AM245" s="55" t="s">
        <v>174</v>
      </c>
      <c r="AN245" s="55" t="s">
        <v>174</v>
      </c>
      <c r="AO245" s="55" t="s">
        <v>174</v>
      </c>
      <c r="AP245" s="55" t="s">
        <v>174</v>
      </c>
      <c r="AQ245" s="55" t="s">
        <v>174</v>
      </c>
      <c r="AR245" s="28"/>
    </row>
    <row r="246" spans="1:44">
      <c r="A246" s="28"/>
      <c r="B246" s="55" t="s">
        <v>174</v>
      </c>
      <c r="C246" s="55" t="s">
        <v>174</v>
      </c>
      <c r="D246" s="55" t="s">
        <v>174</v>
      </c>
      <c r="E246" s="55" t="s">
        <v>174</v>
      </c>
      <c r="F246" s="55" t="s">
        <v>174</v>
      </c>
      <c r="G246" s="55" t="s">
        <v>174</v>
      </c>
      <c r="H246" s="28"/>
      <c r="I246" s="68">
        <v>76.06</v>
      </c>
      <c r="J246" s="38">
        <v>3.0800000000000001E-2</v>
      </c>
      <c r="K246" s="38">
        <v>9.1999999999999998E-3</v>
      </c>
      <c r="L246" s="37">
        <v>8.9999999999999998E-4</v>
      </c>
      <c r="M246" s="38">
        <v>1.2699999999999999E-2</v>
      </c>
      <c r="N246" s="38">
        <v>4.8899999999999999E-2</v>
      </c>
      <c r="O246" s="28"/>
      <c r="P246" s="68">
        <v>76.06</v>
      </c>
      <c r="Q246" s="38">
        <v>4.2200000000000001E-2</v>
      </c>
      <c r="R246" s="38">
        <v>1.23E-2</v>
      </c>
      <c r="S246" s="37">
        <v>6.9999999999999999E-4</v>
      </c>
      <c r="T246" s="38">
        <v>1.7899999999999999E-2</v>
      </c>
      <c r="U246" s="38">
        <v>6.6400000000000001E-2</v>
      </c>
      <c r="V246" s="28"/>
      <c r="W246" s="28"/>
      <c r="X246" s="55" t="s">
        <v>174</v>
      </c>
      <c r="Y246" s="55" t="s">
        <v>174</v>
      </c>
      <c r="Z246" s="55" t="s">
        <v>174</v>
      </c>
      <c r="AA246" s="55" t="s">
        <v>174</v>
      </c>
      <c r="AB246" s="55" t="s">
        <v>174</v>
      </c>
      <c r="AC246" s="55" t="s">
        <v>174</v>
      </c>
      <c r="AD246" s="28"/>
      <c r="AE246" s="55" t="s">
        <v>174</v>
      </c>
      <c r="AF246" s="55" t="s">
        <v>174</v>
      </c>
      <c r="AG246" s="55" t="s">
        <v>174</v>
      </c>
      <c r="AH246" s="55" t="s">
        <v>174</v>
      </c>
      <c r="AI246" s="55" t="s">
        <v>174</v>
      </c>
      <c r="AJ246" s="55" t="s">
        <v>174</v>
      </c>
      <c r="AK246" s="28"/>
      <c r="AL246" s="55" t="s">
        <v>174</v>
      </c>
      <c r="AM246" s="55" t="s">
        <v>174</v>
      </c>
      <c r="AN246" s="55" t="s">
        <v>174</v>
      </c>
      <c r="AO246" s="55" t="s">
        <v>174</v>
      </c>
      <c r="AP246" s="55" t="s">
        <v>174</v>
      </c>
      <c r="AQ246" s="55" t="s">
        <v>174</v>
      </c>
      <c r="AR246" s="28"/>
    </row>
    <row r="247" spans="1:44">
      <c r="A247" s="28"/>
      <c r="B247" s="55" t="s">
        <v>174</v>
      </c>
      <c r="C247" s="55" t="s">
        <v>174</v>
      </c>
      <c r="D247" s="55" t="s">
        <v>174</v>
      </c>
      <c r="E247" s="55" t="s">
        <v>174</v>
      </c>
      <c r="F247" s="55" t="s">
        <v>174</v>
      </c>
      <c r="G247" s="55" t="s">
        <v>174</v>
      </c>
      <c r="H247" s="28"/>
      <c r="I247" s="68">
        <v>80.13</v>
      </c>
      <c r="J247" s="38">
        <v>3.2300000000000002E-2</v>
      </c>
      <c r="K247" s="38">
        <v>9.9000000000000008E-3</v>
      </c>
      <c r="L247" s="37">
        <v>1.1000000000000001E-3</v>
      </c>
      <c r="M247" s="38">
        <v>1.2999999999999999E-2</v>
      </c>
      <c r="N247" s="38">
        <v>5.1700000000000003E-2</v>
      </c>
      <c r="O247" s="28"/>
      <c r="P247" s="68">
        <v>80.13</v>
      </c>
      <c r="Q247" s="38">
        <v>4.4499999999999998E-2</v>
      </c>
      <c r="R247" s="38">
        <v>1.32E-2</v>
      </c>
      <c r="S247" s="37">
        <v>8.0000000000000004E-4</v>
      </c>
      <c r="T247" s="38">
        <v>1.8599999999999998E-2</v>
      </c>
      <c r="U247" s="38">
        <v>7.0400000000000004E-2</v>
      </c>
      <c r="V247" s="28"/>
      <c r="W247" s="28"/>
      <c r="X247" s="55" t="s">
        <v>174</v>
      </c>
      <c r="Y247" s="55" t="s">
        <v>174</v>
      </c>
      <c r="Z247" s="55" t="s">
        <v>174</v>
      </c>
      <c r="AA247" s="55" t="s">
        <v>174</v>
      </c>
      <c r="AB247" s="55" t="s">
        <v>174</v>
      </c>
      <c r="AC247" s="55" t="s">
        <v>174</v>
      </c>
      <c r="AD247" s="28"/>
      <c r="AE247" s="55" t="s">
        <v>174</v>
      </c>
      <c r="AF247" s="55" t="s">
        <v>174</v>
      </c>
      <c r="AG247" s="55" t="s">
        <v>174</v>
      </c>
      <c r="AH247" s="55" t="s">
        <v>174</v>
      </c>
      <c r="AI247" s="55" t="s">
        <v>174</v>
      </c>
      <c r="AJ247" s="55" t="s">
        <v>174</v>
      </c>
      <c r="AK247" s="28"/>
      <c r="AL247" s="55" t="s">
        <v>174</v>
      </c>
      <c r="AM247" s="55" t="s">
        <v>174</v>
      </c>
      <c r="AN247" s="55" t="s">
        <v>174</v>
      </c>
      <c r="AO247" s="55" t="s">
        <v>174</v>
      </c>
      <c r="AP247" s="55" t="s">
        <v>174</v>
      </c>
      <c r="AQ247" s="55" t="s">
        <v>174</v>
      </c>
      <c r="AR247" s="28"/>
    </row>
    <row r="248" spans="1:44">
      <c r="A248" s="28"/>
      <c r="B248" s="62" t="s">
        <v>174</v>
      </c>
      <c r="C248" s="62" t="s">
        <v>174</v>
      </c>
      <c r="D248" s="62" t="s">
        <v>174</v>
      </c>
      <c r="E248" s="62" t="s">
        <v>174</v>
      </c>
      <c r="F248" s="62" t="s">
        <v>174</v>
      </c>
      <c r="G248" s="62" t="s">
        <v>174</v>
      </c>
      <c r="H248" s="231"/>
      <c r="I248" s="69">
        <v>84.2</v>
      </c>
      <c r="J248" s="46">
        <v>3.39E-2</v>
      </c>
      <c r="K248" s="46">
        <v>1.0500000000000001E-2</v>
      </c>
      <c r="L248" s="44">
        <v>1.2999999999999999E-3</v>
      </c>
      <c r="M248" s="46">
        <v>1.3299999999999999E-2</v>
      </c>
      <c r="N248" s="46">
        <v>5.45E-2</v>
      </c>
      <c r="O248" s="28"/>
      <c r="P248" s="69">
        <v>84.2</v>
      </c>
      <c r="Q248" s="46">
        <v>4.6800000000000001E-2</v>
      </c>
      <c r="R248" s="46">
        <v>1.4E-2</v>
      </c>
      <c r="S248" s="44">
        <v>8.9999999999999998E-4</v>
      </c>
      <c r="T248" s="46">
        <v>1.9199999999999998E-2</v>
      </c>
      <c r="U248" s="46">
        <v>7.4399999999999994E-2</v>
      </c>
      <c r="V248" s="28"/>
      <c r="W248" s="28"/>
      <c r="X248" s="62" t="s">
        <v>174</v>
      </c>
      <c r="Y248" s="62" t="s">
        <v>174</v>
      </c>
      <c r="Z248" s="62" t="s">
        <v>174</v>
      </c>
      <c r="AA248" s="62" t="s">
        <v>174</v>
      </c>
      <c r="AB248" s="62" t="s">
        <v>174</v>
      </c>
      <c r="AC248" s="62" t="s">
        <v>174</v>
      </c>
      <c r="AD248" s="28"/>
      <c r="AE248" s="62" t="s">
        <v>174</v>
      </c>
      <c r="AF248" s="62" t="s">
        <v>174</v>
      </c>
      <c r="AG248" s="62" t="s">
        <v>174</v>
      </c>
      <c r="AH248" s="62" t="s">
        <v>174</v>
      </c>
      <c r="AI248" s="62" t="s">
        <v>174</v>
      </c>
      <c r="AJ248" s="62" t="s">
        <v>174</v>
      </c>
      <c r="AK248" s="28"/>
      <c r="AL248" s="62" t="s">
        <v>174</v>
      </c>
      <c r="AM248" s="62" t="s">
        <v>174</v>
      </c>
      <c r="AN248" s="62" t="s">
        <v>174</v>
      </c>
      <c r="AO248" s="62" t="s">
        <v>174</v>
      </c>
      <c r="AP248" s="62" t="s">
        <v>174</v>
      </c>
      <c r="AQ248" s="62" t="s">
        <v>174</v>
      </c>
      <c r="AR248" s="28"/>
    </row>
    <row r="249" spans="1:44" ht="15" customHeight="1">
      <c r="A249" s="28"/>
      <c r="B249" s="307" t="s">
        <v>761</v>
      </c>
      <c r="C249" s="307"/>
      <c r="D249" s="307"/>
      <c r="E249" s="307"/>
      <c r="F249" s="307"/>
      <c r="G249" s="307"/>
      <c r="H249" s="247"/>
      <c r="I249" s="307" t="s">
        <v>761</v>
      </c>
      <c r="J249" s="307"/>
      <c r="K249" s="307"/>
      <c r="L249" s="307"/>
      <c r="M249" s="307"/>
      <c r="N249" s="307"/>
      <c r="O249" s="28"/>
      <c r="P249" s="307" t="s">
        <v>761</v>
      </c>
      <c r="Q249" s="307"/>
      <c r="R249" s="307"/>
      <c r="S249" s="307"/>
      <c r="T249" s="307"/>
      <c r="U249" s="307"/>
      <c r="V249" s="28"/>
      <c r="W249" s="28"/>
      <c r="X249" s="307" t="s">
        <v>761</v>
      </c>
      <c r="Y249" s="307"/>
      <c r="Z249" s="307"/>
      <c r="AA249" s="307"/>
      <c r="AB249" s="307"/>
      <c r="AC249" s="307"/>
      <c r="AD249" s="28"/>
      <c r="AE249" s="307" t="s">
        <v>761</v>
      </c>
      <c r="AF249" s="307"/>
      <c r="AG249" s="307"/>
      <c r="AH249" s="307"/>
      <c r="AI249" s="307"/>
      <c r="AJ249" s="307"/>
      <c r="AK249" s="28"/>
      <c r="AL249" s="307" t="s">
        <v>761</v>
      </c>
      <c r="AM249" s="307"/>
      <c r="AN249" s="307"/>
      <c r="AO249" s="307"/>
      <c r="AP249" s="307"/>
      <c r="AQ249" s="307"/>
      <c r="AR249" s="28"/>
    </row>
    <row r="250" spans="1:44">
      <c r="A250" s="28"/>
      <c r="B250" s="308"/>
      <c r="C250" s="308"/>
      <c r="D250" s="308"/>
      <c r="E250" s="308"/>
      <c r="F250" s="308"/>
      <c r="G250" s="308"/>
      <c r="H250" s="247"/>
      <c r="I250" s="308"/>
      <c r="J250" s="308"/>
      <c r="K250" s="308"/>
      <c r="L250" s="308"/>
      <c r="M250" s="308"/>
      <c r="N250" s="308"/>
      <c r="O250" s="28"/>
      <c r="P250" s="308"/>
      <c r="Q250" s="308"/>
      <c r="R250" s="308"/>
      <c r="S250" s="308"/>
      <c r="T250" s="308"/>
      <c r="U250" s="308"/>
      <c r="V250" s="28"/>
      <c r="W250" s="28"/>
      <c r="X250" s="308"/>
      <c r="Y250" s="308"/>
      <c r="Z250" s="308"/>
      <c r="AA250" s="308"/>
      <c r="AB250" s="308"/>
      <c r="AC250" s="308"/>
      <c r="AD250" s="28"/>
      <c r="AE250" s="308"/>
      <c r="AF250" s="308"/>
      <c r="AG250" s="308"/>
      <c r="AH250" s="308"/>
      <c r="AI250" s="308"/>
      <c r="AJ250" s="308"/>
      <c r="AK250" s="28"/>
      <c r="AL250" s="308"/>
      <c r="AM250" s="308"/>
      <c r="AN250" s="308"/>
      <c r="AO250" s="308"/>
      <c r="AP250" s="308"/>
      <c r="AQ250" s="308"/>
      <c r="AR250" s="28"/>
    </row>
    <row r="251" spans="1:44">
      <c r="A251" s="28"/>
      <c r="B251" s="308"/>
      <c r="C251" s="308"/>
      <c r="D251" s="308"/>
      <c r="E251" s="308"/>
      <c r="F251" s="308"/>
      <c r="G251" s="308"/>
      <c r="H251" s="247"/>
      <c r="I251" s="308"/>
      <c r="J251" s="308"/>
      <c r="K251" s="308"/>
      <c r="L251" s="308"/>
      <c r="M251" s="308"/>
      <c r="N251" s="308"/>
      <c r="O251" s="28"/>
      <c r="P251" s="308"/>
      <c r="Q251" s="308"/>
      <c r="R251" s="308"/>
      <c r="S251" s="308"/>
      <c r="T251" s="308"/>
      <c r="U251" s="308"/>
      <c r="V251" s="28"/>
      <c r="W251" s="28"/>
      <c r="X251" s="308"/>
      <c r="Y251" s="308"/>
      <c r="Z251" s="308"/>
      <c r="AA251" s="308"/>
      <c r="AB251" s="308"/>
      <c r="AC251" s="308"/>
      <c r="AD251" s="28"/>
      <c r="AE251" s="308"/>
      <c r="AF251" s="308"/>
      <c r="AG251" s="308"/>
      <c r="AH251" s="308"/>
      <c r="AI251" s="308"/>
      <c r="AJ251" s="308"/>
      <c r="AK251" s="28"/>
      <c r="AL251" s="308"/>
      <c r="AM251" s="308"/>
      <c r="AN251" s="308"/>
      <c r="AO251" s="308"/>
      <c r="AP251" s="308"/>
      <c r="AQ251" s="308"/>
      <c r="AR251" s="28"/>
    </row>
    <row r="252" spans="1:44">
      <c r="A252" s="28"/>
      <c r="B252" s="308"/>
      <c r="C252" s="308"/>
      <c r="D252" s="308"/>
      <c r="E252" s="308"/>
      <c r="F252" s="308"/>
      <c r="G252" s="308"/>
      <c r="H252" s="28"/>
      <c r="I252" s="308"/>
      <c r="J252" s="308"/>
      <c r="K252" s="308"/>
      <c r="L252" s="308"/>
      <c r="M252" s="308"/>
      <c r="N252" s="308"/>
      <c r="O252" s="28"/>
      <c r="P252" s="308"/>
      <c r="Q252" s="308"/>
      <c r="R252" s="308"/>
      <c r="S252" s="308"/>
      <c r="T252" s="308"/>
      <c r="U252" s="308"/>
      <c r="V252" s="28"/>
      <c r="W252" s="28"/>
      <c r="X252" s="308"/>
      <c r="Y252" s="308"/>
      <c r="Z252" s="308"/>
      <c r="AA252" s="308"/>
      <c r="AB252" s="308"/>
      <c r="AC252" s="308"/>
      <c r="AD252" s="28"/>
      <c r="AE252" s="308"/>
      <c r="AF252" s="308"/>
      <c r="AG252" s="308"/>
      <c r="AH252" s="308"/>
      <c r="AI252" s="308"/>
      <c r="AJ252" s="308"/>
      <c r="AK252" s="28"/>
      <c r="AL252" s="308"/>
      <c r="AM252" s="308"/>
      <c r="AN252" s="308"/>
      <c r="AO252" s="308"/>
      <c r="AP252" s="308"/>
      <c r="AQ252" s="308"/>
      <c r="AR252" s="28"/>
    </row>
    <row r="253" spans="1:44">
      <c r="A253" s="28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</row>
    <row r="254" spans="1:44">
      <c r="A254" s="28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</row>
    <row r="255" spans="1:44">
      <c r="A255" s="28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</row>
  </sheetData>
  <mergeCells count="408">
    <mergeCell ref="D6:E6"/>
    <mergeCell ref="B6:C6"/>
    <mergeCell ref="B7:C7"/>
    <mergeCell ref="B39:G39"/>
    <mergeCell ref="B4:G4"/>
    <mergeCell ref="B5:G5"/>
    <mergeCell ref="B8:G8"/>
    <mergeCell ref="F6:G6"/>
    <mergeCell ref="B40:G40"/>
    <mergeCell ref="B41:C41"/>
    <mergeCell ref="B42:C42"/>
    <mergeCell ref="D41:E41"/>
    <mergeCell ref="D42:E42"/>
    <mergeCell ref="F41:G41"/>
    <mergeCell ref="F42:G42"/>
    <mergeCell ref="F7:G7"/>
    <mergeCell ref="D7:E7"/>
    <mergeCell ref="F77:G77"/>
    <mergeCell ref="B78:G78"/>
    <mergeCell ref="B109:G109"/>
    <mergeCell ref="B110:G110"/>
    <mergeCell ref="B43:G43"/>
    <mergeCell ref="B74:G74"/>
    <mergeCell ref="B75:G75"/>
    <mergeCell ref="B76:C76"/>
    <mergeCell ref="D76:E76"/>
    <mergeCell ref="F76:G76"/>
    <mergeCell ref="B218:G218"/>
    <mergeCell ref="I4:N4"/>
    <mergeCell ref="I5:N5"/>
    <mergeCell ref="I6:J6"/>
    <mergeCell ref="K6:L6"/>
    <mergeCell ref="M6:N6"/>
    <mergeCell ref="I7:J7"/>
    <mergeCell ref="B183:G183"/>
    <mergeCell ref="B214:G214"/>
    <mergeCell ref="B215:G215"/>
    <mergeCell ref="B216:C216"/>
    <mergeCell ref="D216:E216"/>
    <mergeCell ref="F216:G216"/>
    <mergeCell ref="B181:C181"/>
    <mergeCell ref="D181:E181"/>
    <mergeCell ref="F181:G181"/>
    <mergeCell ref="B182:C182"/>
    <mergeCell ref="D182:E182"/>
    <mergeCell ref="F182:G182"/>
    <mergeCell ref="B147:C147"/>
    <mergeCell ref="D147:E147"/>
    <mergeCell ref="F147:G147"/>
    <mergeCell ref="B148:G148"/>
    <mergeCell ref="B179:G179"/>
    <mergeCell ref="K7:L7"/>
    <mergeCell ref="M7:N7"/>
    <mergeCell ref="I8:N8"/>
    <mergeCell ref="I15:N15"/>
    <mergeCell ref="I39:N39"/>
    <mergeCell ref="I40:N40"/>
    <mergeCell ref="B217:C217"/>
    <mergeCell ref="D217:E217"/>
    <mergeCell ref="F217:G217"/>
    <mergeCell ref="B180:G180"/>
    <mergeCell ref="B113:G113"/>
    <mergeCell ref="B144:G144"/>
    <mergeCell ref="B145:G145"/>
    <mergeCell ref="B146:C146"/>
    <mergeCell ref="D146:E146"/>
    <mergeCell ref="F146:G146"/>
    <mergeCell ref="B111:C111"/>
    <mergeCell ref="D111:E111"/>
    <mergeCell ref="F111:G111"/>
    <mergeCell ref="B112:C112"/>
    <mergeCell ref="D112:E112"/>
    <mergeCell ref="F112:G112"/>
    <mergeCell ref="B77:C77"/>
    <mergeCell ref="D77:E77"/>
    <mergeCell ref="I43:N43"/>
    <mergeCell ref="I50:N50"/>
    <mergeCell ref="I74:N74"/>
    <mergeCell ref="I75:N75"/>
    <mergeCell ref="I76:J76"/>
    <mergeCell ref="K76:L76"/>
    <mergeCell ref="M76:N76"/>
    <mergeCell ref="I41:J41"/>
    <mergeCell ref="K41:L41"/>
    <mergeCell ref="M41:N41"/>
    <mergeCell ref="I42:J42"/>
    <mergeCell ref="K42:L42"/>
    <mergeCell ref="M42:N42"/>
    <mergeCell ref="I110:N110"/>
    <mergeCell ref="I111:J111"/>
    <mergeCell ref="K111:L111"/>
    <mergeCell ref="M111:N111"/>
    <mergeCell ref="I112:J112"/>
    <mergeCell ref="K112:L112"/>
    <mergeCell ref="M112:N112"/>
    <mergeCell ref="I77:J77"/>
    <mergeCell ref="K77:L77"/>
    <mergeCell ref="M77:N77"/>
    <mergeCell ref="I78:N78"/>
    <mergeCell ref="I85:N85"/>
    <mergeCell ref="I109:N109"/>
    <mergeCell ref="K147:L147"/>
    <mergeCell ref="M147:N147"/>
    <mergeCell ref="I148:N148"/>
    <mergeCell ref="I179:N179"/>
    <mergeCell ref="I180:N180"/>
    <mergeCell ref="I113:N113"/>
    <mergeCell ref="I144:N144"/>
    <mergeCell ref="I145:N145"/>
    <mergeCell ref="I146:J146"/>
    <mergeCell ref="K146:L146"/>
    <mergeCell ref="M146:N146"/>
    <mergeCell ref="I217:J217"/>
    <mergeCell ref="K217:L217"/>
    <mergeCell ref="M217:N217"/>
    <mergeCell ref="I218:N218"/>
    <mergeCell ref="I225:N225"/>
    <mergeCell ref="P4:U4"/>
    <mergeCell ref="P5:U5"/>
    <mergeCell ref="P6:Q6"/>
    <mergeCell ref="R6:S6"/>
    <mergeCell ref="T6:U6"/>
    <mergeCell ref="I183:N183"/>
    <mergeCell ref="I190:N190"/>
    <mergeCell ref="I214:N214"/>
    <mergeCell ref="I215:N215"/>
    <mergeCell ref="I216:J216"/>
    <mergeCell ref="K216:L216"/>
    <mergeCell ref="M216:N216"/>
    <mergeCell ref="I181:J181"/>
    <mergeCell ref="K181:L181"/>
    <mergeCell ref="M181:N181"/>
    <mergeCell ref="I182:J182"/>
    <mergeCell ref="K182:L182"/>
    <mergeCell ref="M182:N182"/>
    <mergeCell ref="I147:J147"/>
    <mergeCell ref="P41:Q41"/>
    <mergeCell ref="R41:S41"/>
    <mergeCell ref="T41:U41"/>
    <mergeCell ref="P42:Q42"/>
    <mergeCell ref="R42:S42"/>
    <mergeCell ref="T42:U42"/>
    <mergeCell ref="P7:Q7"/>
    <mergeCell ref="R7:S7"/>
    <mergeCell ref="T7:U7"/>
    <mergeCell ref="P8:U8"/>
    <mergeCell ref="P39:U39"/>
    <mergeCell ref="P40:U40"/>
    <mergeCell ref="T77:U77"/>
    <mergeCell ref="P78:U78"/>
    <mergeCell ref="P85:U85"/>
    <mergeCell ref="P109:U109"/>
    <mergeCell ref="P43:U43"/>
    <mergeCell ref="P50:U50"/>
    <mergeCell ref="P74:U74"/>
    <mergeCell ref="P75:U75"/>
    <mergeCell ref="P76:Q76"/>
    <mergeCell ref="R76:S76"/>
    <mergeCell ref="T76:U76"/>
    <mergeCell ref="P218:U218"/>
    <mergeCell ref="P225:U225"/>
    <mergeCell ref="B2:G2"/>
    <mergeCell ref="I2:N2"/>
    <mergeCell ref="P2:U2"/>
    <mergeCell ref="P183:U183"/>
    <mergeCell ref="P190:U190"/>
    <mergeCell ref="P214:U214"/>
    <mergeCell ref="P215:U215"/>
    <mergeCell ref="P216:Q216"/>
    <mergeCell ref="R216:S216"/>
    <mergeCell ref="T216:U216"/>
    <mergeCell ref="P181:Q181"/>
    <mergeCell ref="R181:S181"/>
    <mergeCell ref="T181:U181"/>
    <mergeCell ref="P182:Q182"/>
    <mergeCell ref="R182:S182"/>
    <mergeCell ref="T182:U182"/>
    <mergeCell ref="P147:Q147"/>
    <mergeCell ref="R147:S147"/>
    <mergeCell ref="T147:U147"/>
    <mergeCell ref="P148:U148"/>
    <mergeCell ref="P179:U179"/>
    <mergeCell ref="P180:U180"/>
    <mergeCell ref="X4:AC4"/>
    <mergeCell ref="AE4:AJ4"/>
    <mergeCell ref="AL4:AQ4"/>
    <mergeCell ref="X5:AC5"/>
    <mergeCell ref="AE5:AJ5"/>
    <mergeCell ref="AL5:AQ5"/>
    <mergeCell ref="P217:Q217"/>
    <mergeCell ref="R217:S217"/>
    <mergeCell ref="T217:U217"/>
    <mergeCell ref="P113:U113"/>
    <mergeCell ref="P144:U144"/>
    <mergeCell ref="P145:U145"/>
    <mergeCell ref="P146:Q146"/>
    <mergeCell ref="R146:S146"/>
    <mergeCell ref="T146:U146"/>
    <mergeCell ref="P110:U110"/>
    <mergeCell ref="P111:Q111"/>
    <mergeCell ref="R111:S111"/>
    <mergeCell ref="T111:U111"/>
    <mergeCell ref="P112:Q112"/>
    <mergeCell ref="R112:S112"/>
    <mergeCell ref="T112:U112"/>
    <mergeCell ref="P77:Q77"/>
    <mergeCell ref="R77:S77"/>
    <mergeCell ref="AL6:AM6"/>
    <mergeCell ref="AN6:AO6"/>
    <mergeCell ref="AP6:AQ6"/>
    <mergeCell ref="X7:Y7"/>
    <mergeCell ref="Z7:AA7"/>
    <mergeCell ref="AB7:AC7"/>
    <mergeCell ref="AE7:AF7"/>
    <mergeCell ref="AG7:AH7"/>
    <mergeCell ref="AI7:AJ7"/>
    <mergeCell ref="AL7:AM7"/>
    <mergeCell ref="X6:Y6"/>
    <mergeCell ref="Z6:AA6"/>
    <mergeCell ref="AB6:AC6"/>
    <mergeCell ref="AE6:AF6"/>
    <mergeCell ref="AG6:AH6"/>
    <mergeCell ref="AI6:AJ6"/>
    <mergeCell ref="X39:AC39"/>
    <mergeCell ref="AE39:AJ39"/>
    <mergeCell ref="AL39:AQ39"/>
    <mergeCell ref="X40:AC40"/>
    <mergeCell ref="AE40:AJ40"/>
    <mergeCell ref="AL40:AQ40"/>
    <mergeCell ref="AN7:AO7"/>
    <mergeCell ref="AP7:AQ7"/>
    <mergeCell ref="X8:AC8"/>
    <mergeCell ref="AE8:AJ8"/>
    <mergeCell ref="AL8:AQ8"/>
    <mergeCell ref="X15:AC15"/>
    <mergeCell ref="AN42:AO42"/>
    <mergeCell ref="AP42:AQ42"/>
    <mergeCell ref="X43:AC43"/>
    <mergeCell ref="AE43:AJ43"/>
    <mergeCell ref="AL43:AQ43"/>
    <mergeCell ref="X74:AC74"/>
    <mergeCell ref="AE74:AJ74"/>
    <mergeCell ref="AL74:AQ74"/>
    <mergeCell ref="AL41:AM41"/>
    <mergeCell ref="AN41:AO41"/>
    <mergeCell ref="AP41:AQ41"/>
    <mergeCell ref="X42:Y42"/>
    <mergeCell ref="Z42:AA42"/>
    <mergeCell ref="AB42:AC42"/>
    <mergeCell ref="AE42:AF42"/>
    <mergeCell ref="AG42:AH42"/>
    <mergeCell ref="AI42:AJ42"/>
    <mergeCell ref="AL42:AM42"/>
    <mergeCell ref="X41:Y41"/>
    <mergeCell ref="Z41:AA41"/>
    <mergeCell ref="AB41:AC41"/>
    <mergeCell ref="AE41:AF41"/>
    <mergeCell ref="AG41:AH41"/>
    <mergeCell ref="AI41:AJ41"/>
    <mergeCell ref="X75:AC75"/>
    <mergeCell ref="AE75:AJ75"/>
    <mergeCell ref="AL75:AQ75"/>
    <mergeCell ref="X76:Y76"/>
    <mergeCell ref="Z76:AA76"/>
    <mergeCell ref="AB76:AC76"/>
    <mergeCell ref="AE76:AF76"/>
    <mergeCell ref="AG76:AH76"/>
    <mergeCell ref="AI76:AJ76"/>
    <mergeCell ref="AL76:AM76"/>
    <mergeCell ref="AP77:AQ77"/>
    <mergeCell ref="X78:AC78"/>
    <mergeCell ref="AE78:AJ78"/>
    <mergeCell ref="AL78:AQ78"/>
    <mergeCell ref="AL85:AQ85"/>
    <mergeCell ref="X109:AC109"/>
    <mergeCell ref="AE109:AJ109"/>
    <mergeCell ref="AL109:AQ109"/>
    <mergeCell ref="AN76:AO76"/>
    <mergeCell ref="AP76:AQ76"/>
    <mergeCell ref="X77:Y77"/>
    <mergeCell ref="Z77:AA77"/>
    <mergeCell ref="AB77:AC77"/>
    <mergeCell ref="AE77:AF77"/>
    <mergeCell ref="AG77:AH77"/>
    <mergeCell ref="AI77:AJ77"/>
    <mergeCell ref="AL77:AM77"/>
    <mergeCell ref="AN77:AO77"/>
    <mergeCell ref="X110:AC110"/>
    <mergeCell ref="AE110:AJ110"/>
    <mergeCell ref="AL110:AQ110"/>
    <mergeCell ref="X111:Y111"/>
    <mergeCell ref="Z111:AA111"/>
    <mergeCell ref="AB111:AC111"/>
    <mergeCell ref="AE111:AF111"/>
    <mergeCell ref="AG111:AH111"/>
    <mergeCell ref="AI111:AJ111"/>
    <mergeCell ref="AL111:AM111"/>
    <mergeCell ref="AN111:AO111"/>
    <mergeCell ref="AP111:AQ111"/>
    <mergeCell ref="X145:AC145"/>
    <mergeCell ref="AE145:AJ145"/>
    <mergeCell ref="AL145:AQ145"/>
    <mergeCell ref="AP112:AQ112"/>
    <mergeCell ref="X113:AC113"/>
    <mergeCell ref="AE113:AJ113"/>
    <mergeCell ref="AL113:AQ113"/>
    <mergeCell ref="X120:AC120"/>
    <mergeCell ref="AE120:AJ120"/>
    <mergeCell ref="X112:Y112"/>
    <mergeCell ref="Z112:AA112"/>
    <mergeCell ref="AB112:AC112"/>
    <mergeCell ref="AE112:AF112"/>
    <mergeCell ref="AG112:AH112"/>
    <mergeCell ref="AI112:AJ112"/>
    <mergeCell ref="AL112:AM112"/>
    <mergeCell ref="AN112:AO112"/>
    <mergeCell ref="X144:AC144"/>
    <mergeCell ref="AE144:AJ144"/>
    <mergeCell ref="AL144:AQ144"/>
    <mergeCell ref="AL146:AM146"/>
    <mergeCell ref="AN146:AO146"/>
    <mergeCell ref="AP146:AQ146"/>
    <mergeCell ref="X147:Y147"/>
    <mergeCell ref="Z147:AA147"/>
    <mergeCell ref="AB147:AC147"/>
    <mergeCell ref="AE147:AF147"/>
    <mergeCell ref="AG147:AH147"/>
    <mergeCell ref="AI147:AJ147"/>
    <mergeCell ref="AL147:AM147"/>
    <mergeCell ref="X146:Y146"/>
    <mergeCell ref="Z146:AA146"/>
    <mergeCell ref="AB146:AC146"/>
    <mergeCell ref="AE146:AF146"/>
    <mergeCell ref="AG146:AH146"/>
    <mergeCell ref="AI146:AJ146"/>
    <mergeCell ref="X179:AC179"/>
    <mergeCell ref="AE179:AJ179"/>
    <mergeCell ref="AL179:AQ179"/>
    <mergeCell ref="X180:AC180"/>
    <mergeCell ref="AE180:AJ180"/>
    <mergeCell ref="AL180:AQ180"/>
    <mergeCell ref="AN147:AO147"/>
    <mergeCell ref="AP147:AQ147"/>
    <mergeCell ref="X148:AC148"/>
    <mergeCell ref="AE148:AJ148"/>
    <mergeCell ref="AL148:AQ148"/>
    <mergeCell ref="X155:AC155"/>
    <mergeCell ref="AN182:AO182"/>
    <mergeCell ref="AP182:AQ182"/>
    <mergeCell ref="X183:AC183"/>
    <mergeCell ref="AE183:AJ183"/>
    <mergeCell ref="AL183:AQ183"/>
    <mergeCell ref="X214:AC214"/>
    <mergeCell ref="AE214:AJ214"/>
    <mergeCell ref="AL214:AQ214"/>
    <mergeCell ref="AL181:AM181"/>
    <mergeCell ref="AN181:AO181"/>
    <mergeCell ref="AP181:AQ181"/>
    <mergeCell ref="X182:Y182"/>
    <mergeCell ref="Z182:AA182"/>
    <mergeCell ref="AB182:AC182"/>
    <mergeCell ref="AE182:AF182"/>
    <mergeCell ref="AG182:AH182"/>
    <mergeCell ref="AI182:AJ182"/>
    <mergeCell ref="AL182:AM182"/>
    <mergeCell ref="X181:Y181"/>
    <mergeCell ref="Z181:AA181"/>
    <mergeCell ref="AB181:AC181"/>
    <mergeCell ref="AE181:AF181"/>
    <mergeCell ref="AG181:AH181"/>
    <mergeCell ref="AI181:AJ181"/>
    <mergeCell ref="AI217:AJ217"/>
    <mergeCell ref="AL217:AM217"/>
    <mergeCell ref="AN217:AO217"/>
    <mergeCell ref="X215:AC215"/>
    <mergeCell ref="AE215:AJ215"/>
    <mergeCell ref="AL215:AQ215"/>
    <mergeCell ref="X216:Y216"/>
    <mergeCell ref="Z216:AA216"/>
    <mergeCell ref="AB216:AC216"/>
    <mergeCell ref="AE216:AF216"/>
    <mergeCell ref="AG216:AH216"/>
    <mergeCell ref="AI216:AJ216"/>
    <mergeCell ref="AL216:AM216"/>
    <mergeCell ref="AS30:BB32"/>
    <mergeCell ref="B249:G252"/>
    <mergeCell ref="I249:N252"/>
    <mergeCell ref="P249:U252"/>
    <mergeCell ref="X249:AC252"/>
    <mergeCell ref="AE249:AJ252"/>
    <mergeCell ref="AL249:AQ252"/>
    <mergeCell ref="AS2:BB2"/>
    <mergeCell ref="AS4:AW4"/>
    <mergeCell ref="AX4:BB4"/>
    <mergeCell ref="AP217:AQ217"/>
    <mergeCell ref="X218:AC218"/>
    <mergeCell ref="AE218:AJ218"/>
    <mergeCell ref="AL218:AQ218"/>
    <mergeCell ref="X2:AC2"/>
    <mergeCell ref="AE2:AJ2"/>
    <mergeCell ref="AL2:AQ2"/>
    <mergeCell ref="AN216:AO216"/>
    <mergeCell ref="AP216:AQ216"/>
    <mergeCell ref="X217:Y217"/>
    <mergeCell ref="Z217:AA217"/>
    <mergeCell ref="AB217:AC217"/>
    <mergeCell ref="AE217:AF217"/>
    <mergeCell ref="AG217:AH217"/>
  </mergeCells>
  <hyperlinks>
    <hyperlink ref="B74" r:id="rId1"/>
    <hyperlink ref="B109" r:id="rId2" display="Aix@75_MOG"/>
    <hyperlink ref="B144" r:id="rId3" display="Aix@75_MOG"/>
    <hyperlink ref="B179" r:id="rId4" display="Aix@75_MOG"/>
    <hyperlink ref="B214" r:id="rId5" display="Aix@75_MOG"/>
    <hyperlink ref="I74" r:id="rId6"/>
    <hyperlink ref="I109" r:id="rId7" display="AIx@75_SCOR_Radial"/>
    <hyperlink ref="I144" r:id="rId8" display="AIx@75_SCOR_Radial"/>
    <hyperlink ref="I179" r:id="rId9" display="Aix@75_MOG"/>
    <hyperlink ref="I214" r:id="rId10" display="Aix@75_MOG"/>
    <hyperlink ref="P74" r:id="rId11"/>
    <hyperlink ref="P109" r:id="rId12" display="AIx@75_SCOR_Radial"/>
    <hyperlink ref="P144" r:id="rId13" display="AIx@75_SCOR_Radial"/>
    <hyperlink ref="P179" r:id="rId14" display="Aix@75_MOG"/>
    <hyperlink ref="P214" r:id="rId15" display="Aix@75_MOG"/>
    <hyperlink ref="X74" r:id="rId16"/>
    <hyperlink ref="X109" r:id="rId17" display="Aix@75_MOG"/>
    <hyperlink ref="X144" r:id="rId18" display="Aix@75_MOG"/>
    <hyperlink ref="X179" r:id="rId19" display="Aix@75_MOG"/>
    <hyperlink ref="X214" r:id="rId20" display="Aix@75_MOG"/>
    <hyperlink ref="AE74" r:id="rId21"/>
    <hyperlink ref="AE109" r:id="rId22" display="AIx@75_SCOR_Radial"/>
    <hyperlink ref="AE144" r:id="rId23" display="AIx@75_SCOR_Radial"/>
    <hyperlink ref="AE179" r:id="rId24" display="Aix@75_MOG"/>
    <hyperlink ref="AE214" r:id="rId25" display="Aix@75_MOG"/>
    <hyperlink ref="AL74" r:id="rId26"/>
    <hyperlink ref="AL109" r:id="rId27" display="AIx@75_SCOR_Radial"/>
    <hyperlink ref="AL144" r:id="rId28" display="AIx@75_SCOR_Radial"/>
    <hyperlink ref="AL179" r:id="rId29" display="Aix@75_MOG"/>
    <hyperlink ref="AL214" r:id="rId30" display="Aix@75_MOG"/>
    <hyperlink ref="AS9" r:id="rId31"/>
    <hyperlink ref="AS17" r:id="rId32"/>
    <hyperlink ref="AS25" r:id="rId33"/>
    <hyperlink ref="AX25" r:id="rId34"/>
    <hyperlink ref="AX17" r:id="rId35"/>
    <hyperlink ref="AX9" r:id="rId36"/>
  </hyperlinks>
  <pageMargins left="0.7" right="0.7" top="0.75" bottom="0.75" header="0.3" footer="0.3"/>
  <pageSetup paperSize="9" orientation="portrait" r:id="rId37"/>
</worksheet>
</file>

<file path=xl/worksheets/sheet6.xml><?xml version="1.0" encoding="utf-8"?>
<worksheet xmlns="http://schemas.openxmlformats.org/spreadsheetml/2006/main" xmlns:r="http://schemas.openxmlformats.org/officeDocument/2006/relationships">
  <dimension ref="A1:P86"/>
  <sheetViews>
    <sheetView zoomScale="90" zoomScaleNormal="90" workbookViewId="0">
      <selection activeCell="C36" sqref="C36"/>
    </sheetView>
  </sheetViews>
  <sheetFormatPr baseColWidth="10" defaultRowHeight="12.75"/>
  <cols>
    <col min="1" max="1" width="11.42578125" style="27"/>
    <col min="2" max="2" width="23" style="243" bestFit="1" customWidth="1"/>
    <col min="3" max="3" width="35" style="27" customWidth="1"/>
    <col min="4" max="4" width="12.28515625" style="27" customWidth="1"/>
    <col min="5" max="5" width="53.140625" style="27" customWidth="1"/>
    <col min="6" max="6" width="56.42578125" style="27" customWidth="1"/>
    <col min="7" max="7" width="11.42578125" style="27"/>
    <col min="8" max="8" width="23" style="27" bestFit="1" customWidth="1"/>
    <col min="9" max="9" width="36.5703125" style="27" customWidth="1"/>
    <col min="10" max="10" width="7.5703125" style="27" bestFit="1" customWidth="1"/>
    <col min="11" max="11" width="45.140625" style="27" customWidth="1"/>
    <col min="12" max="12" width="50.140625" style="27" customWidth="1"/>
    <col min="13" max="16384" width="11.42578125" style="27"/>
  </cols>
  <sheetData>
    <row r="1" spans="1:16">
      <c r="A1" s="109"/>
      <c r="B1" s="241"/>
      <c r="C1" s="109"/>
      <c r="D1" s="109"/>
      <c r="E1" s="109"/>
      <c r="F1" s="109"/>
      <c r="G1" s="28"/>
      <c r="H1" s="109"/>
      <c r="I1" s="109"/>
      <c r="J1" s="109"/>
      <c r="K1" s="109"/>
      <c r="L1" s="109"/>
      <c r="M1" s="28"/>
    </row>
    <row r="2" spans="1:16">
      <c r="A2" s="109"/>
      <c r="B2" s="335" t="s">
        <v>209</v>
      </c>
      <c r="C2" s="335"/>
      <c r="D2" s="335"/>
      <c r="E2" s="335"/>
      <c r="F2" s="335"/>
      <c r="G2" s="28"/>
      <c r="H2" s="335" t="s">
        <v>743</v>
      </c>
      <c r="I2" s="335"/>
      <c r="J2" s="335"/>
      <c r="K2" s="335"/>
      <c r="L2" s="335"/>
      <c r="M2" s="28"/>
    </row>
    <row r="3" spans="1:16">
      <c r="A3" s="109"/>
      <c r="B3" s="242"/>
      <c r="C3" s="128"/>
      <c r="D3" s="128"/>
      <c r="E3" s="128"/>
      <c r="F3" s="128"/>
      <c r="G3" s="28"/>
      <c r="H3" s="128"/>
      <c r="I3" s="128"/>
      <c r="J3" s="128"/>
      <c r="K3" s="128"/>
      <c r="L3" s="128"/>
      <c r="M3" s="28"/>
    </row>
    <row r="4" spans="1:16" s="148" customFormat="1">
      <c r="A4" s="226"/>
      <c r="B4" s="338" t="s">
        <v>779</v>
      </c>
      <c r="C4" s="338"/>
      <c r="D4" s="227" t="s">
        <v>292</v>
      </c>
      <c r="E4" s="227" t="s">
        <v>204</v>
      </c>
      <c r="F4" s="227" t="s">
        <v>205</v>
      </c>
      <c r="G4" s="31"/>
      <c r="H4" s="338" t="s">
        <v>779</v>
      </c>
      <c r="I4" s="338"/>
      <c r="J4" s="227" t="s">
        <v>292</v>
      </c>
      <c r="K4" s="227" t="s">
        <v>204</v>
      </c>
      <c r="L4" s="227" t="s">
        <v>205</v>
      </c>
      <c r="M4" s="31"/>
    </row>
    <row r="5" spans="1:16">
      <c r="A5" s="109"/>
      <c r="B5" s="241"/>
      <c r="C5" s="336"/>
      <c r="D5" s="336"/>
      <c r="E5" s="336"/>
      <c r="F5" s="336"/>
      <c r="G5" s="28"/>
      <c r="H5" s="109"/>
      <c r="I5" s="336"/>
      <c r="J5" s="336"/>
      <c r="K5" s="336"/>
      <c r="L5" s="336"/>
      <c r="M5" s="28"/>
      <c r="O5" s="228"/>
      <c r="P5" s="228"/>
    </row>
    <row r="6" spans="1:16">
      <c r="A6" s="109"/>
      <c r="B6" s="337" t="s">
        <v>288</v>
      </c>
      <c r="C6" s="337"/>
      <c r="D6" s="337"/>
      <c r="E6" s="337"/>
      <c r="F6" s="337"/>
      <c r="G6" s="28"/>
      <c r="H6" s="337" t="s">
        <v>288</v>
      </c>
      <c r="I6" s="337"/>
      <c r="J6" s="337"/>
      <c r="K6" s="337"/>
      <c r="L6" s="337"/>
      <c r="M6" s="28"/>
      <c r="O6" s="228"/>
      <c r="P6" s="228"/>
    </row>
    <row r="7" spans="1:16" ht="15">
      <c r="A7" s="110"/>
      <c r="B7" s="330" t="s">
        <v>465</v>
      </c>
      <c r="C7" s="117" t="s">
        <v>222</v>
      </c>
      <c r="D7" s="110" t="s">
        <v>206</v>
      </c>
      <c r="E7" s="118" t="s">
        <v>223</v>
      </c>
      <c r="F7" s="118" t="s">
        <v>224</v>
      </c>
      <c r="G7" s="28"/>
      <c r="H7" s="333" t="s">
        <v>465</v>
      </c>
      <c r="I7" s="129" t="s">
        <v>222</v>
      </c>
      <c r="J7" s="110" t="s">
        <v>206</v>
      </c>
      <c r="K7" s="118" t="s">
        <v>619</v>
      </c>
      <c r="L7" s="118" t="s">
        <v>640</v>
      </c>
      <c r="M7" s="28"/>
      <c r="O7" s="228"/>
      <c r="P7" s="228"/>
    </row>
    <row r="8" spans="1:16" ht="15">
      <c r="A8" s="110"/>
      <c r="B8" s="330"/>
      <c r="C8" s="117" t="s">
        <v>225</v>
      </c>
      <c r="D8" s="110" t="s">
        <v>207</v>
      </c>
      <c r="E8" s="118" t="s">
        <v>226</v>
      </c>
      <c r="F8" s="118" t="s">
        <v>227</v>
      </c>
      <c r="G8" s="28"/>
      <c r="H8" s="333"/>
      <c r="I8" s="129" t="s">
        <v>225</v>
      </c>
      <c r="J8" s="110" t="s">
        <v>207</v>
      </c>
      <c r="K8" s="118" t="s">
        <v>620</v>
      </c>
      <c r="L8" s="118" t="s">
        <v>641</v>
      </c>
      <c r="M8" s="28"/>
      <c r="O8" s="228"/>
      <c r="P8" s="233"/>
    </row>
    <row r="9" spans="1:16" ht="15">
      <c r="A9" s="110"/>
      <c r="B9" s="331"/>
      <c r="C9" s="119" t="s">
        <v>228</v>
      </c>
      <c r="D9" s="120" t="s">
        <v>208</v>
      </c>
      <c r="E9" s="121" t="s">
        <v>229</v>
      </c>
      <c r="F9" s="121" t="s">
        <v>230</v>
      </c>
      <c r="G9" s="28"/>
      <c r="H9" s="334"/>
      <c r="I9" s="130" t="s">
        <v>228</v>
      </c>
      <c r="J9" s="120" t="s">
        <v>208</v>
      </c>
      <c r="K9" s="121" t="s">
        <v>621</v>
      </c>
      <c r="L9" s="121" t="s">
        <v>642</v>
      </c>
      <c r="M9" s="28"/>
      <c r="O9" s="234"/>
      <c r="P9" s="228"/>
    </row>
    <row r="10" spans="1:16" ht="15">
      <c r="A10" s="110"/>
      <c r="B10" s="330" t="s">
        <v>466</v>
      </c>
      <c r="C10" s="123" t="s">
        <v>245</v>
      </c>
      <c r="D10" s="124" t="s">
        <v>206</v>
      </c>
      <c r="E10" s="125" t="s">
        <v>246</v>
      </c>
      <c r="F10" s="125" t="s">
        <v>247</v>
      </c>
      <c r="G10" s="28"/>
      <c r="H10" s="333" t="s">
        <v>466</v>
      </c>
      <c r="I10" s="129" t="s">
        <v>245</v>
      </c>
      <c r="J10" s="110" t="s">
        <v>206</v>
      </c>
      <c r="K10" s="118" t="s">
        <v>622</v>
      </c>
      <c r="L10" s="118" t="s">
        <v>643</v>
      </c>
      <c r="M10" s="28"/>
      <c r="O10" s="234"/>
      <c r="P10" s="228"/>
    </row>
    <row r="11" spans="1:16" ht="15">
      <c r="A11" s="110"/>
      <c r="B11" s="330"/>
      <c r="C11" s="117" t="s">
        <v>248</v>
      </c>
      <c r="D11" s="110" t="s">
        <v>207</v>
      </c>
      <c r="E11" s="118" t="s">
        <v>249</v>
      </c>
      <c r="F11" s="118" t="s">
        <v>250</v>
      </c>
      <c r="G11" s="28"/>
      <c r="H11" s="333"/>
      <c r="I11" s="129" t="s">
        <v>248</v>
      </c>
      <c r="J11" s="110" t="s">
        <v>207</v>
      </c>
      <c r="K11" s="118" t="s">
        <v>623</v>
      </c>
      <c r="L11" s="118" t="s">
        <v>644</v>
      </c>
      <c r="M11" s="28"/>
      <c r="N11" s="229"/>
      <c r="O11" s="228"/>
      <c r="P11" s="228"/>
    </row>
    <row r="12" spans="1:16" ht="15">
      <c r="A12" s="110"/>
      <c r="B12" s="331"/>
      <c r="C12" s="119" t="s">
        <v>251</v>
      </c>
      <c r="D12" s="120" t="s">
        <v>208</v>
      </c>
      <c r="E12" s="121" t="s">
        <v>252</v>
      </c>
      <c r="F12" s="121" t="s">
        <v>253</v>
      </c>
      <c r="G12" s="28"/>
      <c r="H12" s="334"/>
      <c r="I12" s="130" t="s">
        <v>251</v>
      </c>
      <c r="J12" s="120" t="s">
        <v>208</v>
      </c>
      <c r="K12" s="121" t="s">
        <v>624</v>
      </c>
      <c r="L12" s="121" t="s">
        <v>645</v>
      </c>
      <c r="M12" s="28"/>
      <c r="N12" s="229"/>
      <c r="O12" s="228"/>
      <c r="P12" s="228"/>
    </row>
    <row r="13" spans="1:16" ht="15">
      <c r="A13" s="110"/>
      <c r="B13" s="330" t="s">
        <v>467</v>
      </c>
      <c r="C13" s="129" t="s">
        <v>254</v>
      </c>
      <c r="D13" s="110" t="s">
        <v>206</v>
      </c>
      <c r="E13" s="118" t="s">
        <v>255</v>
      </c>
      <c r="F13" s="118" t="s">
        <v>256</v>
      </c>
      <c r="G13" s="28"/>
      <c r="H13" s="333" t="s">
        <v>467</v>
      </c>
      <c r="I13" s="129" t="s">
        <v>254</v>
      </c>
      <c r="J13" s="110" t="s">
        <v>206</v>
      </c>
      <c r="K13" s="118" t="s">
        <v>625</v>
      </c>
      <c r="L13" s="118" t="s">
        <v>646</v>
      </c>
      <c r="M13" s="28"/>
      <c r="N13" s="229"/>
      <c r="O13" s="229"/>
      <c r="P13" s="229"/>
    </row>
    <row r="14" spans="1:16" ht="15">
      <c r="A14" s="109"/>
      <c r="B14" s="330"/>
      <c r="C14" s="129" t="s">
        <v>257</v>
      </c>
      <c r="D14" s="110" t="s">
        <v>207</v>
      </c>
      <c r="E14" s="118" t="s">
        <v>258</v>
      </c>
      <c r="F14" s="118" t="s">
        <v>259</v>
      </c>
      <c r="G14" s="28"/>
      <c r="H14" s="333"/>
      <c r="I14" s="129" t="s">
        <v>257</v>
      </c>
      <c r="J14" s="110" t="s">
        <v>207</v>
      </c>
      <c r="K14" s="118" t="s">
        <v>626</v>
      </c>
      <c r="L14" s="118" t="s">
        <v>647</v>
      </c>
      <c r="M14" s="28"/>
      <c r="N14" s="229"/>
      <c r="O14" s="229"/>
      <c r="P14" s="229"/>
    </row>
    <row r="15" spans="1:16" ht="15">
      <c r="A15" s="109"/>
      <c r="B15" s="331"/>
      <c r="C15" s="130" t="s">
        <v>260</v>
      </c>
      <c r="D15" s="120" t="s">
        <v>208</v>
      </c>
      <c r="E15" s="121" t="s">
        <v>261</v>
      </c>
      <c r="F15" s="121" t="s">
        <v>262</v>
      </c>
      <c r="G15" s="28"/>
      <c r="H15" s="334"/>
      <c r="I15" s="130" t="s">
        <v>260</v>
      </c>
      <c r="J15" s="120" t="s">
        <v>208</v>
      </c>
      <c r="K15" s="121" t="s">
        <v>627</v>
      </c>
      <c r="L15" s="121" t="s">
        <v>648</v>
      </c>
      <c r="M15" s="28"/>
      <c r="N15" s="229"/>
      <c r="O15" s="229"/>
      <c r="P15" s="235"/>
    </row>
    <row r="16" spans="1:16" ht="15">
      <c r="A16" s="109"/>
      <c r="B16" s="329" t="s">
        <v>468</v>
      </c>
      <c r="C16" s="131" t="s">
        <v>464</v>
      </c>
      <c r="D16" s="124" t="s">
        <v>206</v>
      </c>
      <c r="E16" s="125" t="s">
        <v>483</v>
      </c>
      <c r="F16" s="125" t="s">
        <v>484</v>
      </c>
      <c r="G16" s="28"/>
      <c r="H16" s="332" t="s">
        <v>468</v>
      </c>
      <c r="I16" s="129" t="s">
        <v>263</v>
      </c>
      <c r="J16" s="110" t="s">
        <v>206</v>
      </c>
      <c r="K16" s="118" t="s">
        <v>628</v>
      </c>
      <c r="L16" s="118" t="s">
        <v>649</v>
      </c>
      <c r="M16" s="28"/>
      <c r="N16" s="229"/>
      <c r="O16" s="236"/>
      <c r="P16" s="229"/>
    </row>
    <row r="17" spans="1:16" ht="15">
      <c r="A17" s="109"/>
      <c r="B17" s="330"/>
      <c r="C17" s="129" t="s">
        <v>464</v>
      </c>
      <c r="D17" s="110" t="s">
        <v>207</v>
      </c>
      <c r="E17" s="118" t="s">
        <v>485</v>
      </c>
      <c r="F17" s="118" t="s">
        <v>486</v>
      </c>
      <c r="G17" s="28"/>
      <c r="H17" s="333"/>
      <c r="I17" s="129" t="s">
        <v>264</v>
      </c>
      <c r="J17" s="110" t="s">
        <v>207</v>
      </c>
      <c r="K17" s="118" t="s">
        <v>629</v>
      </c>
      <c r="L17" s="118" t="s">
        <v>650</v>
      </c>
      <c r="M17" s="28"/>
      <c r="N17" s="229"/>
      <c r="O17" s="236"/>
      <c r="P17" s="229"/>
    </row>
    <row r="18" spans="1:16" ht="15">
      <c r="A18" s="109"/>
      <c r="B18" s="331"/>
      <c r="C18" s="130" t="s">
        <v>464</v>
      </c>
      <c r="D18" s="120" t="s">
        <v>208</v>
      </c>
      <c r="E18" s="121" t="s">
        <v>746</v>
      </c>
      <c r="F18" s="121" t="s">
        <v>747</v>
      </c>
      <c r="G18" s="28"/>
      <c r="H18" s="334"/>
      <c r="I18" s="130" t="s">
        <v>265</v>
      </c>
      <c r="J18" s="120" t="s">
        <v>208</v>
      </c>
      <c r="K18" s="121" t="s">
        <v>630</v>
      </c>
      <c r="L18" s="121" t="s">
        <v>651</v>
      </c>
      <c r="M18" s="231"/>
      <c r="N18" s="229"/>
      <c r="O18" s="235"/>
      <c r="P18" s="229"/>
    </row>
    <row r="19" spans="1:16" ht="15">
      <c r="A19" s="109"/>
      <c r="B19" s="330" t="s">
        <v>469</v>
      </c>
      <c r="C19" s="131" t="s">
        <v>481</v>
      </c>
      <c r="D19" s="124" t="s">
        <v>206</v>
      </c>
      <c r="E19" s="118" t="s">
        <v>487</v>
      </c>
      <c r="F19" s="118" t="s">
        <v>488</v>
      </c>
      <c r="G19" s="28"/>
      <c r="H19" s="333" t="s">
        <v>469</v>
      </c>
      <c r="I19" s="129" t="s">
        <v>266</v>
      </c>
      <c r="J19" s="110" t="s">
        <v>206</v>
      </c>
      <c r="K19" s="118" t="s">
        <v>631</v>
      </c>
      <c r="L19" s="118" t="s">
        <v>652</v>
      </c>
      <c r="M19" s="231"/>
      <c r="N19" s="229"/>
      <c r="O19" s="235"/>
      <c r="P19" s="229"/>
    </row>
    <row r="20" spans="1:16" ht="15">
      <c r="A20" s="109"/>
      <c r="B20" s="330"/>
      <c r="C20" s="129" t="s">
        <v>481</v>
      </c>
      <c r="D20" s="110" t="s">
        <v>207</v>
      </c>
      <c r="E20" s="118" t="s">
        <v>489</v>
      </c>
      <c r="F20" s="118" t="s">
        <v>490</v>
      </c>
      <c r="G20" s="28"/>
      <c r="H20" s="333"/>
      <c r="I20" s="129" t="s">
        <v>267</v>
      </c>
      <c r="J20" s="110" t="s">
        <v>207</v>
      </c>
      <c r="K20" s="118" t="s">
        <v>632</v>
      </c>
      <c r="L20" s="118" t="s">
        <v>653</v>
      </c>
      <c r="M20" s="231"/>
      <c r="N20" s="236"/>
      <c r="O20" s="229"/>
      <c r="P20" s="229"/>
    </row>
    <row r="21" spans="1:16" ht="15">
      <c r="A21" s="109"/>
      <c r="B21" s="331"/>
      <c r="C21" s="130" t="s">
        <v>481</v>
      </c>
      <c r="D21" s="120" t="s">
        <v>208</v>
      </c>
      <c r="E21" s="121" t="s">
        <v>744</v>
      </c>
      <c r="F21" s="121" t="s">
        <v>745</v>
      </c>
      <c r="G21" s="28"/>
      <c r="H21" s="334"/>
      <c r="I21" s="130" t="s">
        <v>268</v>
      </c>
      <c r="J21" s="120" t="s">
        <v>208</v>
      </c>
      <c r="K21" s="121" t="s">
        <v>633</v>
      </c>
      <c r="L21" s="121" t="s">
        <v>654</v>
      </c>
      <c r="M21" s="231"/>
      <c r="N21" s="229"/>
      <c r="O21" s="235"/>
      <c r="P21" s="229"/>
    </row>
    <row r="22" spans="1:16" ht="15">
      <c r="A22" s="109"/>
      <c r="B22" s="329" t="s">
        <v>95</v>
      </c>
      <c r="C22" s="129" t="s">
        <v>269</v>
      </c>
      <c r="D22" s="110" t="s">
        <v>206</v>
      </c>
      <c r="E22" s="118" t="s">
        <v>270</v>
      </c>
      <c r="F22" s="118" t="s">
        <v>271</v>
      </c>
      <c r="G22" s="28"/>
      <c r="H22" s="332" t="s">
        <v>95</v>
      </c>
      <c r="I22" s="129" t="s">
        <v>269</v>
      </c>
      <c r="J22" s="110" t="s">
        <v>206</v>
      </c>
      <c r="K22" s="118" t="s">
        <v>634</v>
      </c>
      <c r="L22" s="118" t="s">
        <v>655</v>
      </c>
      <c r="M22" s="231"/>
      <c r="N22" s="236"/>
      <c r="O22" s="229"/>
      <c r="P22" s="229"/>
    </row>
    <row r="23" spans="1:16" ht="15">
      <c r="A23" s="109"/>
      <c r="B23" s="330"/>
      <c r="C23" s="129" t="s">
        <v>491</v>
      </c>
      <c r="D23" s="110" t="s">
        <v>207</v>
      </c>
      <c r="E23" s="118" t="s">
        <v>492</v>
      </c>
      <c r="F23" s="118" t="s">
        <v>493</v>
      </c>
      <c r="G23" s="28"/>
      <c r="H23" s="333"/>
      <c r="I23" s="129" t="s">
        <v>491</v>
      </c>
      <c r="J23" s="110" t="s">
        <v>207</v>
      </c>
      <c r="K23" s="118" t="s">
        <v>635</v>
      </c>
      <c r="L23" s="118" t="s">
        <v>656</v>
      </c>
      <c r="M23" s="231"/>
      <c r="N23" s="236"/>
      <c r="O23" s="229"/>
      <c r="P23" s="229"/>
    </row>
    <row r="24" spans="1:16" ht="15">
      <c r="A24" s="109"/>
      <c r="B24" s="331"/>
      <c r="C24" s="130" t="s">
        <v>494</v>
      </c>
      <c r="D24" s="120" t="s">
        <v>208</v>
      </c>
      <c r="E24" s="121" t="s">
        <v>495</v>
      </c>
      <c r="F24" s="121" t="s">
        <v>496</v>
      </c>
      <c r="G24" s="28"/>
      <c r="H24" s="334"/>
      <c r="I24" s="130" t="s">
        <v>494</v>
      </c>
      <c r="J24" s="120" t="s">
        <v>208</v>
      </c>
      <c r="K24" s="121" t="s">
        <v>636</v>
      </c>
      <c r="L24" s="121" t="s">
        <v>657</v>
      </c>
      <c r="M24" s="231"/>
      <c r="N24" s="229"/>
      <c r="O24" s="229"/>
      <c r="P24" s="229"/>
    </row>
    <row r="25" spans="1:16" ht="15">
      <c r="A25" s="109"/>
      <c r="B25" s="329" t="s">
        <v>762</v>
      </c>
      <c r="C25" s="131" t="s">
        <v>776</v>
      </c>
      <c r="D25" s="124" t="s">
        <v>206</v>
      </c>
      <c r="E25" s="125" t="s">
        <v>497</v>
      </c>
      <c r="F25" s="125" t="s">
        <v>498</v>
      </c>
      <c r="G25" s="28"/>
      <c r="H25" s="332" t="s">
        <v>762</v>
      </c>
      <c r="I25" s="129" t="s">
        <v>776</v>
      </c>
      <c r="J25" s="110" t="s">
        <v>206</v>
      </c>
      <c r="K25" s="118" t="s">
        <v>637</v>
      </c>
      <c r="L25" s="118" t="s">
        <v>658</v>
      </c>
      <c r="M25" s="231"/>
      <c r="N25" s="229"/>
      <c r="O25" s="229"/>
      <c r="P25" s="229"/>
    </row>
    <row r="26" spans="1:16" ht="15">
      <c r="A26" s="109"/>
      <c r="B26" s="330"/>
      <c r="C26" s="129" t="s">
        <v>777</v>
      </c>
      <c r="D26" s="110" t="s">
        <v>207</v>
      </c>
      <c r="E26" s="118" t="s">
        <v>499</v>
      </c>
      <c r="F26" s="118" t="s">
        <v>500</v>
      </c>
      <c r="G26" s="28"/>
      <c r="H26" s="333"/>
      <c r="I26" s="129" t="s">
        <v>777</v>
      </c>
      <c r="J26" s="110" t="s">
        <v>207</v>
      </c>
      <c r="K26" s="118" t="s">
        <v>638</v>
      </c>
      <c r="L26" s="118" t="s">
        <v>659</v>
      </c>
      <c r="M26" s="231"/>
      <c r="N26" s="229"/>
      <c r="O26" s="229"/>
      <c r="P26" s="229"/>
    </row>
    <row r="27" spans="1:16" ht="15">
      <c r="A27" s="109"/>
      <c r="B27" s="331"/>
      <c r="C27" s="130" t="s">
        <v>778</v>
      </c>
      <c r="D27" s="120" t="s">
        <v>208</v>
      </c>
      <c r="E27" s="121" t="s">
        <v>501</v>
      </c>
      <c r="F27" s="121" t="s">
        <v>502</v>
      </c>
      <c r="G27" s="28"/>
      <c r="H27" s="334"/>
      <c r="I27" s="130" t="s">
        <v>778</v>
      </c>
      <c r="J27" s="120" t="s">
        <v>208</v>
      </c>
      <c r="K27" s="121" t="s">
        <v>639</v>
      </c>
      <c r="L27" s="121" t="s">
        <v>660</v>
      </c>
      <c r="M27" s="231"/>
      <c r="N27" s="229"/>
      <c r="O27" s="229"/>
      <c r="P27" s="229"/>
    </row>
    <row r="28" spans="1:16">
      <c r="A28" s="109"/>
      <c r="B28" s="337" t="s">
        <v>286</v>
      </c>
      <c r="C28" s="337"/>
      <c r="D28" s="337"/>
      <c r="E28" s="337"/>
      <c r="F28" s="337"/>
      <c r="G28" s="28"/>
      <c r="H28" s="337" t="s">
        <v>286</v>
      </c>
      <c r="I28" s="337"/>
      <c r="J28" s="337"/>
      <c r="K28" s="337"/>
      <c r="L28" s="337"/>
      <c r="M28" s="231"/>
      <c r="N28" s="229"/>
      <c r="O28" s="229"/>
    </row>
    <row r="29" spans="1:16" ht="15">
      <c r="A29" s="110"/>
      <c r="B29" s="329" t="s">
        <v>470</v>
      </c>
      <c r="C29" s="131" t="s">
        <v>272</v>
      </c>
      <c r="D29" s="124" t="s">
        <v>206</v>
      </c>
      <c r="E29" s="125" t="s">
        <v>273</v>
      </c>
      <c r="F29" s="125" t="s">
        <v>274</v>
      </c>
      <c r="G29" s="28"/>
      <c r="H29" s="332" t="s">
        <v>470</v>
      </c>
      <c r="I29" s="129" t="s">
        <v>272</v>
      </c>
      <c r="J29" s="110" t="s">
        <v>206</v>
      </c>
      <c r="K29" s="118" t="s">
        <v>661</v>
      </c>
      <c r="L29" s="118" t="s">
        <v>682</v>
      </c>
      <c r="M29" s="28"/>
      <c r="N29" s="229"/>
      <c r="O29" s="229"/>
    </row>
    <row r="30" spans="1:16" ht="15">
      <c r="A30" s="116"/>
      <c r="B30" s="330"/>
      <c r="C30" s="129" t="s">
        <v>503</v>
      </c>
      <c r="D30" s="110" t="s">
        <v>207</v>
      </c>
      <c r="E30" s="118" t="s">
        <v>504</v>
      </c>
      <c r="F30" s="118" t="s">
        <v>505</v>
      </c>
      <c r="G30" s="28"/>
      <c r="H30" s="333"/>
      <c r="I30" s="129" t="s">
        <v>503</v>
      </c>
      <c r="J30" s="110" t="s">
        <v>207</v>
      </c>
      <c r="K30" s="118" t="s">
        <v>662</v>
      </c>
      <c r="L30" s="118" t="s">
        <v>683</v>
      </c>
      <c r="M30" s="28"/>
      <c r="N30" s="229"/>
      <c r="O30" s="229"/>
    </row>
    <row r="31" spans="1:16" ht="15">
      <c r="A31" s="110"/>
      <c r="B31" s="331"/>
      <c r="C31" s="130" t="s">
        <v>506</v>
      </c>
      <c r="D31" s="120" t="s">
        <v>208</v>
      </c>
      <c r="E31" s="121" t="s">
        <v>507</v>
      </c>
      <c r="F31" s="121" t="s">
        <v>508</v>
      </c>
      <c r="G31" s="28"/>
      <c r="H31" s="334"/>
      <c r="I31" s="130" t="s">
        <v>506</v>
      </c>
      <c r="J31" s="120" t="s">
        <v>208</v>
      </c>
      <c r="K31" s="121" t="s">
        <v>663</v>
      </c>
      <c r="L31" s="121" t="s">
        <v>684</v>
      </c>
      <c r="M31" s="28"/>
      <c r="N31" s="229"/>
      <c r="O31" s="235"/>
    </row>
    <row r="32" spans="1:16" ht="15">
      <c r="A32" s="132"/>
      <c r="B32" s="329" t="s">
        <v>471</v>
      </c>
      <c r="C32" s="131" t="s">
        <v>509</v>
      </c>
      <c r="D32" s="124" t="s">
        <v>206</v>
      </c>
      <c r="E32" s="125" t="s">
        <v>510</v>
      </c>
      <c r="F32" s="125" t="s">
        <v>511</v>
      </c>
      <c r="G32" s="28"/>
      <c r="H32" s="332" t="s">
        <v>471</v>
      </c>
      <c r="I32" s="129" t="s">
        <v>509</v>
      </c>
      <c r="J32" s="110" t="s">
        <v>206</v>
      </c>
      <c r="K32" s="118" t="s">
        <v>664</v>
      </c>
      <c r="L32" s="118" t="s">
        <v>685</v>
      </c>
      <c r="M32" s="28"/>
      <c r="N32" s="236"/>
      <c r="O32" s="229"/>
    </row>
    <row r="33" spans="1:15" ht="15">
      <c r="A33" s="28"/>
      <c r="B33" s="330"/>
      <c r="C33" s="129" t="s">
        <v>512</v>
      </c>
      <c r="D33" s="110" t="s">
        <v>207</v>
      </c>
      <c r="E33" s="118" t="s">
        <v>513</v>
      </c>
      <c r="F33" s="118" t="s">
        <v>514</v>
      </c>
      <c r="G33" s="28"/>
      <c r="H33" s="333"/>
      <c r="I33" s="129" t="s">
        <v>512</v>
      </c>
      <c r="J33" s="110" t="s">
        <v>207</v>
      </c>
      <c r="K33" s="118" t="s">
        <v>665</v>
      </c>
      <c r="L33" s="118" t="s">
        <v>686</v>
      </c>
      <c r="M33" s="28"/>
      <c r="N33" s="236"/>
      <c r="O33" s="229"/>
    </row>
    <row r="34" spans="1:15" ht="15">
      <c r="A34" s="28"/>
      <c r="B34" s="331"/>
      <c r="C34" s="130" t="s">
        <v>515</v>
      </c>
      <c r="D34" s="120" t="s">
        <v>208</v>
      </c>
      <c r="E34" s="121" t="s">
        <v>516</v>
      </c>
      <c r="F34" s="121" t="s">
        <v>517</v>
      </c>
      <c r="G34" s="28"/>
      <c r="H34" s="334"/>
      <c r="I34" s="130" t="s">
        <v>515</v>
      </c>
      <c r="J34" s="120" t="s">
        <v>208</v>
      </c>
      <c r="K34" s="121" t="s">
        <v>666</v>
      </c>
      <c r="L34" s="121" t="s">
        <v>687</v>
      </c>
      <c r="M34" s="28"/>
      <c r="N34" s="229"/>
      <c r="O34" s="229"/>
    </row>
    <row r="35" spans="1:15" ht="15">
      <c r="A35" s="28"/>
      <c r="B35" s="329" t="s">
        <v>472</v>
      </c>
      <c r="C35" s="131" t="s">
        <v>518</v>
      </c>
      <c r="D35" s="124" t="s">
        <v>206</v>
      </c>
      <c r="E35" s="125" t="s">
        <v>519</v>
      </c>
      <c r="F35" s="125" t="s">
        <v>520</v>
      </c>
      <c r="G35" s="28"/>
      <c r="H35" s="332" t="s">
        <v>472</v>
      </c>
      <c r="I35" s="129" t="s">
        <v>518</v>
      </c>
      <c r="J35" s="110" t="s">
        <v>206</v>
      </c>
      <c r="K35" s="118" t="s">
        <v>667</v>
      </c>
      <c r="L35" s="118" t="s">
        <v>688</v>
      </c>
      <c r="M35" s="231"/>
      <c r="N35" s="229"/>
      <c r="O35" s="229"/>
    </row>
    <row r="36" spans="1:15" ht="15">
      <c r="A36" s="28"/>
      <c r="B36" s="330"/>
      <c r="C36" s="129" t="s">
        <v>521</v>
      </c>
      <c r="D36" s="110" t="s">
        <v>207</v>
      </c>
      <c r="E36" s="118" t="s">
        <v>522</v>
      </c>
      <c r="F36" s="118" t="s">
        <v>523</v>
      </c>
      <c r="G36" s="28"/>
      <c r="H36" s="333"/>
      <c r="I36" s="129" t="s">
        <v>521</v>
      </c>
      <c r="J36" s="110" t="s">
        <v>207</v>
      </c>
      <c r="K36" s="118" t="s">
        <v>668</v>
      </c>
      <c r="L36" s="118" t="s">
        <v>689</v>
      </c>
      <c r="M36" s="231"/>
      <c r="N36" s="229"/>
      <c r="O36" s="229"/>
    </row>
    <row r="37" spans="1:15" ht="15">
      <c r="A37" s="28"/>
      <c r="B37" s="330"/>
      <c r="C37" s="130" t="s">
        <v>524</v>
      </c>
      <c r="D37" s="120" t="s">
        <v>208</v>
      </c>
      <c r="E37" s="121" t="s">
        <v>525</v>
      </c>
      <c r="F37" s="121" t="s">
        <v>526</v>
      </c>
      <c r="G37" s="28"/>
      <c r="H37" s="333"/>
      <c r="I37" s="130" t="s">
        <v>524</v>
      </c>
      <c r="J37" s="120" t="s">
        <v>208</v>
      </c>
      <c r="K37" s="121" t="s">
        <v>669</v>
      </c>
      <c r="L37" s="121" t="s">
        <v>690</v>
      </c>
      <c r="M37" s="231"/>
      <c r="N37" s="229"/>
      <c r="O37" s="229"/>
    </row>
    <row r="38" spans="1:15" ht="15">
      <c r="A38" s="28"/>
      <c r="B38" s="329" t="s">
        <v>473</v>
      </c>
      <c r="C38" s="131" t="s">
        <v>527</v>
      </c>
      <c r="D38" s="124" t="s">
        <v>206</v>
      </c>
      <c r="E38" s="125" t="s">
        <v>528</v>
      </c>
      <c r="F38" s="125" t="s">
        <v>529</v>
      </c>
      <c r="G38" s="28"/>
      <c r="H38" s="332" t="s">
        <v>473</v>
      </c>
      <c r="I38" s="129" t="s">
        <v>527</v>
      </c>
      <c r="J38" s="110" t="s">
        <v>206</v>
      </c>
      <c r="K38" s="118" t="s">
        <v>670</v>
      </c>
      <c r="L38" s="118" t="s">
        <v>691</v>
      </c>
      <c r="M38" s="231"/>
      <c r="N38" s="229"/>
      <c r="O38" s="235"/>
    </row>
    <row r="39" spans="1:15" ht="15">
      <c r="A39" s="28"/>
      <c r="B39" s="330"/>
      <c r="C39" s="129" t="s">
        <v>530</v>
      </c>
      <c r="D39" s="110" t="s">
        <v>207</v>
      </c>
      <c r="E39" s="118" t="s">
        <v>531</v>
      </c>
      <c r="F39" s="118" t="s">
        <v>532</v>
      </c>
      <c r="G39" s="28"/>
      <c r="H39" s="333"/>
      <c r="I39" s="129" t="s">
        <v>530</v>
      </c>
      <c r="J39" s="110" t="s">
        <v>207</v>
      </c>
      <c r="K39" s="118" t="s">
        <v>671</v>
      </c>
      <c r="L39" s="118" t="s">
        <v>692</v>
      </c>
      <c r="M39" s="231"/>
      <c r="N39" s="229"/>
      <c r="O39" s="235"/>
    </row>
    <row r="40" spans="1:15" ht="15">
      <c r="A40" s="28"/>
      <c r="B40" s="331"/>
      <c r="C40" s="130" t="s">
        <v>748</v>
      </c>
      <c r="D40" s="120" t="s">
        <v>208</v>
      </c>
      <c r="E40" s="121" t="s">
        <v>749</v>
      </c>
      <c r="F40" s="121" t="s">
        <v>750</v>
      </c>
      <c r="G40" s="28"/>
      <c r="H40" s="334"/>
      <c r="I40" s="130" t="s">
        <v>533</v>
      </c>
      <c r="J40" s="120" t="s">
        <v>208</v>
      </c>
      <c r="K40" s="121" t="s">
        <v>672</v>
      </c>
      <c r="L40" s="121" t="s">
        <v>693</v>
      </c>
      <c r="M40" s="231"/>
      <c r="N40" s="236"/>
      <c r="O40" s="229"/>
    </row>
    <row r="41" spans="1:15" ht="15">
      <c r="A41" s="28"/>
      <c r="B41" s="330" t="s">
        <v>474</v>
      </c>
      <c r="C41" s="129" t="s">
        <v>482</v>
      </c>
      <c r="D41" s="110" t="s">
        <v>206</v>
      </c>
      <c r="E41" s="118" t="s">
        <v>534</v>
      </c>
      <c r="F41" s="118" t="s">
        <v>535</v>
      </c>
      <c r="G41" s="28"/>
      <c r="H41" s="333" t="s">
        <v>474</v>
      </c>
      <c r="I41" s="129" t="s">
        <v>536</v>
      </c>
      <c r="J41" s="110" t="s">
        <v>206</v>
      </c>
      <c r="K41" s="118" t="s">
        <v>673</v>
      </c>
      <c r="L41" s="118" t="s">
        <v>694</v>
      </c>
      <c r="M41" s="231"/>
      <c r="N41" s="229"/>
      <c r="O41" s="235"/>
    </row>
    <row r="42" spans="1:15" ht="15">
      <c r="A42" s="28"/>
      <c r="B42" s="330"/>
      <c r="C42" s="129" t="s">
        <v>482</v>
      </c>
      <c r="D42" s="110" t="s">
        <v>207</v>
      </c>
      <c r="E42" s="118" t="s">
        <v>608</v>
      </c>
      <c r="F42" s="118" t="s">
        <v>609</v>
      </c>
      <c r="G42" s="28"/>
      <c r="H42" s="333"/>
      <c r="I42" s="129" t="s">
        <v>537</v>
      </c>
      <c r="J42" s="110" t="s">
        <v>207</v>
      </c>
      <c r="K42" s="118" t="s">
        <v>674</v>
      </c>
      <c r="L42" s="118" t="s">
        <v>695</v>
      </c>
      <c r="M42" s="28"/>
      <c r="N42" s="236"/>
      <c r="O42" s="229"/>
    </row>
    <row r="43" spans="1:15" ht="15">
      <c r="A43" s="28"/>
      <c r="B43" s="331"/>
      <c r="C43" s="130" t="s">
        <v>482</v>
      </c>
      <c r="D43" s="120" t="s">
        <v>208</v>
      </c>
      <c r="E43" s="121" t="s">
        <v>610</v>
      </c>
      <c r="F43" s="121" t="s">
        <v>611</v>
      </c>
      <c r="G43" s="28"/>
      <c r="H43" s="334"/>
      <c r="I43" s="130" t="s">
        <v>538</v>
      </c>
      <c r="J43" s="120" t="s">
        <v>208</v>
      </c>
      <c r="K43" s="121" t="s">
        <v>675</v>
      </c>
      <c r="L43" s="121" t="s">
        <v>696</v>
      </c>
      <c r="M43" s="28"/>
      <c r="N43" s="236"/>
      <c r="O43" s="229"/>
    </row>
    <row r="44" spans="1:15" ht="15">
      <c r="A44" s="28"/>
      <c r="B44" s="329" t="s">
        <v>96</v>
      </c>
      <c r="C44" s="129" t="s">
        <v>539</v>
      </c>
      <c r="D44" s="110" t="s">
        <v>206</v>
      </c>
      <c r="E44" s="118" t="s">
        <v>540</v>
      </c>
      <c r="F44" s="118" t="s">
        <v>541</v>
      </c>
      <c r="G44" s="28"/>
      <c r="H44" s="332" t="s">
        <v>96</v>
      </c>
      <c r="I44" s="129" t="s">
        <v>539</v>
      </c>
      <c r="J44" s="110" t="s">
        <v>206</v>
      </c>
      <c r="K44" s="118" t="s">
        <v>676</v>
      </c>
      <c r="L44" s="118" t="s">
        <v>697</v>
      </c>
      <c r="M44" s="28"/>
      <c r="N44" s="229"/>
      <c r="O44" s="229"/>
    </row>
    <row r="45" spans="1:15" ht="15">
      <c r="A45" s="28"/>
      <c r="B45" s="330"/>
      <c r="C45" s="129" t="s">
        <v>542</v>
      </c>
      <c r="D45" s="110" t="s">
        <v>207</v>
      </c>
      <c r="E45" s="118" t="s">
        <v>543</v>
      </c>
      <c r="F45" s="118" t="s">
        <v>544</v>
      </c>
      <c r="G45" s="28"/>
      <c r="H45" s="333"/>
      <c r="I45" s="129" t="s">
        <v>542</v>
      </c>
      <c r="J45" s="110" t="s">
        <v>207</v>
      </c>
      <c r="K45" s="118" t="s">
        <v>677</v>
      </c>
      <c r="L45" s="118" t="s">
        <v>698</v>
      </c>
      <c r="M45" s="28"/>
      <c r="N45" s="229"/>
      <c r="O45" s="229"/>
    </row>
    <row r="46" spans="1:15" ht="15">
      <c r="A46" s="28"/>
      <c r="B46" s="331"/>
      <c r="C46" s="130" t="s">
        <v>545</v>
      </c>
      <c r="D46" s="120" t="s">
        <v>208</v>
      </c>
      <c r="E46" s="121" t="s">
        <v>546</v>
      </c>
      <c r="F46" s="121" t="s">
        <v>547</v>
      </c>
      <c r="G46" s="28"/>
      <c r="H46" s="334"/>
      <c r="I46" s="130" t="s">
        <v>545</v>
      </c>
      <c r="J46" s="120" t="s">
        <v>208</v>
      </c>
      <c r="K46" s="121" t="s">
        <v>678</v>
      </c>
      <c r="L46" s="121" t="s">
        <v>699</v>
      </c>
      <c r="M46" s="28"/>
      <c r="N46" s="229"/>
      <c r="O46" s="229"/>
    </row>
    <row r="47" spans="1:15" ht="15">
      <c r="A47" s="28"/>
      <c r="B47" s="329" t="s">
        <v>763</v>
      </c>
      <c r="C47" s="131" t="s">
        <v>773</v>
      </c>
      <c r="D47" s="124" t="s">
        <v>206</v>
      </c>
      <c r="E47" s="125" t="s">
        <v>548</v>
      </c>
      <c r="F47" s="125" t="s">
        <v>549</v>
      </c>
      <c r="G47" s="28"/>
      <c r="H47" s="332" t="s">
        <v>763</v>
      </c>
      <c r="I47" s="129" t="s">
        <v>775</v>
      </c>
      <c r="J47" s="110" t="s">
        <v>206</v>
      </c>
      <c r="K47" s="118" t="s">
        <v>679</v>
      </c>
      <c r="L47" s="118" t="s">
        <v>700</v>
      </c>
      <c r="M47" s="28"/>
      <c r="N47" s="229"/>
      <c r="O47" s="229"/>
    </row>
    <row r="48" spans="1:15" ht="15">
      <c r="A48" s="28"/>
      <c r="B48" s="330"/>
      <c r="C48" s="129" t="s">
        <v>774</v>
      </c>
      <c r="D48" s="110" t="s">
        <v>207</v>
      </c>
      <c r="E48" s="118" t="s">
        <v>550</v>
      </c>
      <c r="F48" s="118" t="s">
        <v>551</v>
      </c>
      <c r="G48" s="28"/>
      <c r="H48" s="333"/>
      <c r="I48" s="129" t="s">
        <v>774</v>
      </c>
      <c r="J48" s="110" t="s">
        <v>207</v>
      </c>
      <c r="K48" s="118" t="s">
        <v>680</v>
      </c>
      <c r="L48" s="118" t="s">
        <v>701</v>
      </c>
      <c r="M48" s="28"/>
      <c r="N48" s="229"/>
      <c r="O48" s="229"/>
    </row>
    <row r="49" spans="1:16" ht="15">
      <c r="A49" s="28"/>
      <c r="B49" s="331"/>
      <c r="C49" s="130" t="s">
        <v>775</v>
      </c>
      <c r="D49" s="120" t="s">
        <v>208</v>
      </c>
      <c r="E49" s="121" t="s">
        <v>552</v>
      </c>
      <c r="F49" s="121" t="s">
        <v>553</v>
      </c>
      <c r="G49" s="28"/>
      <c r="H49" s="334"/>
      <c r="I49" s="130" t="s">
        <v>775</v>
      </c>
      <c r="J49" s="120" t="s">
        <v>208</v>
      </c>
      <c r="K49" s="121" t="s">
        <v>681</v>
      </c>
      <c r="L49" s="121" t="s">
        <v>702</v>
      </c>
      <c r="M49" s="28"/>
      <c r="N49" s="229"/>
      <c r="O49" s="229"/>
    </row>
    <row r="50" spans="1:16">
      <c r="A50" s="28"/>
      <c r="B50" s="337" t="s">
        <v>287</v>
      </c>
      <c r="C50" s="337"/>
      <c r="D50" s="337"/>
      <c r="E50" s="337"/>
      <c r="F50" s="337"/>
      <c r="G50" s="28"/>
      <c r="H50" s="337" t="s">
        <v>287</v>
      </c>
      <c r="I50" s="337"/>
      <c r="J50" s="337"/>
      <c r="K50" s="337"/>
      <c r="L50" s="337"/>
      <c r="M50" s="28"/>
      <c r="N50" s="229"/>
      <c r="O50" s="229"/>
    </row>
    <row r="51" spans="1:16" ht="15">
      <c r="A51" s="28"/>
      <c r="B51" s="329" t="s">
        <v>475</v>
      </c>
      <c r="C51" s="131" t="s">
        <v>554</v>
      </c>
      <c r="D51" s="124" t="s">
        <v>206</v>
      </c>
      <c r="E51" s="125" t="s">
        <v>555</v>
      </c>
      <c r="F51" s="125" t="s">
        <v>556</v>
      </c>
      <c r="G51" s="28"/>
      <c r="H51" s="332" t="s">
        <v>475</v>
      </c>
      <c r="I51" s="129" t="s">
        <v>554</v>
      </c>
      <c r="J51" s="110" t="s">
        <v>206</v>
      </c>
      <c r="K51" s="118" t="s">
        <v>703</v>
      </c>
      <c r="L51" s="118" t="s">
        <v>723</v>
      </c>
      <c r="M51" s="28"/>
      <c r="N51" s="229"/>
      <c r="O51" s="229"/>
    </row>
    <row r="52" spans="1:16" ht="15">
      <c r="A52" s="28"/>
      <c r="B52" s="330"/>
      <c r="C52" s="129" t="s">
        <v>557</v>
      </c>
      <c r="D52" s="110" t="s">
        <v>207</v>
      </c>
      <c r="E52" s="118" t="s">
        <v>558</v>
      </c>
      <c r="F52" s="118" t="s">
        <v>559</v>
      </c>
      <c r="G52" s="28"/>
      <c r="H52" s="333"/>
      <c r="I52" s="129" t="s">
        <v>557</v>
      </c>
      <c r="J52" s="110" t="s">
        <v>207</v>
      </c>
      <c r="K52" s="118" t="s">
        <v>704</v>
      </c>
      <c r="L52" s="118" t="s">
        <v>724</v>
      </c>
      <c r="M52" s="28"/>
      <c r="N52" s="229"/>
      <c r="O52" s="229"/>
    </row>
    <row r="53" spans="1:16" ht="15">
      <c r="A53" s="28"/>
      <c r="B53" s="331"/>
      <c r="C53" s="130" t="s">
        <v>560</v>
      </c>
      <c r="D53" s="120" t="s">
        <v>208</v>
      </c>
      <c r="E53" s="121" t="s">
        <v>561</v>
      </c>
      <c r="F53" s="121" t="s">
        <v>562</v>
      </c>
      <c r="G53" s="28"/>
      <c r="H53" s="334"/>
      <c r="I53" s="129" t="s">
        <v>560</v>
      </c>
      <c r="J53" s="110" t="s">
        <v>208</v>
      </c>
      <c r="K53" s="118" t="s">
        <v>705</v>
      </c>
      <c r="L53" s="118" t="s">
        <v>725</v>
      </c>
      <c r="M53" s="28"/>
      <c r="N53" s="232"/>
      <c r="O53" s="229"/>
    </row>
    <row r="54" spans="1:16" ht="15">
      <c r="A54" s="28"/>
      <c r="B54" s="329" t="s">
        <v>476</v>
      </c>
      <c r="C54" s="131" t="s">
        <v>563</v>
      </c>
      <c r="D54" s="124" t="s">
        <v>206</v>
      </c>
      <c r="E54" s="125" t="s">
        <v>564</v>
      </c>
      <c r="F54" s="125" t="s">
        <v>565</v>
      </c>
      <c r="G54" s="28"/>
      <c r="H54" s="332" t="s">
        <v>476</v>
      </c>
      <c r="I54" s="238" t="s">
        <v>563</v>
      </c>
      <c r="J54" s="124" t="s">
        <v>206</v>
      </c>
      <c r="K54" s="239" t="s">
        <v>751</v>
      </c>
      <c r="L54" s="239" t="s">
        <v>752</v>
      </c>
      <c r="M54" s="28"/>
      <c r="N54" s="229"/>
      <c r="O54" s="229"/>
    </row>
    <row r="55" spans="1:16" ht="15">
      <c r="A55" s="28"/>
      <c r="B55" s="330"/>
      <c r="C55" s="129" t="s">
        <v>566</v>
      </c>
      <c r="D55" s="110" t="s">
        <v>207</v>
      </c>
      <c r="E55" s="118" t="s">
        <v>567</v>
      </c>
      <c r="F55" s="118" t="s">
        <v>568</v>
      </c>
      <c r="G55" s="28"/>
      <c r="H55" s="333"/>
      <c r="I55" s="129" t="s">
        <v>566</v>
      </c>
      <c r="J55" s="110" t="s">
        <v>207</v>
      </c>
      <c r="K55" s="118" t="s">
        <v>706</v>
      </c>
      <c r="L55" s="118" t="s">
        <v>726</v>
      </c>
      <c r="M55" s="28"/>
      <c r="N55" s="229"/>
      <c r="O55" s="235"/>
    </row>
    <row r="56" spans="1:16" ht="15">
      <c r="A56" s="28"/>
      <c r="B56" s="331"/>
      <c r="C56" s="130" t="s">
        <v>569</v>
      </c>
      <c r="D56" s="120" t="s">
        <v>208</v>
      </c>
      <c r="E56" s="121" t="s">
        <v>570</v>
      </c>
      <c r="F56" s="121" t="s">
        <v>571</v>
      </c>
      <c r="G56" s="28"/>
      <c r="H56" s="334"/>
      <c r="I56" s="130" t="s">
        <v>569</v>
      </c>
      <c r="J56" s="120" t="s">
        <v>208</v>
      </c>
      <c r="K56" s="121" t="s">
        <v>707</v>
      </c>
      <c r="L56" s="121" t="s">
        <v>727</v>
      </c>
      <c r="M56" s="28"/>
      <c r="N56" s="236"/>
      <c r="O56" s="229"/>
    </row>
    <row r="57" spans="1:16" ht="15">
      <c r="A57" s="28"/>
      <c r="B57" s="329" t="s">
        <v>477</v>
      </c>
      <c r="C57" s="131" t="s">
        <v>572</v>
      </c>
      <c r="D57" s="124" t="s">
        <v>206</v>
      </c>
      <c r="E57" s="125" t="s">
        <v>573</v>
      </c>
      <c r="F57" s="125" t="s">
        <v>574</v>
      </c>
      <c r="G57" s="28"/>
      <c r="H57" s="332" t="s">
        <v>477</v>
      </c>
      <c r="I57" s="129" t="s">
        <v>572</v>
      </c>
      <c r="J57" s="110" t="s">
        <v>206</v>
      </c>
      <c r="K57" s="118" t="s">
        <v>708</v>
      </c>
      <c r="L57" s="118" t="s">
        <v>728</v>
      </c>
      <c r="M57" s="28"/>
      <c r="N57" s="236"/>
      <c r="O57" s="229"/>
    </row>
    <row r="58" spans="1:16" ht="15">
      <c r="A58" s="28"/>
      <c r="B58" s="330"/>
      <c r="C58" s="129" t="s">
        <v>575</v>
      </c>
      <c r="D58" s="110" t="s">
        <v>207</v>
      </c>
      <c r="E58" s="118" t="s">
        <v>576</v>
      </c>
      <c r="F58" s="118" t="s">
        <v>577</v>
      </c>
      <c r="G58" s="28"/>
      <c r="H58" s="333"/>
      <c r="I58" s="129" t="s">
        <v>575</v>
      </c>
      <c r="J58" s="110" t="s">
        <v>207</v>
      </c>
      <c r="K58" s="118" t="s">
        <v>709</v>
      </c>
      <c r="L58" s="118" t="s">
        <v>729</v>
      </c>
      <c r="M58" s="28"/>
      <c r="N58" s="229"/>
      <c r="O58" s="235"/>
    </row>
    <row r="59" spans="1:16" ht="15">
      <c r="A59" s="28"/>
      <c r="B59" s="330"/>
      <c r="C59" s="130" t="s">
        <v>578</v>
      </c>
      <c r="D59" s="120" t="s">
        <v>208</v>
      </c>
      <c r="E59" s="121" t="s">
        <v>579</v>
      </c>
      <c r="F59" s="121" t="s">
        <v>580</v>
      </c>
      <c r="G59" s="28"/>
      <c r="H59" s="333"/>
      <c r="I59" s="130" t="s">
        <v>578</v>
      </c>
      <c r="J59" s="120" t="s">
        <v>208</v>
      </c>
      <c r="K59" s="121" t="s">
        <v>710</v>
      </c>
      <c r="L59" s="121" t="s">
        <v>730</v>
      </c>
      <c r="M59" s="28"/>
      <c r="N59" s="236"/>
      <c r="O59" s="229"/>
      <c r="P59" s="229"/>
    </row>
    <row r="60" spans="1:16" ht="15">
      <c r="A60" s="28"/>
      <c r="B60" s="329" t="s">
        <v>478</v>
      </c>
      <c r="C60" s="131" t="s">
        <v>480</v>
      </c>
      <c r="D60" s="124" t="s">
        <v>206</v>
      </c>
      <c r="E60" s="125" t="s">
        <v>581</v>
      </c>
      <c r="F60" s="125" t="s">
        <v>582</v>
      </c>
      <c r="G60" s="28"/>
      <c r="H60" s="332" t="s">
        <v>478</v>
      </c>
      <c r="I60" s="129" t="s">
        <v>583</v>
      </c>
      <c r="J60" s="110" t="s">
        <v>206</v>
      </c>
      <c r="K60" s="118" t="s">
        <v>711</v>
      </c>
      <c r="L60" s="118" t="s">
        <v>731</v>
      </c>
      <c r="M60" s="28"/>
      <c r="N60" s="236"/>
      <c r="O60" s="229"/>
      <c r="P60" s="229"/>
    </row>
    <row r="61" spans="1:16" ht="15">
      <c r="A61" s="28"/>
      <c r="B61" s="330"/>
      <c r="C61" s="129" t="s">
        <v>480</v>
      </c>
      <c r="D61" s="110" t="s">
        <v>207</v>
      </c>
      <c r="E61" s="118" t="s">
        <v>584</v>
      </c>
      <c r="F61" s="118" t="s">
        <v>585</v>
      </c>
      <c r="G61" s="28"/>
      <c r="H61" s="333"/>
      <c r="I61" s="129" t="s">
        <v>586</v>
      </c>
      <c r="J61" s="110" t="s">
        <v>207</v>
      </c>
      <c r="K61" s="118" t="s">
        <v>712</v>
      </c>
      <c r="L61" s="118" t="s">
        <v>732</v>
      </c>
      <c r="M61" s="28"/>
      <c r="N61" s="229"/>
      <c r="O61" s="229"/>
      <c r="P61" s="229"/>
    </row>
    <row r="62" spans="1:16" ht="15">
      <c r="A62" s="28"/>
      <c r="B62" s="330"/>
      <c r="C62" s="129" t="s">
        <v>480</v>
      </c>
      <c r="D62" s="110" t="s">
        <v>208</v>
      </c>
      <c r="E62" s="118" t="s">
        <v>587</v>
      </c>
      <c r="F62" s="118" t="s">
        <v>588</v>
      </c>
      <c r="G62" s="28"/>
      <c r="H62" s="334"/>
      <c r="I62" s="130" t="s">
        <v>589</v>
      </c>
      <c r="J62" s="120" t="s">
        <v>208</v>
      </c>
      <c r="K62" s="121" t="s">
        <v>713</v>
      </c>
      <c r="L62" s="121" t="s">
        <v>733</v>
      </c>
      <c r="M62" s="28"/>
      <c r="N62" s="229"/>
      <c r="O62" s="229"/>
      <c r="P62" s="229"/>
    </row>
    <row r="63" spans="1:16" ht="15">
      <c r="A63" s="28"/>
      <c r="B63" s="329" t="s">
        <v>479</v>
      </c>
      <c r="C63" s="131" t="s">
        <v>612</v>
      </c>
      <c r="D63" s="124" t="s">
        <v>206</v>
      </c>
      <c r="E63" s="131" t="s">
        <v>613</v>
      </c>
      <c r="F63" s="131" t="s">
        <v>614</v>
      </c>
      <c r="G63" s="28"/>
      <c r="H63" s="333" t="s">
        <v>479</v>
      </c>
      <c r="I63" s="129" t="s">
        <v>590</v>
      </c>
      <c r="J63" s="110" t="s">
        <v>206</v>
      </c>
      <c r="K63" s="118" t="s">
        <v>714</v>
      </c>
      <c r="L63" s="118" t="s">
        <v>734</v>
      </c>
      <c r="M63" s="28"/>
      <c r="N63" s="229"/>
      <c r="O63" s="229"/>
      <c r="P63" s="235"/>
    </row>
    <row r="64" spans="1:16" ht="15">
      <c r="A64" s="28"/>
      <c r="B64" s="330"/>
      <c r="C64" s="129" t="s">
        <v>612</v>
      </c>
      <c r="D64" s="110" t="s">
        <v>207</v>
      </c>
      <c r="E64" s="118" t="s">
        <v>615</v>
      </c>
      <c r="F64" s="118" t="s">
        <v>616</v>
      </c>
      <c r="G64" s="28"/>
      <c r="H64" s="333"/>
      <c r="I64" s="129" t="s">
        <v>591</v>
      </c>
      <c r="J64" s="110" t="s">
        <v>207</v>
      </c>
      <c r="K64" s="118" t="s">
        <v>715</v>
      </c>
      <c r="L64" s="118" t="s">
        <v>735</v>
      </c>
      <c r="M64" s="28"/>
      <c r="N64" s="229"/>
      <c r="O64" s="236"/>
      <c r="P64" s="229"/>
    </row>
    <row r="65" spans="1:16" ht="15">
      <c r="A65" s="28"/>
      <c r="B65" s="331"/>
      <c r="C65" s="130" t="s">
        <v>612</v>
      </c>
      <c r="D65" s="120" t="s">
        <v>208</v>
      </c>
      <c r="E65" s="121" t="s">
        <v>617</v>
      </c>
      <c r="F65" s="121" t="s">
        <v>618</v>
      </c>
      <c r="G65" s="28"/>
      <c r="H65" s="334"/>
      <c r="I65" s="130" t="s">
        <v>592</v>
      </c>
      <c r="J65" s="120" t="s">
        <v>208</v>
      </c>
      <c r="K65" s="121" t="s">
        <v>716</v>
      </c>
      <c r="L65" s="121" t="s">
        <v>736</v>
      </c>
      <c r="M65" s="28"/>
      <c r="N65" s="229"/>
      <c r="O65" s="236"/>
      <c r="P65" s="229"/>
    </row>
    <row r="66" spans="1:16" ht="15">
      <c r="A66" s="28"/>
      <c r="B66" s="330" t="s">
        <v>103</v>
      </c>
      <c r="C66" s="129" t="s">
        <v>593</v>
      </c>
      <c r="D66" s="110" t="s">
        <v>206</v>
      </c>
      <c r="E66" s="118" t="s">
        <v>594</v>
      </c>
      <c r="F66" s="118" t="s">
        <v>595</v>
      </c>
      <c r="G66" s="28"/>
      <c r="H66" s="332" t="s">
        <v>103</v>
      </c>
      <c r="I66" s="129" t="s">
        <v>593</v>
      </c>
      <c r="J66" s="110" t="s">
        <v>206</v>
      </c>
      <c r="K66" s="118" t="s">
        <v>717</v>
      </c>
      <c r="L66" s="118" t="s">
        <v>737</v>
      </c>
      <c r="M66" s="28"/>
      <c r="N66" s="229"/>
      <c r="O66" s="229"/>
      <c r="P66" s="229"/>
    </row>
    <row r="67" spans="1:16" ht="15">
      <c r="A67" s="28"/>
      <c r="B67" s="330"/>
      <c r="C67" s="129" t="s">
        <v>596</v>
      </c>
      <c r="D67" s="110" t="s">
        <v>207</v>
      </c>
      <c r="E67" s="118" t="s">
        <v>597</v>
      </c>
      <c r="F67" s="118" t="s">
        <v>598</v>
      </c>
      <c r="G67" s="28"/>
      <c r="H67" s="333"/>
      <c r="I67" s="129" t="s">
        <v>596</v>
      </c>
      <c r="J67" s="110" t="s">
        <v>207</v>
      </c>
      <c r="K67" s="118" t="s">
        <v>718</v>
      </c>
      <c r="L67" s="118" t="s">
        <v>738</v>
      </c>
      <c r="M67" s="28"/>
      <c r="N67" s="229"/>
      <c r="O67" s="229"/>
      <c r="P67" s="229"/>
    </row>
    <row r="68" spans="1:16" ht="15">
      <c r="A68" s="28"/>
      <c r="B68" s="331"/>
      <c r="C68" s="130" t="s">
        <v>599</v>
      </c>
      <c r="D68" s="120" t="s">
        <v>208</v>
      </c>
      <c r="E68" s="121" t="s">
        <v>600</v>
      </c>
      <c r="F68" s="121" t="s">
        <v>601</v>
      </c>
      <c r="G68" s="28"/>
      <c r="H68" s="334"/>
      <c r="I68" s="130" t="s">
        <v>599</v>
      </c>
      <c r="J68" s="120" t="s">
        <v>208</v>
      </c>
      <c r="K68" s="121" t="s">
        <v>719</v>
      </c>
      <c r="L68" s="121" t="s">
        <v>739</v>
      </c>
      <c r="M68" s="28"/>
      <c r="N68" s="229"/>
      <c r="O68" s="229"/>
      <c r="P68" s="229"/>
    </row>
    <row r="69" spans="1:16" ht="15">
      <c r="A69" s="28"/>
      <c r="B69" s="329" t="s">
        <v>764</v>
      </c>
      <c r="C69" s="131" t="s">
        <v>770</v>
      </c>
      <c r="D69" s="124" t="s">
        <v>206</v>
      </c>
      <c r="E69" s="125" t="s">
        <v>602</v>
      </c>
      <c r="F69" s="125" t="s">
        <v>603</v>
      </c>
      <c r="G69" s="28"/>
      <c r="H69" s="332" t="s">
        <v>764</v>
      </c>
      <c r="I69" s="129" t="s">
        <v>770</v>
      </c>
      <c r="J69" s="110" t="s">
        <v>206</v>
      </c>
      <c r="K69" s="118" t="s">
        <v>720</v>
      </c>
      <c r="L69" s="118" t="s">
        <v>740</v>
      </c>
      <c r="M69" s="28"/>
      <c r="N69" s="229"/>
      <c r="O69" s="229"/>
      <c r="P69" s="229"/>
    </row>
    <row r="70" spans="1:16" ht="15">
      <c r="A70" s="28"/>
      <c r="B70" s="330"/>
      <c r="C70" s="129" t="s">
        <v>771</v>
      </c>
      <c r="D70" s="110" t="s">
        <v>207</v>
      </c>
      <c r="E70" s="118" t="s">
        <v>604</v>
      </c>
      <c r="F70" s="118" t="s">
        <v>605</v>
      </c>
      <c r="G70" s="28"/>
      <c r="H70" s="333"/>
      <c r="I70" s="129" t="s">
        <v>771</v>
      </c>
      <c r="J70" s="110" t="s">
        <v>207</v>
      </c>
      <c r="K70" s="118" t="s">
        <v>721</v>
      </c>
      <c r="L70" s="118" t="s">
        <v>741</v>
      </c>
      <c r="M70" s="28"/>
      <c r="N70" s="229"/>
      <c r="O70" s="229"/>
      <c r="P70" s="229"/>
    </row>
    <row r="71" spans="1:16" ht="15">
      <c r="A71" s="28"/>
      <c r="B71" s="331"/>
      <c r="C71" s="130" t="s">
        <v>772</v>
      </c>
      <c r="D71" s="120" t="s">
        <v>208</v>
      </c>
      <c r="E71" s="121" t="s">
        <v>606</v>
      </c>
      <c r="F71" s="121" t="s">
        <v>607</v>
      </c>
      <c r="G71" s="231"/>
      <c r="H71" s="334"/>
      <c r="I71" s="130" t="s">
        <v>772</v>
      </c>
      <c r="J71" s="120" t="s">
        <v>208</v>
      </c>
      <c r="K71" s="121" t="s">
        <v>722</v>
      </c>
      <c r="L71" s="121" t="s">
        <v>742</v>
      </c>
      <c r="M71" s="28"/>
    </row>
    <row r="72" spans="1:16" ht="12.75" customHeight="1">
      <c r="A72" s="28"/>
      <c r="B72" s="307" t="s">
        <v>780</v>
      </c>
      <c r="C72" s="307"/>
      <c r="D72" s="307"/>
      <c r="E72" s="307"/>
      <c r="F72" s="307"/>
      <c r="G72" s="247"/>
      <c r="H72" s="307" t="s">
        <v>781</v>
      </c>
      <c r="I72" s="307"/>
      <c r="J72" s="307"/>
      <c r="K72" s="307"/>
      <c r="L72" s="307"/>
      <c r="M72" s="28"/>
    </row>
    <row r="73" spans="1:16">
      <c r="A73" s="231"/>
      <c r="B73" s="308"/>
      <c r="C73" s="308"/>
      <c r="D73" s="308"/>
      <c r="E73" s="308"/>
      <c r="F73" s="308"/>
      <c r="G73" s="247"/>
      <c r="H73" s="308"/>
      <c r="I73" s="308"/>
      <c r="J73" s="308"/>
      <c r="K73" s="308"/>
      <c r="L73" s="308"/>
      <c r="M73" s="28"/>
    </row>
    <row r="74" spans="1:16">
      <c r="A74" s="231"/>
      <c r="B74" s="247"/>
      <c r="C74" s="247"/>
      <c r="D74" s="247"/>
      <c r="E74" s="247"/>
      <c r="F74" s="247"/>
      <c r="G74" s="247"/>
      <c r="H74" s="28"/>
      <c r="I74" s="28"/>
      <c r="J74" s="28"/>
      <c r="K74" s="28"/>
      <c r="L74" s="28"/>
      <c r="M74" s="28"/>
    </row>
    <row r="75" spans="1:16">
      <c r="A75" s="231"/>
      <c r="B75" s="247"/>
      <c r="C75" s="247"/>
      <c r="D75" s="247"/>
      <c r="E75" s="247"/>
      <c r="F75" s="247"/>
      <c r="G75" s="247"/>
      <c r="H75" s="28"/>
      <c r="I75" s="28"/>
      <c r="J75" s="28"/>
      <c r="K75" s="28"/>
      <c r="L75" s="28"/>
      <c r="M75" s="28"/>
    </row>
    <row r="76" spans="1:16">
      <c r="A76" s="28"/>
      <c r="B76" s="248"/>
      <c r="C76" s="181"/>
      <c r="D76" s="249"/>
      <c r="E76" s="231"/>
      <c r="F76" s="28"/>
      <c r="G76" s="28"/>
      <c r="H76" s="28"/>
      <c r="I76" s="250"/>
      <c r="J76" s="250"/>
      <c r="K76" s="231"/>
      <c r="L76" s="28"/>
      <c r="M76" s="28"/>
    </row>
    <row r="77" spans="1:16">
      <c r="B77" s="244"/>
      <c r="C77" s="229"/>
      <c r="D77" s="230"/>
      <c r="I77" s="180"/>
      <c r="J77" s="237"/>
      <c r="K77" s="229"/>
    </row>
    <row r="78" spans="1:16">
      <c r="B78" s="244"/>
      <c r="C78" s="229"/>
      <c r="D78" s="229"/>
      <c r="I78" s="180"/>
      <c r="J78" s="237"/>
      <c r="K78" s="229"/>
    </row>
    <row r="79" spans="1:16">
      <c r="B79" s="228"/>
      <c r="C79" s="180"/>
      <c r="D79" s="229"/>
    </row>
    <row r="81" spans="1:6">
      <c r="A81" s="229"/>
      <c r="B81" s="228"/>
      <c r="C81" s="229"/>
      <c r="D81" s="229"/>
      <c r="E81" s="230"/>
      <c r="F81" s="230"/>
    </row>
    <row r="82" spans="1:6">
      <c r="A82" s="229"/>
      <c r="B82" s="228"/>
      <c r="C82" s="229"/>
      <c r="D82" s="229"/>
      <c r="E82" s="180"/>
      <c r="F82" s="237"/>
    </row>
    <row r="83" spans="1:6">
      <c r="A83" s="229"/>
      <c r="B83" s="245"/>
      <c r="C83" s="230"/>
      <c r="D83" s="229"/>
      <c r="E83" s="180"/>
      <c r="F83" s="237"/>
    </row>
    <row r="84" spans="1:6">
      <c r="A84" s="229"/>
      <c r="B84" s="246"/>
      <c r="C84" s="237"/>
      <c r="D84" s="229"/>
      <c r="E84" s="229"/>
      <c r="F84" s="229"/>
    </row>
    <row r="85" spans="1:6">
      <c r="A85" s="229"/>
      <c r="B85" s="246"/>
      <c r="C85" s="237"/>
      <c r="D85" s="229"/>
      <c r="E85" s="229"/>
      <c r="F85" s="229"/>
    </row>
    <row r="86" spans="1:6">
      <c r="A86" s="229"/>
      <c r="B86" s="228"/>
      <c r="C86" s="229"/>
      <c r="D86" s="229"/>
      <c r="E86" s="229"/>
      <c r="F86" s="229"/>
    </row>
  </sheetData>
  <mergeCells count="56">
    <mergeCell ref="H51:H53"/>
    <mergeCell ref="H54:H56"/>
    <mergeCell ref="H57:H59"/>
    <mergeCell ref="H60:H62"/>
    <mergeCell ref="H63:H65"/>
    <mergeCell ref="H38:H40"/>
    <mergeCell ref="H41:H43"/>
    <mergeCell ref="H44:H46"/>
    <mergeCell ref="H47:H49"/>
    <mergeCell ref="H50:L50"/>
    <mergeCell ref="H25:H27"/>
    <mergeCell ref="H28:L28"/>
    <mergeCell ref="H29:H31"/>
    <mergeCell ref="H32:H34"/>
    <mergeCell ref="H35:H37"/>
    <mergeCell ref="H10:H12"/>
    <mergeCell ref="H13:H15"/>
    <mergeCell ref="H16:H18"/>
    <mergeCell ref="H19:H21"/>
    <mergeCell ref="H22:H24"/>
    <mergeCell ref="H2:L2"/>
    <mergeCell ref="H4:I4"/>
    <mergeCell ref="I5:L5"/>
    <mergeCell ref="H6:L6"/>
    <mergeCell ref="H7:H9"/>
    <mergeCell ref="B4:C4"/>
    <mergeCell ref="B41:B43"/>
    <mergeCell ref="B35:B37"/>
    <mergeCell ref="B29:B31"/>
    <mergeCell ref="B7:B9"/>
    <mergeCell ref="B32:B34"/>
    <mergeCell ref="B10:B12"/>
    <mergeCell ref="B13:B15"/>
    <mergeCell ref="B60:B62"/>
    <mergeCell ref="B54:B56"/>
    <mergeCell ref="B57:B59"/>
    <mergeCell ref="B51:B53"/>
    <mergeCell ref="B2:F2"/>
    <mergeCell ref="C5:F5"/>
    <mergeCell ref="B6:F6"/>
    <mergeCell ref="B25:B27"/>
    <mergeCell ref="B28:F28"/>
    <mergeCell ref="B22:B24"/>
    <mergeCell ref="B16:B18"/>
    <mergeCell ref="B19:B21"/>
    <mergeCell ref="B44:B46"/>
    <mergeCell ref="B47:B49"/>
    <mergeCell ref="B50:F50"/>
    <mergeCell ref="B38:B40"/>
    <mergeCell ref="B72:F73"/>
    <mergeCell ref="H72:L73"/>
    <mergeCell ref="B69:B71"/>
    <mergeCell ref="B63:B65"/>
    <mergeCell ref="B66:B68"/>
    <mergeCell ref="H66:H68"/>
    <mergeCell ref="H69:H71"/>
  </mergeCells>
  <hyperlinks>
    <hyperlink ref="B13" r:id="rId1"/>
    <hyperlink ref="B35" r:id="rId2"/>
    <hyperlink ref="B57" r:id="rId3"/>
    <hyperlink ref="H13" r:id="rId4"/>
    <hyperlink ref="H35" r:id="rId5"/>
    <hyperlink ref="H57" r:id="rId6"/>
  </hyperlinks>
  <pageMargins left="0.7" right="0.7" top="0.75" bottom="0.75" header="0.3" footer="0.3"/>
  <pageSetup paperSize="9" orientation="portrait" r:id="rId7"/>
</worksheet>
</file>

<file path=xl/worksheets/sheet7.xml><?xml version="1.0" encoding="utf-8"?>
<worksheet xmlns="http://schemas.openxmlformats.org/spreadsheetml/2006/main" xmlns:r="http://schemas.openxmlformats.org/officeDocument/2006/relationships">
  <dimension ref="A1:AEN90"/>
  <sheetViews>
    <sheetView zoomScale="30" zoomScaleNormal="30" workbookViewId="0">
      <selection activeCell="AO82" sqref="AO82"/>
    </sheetView>
  </sheetViews>
  <sheetFormatPr baseColWidth="10" defaultColWidth="7" defaultRowHeight="15"/>
  <cols>
    <col min="1" max="1" width="7" style="112"/>
    <col min="2" max="2" width="13.5703125" style="112" bestFit="1" customWidth="1"/>
    <col min="3" max="3" width="5.7109375" style="112" bestFit="1" customWidth="1"/>
    <col min="4" max="4" width="7.42578125" style="112" bestFit="1" customWidth="1"/>
    <col min="5" max="5" width="5.7109375" style="112" bestFit="1" customWidth="1"/>
    <col min="6" max="6" width="6.42578125" style="112" bestFit="1" customWidth="1"/>
    <col min="7" max="11" width="6.85546875" style="112" bestFit="1" customWidth="1"/>
    <col min="12" max="12" width="8.7109375" style="112" bestFit="1" customWidth="1"/>
    <col min="13" max="13" width="6.85546875" style="112" bestFit="1" customWidth="1"/>
    <col min="14" max="14" width="7" style="112"/>
    <col min="15" max="15" width="13.5703125" style="25" bestFit="1" customWidth="1"/>
    <col min="16" max="16" width="5.7109375" style="25" bestFit="1" customWidth="1"/>
    <col min="17" max="17" width="7.42578125" style="25" bestFit="1" customWidth="1"/>
    <col min="18" max="18" width="5.7109375" style="25" bestFit="1" customWidth="1"/>
    <col min="19" max="19" width="6.42578125" style="25" bestFit="1" customWidth="1"/>
    <col min="20" max="24" width="6.85546875" style="25" bestFit="1" customWidth="1"/>
    <col min="25" max="25" width="8.7109375" style="25" bestFit="1" customWidth="1"/>
    <col min="26" max="26" width="8.140625" style="25" bestFit="1" customWidth="1"/>
    <col min="27" max="27" width="7" style="112"/>
    <col min="28" max="28" width="13.5703125" style="25" bestFit="1" customWidth="1"/>
    <col min="29" max="29" width="5.7109375" style="25" bestFit="1" customWidth="1"/>
    <col min="30" max="30" width="7.42578125" style="25" bestFit="1" customWidth="1"/>
    <col min="31" max="31" width="5.7109375" style="25" bestFit="1" customWidth="1"/>
    <col min="32" max="32" width="6.42578125" style="25" bestFit="1" customWidth="1"/>
    <col min="33" max="37" width="6.85546875" style="25" bestFit="1" customWidth="1"/>
    <col min="38" max="38" width="8.7109375" style="25" bestFit="1" customWidth="1"/>
    <col min="39" max="39" width="6.85546875" style="25" bestFit="1" customWidth="1"/>
    <col min="40" max="40" width="7" style="112"/>
    <col min="41" max="41" width="13.5703125" style="112" bestFit="1" customWidth="1"/>
    <col min="42" max="42" width="5.7109375" style="112" bestFit="1" customWidth="1"/>
    <col min="43" max="43" width="7.42578125" style="112" bestFit="1" customWidth="1"/>
    <col min="44" max="45" width="6.42578125" style="112" bestFit="1" customWidth="1"/>
    <col min="46" max="50" width="6.85546875" style="112" bestFit="1" customWidth="1"/>
    <col min="51" max="51" width="8.7109375" style="112" bestFit="1" customWidth="1"/>
    <col min="52" max="52" width="6.85546875" style="112" bestFit="1" customWidth="1"/>
    <col min="53" max="53" width="7" style="112"/>
    <col min="54" max="54" width="13.5703125" style="112" bestFit="1" customWidth="1"/>
    <col min="55" max="55" width="5.7109375" style="112" bestFit="1" customWidth="1"/>
    <col min="56" max="56" width="7.42578125" style="112" bestFit="1" customWidth="1"/>
    <col min="57" max="58" width="6.42578125" style="112" bestFit="1" customWidth="1"/>
    <col min="59" max="63" width="6.85546875" style="112" bestFit="1" customWidth="1"/>
    <col min="64" max="64" width="8.7109375" style="112" bestFit="1" customWidth="1"/>
    <col min="65" max="65" width="6.85546875" style="112" bestFit="1" customWidth="1"/>
    <col min="66" max="66" width="7" style="112"/>
    <col min="67" max="67" width="13.5703125" style="25" bestFit="1" customWidth="1"/>
    <col min="68" max="68" width="5.7109375" style="25" bestFit="1" customWidth="1"/>
    <col min="69" max="69" width="7.42578125" style="25" bestFit="1" customWidth="1"/>
    <col min="70" max="70" width="5.7109375" style="25" bestFit="1" customWidth="1"/>
    <col min="71" max="71" width="6.42578125" style="25" bestFit="1" customWidth="1"/>
    <col min="72" max="76" width="6.85546875" style="25" bestFit="1" customWidth="1"/>
    <col min="77" max="77" width="8.7109375" style="25" bestFit="1" customWidth="1"/>
    <col min="78" max="78" width="6.85546875" style="25" bestFit="1" customWidth="1"/>
    <col min="79" max="79" width="7" style="112"/>
    <col min="80" max="80" width="13.5703125" style="112" bestFit="1" customWidth="1"/>
    <col min="81" max="81" width="6.7109375" style="112" bestFit="1" customWidth="1"/>
    <col min="82" max="82" width="7.42578125" style="112" bestFit="1" customWidth="1"/>
    <col min="83" max="83" width="6.7109375" style="112" bestFit="1" customWidth="1"/>
    <col min="84" max="89" width="6.85546875" style="112" bestFit="1" customWidth="1"/>
    <col min="90" max="90" width="8.7109375" style="112" bestFit="1" customWidth="1"/>
    <col min="91" max="91" width="6.85546875" style="112" bestFit="1" customWidth="1"/>
    <col min="92" max="92" width="7" style="112"/>
    <col min="93" max="93" width="13.5703125" style="112" bestFit="1" customWidth="1"/>
    <col min="94" max="94" width="6.7109375" style="112" bestFit="1" customWidth="1"/>
    <col min="95" max="95" width="7.42578125" style="112" bestFit="1" customWidth="1"/>
    <col min="96" max="102" width="6.85546875" style="112" bestFit="1" customWidth="1"/>
    <col min="103" max="103" width="8.7109375" style="112" bestFit="1" customWidth="1"/>
    <col min="104" max="104" width="6.85546875" style="112" bestFit="1" customWidth="1"/>
    <col min="105" max="105" width="7" style="112"/>
    <col min="106" max="106" width="13.5703125" style="112" bestFit="1" customWidth="1"/>
    <col min="107" max="107" width="6.7109375" style="112" bestFit="1" customWidth="1"/>
    <col min="108" max="108" width="7.42578125" style="112" bestFit="1" customWidth="1"/>
    <col min="109" max="110" width="6.7109375" style="112" bestFit="1" customWidth="1"/>
    <col min="111" max="115" width="6.85546875" style="112" bestFit="1" customWidth="1"/>
    <col min="116" max="116" width="8.7109375" style="112" bestFit="1" customWidth="1"/>
    <col min="117" max="117" width="6.85546875" style="112" bestFit="1" customWidth="1"/>
    <col min="118" max="118" width="7" style="112"/>
    <col min="119" max="119" width="13.5703125" style="112" bestFit="1" customWidth="1"/>
    <col min="120" max="120" width="6.42578125" style="112" bestFit="1" customWidth="1"/>
    <col min="121" max="121" width="7.42578125" style="112" bestFit="1" customWidth="1"/>
    <col min="122" max="123" width="6.42578125" style="112" bestFit="1" customWidth="1"/>
    <col min="124" max="128" width="6.85546875" style="112" bestFit="1" customWidth="1"/>
    <col min="129" max="129" width="8.7109375" style="112" bestFit="1" customWidth="1"/>
    <col min="130" max="130" width="6.85546875" style="112" bestFit="1" customWidth="1"/>
    <col min="131" max="131" width="7" style="112"/>
    <col min="132" max="132" width="13.5703125" style="112" bestFit="1" customWidth="1"/>
    <col min="133" max="133" width="6.42578125" style="112" bestFit="1" customWidth="1"/>
    <col min="134" max="134" width="7.42578125" style="112" bestFit="1" customWidth="1"/>
    <col min="135" max="136" width="6.42578125" style="112" bestFit="1" customWidth="1"/>
    <col min="137" max="141" width="6.85546875" style="112" bestFit="1" customWidth="1"/>
    <col min="142" max="142" width="8.7109375" style="112" bestFit="1" customWidth="1"/>
    <col min="143" max="143" width="6.85546875" style="112" bestFit="1" customWidth="1"/>
    <col min="144" max="144" width="7" style="112"/>
    <col min="145" max="145" width="13.5703125" style="112" bestFit="1" customWidth="1"/>
    <col min="146" max="146" width="6.42578125" style="112" bestFit="1" customWidth="1"/>
    <col min="147" max="147" width="7.42578125" style="112" bestFit="1" customWidth="1"/>
    <col min="148" max="148" width="6.42578125" style="112" bestFit="1" customWidth="1"/>
    <col min="149" max="154" width="6.85546875" style="112" bestFit="1" customWidth="1"/>
    <col min="155" max="155" width="8.7109375" style="112" bestFit="1" customWidth="1"/>
    <col min="156" max="156" width="6.85546875" style="112" bestFit="1" customWidth="1"/>
    <col min="157" max="157" width="7" style="112"/>
    <col min="158" max="158" width="13.5703125" style="112" bestFit="1" customWidth="1"/>
    <col min="159" max="159" width="6.42578125" style="112" bestFit="1" customWidth="1"/>
    <col min="160" max="160" width="7.42578125" style="112" bestFit="1" customWidth="1"/>
    <col min="161" max="162" width="6.42578125" style="112" bestFit="1" customWidth="1"/>
    <col min="163" max="167" width="6.85546875" style="112" bestFit="1" customWidth="1"/>
    <col min="168" max="168" width="8.7109375" style="112" bestFit="1" customWidth="1"/>
    <col min="169" max="169" width="6.85546875" style="112" bestFit="1" customWidth="1"/>
    <col min="170" max="170" width="7" style="112"/>
    <col min="171" max="171" width="13.5703125" style="112" bestFit="1" customWidth="1"/>
    <col min="172" max="172" width="6.42578125" style="112" bestFit="1" customWidth="1"/>
    <col min="173" max="173" width="7.42578125" style="112" bestFit="1" customWidth="1"/>
    <col min="174" max="175" width="6.42578125" style="112" bestFit="1" customWidth="1"/>
    <col min="176" max="180" width="6.85546875" style="112" bestFit="1" customWidth="1"/>
    <col min="181" max="181" width="8.7109375" style="112" bestFit="1" customWidth="1"/>
    <col min="182" max="182" width="6.85546875" style="112" bestFit="1" customWidth="1"/>
    <col min="183" max="183" width="7" style="112"/>
    <col min="184" max="184" width="13.5703125" style="112" bestFit="1" customWidth="1"/>
    <col min="185" max="185" width="5.7109375" style="112" bestFit="1" customWidth="1"/>
    <col min="186" max="186" width="7.42578125" style="112" bestFit="1" customWidth="1"/>
    <col min="187" max="188" width="6.42578125" style="112" bestFit="1" customWidth="1"/>
    <col min="189" max="193" width="6.85546875" style="112" bestFit="1" customWidth="1"/>
    <col min="194" max="194" width="8.7109375" style="112" bestFit="1" customWidth="1"/>
    <col min="195" max="195" width="6.85546875" style="112" bestFit="1" customWidth="1"/>
    <col min="196" max="196" width="7" style="112"/>
    <col min="197" max="197" width="13.5703125" style="112" bestFit="1" customWidth="1"/>
    <col min="198" max="198" width="5.7109375" style="112" bestFit="1" customWidth="1"/>
    <col min="199" max="199" width="7.42578125" style="112" bestFit="1" customWidth="1"/>
    <col min="200" max="200" width="5.7109375" style="112" bestFit="1" customWidth="1"/>
    <col min="201" max="201" width="6.42578125" style="112" bestFit="1" customWidth="1"/>
    <col min="202" max="206" width="6.85546875" style="112" bestFit="1" customWidth="1"/>
    <col min="207" max="207" width="8.7109375" style="112" bestFit="1" customWidth="1"/>
    <col min="208" max="208" width="6.85546875" style="112" bestFit="1" customWidth="1"/>
    <col min="209" max="209" width="7" style="112"/>
    <col min="210" max="210" width="13.5703125" style="112" bestFit="1" customWidth="1"/>
    <col min="211" max="211" width="5.7109375" style="112" bestFit="1" customWidth="1"/>
    <col min="212" max="212" width="7.42578125" style="112" bestFit="1" customWidth="1"/>
    <col min="213" max="213" width="5.7109375" style="112" bestFit="1" customWidth="1"/>
    <col min="214" max="214" width="6.42578125" style="112" bestFit="1" customWidth="1"/>
    <col min="215" max="219" width="6.85546875" style="112" bestFit="1" customWidth="1"/>
    <col min="220" max="220" width="8.7109375" style="112" bestFit="1" customWidth="1"/>
    <col min="221" max="221" width="6.85546875" style="112" bestFit="1" customWidth="1"/>
    <col min="222" max="222" width="7" style="112"/>
    <col min="223" max="223" width="13.5703125" style="112" bestFit="1" customWidth="1"/>
    <col min="224" max="224" width="6.85546875" style="112" bestFit="1" customWidth="1"/>
    <col min="225" max="225" width="7.42578125" style="112" bestFit="1" customWidth="1"/>
    <col min="226" max="232" width="6.85546875" style="112" bestFit="1" customWidth="1"/>
    <col min="233" max="233" width="8.7109375" style="112" bestFit="1" customWidth="1"/>
    <col min="234" max="234" width="6.85546875" style="112" bestFit="1" customWidth="1"/>
    <col min="235" max="235" width="7" style="112"/>
    <col min="236" max="236" width="13.5703125" style="112" bestFit="1" customWidth="1"/>
    <col min="237" max="237" width="6.85546875" style="112" bestFit="1" customWidth="1"/>
    <col min="238" max="238" width="7.42578125" style="112" bestFit="1" customWidth="1"/>
    <col min="239" max="245" width="6.85546875" style="112" bestFit="1" customWidth="1"/>
    <col min="246" max="246" width="8.7109375" style="112" bestFit="1" customWidth="1"/>
    <col min="247" max="247" width="6.85546875" style="112" bestFit="1" customWidth="1"/>
    <col min="248" max="248" width="7" style="112"/>
    <col min="249" max="249" width="13.5703125" style="112" bestFit="1" customWidth="1"/>
    <col min="250" max="250" width="5.7109375" style="112" bestFit="1" customWidth="1"/>
    <col min="251" max="251" width="7.42578125" style="112" bestFit="1" customWidth="1"/>
    <col min="252" max="252" width="5.7109375" style="112" bestFit="1" customWidth="1"/>
    <col min="253" max="253" width="6.42578125" style="112" bestFit="1" customWidth="1"/>
    <col min="254" max="258" width="6.85546875" style="112" bestFit="1" customWidth="1"/>
    <col min="259" max="259" width="8.7109375" style="112" bestFit="1" customWidth="1"/>
    <col min="260" max="260" width="6.85546875" style="112" bestFit="1" customWidth="1"/>
    <col min="261" max="261" width="7" style="112"/>
    <col min="262" max="262" width="13.5703125" style="112" bestFit="1" customWidth="1"/>
    <col min="263" max="263" width="5.7109375" style="112" bestFit="1" customWidth="1"/>
    <col min="264" max="264" width="7.42578125" style="112" bestFit="1" customWidth="1"/>
    <col min="265" max="265" width="5.7109375" style="112" bestFit="1" customWidth="1"/>
    <col min="266" max="266" width="6.42578125" style="112" bestFit="1" customWidth="1"/>
    <col min="267" max="271" width="6.85546875" style="112" bestFit="1" customWidth="1"/>
    <col min="272" max="272" width="8.7109375" style="112" bestFit="1" customWidth="1"/>
    <col min="273" max="273" width="6.85546875" style="112" bestFit="1" customWidth="1"/>
    <col min="274" max="274" width="7" style="112"/>
    <col min="275" max="275" width="13.5703125" style="112" bestFit="1" customWidth="1"/>
    <col min="276" max="276" width="6.7109375" style="112" bestFit="1" customWidth="1"/>
    <col min="277" max="277" width="7.42578125" style="112" bestFit="1" customWidth="1"/>
    <col min="278" max="279" width="6.7109375" style="112" bestFit="1" customWidth="1"/>
    <col min="280" max="284" width="6.85546875" style="112" bestFit="1" customWidth="1"/>
    <col min="285" max="285" width="8.7109375" style="112" bestFit="1" customWidth="1"/>
    <col min="286" max="286" width="6.85546875" style="112" bestFit="1" customWidth="1"/>
    <col min="287" max="287" width="7" style="112"/>
    <col min="288" max="288" width="13.5703125" style="112" bestFit="1" customWidth="1"/>
    <col min="289" max="289" width="6.7109375" style="112" bestFit="1" customWidth="1"/>
    <col min="290" max="290" width="7.42578125" style="112" bestFit="1" customWidth="1"/>
    <col min="291" max="292" width="6.7109375" style="112" bestFit="1" customWidth="1"/>
    <col min="293" max="297" width="6.85546875" style="112" bestFit="1" customWidth="1"/>
    <col min="298" max="298" width="8.7109375" style="112" bestFit="1" customWidth="1"/>
    <col min="299" max="299" width="6.85546875" style="112" bestFit="1" customWidth="1"/>
    <col min="300" max="300" width="7" style="112"/>
    <col min="301" max="301" width="13.5703125" style="112" bestFit="1" customWidth="1"/>
    <col min="302" max="303" width="7.42578125" style="112" bestFit="1" customWidth="1"/>
    <col min="304" max="305" width="6.7109375" style="112" bestFit="1" customWidth="1"/>
    <col min="306" max="310" width="6.85546875" style="112" bestFit="1" customWidth="1"/>
    <col min="311" max="311" width="8.7109375" style="112" bestFit="1" customWidth="1"/>
    <col min="312" max="312" width="6.85546875" style="112" bestFit="1" customWidth="1"/>
    <col min="313" max="313" width="7" style="112"/>
    <col min="314" max="314" width="13.5703125" style="112" bestFit="1" customWidth="1"/>
    <col min="315" max="315" width="7.85546875" style="112" bestFit="1" customWidth="1"/>
    <col min="316" max="318" width="7.42578125" style="112" bestFit="1" customWidth="1"/>
    <col min="319" max="323" width="6.85546875" style="112" bestFit="1" customWidth="1"/>
    <col min="324" max="324" width="8.7109375" style="112" bestFit="1" customWidth="1"/>
    <col min="325" max="325" width="6.85546875" style="112" bestFit="1" customWidth="1"/>
    <col min="326" max="326" width="7" style="112"/>
    <col min="327" max="327" width="13.5703125" style="112" bestFit="1" customWidth="1"/>
    <col min="328" max="331" width="7.42578125" style="112" bestFit="1" customWidth="1"/>
    <col min="332" max="336" width="6.85546875" style="112" bestFit="1" customWidth="1"/>
    <col min="337" max="337" width="8.7109375" style="112" bestFit="1" customWidth="1"/>
    <col min="338" max="338" width="6.85546875" style="112" bestFit="1" customWidth="1"/>
    <col min="339" max="339" width="7" style="112"/>
    <col min="340" max="340" width="13.5703125" style="112" bestFit="1" customWidth="1"/>
    <col min="341" max="342" width="7.85546875" style="112" bestFit="1" customWidth="1"/>
    <col min="343" max="344" width="7.42578125" style="112" bestFit="1" customWidth="1"/>
    <col min="345" max="349" width="6.85546875" style="112" bestFit="1" customWidth="1"/>
    <col min="350" max="350" width="8.7109375" style="112" bestFit="1" customWidth="1"/>
    <col min="351" max="351" width="6.85546875" style="112" bestFit="1" customWidth="1"/>
    <col min="352" max="352" width="7" style="112"/>
    <col min="353" max="353" width="13.5703125" style="112" bestFit="1" customWidth="1"/>
    <col min="354" max="355" width="7.85546875" style="112" bestFit="1" customWidth="1"/>
    <col min="356" max="357" width="7.42578125" style="112" bestFit="1" customWidth="1"/>
    <col min="358" max="362" width="6.85546875" style="112" bestFit="1" customWidth="1"/>
    <col min="363" max="363" width="8.7109375" style="112" bestFit="1" customWidth="1"/>
    <col min="364" max="364" width="6.85546875" style="112" bestFit="1" customWidth="1"/>
    <col min="365" max="365" width="7" style="112"/>
    <col min="366" max="366" width="13.5703125" style="112" bestFit="1" customWidth="1"/>
    <col min="367" max="368" width="7.85546875" style="112" bestFit="1" customWidth="1"/>
    <col min="369" max="370" width="7.42578125" style="112" bestFit="1" customWidth="1"/>
    <col min="371" max="375" width="6.85546875" style="112" bestFit="1" customWidth="1"/>
    <col min="376" max="376" width="8.7109375" style="112" bestFit="1" customWidth="1"/>
    <col min="377" max="377" width="6.85546875" style="112" bestFit="1" customWidth="1"/>
    <col min="378" max="378" width="7" style="112"/>
    <col min="379" max="379" width="13.5703125" style="112" bestFit="1" customWidth="1"/>
    <col min="380" max="382" width="7.85546875" style="112" bestFit="1" customWidth="1"/>
    <col min="383" max="384" width="7.42578125" style="112" bestFit="1" customWidth="1"/>
    <col min="385" max="388" width="6.85546875" style="112" bestFit="1" customWidth="1"/>
    <col min="389" max="389" width="8.7109375" style="112" bestFit="1" customWidth="1"/>
    <col min="390" max="390" width="6.85546875" style="112" bestFit="1" customWidth="1"/>
    <col min="391" max="391" width="7" style="112"/>
    <col min="392" max="392" width="13.5703125" style="112" bestFit="1" customWidth="1"/>
    <col min="393" max="393" width="6.42578125" style="112" bestFit="1" customWidth="1"/>
    <col min="394" max="394" width="7.42578125" style="112" bestFit="1" customWidth="1"/>
    <col min="395" max="395" width="6.42578125" style="112" bestFit="1" customWidth="1"/>
    <col min="396" max="401" width="6.85546875" style="112" bestFit="1" customWidth="1"/>
    <col min="402" max="402" width="8.7109375" style="112" bestFit="1" customWidth="1"/>
    <col min="403" max="403" width="6.85546875" style="112" bestFit="1" customWidth="1"/>
    <col min="404" max="404" width="7" style="112"/>
    <col min="405" max="405" width="13.5703125" style="112" bestFit="1" customWidth="1"/>
    <col min="406" max="406" width="6.85546875" style="112" bestFit="1" customWidth="1"/>
    <col min="407" max="407" width="7.42578125" style="112" bestFit="1" customWidth="1"/>
    <col min="408" max="414" width="6.85546875" style="112" bestFit="1" customWidth="1"/>
    <col min="415" max="415" width="8.7109375" style="112" bestFit="1" customWidth="1"/>
    <col min="416" max="416" width="6.85546875" style="112" bestFit="1" customWidth="1"/>
    <col min="417" max="417" width="7" style="112"/>
    <col min="418" max="418" width="13.5703125" style="112" bestFit="1" customWidth="1"/>
    <col min="419" max="419" width="6.85546875" style="112" bestFit="1" customWidth="1"/>
    <col min="420" max="420" width="7.42578125" style="112" bestFit="1" customWidth="1"/>
    <col min="421" max="427" width="6.85546875" style="112" bestFit="1" customWidth="1"/>
    <col min="428" max="428" width="8.7109375" style="112" bestFit="1" customWidth="1"/>
    <col min="429" max="429" width="6.85546875" style="112" bestFit="1" customWidth="1"/>
    <col min="430" max="430" width="7" style="112"/>
    <col min="431" max="431" width="13.5703125" style="112" bestFit="1" customWidth="1"/>
    <col min="432" max="432" width="6.42578125" style="112" bestFit="1" customWidth="1"/>
    <col min="433" max="433" width="7.42578125" style="112" bestFit="1" customWidth="1"/>
    <col min="434" max="435" width="6.42578125" style="112" bestFit="1" customWidth="1"/>
    <col min="436" max="440" width="6.85546875" style="112" bestFit="1" customWidth="1"/>
    <col min="441" max="441" width="8.7109375" style="112" bestFit="1" customWidth="1"/>
    <col min="442" max="442" width="6.85546875" style="112" bestFit="1" customWidth="1"/>
    <col min="443" max="443" width="7" style="112"/>
    <col min="444" max="444" width="13.5703125" style="112" bestFit="1" customWidth="1"/>
    <col min="445" max="445" width="6.42578125" style="112" bestFit="1" customWidth="1"/>
    <col min="446" max="446" width="7.42578125" style="112" bestFit="1" customWidth="1"/>
    <col min="447" max="448" width="6.42578125" style="112" bestFit="1" customWidth="1"/>
    <col min="449" max="453" width="6.85546875" style="112" bestFit="1" customWidth="1"/>
    <col min="454" max="454" width="8.7109375" style="112" bestFit="1" customWidth="1"/>
    <col min="455" max="455" width="6.85546875" style="112" bestFit="1" customWidth="1"/>
    <col min="456" max="456" width="7" style="112"/>
    <col min="457" max="457" width="13.5703125" style="112" bestFit="1" customWidth="1"/>
    <col min="458" max="458" width="5.7109375" style="112" bestFit="1" customWidth="1"/>
    <col min="459" max="459" width="7.42578125" style="112" bestFit="1" customWidth="1"/>
    <col min="460" max="461" width="6.42578125" style="112" bestFit="1" customWidth="1"/>
    <col min="462" max="466" width="6.85546875" style="112" bestFit="1" customWidth="1"/>
    <col min="467" max="467" width="8.7109375" style="112" bestFit="1" customWidth="1"/>
    <col min="468" max="468" width="6.85546875" style="112" bestFit="1" customWidth="1"/>
    <col min="469" max="469" width="5.85546875" style="112" customWidth="1"/>
    <col min="470" max="470" width="13.5703125" style="112" bestFit="1" customWidth="1"/>
    <col min="471" max="471" width="5.7109375" style="112" bestFit="1" customWidth="1"/>
    <col min="472" max="472" width="7.42578125" style="112" bestFit="1" customWidth="1"/>
    <col min="473" max="473" width="5.7109375" style="112" bestFit="1" customWidth="1"/>
    <col min="474" max="474" width="6.42578125" style="112" bestFit="1" customWidth="1"/>
    <col min="475" max="479" width="6.85546875" style="112" bestFit="1" customWidth="1"/>
    <col min="480" max="480" width="8.7109375" style="112" bestFit="1" customWidth="1"/>
    <col min="481" max="481" width="6.85546875" style="112" bestFit="1" customWidth="1"/>
    <col min="482" max="482" width="5.85546875" style="112" customWidth="1"/>
    <col min="483" max="483" width="13.5703125" style="112" bestFit="1" customWidth="1"/>
    <col min="484" max="484" width="5.7109375" style="112" bestFit="1" customWidth="1"/>
    <col min="485" max="485" width="7.42578125" style="112" bestFit="1" customWidth="1"/>
    <col min="486" max="486" width="5.7109375" style="112" bestFit="1" customWidth="1"/>
    <col min="487" max="487" width="6.42578125" style="112" bestFit="1" customWidth="1"/>
    <col min="488" max="492" width="6.85546875" style="112" bestFit="1" customWidth="1"/>
    <col min="493" max="493" width="8.7109375" style="112" bestFit="1" customWidth="1"/>
    <col min="494" max="494" width="6.85546875" style="112" bestFit="1" customWidth="1"/>
    <col min="495" max="495" width="5.85546875" style="112" customWidth="1"/>
    <col min="496" max="496" width="13.5703125" style="112" bestFit="1" customWidth="1"/>
    <col min="497" max="497" width="5.7109375" style="112" bestFit="1" customWidth="1"/>
    <col min="498" max="498" width="7.42578125" style="112" bestFit="1" customWidth="1"/>
    <col min="499" max="499" width="5.7109375" style="112" bestFit="1" customWidth="1"/>
    <col min="500" max="500" width="6.42578125" style="112" bestFit="1" customWidth="1"/>
    <col min="501" max="505" width="6.85546875" style="112" bestFit="1" customWidth="1"/>
    <col min="506" max="506" width="8.7109375" style="112" bestFit="1" customWidth="1"/>
    <col min="507" max="507" width="6.85546875" style="112" bestFit="1" customWidth="1"/>
    <col min="508" max="508" width="5.85546875" style="112" customWidth="1"/>
    <col min="509" max="509" width="13.5703125" style="112" bestFit="1" customWidth="1"/>
    <col min="510" max="510" width="5.7109375" style="112" bestFit="1" customWidth="1"/>
    <col min="511" max="511" width="7.42578125" style="112" bestFit="1" customWidth="1"/>
    <col min="512" max="512" width="5.7109375" style="112" bestFit="1" customWidth="1"/>
    <col min="513" max="513" width="6.42578125" style="112" bestFit="1" customWidth="1"/>
    <col min="514" max="518" width="6.85546875" style="112" bestFit="1" customWidth="1"/>
    <col min="519" max="519" width="8.7109375" style="112" bestFit="1" customWidth="1"/>
    <col min="520" max="520" width="6.85546875" style="112" bestFit="1" customWidth="1"/>
    <col min="521" max="521" width="5.85546875" style="112" customWidth="1"/>
    <col min="522" max="522" width="13.5703125" style="112" bestFit="1" customWidth="1"/>
    <col min="523" max="523" width="5.7109375" style="112" bestFit="1" customWidth="1"/>
    <col min="524" max="524" width="7.42578125" style="112" bestFit="1" customWidth="1"/>
    <col min="525" max="525" width="5.7109375" style="112" bestFit="1" customWidth="1"/>
    <col min="526" max="526" width="6.42578125" style="112" bestFit="1" customWidth="1"/>
    <col min="527" max="531" width="6.85546875" style="112" bestFit="1" customWidth="1"/>
    <col min="532" max="532" width="8.7109375" style="112" bestFit="1" customWidth="1"/>
    <col min="533" max="533" width="6.85546875" style="112" bestFit="1" customWidth="1"/>
    <col min="534" max="534" width="5.85546875" style="112" customWidth="1"/>
    <col min="535" max="535" width="13.5703125" style="112" bestFit="1" customWidth="1"/>
    <col min="536" max="536" width="5.7109375" style="112" bestFit="1" customWidth="1"/>
    <col min="537" max="537" width="7.42578125" style="112" bestFit="1" customWidth="1"/>
    <col min="538" max="538" width="5.7109375" style="112" bestFit="1" customWidth="1"/>
    <col min="539" max="539" width="6.42578125" style="112" bestFit="1" customWidth="1"/>
    <col min="540" max="544" width="6.85546875" style="112" bestFit="1" customWidth="1"/>
    <col min="545" max="545" width="8.7109375" style="112" bestFit="1" customWidth="1"/>
    <col min="546" max="546" width="6.85546875" style="112" bestFit="1" customWidth="1"/>
    <col min="547" max="547" width="5.85546875" style="112" customWidth="1"/>
    <col min="548" max="548" width="13.5703125" style="112" bestFit="1" customWidth="1"/>
    <col min="549" max="551" width="7.85546875" style="112" bestFit="1" customWidth="1"/>
    <col min="552" max="553" width="7.42578125" style="112" bestFit="1" customWidth="1"/>
    <col min="554" max="557" width="6.85546875" style="112" bestFit="1" customWidth="1"/>
    <col min="558" max="558" width="8.7109375" style="112" bestFit="1" customWidth="1"/>
    <col min="559" max="559" width="6.85546875" style="112" bestFit="1" customWidth="1"/>
    <col min="560" max="560" width="5.85546875" style="112" customWidth="1"/>
    <col min="561" max="561" width="13.5703125" style="112" bestFit="1" customWidth="1"/>
    <col min="562" max="564" width="7.85546875" style="112" bestFit="1" customWidth="1"/>
    <col min="565" max="566" width="7.42578125" style="112" bestFit="1" customWidth="1"/>
    <col min="567" max="570" width="6.85546875" style="112" bestFit="1" customWidth="1"/>
    <col min="571" max="571" width="8.7109375" style="112" bestFit="1" customWidth="1"/>
    <col min="572" max="572" width="6.85546875" style="112" bestFit="1" customWidth="1"/>
    <col min="573" max="573" width="5.85546875" style="112" customWidth="1"/>
    <col min="574" max="574" width="13.5703125" style="112" bestFit="1" customWidth="1"/>
    <col min="575" max="578" width="7.85546875" style="112" bestFit="1" customWidth="1"/>
    <col min="579" max="580" width="7.42578125" style="112" bestFit="1" customWidth="1"/>
    <col min="581" max="583" width="6.85546875" style="112" bestFit="1" customWidth="1"/>
    <col min="584" max="584" width="8.7109375" style="112" bestFit="1" customWidth="1"/>
    <col min="585" max="585" width="6.85546875" style="112" bestFit="1" customWidth="1"/>
    <col min="586" max="586" width="5.85546875" style="112" customWidth="1"/>
    <col min="587" max="587" width="13.5703125" style="112" bestFit="1" customWidth="1"/>
    <col min="588" max="593" width="7.85546875" style="112" bestFit="1" customWidth="1"/>
    <col min="594" max="594" width="7.42578125" style="112" bestFit="1" customWidth="1"/>
    <col min="595" max="596" width="6.85546875" style="112" bestFit="1" customWidth="1"/>
    <col min="597" max="597" width="8.7109375" style="112" bestFit="1" customWidth="1"/>
    <col min="598" max="598" width="6.85546875" style="112" bestFit="1" customWidth="1"/>
    <col min="599" max="599" width="5.85546875" style="112" customWidth="1"/>
    <col min="600" max="600" width="13.5703125" style="112" bestFit="1" customWidth="1"/>
    <col min="601" max="605" width="7.85546875" style="112" bestFit="1" customWidth="1"/>
    <col min="606" max="606" width="7.42578125" style="112" bestFit="1" customWidth="1"/>
    <col min="607" max="609" width="6.85546875" style="112" bestFit="1" customWidth="1"/>
    <col min="610" max="610" width="8.7109375" style="112" bestFit="1" customWidth="1"/>
    <col min="611" max="611" width="6.85546875" style="112" bestFit="1" customWidth="1"/>
    <col min="612" max="612" width="5.85546875" style="112" customWidth="1"/>
    <col min="613" max="613" width="13.5703125" style="112" bestFit="1" customWidth="1"/>
    <col min="614" max="619" width="7.85546875" style="112" bestFit="1" customWidth="1"/>
    <col min="620" max="620" width="7.42578125" style="112" bestFit="1" customWidth="1"/>
    <col min="621" max="622" width="6.85546875" style="112" bestFit="1" customWidth="1"/>
    <col min="623" max="623" width="8.7109375" style="112" bestFit="1" customWidth="1"/>
    <col min="624" max="624" width="6.85546875" style="112" bestFit="1" customWidth="1"/>
    <col min="625" max="625" width="5.85546875" style="112" customWidth="1"/>
    <col min="626" max="626" width="13.5703125" style="112" bestFit="1" customWidth="1"/>
    <col min="627" max="632" width="7.85546875" style="112" bestFit="1" customWidth="1"/>
    <col min="633" max="635" width="6.85546875" style="112" bestFit="1" customWidth="1"/>
    <col min="636" max="636" width="8.7109375" style="112" bestFit="1" customWidth="1"/>
    <col min="637" max="637" width="6.85546875" style="112" bestFit="1" customWidth="1"/>
    <col min="638" max="638" width="5.85546875" style="112" customWidth="1"/>
    <col min="639" max="639" width="13.5703125" style="112" bestFit="1" customWidth="1"/>
    <col min="640" max="644" width="7.85546875" style="112" bestFit="1" customWidth="1"/>
    <col min="645" max="645" width="7.42578125" style="112" bestFit="1" customWidth="1"/>
    <col min="646" max="648" width="6.85546875" style="112" bestFit="1" customWidth="1"/>
    <col min="649" max="649" width="8.7109375" style="112" bestFit="1" customWidth="1"/>
    <col min="650" max="650" width="6.85546875" style="112" bestFit="1" customWidth="1"/>
    <col min="651" max="651" width="5.85546875" style="112" customWidth="1"/>
    <col min="652" max="652" width="13.5703125" style="112" bestFit="1" customWidth="1"/>
    <col min="653" max="658" width="7.85546875" style="112" bestFit="1" customWidth="1"/>
    <col min="659" max="659" width="7.42578125" style="112" bestFit="1" customWidth="1"/>
    <col min="660" max="661" width="6.85546875" style="112" bestFit="1" customWidth="1"/>
    <col min="662" max="662" width="8.7109375" style="112" bestFit="1" customWidth="1"/>
    <col min="663" max="663" width="6.85546875" style="112" bestFit="1" customWidth="1"/>
    <col min="664" max="664" width="5.85546875" style="112" customWidth="1"/>
    <col min="665" max="665" width="13.5703125" style="112" bestFit="1" customWidth="1"/>
    <col min="666" max="666" width="6.85546875" style="112" bestFit="1" customWidth="1"/>
    <col min="667" max="667" width="7.42578125" style="112" bestFit="1" customWidth="1"/>
    <col min="668" max="674" width="6.85546875" style="112" bestFit="1" customWidth="1"/>
    <col min="675" max="675" width="8.7109375" style="112" bestFit="1" customWidth="1"/>
    <col min="676" max="676" width="6.85546875" style="112" bestFit="1" customWidth="1"/>
    <col min="677" max="677" width="5.85546875" style="112" customWidth="1"/>
    <col min="678" max="678" width="13.5703125" style="112" bestFit="1" customWidth="1"/>
    <col min="679" max="679" width="6.85546875" style="112" bestFit="1" customWidth="1"/>
    <col min="680" max="680" width="7.42578125" style="112" bestFit="1" customWidth="1"/>
    <col min="681" max="687" width="6.85546875" style="112" bestFit="1" customWidth="1"/>
    <col min="688" max="688" width="8.7109375" style="112" bestFit="1" customWidth="1"/>
    <col min="689" max="689" width="6.85546875" style="112" bestFit="1" customWidth="1"/>
    <col min="690" max="690" width="5.85546875" style="112" customWidth="1"/>
    <col min="691" max="691" width="13.5703125" style="112" bestFit="1" customWidth="1"/>
    <col min="692" max="692" width="6.85546875" style="112" bestFit="1" customWidth="1"/>
    <col min="693" max="693" width="7.42578125" style="112" bestFit="1" customWidth="1"/>
    <col min="694" max="700" width="6.85546875" style="112" bestFit="1" customWidth="1"/>
    <col min="701" max="701" width="8.7109375" style="112" bestFit="1" customWidth="1"/>
    <col min="702" max="702" width="6.85546875" style="112" bestFit="1" customWidth="1"/>
    <col min="703" max="703" width="5.85546875" style="112" customWidth="1"/>
    <col min="704" max="704" width="13.5703125" style="112" bestFit="1" customWidth="1"/>
    <col min="705" max="705" width="6.42578125" style="112" bestFit="1" customWidth="1"/>
    <col min="706" max="706" width="7.42578125" style="112" bestFit="1" customWidth="1"/>
    <col min="707" max="708" width="6.42578125" style="112" bestFit="1" customWidth="1"/>
    <col min="709" max="713" width="6.85546875" style="112" bestFit="1" customWidth="1"/>
    <col min="714" max="714" width="8.7109375" style="112" bestFit="1" customWidth="1"/>
    <col min="715" max="715" width="6.85546875" style="112" bestFit="1" customWidth="1"/>
    <col min="716" max="716" width="5.85546875" style="112" customWidth="1"/>
    <col min="717" max="717" width="13.5703125" style="112" bestFit="1" customWidth="1"/>
    <col min="718" max="718" width="6.42578125" style="112" bestFit="1" customWidth="1"/>
    <col min="719" max="719" width="7.42578125" style="112" bestFit="1" customWidth="1"/>
    <col min="720" max="721" width="6.42578125" style="112" bestFit="1" customWidth="1"/>
    <col min="722" max="726" width="6.85546875" style="112" bestFit="1" customWidth="1"/>
    <col min="727" max="727" width="8.7109375" style="112" bestFit="1" customWidth="1"/>
    <col min="728" max="728" width="6.85546875" style="112" bestFit="1" customWidth="1"/>
    <col min="729" max="729" width="5.85546875" style="112" customWidth="1"/>
    <col min="730" max="730" width="13.5703125" style="112" bestFit="1" customWidth="1"/>
    <col min="731" max="731" width="6.42578125" style="112" bestFit="1" customWidth="1"/>
    <col min="732" max="732" width="7.42578125" style="112" bestFit="1" customWidth="1"/>
    <col min="733" max="734" width="6.42578125" style="112" bestFit="1" customWidth="1"/>
    <col min="735" max="739" width="6.85546875" style="112" bestFit="1" customWidth="1"/>
    <col min="740" max="740" width="8.7109375" style="112" bestFit="1" customWidth="1"/>
    <col min="741" max="741" width="6.85546875" style="112" bestFit="1" customWidth="1"/>
    <col min="742" max="742" width="5.85546875" style="112" customWidth="1"/>
    <col min="743" max="743" width="13.5703125" style="112" bestFit="1" customWidth="1"/>
    <col min="744" max="744" width="5.7109375" style="112" bestFit="1" customWidth="1"/>
    <col min="745" max="745" width="7.42578125" style="112" bestFit="1" customWidth="1"/>
    <col min="746" max="746" width="5.7109375" style="112" bestFit="1" customWidth="1"/>
    <col min="747" max="747" width="6.42578125" style="112" bestFit="1" customWidth="1"/>
    <col min="748" max="752" width="6.85546875" style="112" bestFit="1" customWidth="1"/>
    <col min="753" max="753" width="8.7109375" style="112" bestFit="1" customWidth="1"/>
    <col min="754" max="754" width="6.85546875" style="112" bestFit="1" customWidth="1"/>
    <col min="755" max="755" width="5.85546875" style="112" customWidth="1"/>
    <col min="756" max="756" width="13.5703125" style="112" bestFit="1" customWidth="1"/>
    <col min="757" max="757" width="5.7109375" style="112" bestFit="1" customWidth="1"/>
    <col min="758" max="758" width="7.42578125" style="112" bestFit="1" customWidth="1"/>
    <col min="759" max="759" width="5.7109375" style="112" bestFit="1" customWidth="1"/>
    <col min="760" max="760" width="6.42578125" style="112" bestFit="1" customWidth="1"/>
    <col min="761" max="765" width="6.85546875" style="112" bestFit="1" customWidth="1"/>
    <col min="766" max="766" width="8.7109375" style="112" bestFit="1" customWidth="1"/>
    <col min="767" max="767" width="6.85546875" style="112" bestFit="1" customWidth="1"/>
    <col min="768" max="768" width="5.85546875" style="112" customWidth="1"/>
    <col min="769" max="769" width="13.5703125" style="112" bestFit="1" customWidth="1"/>
    <col min="770" max="770" width="5.7109375" style="112" bestFit="1" customWidth="1"/>
    <col min="771" max="771" width="7.42578125" style="112" bestFit="1" customWidth="1"/>
    <col min="772" max="772" width="5.7109375" style="112" bestFit="1" customWidth="1"/>
    <col min="773" max="773" width="6.42578125" style="112" bestFit="1" customWidth="1"/>
    <col min="774" max="778" width="6.85546875" style="112" bestFit="1" customWidth="1"/>
    <col min="779" max="779" width="8.7109375" style="112" bestFit="1" customWidth="1"/>
    <col min="780" max="780" width="6.85546875" style="112" bestFit="1" customWidth="1"/>
    <col min="781" max="781" width="5.85546875" style="112" customWidth="1"/>
    <col min="782" max="782" width="13.5703125" style="112" bestFit="1" customWidth="1"/>
    <col min="783" max="783" width="5.7109375" style="112" bestFit="1" customWidth="1"/>
    <col min="784" max="784" width="7.42578125" style="112" bestFit="1" customWidth="1"/>
    <col min="785" max="785" width="5.7109375" style="112" bestFit="1" customWidth="1"/>
    <col min="786" max="786" width="6.42578125" style="112" bestFit="1" customWidth="1"/>
    <col min="787" max="791" width="6.85546875" style="112" bestFit="1" customWidth="1"/>
    <col min="792" max="792" width="8.7109375" style="112" bestFit="1" customWidth="1"/>
    <col min="793" max="793" width="6.85546875" style="112" bestFit="1" customWidth="1"/>
    <col min="794" max="794" width="5.85546875" style="112" customWidth="1"/>
    <col min="795" max="795" width="13.5703125" style="112" bestFit="1" customWidth="1"/>
    <col min="796" max="796" width="5.7109375" style="112" bestFit="1" customWidth="1"/>
    <col min="797" max="797" width="7.42578125" style="112" bestFit="1" customWidth="1"/>
    <col min="798" max="798" width="5.7109375" style="112" bestFit="1" customWidth="1"/>
    <col min="799" max="799" width="6.42578125" style="112" bestFit="1" customWidth="1"/>
    <col min="800" max="804" width="6.85546875" style="112" bestFit="1" customWidth="1"/>
    <col min="805" max="805" width="8.7109375" style="112" bestFit="1" customWidth="1"/>
    <col min="806" max="806" width="6.85546875" style="112" bestFit="1" customWidth="1"/>
    <col min="807" max="807" width="5.85546875" style="112" customWidth="1"/>
    <col min="808" max="808" width="13.5703125" style="112" bestFit="1" customWidth="1"/>
    <col min="809" max="809" width="5.7109375" style="112" bestFit="1" customWidth="1"/>
    <col min="810" max="810" width="7.42578125" style="112" bestFit="1" customWidth="1"/>
    <col min="811" max="811" width="5.7109375" style="112" bestFit="1" customWidth="1"/>
    <col min="812" max="812" width="6.42578125" style="112" bestFit="1" customWidth="1"/>
    <col min="813" max="817" width="6.85546875" style="112" bestFit="1" customWidth="1"/>
    <col min="818" max="818" width="8.7109375" style="112" bestFit="1" customWidth="1"/>
    <col min="819" max="819" width="6.85546875" style="112" bestFit="1" customWidth="1"/>
    <col min="820" max="820" width="5.85546875" style="112" customWidth="1"/>
    <col min="821" max="16384" width="7" style="112"/>
  </cols>
  <sheetData>
    <row r="1" spans="1:820">
      <c r="A1" s="81"/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81"/>
      <c r="AB1" s="75"/>
      <c r="AC1" s="75"/>
      <c r="AD1" s="75"/>
      <c r="AE1" s="75"/>
      <c r="AF1" s="75"/>
      <c r="AG1" s="75"/>
      <c r="AH1" s="75"/>
      <c r="AI1" s="75"/>
      <c r="AJ1" s="75"/>
      <c r="AK1" s="75"/>
      <c r="AL1" s="75"/>
      <c r="AM1" s="75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1"/>
      <c r="BM1" s="81"/>
      <c r="BN1" s="81"/>
      <c r="BO1" s="75"/>
      <c r="BP1" s="75"/>
      <c r="BQ1" s="75"/>
      <c r="BR1" s="75"/>
      <c r="BS1" s="75"/>
      <c r="BT1" s="75"/>
      <c r="BU1" s="75"/>
      <c r="BV1" s="75"/>
      <c r="BW1" s="75"/>
      <c r="BX1" s="75"/>
      <c r="BY1" s="75"/>
      <c r="BZ1" s="75"/>
      <c r="CA1" s="81"/>
      <c r="CB1" s="81"/>
      <c r="CC1" s="81"/>
      <c r="CD1" s="81"/>
      <c r="CE1" s="81"/>
      <c r="CF1" s="81"/>
      <c r="CG1" s="81"/>
      <c r="CH1" s="81"/>
      <c r="CI1" s="81"/>
      <c r="CJ1" s="81"/>
      <c r="CK1" s="81"/>
      <c r="CL1" s="81"/>
      <c r="CM1" s="81"/>
      <c r="CN1" s="81"/>
      <c r="CO1" s="81"/>
      <c r="CP1" s="81"/>
      <c r="CQ1" s="81"/>
      <c r="CR1" s="81"/>
      <c r="CS1" s="81"/>
      <c r="CT1" s="81"/>
      <c r="CU1" s="81"/>
      <c r="CV1" s="81"/>
      <c r="CW1" s="81"/>
      <c r="CX1" s="81"/>
      <c r="CY1" s="81"/>
      <c r="CZ1" s="81"/>
      <c r="DA1" s="81"/>
      <c r="DB1" s="81"/>
      <c r="DC1" s="81"/>
      <c r="DD1" s="81"/>
      <c r="DE1" s="81"/>
      <c r="DF1" s="81"/>
      <c r="DG1" s="81"/>
      <c r="DH1" s="81"/>
      <c r="DI1" s="81"/>
      <c r="DJ1" s="81"/>
      <c r="DK1" s="81"/>
      <c r="DL1" s="81"/>
      <c r="DM1" s="81"/>
      <c r="DN1" s="81"/>
      <c r="DO1" s="81"/>
      <c r="DP1" s="81"/>
      <c r="DQ1" s="81"/>
      <c r="DR1" s="81"/>
      <c r="DS1" s="81"/>
      <c r="DT1" s="81"/>
      <c r="DU1" s="81"/>
      <c r="DV1" s="81"/>
      <c r="DW1" s="81"/>
      <c r="DX1" s="81"/>
      <c r="DY1" s="81"/>
      <c r="DZ1" s="81"/>
      <c r="EA1" s="81"/>
      <c r="EB1" s="81"/>
      <c r="EC1" s="81"/>
      <c r="ED1" s="81"/>
      <c r="EE1" s="81"/>
      <c r="EF1" s="81"/>
      <c r="EG1" s="81"/>
      <c r="EH1" s="81"/>
      <c r="EI1" s="81"/>
      <c r="EJ1" s="81"/>
      <c r="EK1" s="81"/>
      <c r="EL1" s="81"/>
      <c r="EM1" s="81"/>
      <c r="EN1" s="81"/>
      <c r="EO1" s="81"/>
      <c r="EP1" s="81"/>
      <c r="EQ1" s="81"/>
      <c r="ER1" s="81"/>
      <c r="ES1" s="81"/>
      <c r="ET1" s="81"/>
      <c r="EU1" s="81"/>
      <c r="EV1" s="81"/>
      <c r="EW1" s="81"/>
      <c r="EX1" s="81"/>
      <c r="EY1" s="81"/>
      <c r="EZ1" s="81"/>
      <c r="FA1" s="81"/>
      <c r="FB1" s="81"/>
      <c r="FC1" s="81"/>
      <c r="FD1" s="81"/>
      <c r="FE1" s="81"/>
      <c r="FF1" s="81"/>
      <c r="FG1" s="81"/>
      <c r="FH1" s="81"/>
      <c r="FI1" s="81"/>
      <c r="FJ1" s="81"/>
      <c r="FK1" s="81"/>
      <c r="FL1" s="81"/>
      <c r="FM1" s="81"/>
      <c r="FN1" s="81"/>
      <c r="FO1" s="81"/>
      <c r="FP1" s="81"/>
      <c r="FQ1" s="81"/>
      <c r="FR1" s="81"/>
      <c r="FS1" s="81"/>
      <c r="FT1" s="81"/>
      <c r="FU1" s="81"/>
      <c r="FV1" s="81"/>
      <c r="FW1" s="81"/>
      <c r="FX1" s="81"/>
      <c r="FY1" s="81"/>
      <c r="FZ1" s="81"/>
      <c r="GA1" s="81"/>
      <c r="GB1" s="81"/>
      <c r="GC1" s="81"/>
      <c r="GD1" s="81"/>
      <c r="GE1" s="81"/>
      <c r="GF1" s="81"/>
      <c r="GG1" s="81"/>
      <c r="GH1" s="81"/>
      <c r="GI1" s="81"/>
      <c r="GJ1" s="81"/>
      <c r="GK1" s="81"/>
      <c r="GL1" s="81"/>
      <c r="GM1" s="81"/>
      <c r="GN1" s="81"/>
      <c r="GO1" s="81"/>
      <c r="GP1" s="81"/>
      <c r="GQ1" s="81"/>
      <c r="GR1" s="81"/>
      <c r="GS1" s="81"/>
      <c r="GT1" s="81"/>
      <c r="GU1" s="81"/>
      <c r="GV1" s="81"/>
      <c r="GW1" s="81"/>
      <c r="GX1" s="81"/>
      <c r="GY1" s="81"/>
      <c r="GZ1" s="81"/>
      <c r="HA1" s="81"/>
      <c r="HB1" s="81"/>
      <c r="HC1" s="81"/>
      <c r="HD1" s="81"/>
      <c r="HE1" s="81"/>
      <c r="HF1" s="81"/>
      <c r="HG1" s="81"/>
      <c r="HH1" s="81"/>
      <c r="HI1" s="81"/>
      <c r="HJ1" s="81"/>
      <c r="HK1" s="81"/>
      <c r="HL1" s="81"/>
      <c r="HM1" s="81"/>
      <c r="HN1" s="81"/>
      <c r="HO1" s="81"/>
      <c r="HP1" s="81"/>
      <c r="HQ1" s="81"/>
      <c r="HR1" s="81"/>
      <c r="HS1" s="81"/>
      <c r="HT1" s="81"/>
      <c r="HU1" s="81"/>
      <c r="HV1" s="81"/>
      <c r="HW1" s="81"/>
      <c r="HX1" s="81"/>
      <c r="HY1" s="81"/>
      <c r="HZ1" s="81"/>
      <c r="IA1" s="81"/>
      <c r="IB1" s="81"/>
      <c r="IC1" s="81"/>
      <c r="ID1" s="81"/>
      <c r="IE1" s="81"/>
      <c r="IF1" s="81"/>
      <c r="IG1" s="81"/>
      <c r="IH1" s="81"/>
      <c r="II1" s="81"/>
      <c r="IJ1" s="81"/>
      <c r="IK1" s="81"/>
      <c r="IL1" s="81"/>
      <c r="IM1" s="81"/>
      <c r="IN1" s="81"/>
      <c r="IO1" s="81"/>
      <c r="IP1" s="81"/>
      <c r="IQ1" s="81"/>
      <c r="IR1" s="81"/>
      <c r="IS1" s="81"/>
      <c r="IT1" s="81"/>
      <c r="IU1" s="81"/>
      <c r="IV1" s="81"/>
      <c r="IW1" s="81"/>
      <c r="IX1" s="81"/>
      <c r="IY1" s="81"/>
      <c r="IZ1" s="81"/>
      <c r="JA1" s="81"/>
      <c r="JB1" s="81"/>
      <c r="JC1" s="81"/>
      <c r="JD1" s="81"/>
      <c r="JE1" s="81"/>
      <c r="JF1" s="81"/>
      <c r="JG1" s="81"/>
      <c r="JH1" s="81"/>
      <c r="JI1" s="81"/>
      <c r="JJ1" s="81"/>
      <c r="JK1" s="81"/>
      <c r="JL1" s="81"/>
      <c r="JM1" s="81"/>
      <c r="JN1" s="81"/>
      <c r="JO1" s="81"/>
      <c r="JP1" s="81"/>
      <c r="JQ1" s="81"/>
      <c r="JR1" s="81"/>
      <c r="JS1" s="81"/>
      <c r="JT1" s="81"/>
      <c r="JU1" s="81"/>
      <c r="JV1" s="81"/>
      <c r="JW1" s="81"/>
      <c r="JX1" s="81"/>
      <c r="JY1" s="81"/>
      <c r="JZ1" s="81"/>
      <c r="KA1" s="81"/>
      <c r="KB1" s="81"/>
      <c r="KC1" s="81"/>
      <c r="KD1" s="81"/>
      <c r="KE1" s="81"/>
      <c r="KF1" s="81"/>
      <c r="KG1" s="81"/>
      <c r="KH1" s="81"/>
      <c r="KI1" s="81"/>
      <c r="KJ1" s="81"/>
      <c r="KK1" s="81"/>
      <c r="KL1" s="81"/>
      <c r="KM1" s="81"/>
      <c r="KN1" s="81"/>
      <c r="KO1" s="81"/>
      <c r="KP1" s="81"/>
      <c r="KQ1" s="81"/>
      <c r="KR1" s="81"/>
      <c r="KS1" s="81"/>
      <c r="KT1" s="81"/>
      <c r="KU1" s="81"/>
      <c r="KV1" s="81"/>
      <c r="KW1" s="81"/>
      <c r="KX1" s="81"/>
      <c r="KY1" s="81"/>
      <c r="KZ1" s="81"/>
      <c r="LA1" s="81"/>
      <c r="LB1" s="81"/>
      <c r="LC1" s="81"/>
      <c r="LD1" s="81"/>
      <c r="LE1" s="81"/>
      <c r="LF1" s="81"/>
      <c r="LG1" s="81"/>
      <c r="LH1" s="81"/>
      <c r="LI1" s="81"/>
      <c r="LJ1" s="81"/>
      <c r="LK1" s="81"/>
      <c r="LL1" s="81"/>
      <c r="LM1" s="81"/>
      <c r="LN1" s="81"/>
      <c r="LO1" s="81"/>
      <c r="LP1" s="81"/>
      <c r="LQ1" s="81"/>
      <c r="LR1" s="81"/>
      <c r="LS1" s="81"/>
      <c r="LT1" s="81"/>
      <c r="LU1" s="81"/>
      <c r="LV1" s="81"/>
      <c r="LW1" s="81"/>
      <c r="LX1" s="81"/>
      <c r="LY1" s="81"/>
      <c r="LZ1" s="81"/>
      <c r="MA1" s="81"/>
      <c r="MB1" s="81"/>
      <c r="MC1" s="81"/>
      <c r="MD1" s="81"/>
      <c r="ME1" s="81"/>
      <c r="MF1" s="81"/>
      <c r="MG1" s="81"/>
      <c r="MH1" s="81"/>
      <c r="MI1" s="81"/>
      <c r="MJ1" s="81"/>
      <c r="MK1" s="81"/>
      <c r="ML1" s="81"/>
      <c r="MM1" s="81"/>
      <c r="MN1" s="81"/>
      <c r="MO1" s="81"/>
      <c r="MP1" s="81"/>
      <c r="MQ1" s="81"/>
      <c r="MR1" s="81"/>
      <c r="MS1" s="81"/>
      <c r="MT1" s="81"/>
      <c r="MU1" s="81"/>
      <c r="MV1" s="81"/>
      <c r="MW1" s="81"/>
      <c r="MX1" s="81"/>
      <c r="MY1" s="81"/>
      <c r="MZ1" s="81"/>
      <c r="NA1" s="81"/>
      <c r="NB1" s="81"/>
      <c r="NC1" s="81"/>
      <c r="ND1" s="81"/>
      <c r="NE1" s="81"/>
      <c r="NF1" s="81"/>
      <c r="NG1" s="81"/>
      <c r="NH1" s="81"/>
      <c r="NI1" s="81"/>
      <c r="NJ1" s="81"/>
      <c r="NK1" s="81"/>
      <c r="NL1" s="81"/>
      <c r="NM1" s="81"/>
      <c r="NN1" s="81"/>
      <c r="NO1" s="81"/>
      <c r="NP1" s="81"/>
      <c r="NQ1" s="81"/>
      <c r="NR1" s="81"/>
      <c r="NS1" s="81"/>
      <c r="NT1" s="81"/>
      <c r="NU1" s="81"/>
      <c r="NV1" s="81"/>
      <c r="NW1" s="81"/>
      <c r="NX1" s="81"/>
      <c r="NY1" s="81"/>
      <c r="NZ1" s="81"/>
      <c r="OA1" s="81"/>
      <c r="OB1" s="81"/>
      <c r="OC1" s="81"/>
      <c r="OD1" s="81"/>
      <c r="OE1" s="81"/>
      <c r="OF1" s="81"/>
      <c r="OG1" s="81"/>
      <c r="OH1" s="81"/>
      <c r="OI1" s="81"/>
      <c r="OJ1" s="81"/>
      <c r="OK1" s="81"/>
      <c r="OL1" s="81"/>
      <c r="OM1" s="81"/>
      <c r="ON1" s="81"/>
      <c r="OO1" s="81"/>
      <c r="OP1" s="81"/>
      <c r="OQ1" s="81"/>
      <c r="OR1" s="81"/>
      <c r="OS1" s="81"/>
      <c r="OT1" s="81"/>
      <c r="OU1" s="81"/>
      <c r="OV1" s="81"/>
      <c r="OW1" s="81"/>
      <c r="OX1" s="81"/>
      <c r="OY1" s="81"/>
      <c r="OZ1" s="81"/>
      <c r="PA1" s="81"/>
      <c r="PB1" s="81"/>
      <c r="PC1" s="81"/>
      <c r="PD1" s="81"/>
      <c r="PE1" s="81"/>
      <c r="PF1" s="81"/>
      <c r="PG1" s="81"/>
      <c r="PH1" s="81"/>
      <c r="PI1" s="81"/>
      <c r="PJ1" s="81"/>
      <c r="PK1" s="81"/>
      <c r="PL1" s="81"/>
      <c r="PM1" s="81"/>
      <c r="PN1" s="81"/>
      <c r="PO1" s="81"/>
      <c r="PP1" s="81"/>
      <c r="PQ1" s="81"/>
      <c r="PR1" s="81"/>
      <c r="PS1" s="81"/>
      <c r="PT1" s="81"/>
      <c r="PU1" s="81"/>
      <c r="PV1" s="81"/>
      <c r="PW1" s="81"/>
      <c r="PX1" s="81"/>
      <c r="PY1" s="81"/>
      <c r="PZ1" s="81"/>
      <c r="QA1" s="81"/>
      <c r="QB1" s="81"/>
      <c r="QC1" s="81"/>
      <c r="QD1" s="81"/>
      <c r="QE1" s="81"/>
      <c r="QF1" s="81"/>
      <c r="QG1" s="81"/>
      <c r="QH1" s="81"/>
      <c r="QI1" s="81"/>
      <c r="QJ1" s="81"/>
      <c r="QK1" s="81"/>
      <c r="QL1" s="81"/>
      <c r="QM1" s="81"/>
      <c r="QN1" s="81"/>
      <c r="QO1" s="81"/>
      <c r="QP1" s="81"/>
      <c r="QQ1" s="81"/>
      <c r="QR1" s="81"/>
      <c r="QS1" s="81"/>
      <c r="QT1" s="81"/>
      <c r="QU1" s="81"/>
      <c r="QV1" s="81"/>
      <c r="QW1" s="81"/>
      <c r="QX1" s="81"/>
      <c r="QY1" s="81"/>
      <c r="QZ1" s="81"/>
      <c r="RA1" s="81"/>
      <c r="RB1" s="81"/>
      <c r="RC1" s="81"/>
      <c r="RD1" s="81"/>
      <c r="RE1" s="81"/>
      <c r="RF1" s="81"/>
      <c r="RG1" s="81"/>
      <c r="RH1" s="81"/>
      <c r="RI1" s="81"/>
      <c r="RJ1" s="81"/>
      <c r="RK1" s="81"/>
      <c r="RL1" s="81"/>
      <c r="RM1" s="81"/>
      <c r="RN1" s="81"/>
      <c r="RO1" s="81"/>
      <c r="RP1" s="81"/>
      <c r="RQ1" s="81"/>
      <c r="RR1" s="81"/>
      <c r="RS1" s="81"/>
      <c r="RT1" s="81"/>
      <c r="RU1" s="81"/>
      <c r="RV1" s="81"/>
      <c r="RW1" s="81"/>
      <c r="RX1" s="81"/>
      <c r="RY1" s="81"/>
      <c r="RZ1" s="81"/>
      <c r="SA1" s="81"/>
      <c r="SB1" s="81"/>
      <c r="SC1" s="81"/>
      <c r="SD1" s="81"/>
      <c r="SE1" s="81"/>
      <c r="SF1" s="81"/>
      <c r="SG1" s="81"/>
      <c r="SH1" s="81"/>
      <c r="SI1" s="81"/>
      <c r="SJ1" s="81"/>
      <c r="SK1" s="81"/>
      <c r="SL1" s="81"/>
      <c r="SM1" s="81"/>
      <c r="SN1" s="81"/>
      <c r="SO1" s="81"/>
      <c r="SP1" s="81"/>
      <c r="SQ1" s="81"/>
      <c r="SR1" s="81"/>
      <c r="SS1" s="81"/>
      <c r="ST1" s="81"/>
      <c r="SU1" s="81"/>
      <c r="SV1" s="81"/>
      <c r="SW1" s="81"/>
      <c r="SX1" s="81"/>
      <c r="SY1" s="81"/>
      <c r="SZ1" s="81"/>
      <c r="TA1" s="81"/>
      <c r="TB1" s="81"/>
      <c r="TC1" s="81"/>
      <c r="TD1" s="81"/>
      <c r="TE1" s="81"/>
      <c r="TF1" s="81"/>
      <c r="TG1" s="81"/>
      <c r="TH1" s="81"/>
      <c r="TI1" s="81"/>
      <c r="TJ1" s="81"/>
      <c r="TK1" s="81"/>
      <c r="TL1" s="81"/>
      <c r="TM1" s="81"/>
      <c r="TN1" s="81"/>
      <c r="TO1" s="81"/>
      <c r="TP1" s="81"/>
      <c r="TQ1" s="81"/>
      <c r="TR1" s="81"/>
      <c r="TS1" s="81"/>
      <c r="TT1" s="81"/>
      <c r="TU1" s="81"/>
      <c r="TV1" s="81"/>
      <c r="TW1" s="81"/>
      <c r="TX1" s="81"/>
      <c r="TY1" s="81"/>
      <c r="TZ1" s="81"/>
      <c r="UA1" s="81"/>
      <c r="UB1" s="81"/>
      <c r="UC1" s="81"/>
      <c r="UD1" s="81"/>
      <c r="UE1" s="81"/>
      <c r="UF1" s="81"/>
      <c r="UG1" s="81"/>
      <c r="UH1" s="81"/>
      <c r="UI1" s="81"/>
      <c r="UJ1" s="81"/>
      <c r="UK1" s="81"/>
      <c r="UL1" s="81"/>
      <c r="UM1" s="81"/>
      <c r="UN1" s="81"/>
      <c r="UO1" s="81"/>
      <c r="UP1" s="81"/>
      <c r="UQ1" s="81"/>
      <c r="UR1" s="81"/>
      <c r="US1" s="81"/>
      <c r="UT1" s="81"/>
      <c r="UU1" s="81"/>
      <c r="UV1" s="81"/>
      <c r="UW1" s="81"/>
      <c r="UX1" s="81"/>
      <c r="UY1" s="81"/>
      <c r="UZ1" s="81"/>
      <c r="VA1" s="81"/>
      <c r="VB1" s="81"/>
      <c r="VC1" s="81"/>
      <c r="VD1" s="81"/>
      <c r="VE1" s="81"/>
      <c r="VF1" s="81"/>
      <c r="VG1" s="81"/>
      <c r="VH1" s="81"/>
      <c r="VI1" s="81"/>
      <c r="VJ1" s="81"/>
      <c r="VK1" s="81"/>
      <c r="VL1" s="81"/>
      <c r="VM1" s="81"/>
      <c r="VN1" s="81"/>
      <c r="VO1" s="81"/>
      <c r="VP1" s="81"/>
      <c r="VQ1" s="81"/>
      <c r="VR1" s="81"/>
      <c r="VS1" s="81"/>
      <c r="VT1" s="81"/>
      <c r="VU1" s="81"/>
      <c r="VV1" s="81"/>
      <c r="VW1" s="81"/>
      <c r="VX1" s="81"/>
      <c r="VY1" s="81"/>
      <c r="VZ1" s="81"/>
      <c r="WA1" s="81"/>
      <c r="WB1" s="81"/>
      <c r="WC1" s="81"/>
      <c r="WD1" s="81"/>
      <c r="WE1" s="81"/>
      <c r="WF1" s="81"/>
      <c r="WG1" s="81"/>
      <c r="WH1" s="81"/>
      <c r="WI1" s="81"/>
      <c r="WJ1" s="81"/>
      <c r="WK1" s="81"/>
      <c r="WL1" s="81"/>
      <c r="WM1" s="81"/>
      <c r="WN1" s="81"/>
      <c r="WO1" s="81"/>
      <c r="WP1" s="81"/>
      <c r="WQ1" s="81"/>
      <c r="WR1" s="81"/>
      <c r="WS1" s="81"/>
      <c r="WT1" s="81"/>
      <c r="WU1" s="81"/>
      <c r="WV1" s="81"/>
      <c r="WW1" s="81"/>
      <c r="WX1" s="81"/>
      <c r="WY1" s="81"/>
      <c r="WZ1" s="81"/>
      <c r="XA1" s="81"/>
      <c r="XB1" s="81"/>
      <c r="XC1" s="81"/>
      <c r="XD1" s="81"/>
      <c r="XE1" s="81"/>
      <c r="XF1" s="81"/>
      <c r="XG1" s="81"/>
      <c r="XH1" s="81"/>
      <c r="XI1" s="81"/>
      <c r="XJ1" s="81"/>
      <c r="XK1" s="81"/>
      <c r="XL1" s="81"/>
      <c r="XM1" s="81"/>
      <c r="XN1" s="81"/>
      <c r="XO1" s="81"/>
      <c r="XP1" s="81"/>
      <c r="XQ1" s="81"/>
      <c r="XR1" s="81"/>
      <c r="XS1" s="81"/>
      <c r="XT1" s="81"/>
      <c r="XU1" s="81"/>
      <c r="XV1" s="81"/>
      <c r="XW1" s="81"/>
      <c r="XX1" s="81"/>
      <c r="XY1" s="81"/>
      <c r="XZ1" s="81"/>
      <c r="YA1" s="81"/>
      <c r="YB1" s="81"/>
      <c r="YC1" s="81"/>
      <c r="YD1" s="81"/>
      <c r="YE1" s="81"/>
      <c r="YF1" s="81"/>
      <c r="YG1" s="81"/>
      <c r="YH1" s="81"/>
      <c r="YI1" s="81"/>
      <c r="YJ1" s="81"/>
      <c r="YK1" s="81"/>
      <c r="YL1" s="81"/>
      <c r="YM1" s="81"/>
      <c r="YN1" s="81"/>
      <c r="YO1" s="81"/>
      <c r="YP1" s="81"/>
      <c r="YQ1" s="81"/>
      <c r="YR1" s="81"/>
      <c r="YS1" s="81"/>
      <c r="YT1" s="81"/>
      <c r="YU1" s="81"/>
      <c r="YV1" s="81"/>
      <c r="YW1" s="81"/>
      <c r="YX1" s="81"/>
      <c r="YY1" s="81"/>
      <c r="YZ1" s="81"/>
      <c r="ZA1" s="81"/>
      <c r="ZB1" s="81"/>
      <c r="ZC1" s="81"/>
      <c r="ZD1" s="81"/>
      <c r="ZE1" s="81"/>
      <c r="ZF1" s="81"/>
      <c r="ZG1" s="81"/>
      <c r="ZH1" s="81"/>
      <c r="ZI1" s="81"/>
      <c r="ZJ1" s="81"/>
      <c r="ZK1" s="81"/>
      <c r="ZL1" s="81"/>
      <c r="ZM1" s="81"/>
      <c r="ZN1" s="81"/>
      <c r="ZO1" s="81"/>
      <c r="ZP1" s="81"/>
      <c r="ZQ1" s="81"/>
      <c r="ZR1" s="81"/>
      <c r="ZS1" s="81"/>
      <c r="ZT1" s="81"/>
      <c r="ZU1" s="81"/>
      <c r="ZV1" s="81"/>
      <c r="ZW1" s="81"/>
      <c r="ZX1" s="81"/>
      <c r="ZY1" s="81"/>
      <c r="ZZ1" s="81"/>
      <c r="AAA1" s="81"/>
      <c r="AAB1" s="81"/>
      <c r="AAC1" s="81"/>
      <c r="AAD1" s="81"/>
      <c r="AAE1" s="81"/>
      <c r="AAF1" s="81"/>
      <c r="AAG1" s="81"/>
      <c r="AAH1" s="81"/>
      <c r="AAI1" s="81"/>
      <c r="AAJ1" s="81"/>
      <c r="AAK1" s="81"/>
      <c r="AAL1" s="81"/>
      <c r="AAM1" s="81"/>
      <c r="AAN1" s="81"/>
      <c r="AAO1" s="81"/>
      <c r="AAP1" s="81"/>
      <c r="AAQ1" s="81"/>
      <c r="AAR1" s="81"/>
      <c r="AAS1" s="81"/>
      <c r="AAT1" s="81"/>
      <c r="AAU1" s="81"/>
      <c r="AAV1" s="81"/>
      <c r="AAW1" s="81"/>
      <c r="AAX1" s="81"/>
      <c r="AAY1" s="81"/>
      <c r="AAZ1" s="81"/>
      <c r="ABA1" s="81"/>
      <c r="ABB1" s="81"/>
      <c r="ABC1" s="81"/>
      <c r="ABD1" s="81"/>
      <c r="ABE1" s="81"/>
      <c r="ABF1" s="81"/>
      <c r="ABG1" s="81"/>
      <c r="ABH1" s="81"/>
      <c r="ABI1" s="81"/>
      <c r="ABJ1" s="81"/>
      <c r="ABK1" s="81"/>
      <c r="ABL1" s="81"/>
      <c r="ABM1" s="81"/>
      <c r="ABN1" s="81"/>
      <c r="ABO1" s="81"/>
      <c r="ABP1" s="81"/>
      <c r="ABQ1" s="81"/>
      <c r="ABR1" s="81"/>
      <c r="ABS1" s="81"/>
      <c r="ABT1" s="81"/>
      <c r="ABU1" s="81"/>
      <c r="ABV1" s="81"/>
      <c r="ABW1" s="81"/>
      <c r="ABX1" s="81"/>
      <c r="ABY1" s="81"/>
      <c r="ABZ1" s="81"/>
      <c r="ACA1" s="81"/>
      <c r="ACB1" s="81"/>
      <c r="ACC1" s="81"/>
      <c r="ACD1" s="81"/>
      <c r="ACE1" s="81"/>
      <c r="ACF1" s="81"/>
      <c r="ACG1" s="81"/>
      <c r="ACH1" s="81"/>
      <c r="ACI1" s="81"/>
      <c r="ACJ1" s="81"/>
      <c r="ACK1" s="81"/>
      <c r="ACL1" s="81"/>
      <c r="ACM1" s="81"/>
      <c r="ACN1" s="81"/>
      <c r="ACO1" s="81"/>
      <c r="ACP1" s="81"/>
      <c r="ACQ1" s="81"/>
      <c r="ACR1" s="81"/>
      <c r="ACS1" s="81"/>
      <c r="ACT1" s="81"/>
      <c r="ACU1" s="81"/>
      <c r="ACV1" s="81"/>
      <c r="ACW1" s="81"/>
      <c r="ACX1" s="81"/>
      <c r="ACY1" s="81"/>
      <c r="ACZ1" s="81"/>
      <c r="ADA1" s="81"/>
      <c r="ADB1" s="81"/>
      <c r="ADC1" s="81"/>
      <c r="ADD1" s="81"/>
      <c r="ADE1" s="81"/>
      <c r="ADF1" s="81"/>
      <c r="ADG1" s="81"/>
      <c r="ADH1" s="81"/>
      <c r="ADI1" s="81"/>
      <c r="ADJ1" s="81"/>
      <c r="ADK1" s="81"/>
      <c r="ADL1" s="81"/>
      <c r="ADM1" s="81"/>
      <c r="ADN1" s="81"/>
      <c r="ADO1" s="81"/>
      <c r="ADP1" s="81"/>
      <c r="ADQ1" s="81"/>
      <c r="ADR1" s="81"/>
      <c r="ADS1" s="81"/>
      <c r="ADT1" s="81"/>
      <c r="ADU1" s="81"/>
      <c r="ADV1" s="81"/>
      <c r="ADW1" s="81"/>
      <c r="ADX1" s="81"/>
      <c r="ADY1" s="81"/>
      <c r="ADZ1" s="81"/>
      <c r="AEA1" s="81"/>
      <c r="AEB1" s="81"/>
      <c r="AEC1" s="81"/>
      <c r="AED1" s="81"/>
      <c r="AEE1" s="81"/>
      <c r="AEF1" s="81"/>
      <c r="AEG1" s="81"/>
      <c r="AEH1" s="81"/>
      <c r="AEI1" s="81"/>
      <c r="AEJ1" s="81"/>
      <c r="AEK1" s="81"/>
      <c r="AEL1" s="81"/>
      <c r="AEM1" s="81"/>
      <c r="AEN1" s="81"/>
    </row>
    <row r="2" spans="1:820" s="142" customFormat="1">
      <c r="A2" s="141"/>
      <c r="B2" s="339" t="s">
        <v>234</v>
      </c>
      <c r="C2" s="339"/>
      <c r="D2" s="339"/>
      <c r="E2" s="339"/>
      <c r="F2" s="339"/>
      <c r="G2" s="339"/>
      <c r="H2" s="339"/>
      <c r="I2" s="339"/>
      <c r="J2" s="339"/>
      <c r="K2" s="339"/>
      <c r="L2" s="339"/>
      <c r="M2" s="339"/>
      <c r="N2" s="141"/>
      <c r="O2" s="339" t="s">
        <v>231</v>
      </c>
      <c r="P2" s="339"/>
      <c r="Q2" s="339"/>
      <c r="R2" s="339"/>
      <c r="S2" s="339"/>
      <c r="T2" s="339"/>
      <c r="U2" s="339"/>
      <c r="V2" s="339"/>
      <c r="W2" s="339"/>
      <c r="X2" s="339"/>
      <c r="Y2" s="339"/>
      <c r="Z2" s="339"/>
      <c r="AA2" s="141"/>
      <c r="AB2" s="339" t="s">
        <v>232</v>
      </c>
      <c r="AC2" s="339"/>
      <c r="AD2" s="339"/>
      <c r="AE2" s="339"/>
      <c r="AF2" s="339"/>
      <c r="AG2" s="339"/>
      <c r="AH2" s="339"/>
      <c r="AI2" s="339"/>
      <c r="AJ2" s="339"/>
      <c r="AK2" s="339"/>
      <c r="AL2" s="339"/>
      <c r="AM2" s="339"/>
      <c r="AN2" s="141"/>
      <c r="AO2" s="339" t="s">
        <v>235</v>
      </c>
      <c r="AP2" s="339"/>
      <c r="AQ2" s="339"/>
      <c r="AR2" s="339"/>
      <c r="AS2" s="339"/>
      <c r="AT2" s="339"/>
      <c r="AU2" s="339"/>
      <c r="AV2" s="339"/>
      <c r="AW2" s="339"/>
      <c r="AX2" s="339"/>
      <c r="AY2" s="339"/>
      <c r="AZ2" s="339"/>
      <c r="BA2" s="141"/>
      <c r="BB2" s="339" t="s">
        <v>233</v>
      </c>
      <c r="BC2" s="339"/>
      <c r="BD2" s="339"/>
      <c r="BE2" s="339"/>
      <c r="BF2" s="339"/>
      <c r="BG2" s="339"/>
      <c r="BH2" s="339"/>
      <c r="BI2" s="339"/>
      <c r="BJ2" s="339"/>
      <c r="BK2" s="339"/>
      <c r="BL2" s="339"/>
      <c r="BM2" s="339"/>
      <c r="BN2" s="141"/>
      <c r="BO2" s="339" t="s">
        <v>236</v>
      </c>
      <c r="BP2" s="339"/>
      <c r="BQ2" s="339"/>
      <c r="BR2" s="339"/>
      <c r="BS2" s="339"/>
      <c r="BT2" s="339"/>
      <c r="BU2" s="339"/>
      <c r="BV2" s="339"/>
      <c r="BW2" s="339"/>
      <c r="BX2" s="339"/>
      <c r="BY2" s="339"/>
      <c r="BZ2" s="339"/>
      <c r="CA2" s="141"/>
      <c r="CB2" s="339" t="s">
        <v>782</v>
      </c>
      <c r="CC2" s="339"/>
      <c r="CD2" s="339"/>
      <c r="CE2" s="339"/>
      <c r="CF2" s="339"/>
      <c r="CG2" s="339"/>
      <c r="CH2" s="339"/>
      <c r="CI2" s="339"/>
      <c r="CJ2" s="339"/>
      <c r="CK2" s="339"/>
      <c r="CL2" s="339"/>
      <c r="CM2" s="339"/>
      <c r="CN2" s="141"/>
      <c r="CO2" s="339" t="s">
        <v>237</v>
      </c>
      <c r="CP2" s="339"/>
      <c r="CQ2" s="339"/>
      <c r="CR2" s="339"/>
      <c r="CS2" s="339"/>
      <c r="CT2" s="339"/>
      <c r="CU2" s="339"/>
      <c r="CV2" s="339"/>
      <c r="CW2" s="339"/>
      <c r="CX2" s="339"/>
      <c r="CY2" s="339"/>
      <c r="CZ2" s="339"/>
      <c r="DA2" s="141"/>
      <c r="DB2" s="339" t="s">
        <v>238</v>
      </c>
      <c r="DC2" s="339"/>
      <c r="DD2" s="339"/>
      <c r="DE2" s="339"/>
      <c r="DF2" s="339"/>
      <c r="DG2" s="339"/>
      <c r="DH2" s="339"/>
      <c r="DI2" s="339"/>
      <c r="DJ2" s="339"/>
      <c r="DK2" s="339"/>
      <c r="DL2" s="339"/>
      <c r="DM2" s="339"/>
      <c r="DN2" s="141"/>
      <c r="DO2" s="339" t="s">
        <v>239</v>
      </c>
      <c r="DP2" s="339"/>
      <c r="DQ2" s="339"/>
      <c r="DR2" s="339"/>
      <c r="DS2" s="339"/>
      <c r="DT2" s="339"/>
      <c r="DU2" s="339"/>
      <c r="DV2" s="339"/>
      <c r="DW2" s="339"/>
      <c r="DX2" s="339"/>
      <c r="DY2" s="339"/>
      <c r="DZ2" s="339"/>
      <c r="EA2" s="141"/>
      <c r="EB2" s="339" t="s">
        <v>240</v>
      </c>
      <c r="EC2" s="339"/>
      <c r="ED2" s="339"/>
      <c r="EE2" s="339"/>
      <c r="EF2" s="339"/>
      <c r="EG2" s="339"/>
      <c r="EH2" s="339"/>
      <c r="EI2" s="339"/>
      <c r="EJ2" s="339"/>
      <c r="EK2" s="339"/>
      <c r="EL2" s="339"/>
      <c r="EM2" s="339"/>
      <c r="EN2" s="141"/>
      <c r="EO2" s="339" t="s">
        <v>241</v>
      </c>
      <c r="EP2" s="339"/>
      <c r="EQ2" s="339"/>
      <c r="ER2" s="339"/>
      <c r="ES2" s="339"/>
      <c r="ET2" s="339"/>
      <c r="EU2" s="339"/>
      <c r="EV2" s="339"/>
      <c r="EW2" s="339"/>
      <c r="EX2" s="339"/>
      <c r="EY2" s="339"/>
      <c r="EZ2" s="339"/>
      <c r="FA2" s="141"/>
      <c r="FB2" s="339" t="s">
        <v>242</v>
      </c>
      <c r="FC2" s="339"/>
      <c r="FD2" s="339"/>
      <c r="FE2" s="339"/>
      <c r="FF2" s="339"/>
      <c r="FG2" s="339"/>
      <c r="FH2" s="339"/>
      <c r="FI2" s="339"/>
      <c r="FJ2" s="339"/>
      <c r="FK2" s="339"/>
      <c r="FL2" s="339"/>
      <c r="FM2" s="339"/>
      <c r="FN2" s="141"/>
      <c r="FO2" s="339" t="s">
        <v>243</v>
      </c>
      <c r="FP2" s="339"/>
      <c r="FQ2" s="339"/>
      <c r="FR2" s="339"/>
      <c r="FS2" s="339"/>
      <c r="FT2" s="339"/>
      <c r="FU2" s="339"/>
      <c r="FV2" s="339"/>
      <c r="FW2" s="339"/>
      <c r="FX2" s="339"/>
      <c r="FY2" s="339"/>
      <c r="FZ2" s="339"/>
      <c r="GA2" s="141"/>
      <c r="GB2" s="339" t="s">
        <v>244</v>
      </c>
      <c r="GC2" s="339"/>
      <c r="GD2" s="339"/>
      <c r="GE2" s="339"/>
      <c r="GF2" s="339"/>
      <c r="GG2" s="339"/>
      <c r="GH2" s="339"/>
      <c r="GI2" s="339"/>
      <c r="GJ2" s="339"/>
      <c r="GK2" s="339"/>
      <c r="GL2" s="339"/>
      <c r="GM2" s="339"/>
      <c r="GN2" s="141"/>
      <c r="GO2" s="339" t="s">
        <v>275</v>
      </c>
      <c r="GP2" s="339"/>
      <c r="GQ2" s="339"/>
      <c r="GR2" s="339"/>
      <c r="GS2" s="339"/>
      <c r="GT2" s="339"/>
      <c r="GU2" s="339"/>
      <c r="GV2" s="339"/>
      <c r="GW2" s="339"/>
      <c r="GX2" s="339"/>
      <c r="GY2" s="339"/>
      <c r="GZ2" s="339"/>
      <c r="HA2" s="141"/>
      <c r="HB2" s="339" t="s">
        <v>276</v>
      </c>
      <c r="HC2" s="339"/>
      <c r="HD2" s="339"/>
      <c r="HE2" s="339"/>
      <c r="HF2" s="339"/>
      <c r="HG2" s="339"/>
      <c r="HH2" s="339"/>
      <c r="HI2" s="339"/>
      <c r="HJ2" s="339"/>
      <c r="HK2" s="339"/>
      <c r="HL2" s="339"/>
      <c r="HM2" s="339"/>
      <c r="HN2" s="141"/>
      <c r="HO2" s="339" t="s">
        <v>277</v>
      </c>
      <c r="HP2" s="339"/>
      <c r="HQ2" s="339"/>
      <c r="HR2" s="339"/>
      <c r="HS2" s="339"/>
      <c r="HT2" s="339"/>
      <c r="HU2" s="339"/>
      <c r="HV2" s="339"/>
      <c r="HW2" s="339"/>
      <c r="HX2" s="339"/>
      <c r="HY2" s="339"/>
      <c r="HZ2" s="339"/>
      <c r="IA2" s="141"/>
      <c r="IB2" s="339" t="s">
        <v>783</v>
      </c>
      <c r="IC2" s="339"/>
      <c r="ID2" s="339"/>
      <c r="IE2" s="339"/>
      <c r="IF2" s="339"/>
      <c r="IG2" s="339"/>
      <c r="IH2" s="339"/>
      <c r="II2" s="339"/>
      <c r="IJ2" s="339"/>
      <c r="IK2" s="339"/>
      <c r="IL2" s="339"/>
      <c r="IM2" s="339"/>
      <c r="IN2" s="141"/>
      <c r="IO2" s="339" t="s">
        <v>784</v>
      </c>
      <c r="IP2" s="339"/>
      <c r="IQ2" s="339"/>
      <c r="IR2" s="339"/>
      <c r="IS2" s="339"/>
      <c r="IT2" s="339"/>
      <c r="IU2" s="339"/>
      <c r="IV2" s="339"/>
      <c r="IW2" s="339"/>
      <c r="IX2" s="339"/>
      <c r="IY2" s="339"/>
      <c r="IZ2" s="339"/>
      <c r="JA2" s="141"/>
      <c r="JB2" s="339" t="s">
        <v>785</v>
      </c>
      <c r="JC2" s="339"/>
      <c r="JD2" s="339"/>
      <c r="JE2" s="339"/>
      <c r="JF2" s="339"/>
      <c r="JG2" s="339"/>
      <c r="JH2" s="339"/>
      <c r="JI2" s="339"/>
      <c r="JJ2" s="339"/>
      <c r="JK2" s="339"/>
      <c r="JL2" s="339"/>
      <c r="JM2" s="339"/>
      <c r="JN2" s="141"/>
      <c r="JO2" s="339" t="s">
        <v>278</v>
      </c>
      <c r="JP2" s="339"/>
      <c r="JQ2" s="339"/>
      <c r="JR2" s="339"/>
      <c r="JS2" s="339"/>
      <c r="JT2" s="339"/>
      <c r="JU2" s="339"/>
      <c r="JV2" s="339"/>
      <c r="JW2" s="339"/>
      <c r="JX2" s="339"/>
      <c r="JY2" s="339"/>
      <c r="JZ2" s="339"/>
      <c r="KA2" s="141"/>
      <c r="KB2" s="339" t="s">
        <v>279</v>
      </c>
      <c r="KC2" s="339"/>
      <c r="KD2" s="339"/>
      <c r="KE2" s="339"/>
      <c r="KF2" s="339"/>
      <c r="KG2" s="339"/>
      <c r="KH2" s="339"/>
      <c r="KI2" s="339"/>
      <c r="KJ2" s="339"/>
      <c r="KK2" s="339"/>
      <c r="KL2" s="339"/>
      <c r="KM2" s="339"/>
      <c r="KN2" s="141"/>
      <c r="KO2" s="339" t="s">
        <v>280</v>
      </c>
      <c r="KP2" s="339"/>
      <c r="KQ2" s="339"/>
      <c r="KR2" s="339"/>
      <c r="KS2" s="339"/>
      <c r="KT2" s="339"/>
      <c r="KU2" s="339"/>
      <c r="KV2" s="339"/>
      <c r="KW2" s="339"/>
      <c r="KX2" s="339"/>
      <c r="KY2" s="339"/>
      <c r="KZ2" s="339"/>
      <c r="LA2" s="141"/>
      <c r="LB2" s="339" t="s">
        <v>281</v>
      </c>
      <c r="LC2" s="339"/>
      <c r="LD2" s="339"/>
      <c r="LE2" s="339"/>
      <c r="LF2" s="339"/>
      <c r="LG2" s="339"/>
      <c r="LH2" s="339"/>
      <c r="LI2" s="339"/>
      <c r="LJ2" s="339"/>
      <c r="LK2" s="339"/>
      <c r="LL2" s="339"/>
      <c r="LM2" s="339"/>
      <c r="LN2" s="141"/>
      <c r="LO2" s="339" t="s">
        <v>282</v>
      </c>
      <c r="LP2" s="339"/>
      <c r="LQ2" s="339"/>
      <c r="LR2" s="339"/>
      <c r="LS2" s="339"/>
      <c r="LT2" s="339"/>
      <c r="LU2" s="339"/>
      <c r="LV2" s="339"/>
      <c r="LW2" s="339"/>
      <c r="LX2" s="339"/>
      <c r="LY2" s="339"/>
      <c r="LZ2" s="339"/>
      <c r="MA2" s="141"/>
      <c r="MB2" s="339" t="s">
        <v>283</v>
      </c>
      <c r="MC2" s="339"/>
      <c r="MD2" s="339"/>
      <c r="ME2" s="339"/>
      <c r="MF2" s="339"/>
      <c r="MG2" s="339"/>
      <c r="MH2" s="339"/>
      <c r="MI2" s="339"/>
      <c r="MJ2" s="339"/>
      <c r="MK2" s="339"/>
      <c r="ML2" s="339"/>
      <c r="MM2" s="339"/>
      <c r="MN2" s="141"/>
      <c r="MO2" s="339" t="s">
        <v>284</v>
      </c>
      <c r="MP2" s="339"/>
      <c r="MQ2" s="339"/>
      <c r="MR2" s="339"/>
      <c r="MS2" s="339"/>
      <c r="MT2" s="339"/>
      <c r="MU2" s="339"/>
      <c r="MV2" s="339"/>
      <c r="MW2" s="339"/>
      <c r="MX2" s="339"/>
      <c r="MY2" s="339"/>
      <c r="MZ2" s="339"/>
      <c r="NA2" s="141"/>
      <c r="NB2" s="339" t="s">
        <v>786</v>
      </c>
      <c r="NC2" s="339"/>
      <c r="ND2" s="339"/>
      <c r="NE2" s="339"/>
      <c r="NF2" s="339"/>
      <c r="NG2" s="339"/>
      <c r="NH2" s="339"/>
      <c r="NI2" s="339"/>
      <c r="NJ2" s="339"/>
      <c r="NK2" s="339"/>
      <c r="NL2" s="339"/>
      <c r="NM2" s="339"/>
      <c r="NN2" s="141"/>
      <c r="NO2" s="339" t="s">
        <v>285</v>
      </c>
      <c r="NP2" s="339"/>
      <c r="NQ2" s="339"/>
      <c r="NR2" s="339"/>
      <c r="NS2" s="339"/>
      <c r="NT2" s="339"/>
      <c r="NU2" s="339"/>
      <c r="NV2" s="339"/>
      <c r="NW2" s="339"/>
      <c r="NX2" s="339"/>
      <c r="NY2" s="339"/>
      <c r="NZ2" s="339"/>
      <c r="OA2" s="141"/>
      <c r="OB2" s="339" t="s">
        <v>289</v>
      </c>
      <c r="OC2" s="339"/>
      <c r="OD2" s="339"/>
      <c r="OE2" s="339"/>
      <c r="OF2" s="339"/>
      <c r="OG2" s="339"/>
      <c r="OH2" s="339"/>
      <c r="OI2" s="339"/>
      <c r="OJ2" s="339"/>
      <c r="OK2" s="339"/>
      <c r="OL2" s="339"/>
      <c r="OM2" s="339"/>
      <c r="ON2" s="141"/>
      <c r="OO2" s="339" t="s">
        <v>290</v>
      </c>
      <c r="OP2" s="339"/>
      <c r="OQ2" s="339"/>
      <c r="OR2" s="339"/>
      <c r="OS2" s="339"/>
      <c r="OT2" s="339"/>
      <c r="OU2" s="339"/>
      <c r="OV2" s="339"/>
      <c r="OW2" s="339"/>
      <c r="OX2" s="339"/>
      <c r="OY2" s="339"/>
      <c r="OZ2" s="339"/>
      <c r="PA2" s="141"/>
      <c r="PB2" s="339" t="s">
        <v>291</v>
      </c>
      <c r="PC2" s="339"/>
      <c r="PD2" s="339"/>
      <c r="PE2" s="339"/>
      <c r="PF2" s="339"/>
      <c r="PG2" s="339"/>
      <c r="PH2" s="339"/>
      <c r="PI2" s="339"/>
      <c r="PJ2" s="339"/>
      <c r="PK2" s="339"/>
      <c r="PL2" s="339"/>
      <c r="PM2" s="339"/>
      <c r="PN2" s="141"/>
      <c r="PO2" s="339" t="s">
        <v>293</v>
      </c>
      <c r="PP2" s="339"/>
      <c r="PQ2" s="339"/>
      <c r="PR2" s="339"/>
      <c r="PS2" s="339"/>
      <c r="PT2" s="339"/>
      <c r="PU2" s="339"/>
      <c r="PV2" s="339"/>
      <c r="PW2" s="339"/>
      <c r="PX2" s="339"/>
      <c r="PY2" s="339"/>
      <c r="PZ2" s="339"/>
      <c r="QA2" s="141"/>
      <c r="QB2" s="339" t="s">
        <v>294</v>
      </c>
      <c r="QC2" s="339"/>
      <c r="QD2" s="339"/>
      <c r="QE2" s="339"/>
      <c r="QF2" s="339"/>
      <c r="QG2" s="339"/>
      <c r="QH2" s="339"/>
      <c r="QI2" s="339"/>
      <c r="QJ2" s="339"/>
      <c r="QK2" s="339"/>
      <c r="QL2" s="339"/>
      <c r="QM2" s="339"/>
      <c r="QN2" s="141"/>
      <c r="QO2" s="339" t="s">
        <v>295</v>
      </c>
      <c r="QP2" s="339"/>
      <c r="QQ2" s="339"/>
      <c r="QR2" s="339"/>
      <c r="QS2" s="339"/>
      <c r="QT2" s="339"/>
      <c r="QU2" s="339"/>
      <c r="QV2" s="339"/>
      <c r="QW2" s="339"/>
      <c r="QX2" s="339"/>
      <c r="QY2" s="339"/>
      <c r="QZ2" s="339"/>
      <c r="RA2" s="141"/>
      <c r="RB2" s="339" t="s">
        <v>296</v>
      </c>
      <c r="RC2" s="339"/>
      <c r="RD2" s="339"/>
      <c r="RE2" s="339"/>
      <c r="RF2" s="339"/>
      <c r="RG2" s="339"/>
      <c r="RH2" s="339"/>
      <c r="RI2" s="339"/>
      <c r="RJ2" s="339"/>
      <c r="RK2" s="339"/>
      <c r="RL2" s="339"/>
      <c r="RM2" s="339"/>
      <c r="RN2" s="141"/>
      <c r="RO2" s="339" t="s">
        <v>297</v>
      </c>
      <c r="RP2" s="339"/>
      <c r="RQ2" s="339"/>
      <c r="RR2" s="339"/>
      <c r="RS2" s="339"/>
      <c r="RT2" s="339"/>
      <c r="RU2" s="339"/>
      <c r="RV2" s="339"/>
      <c r="RW2" s="339"/>
      <c r="RX2" s="339"/>
      <c r="RY2" s="339"/>
      <c r="RZ2" s="339"/>
      <c r="SA2" s="141"/>
      <c r="SB2" s="339" t="s">
        <v>298</v>
      </c>
      <c r="SC2" s="339"/>
      <c r="SD2" s="339"/>
      <c r="SE2" s="339"/>
      <c r="SF2" s="339"/>
      <c r="SG2" s="339"/>
      <c r="SH2" s="339"/>
      <c r="SI2" s="339"/>
      <c r="SJ2" s="339"/>
      <c r="SK2" s="339"/>
      <c r="SL2" s="339"/>
      <c r="SM2" s="339"/>
      <c r="SN2" s="141"/>
      <c r="SO2" s="339" t="s">
        <v>787</v>
      </c>
      <c r="SP2" s="339"/>
      <c r="SQ2" s="339"/>
      <c r="SR2" s="339"/>
      <c r="SS2" s="339"/>
      <c r="ST2" s="339"/>
      <c r="SU2" s="339"/>
      <c r="SV2" s="339"/>
      <c r="SW2" s="339"/>
      <c r="SX2" s="339"/>
      <c r="SY2" s="339"/>
      <c r="SZ2" s="339"/>
      <c r="TA2" s="141"/>
      <c r="TB2" s="339" t="s">
        <v>788</v>
      </c>
      <c r="TC2" s="339"/>
      <c r="TD2" s="339"/>
      <c r="TE2" s="339"/>
      <c r="TF2" s="339"/>
      <c r="TG2" s="339"/>
      <c r="TH2" s="339"/>
      <c r="TI2" s="339"/>
      <c r="TJ2" s="339"/>
      <c r="TK2" s="339"/>
      <c r="TL2" s="339"/>
      <c r="TM2" s="339"/>
      <c r="TN2" s="141"/>
      <c r="TO2" s="339" t="s">
        <v>789</v>
      </c>
      <c r="TP2" s="339"/>
      <c r="TQ2" s="339"/>
      <c r="TR2" s="339"/>
      <c r="TS2" s="339"/>
      <c r="TT2" s="339"/>
      <c r="TU2" s="339"/>
      <c r="TV2" s="339"/>
      <c r="TW2" s="339"/>
      <c r="TX2" s="339"/>
      <c r="TY2" s="339"/>
      <c r="TZ2" s="339"/>
      <c r="UA2" s="141"/>
      <c r="UB2" s="339" t="s">
        <v>299</v>
      </c>
      <c r="UC2" s="339"/>
      <c r="UD2" s="339"/>
      <c r="UE2" s="339"/>
      <c r="UF2" s="339"/>
      <c r="UG2" s="339"/>
      <c r="UH2" s="339"/>
      <c r="UI2" s="339"/>
      <c r="UJ2" s="339"/>
      <c r="UK2" s="339"/>
      <c r="UL2" s="339"/>
      <c r="UM2" s="339"/>
      <c r="UN2" s="141"/>
      <c r="UO2" s="339" t="s">
        <v>300</v>
      </c>
      <c r="UP2" s="339"/>
      <c r="UQ2" s="339"/>
      <c r="UR2" s="339"/>
      <c r="US2" s="339"/>
      <c r="UT2" s="339"/>
      <c r="UU2" s="339"/>
      <c r="UV2" s="339"/>
      <c r="UW2" s="339"/>
      <c r="UX2" s="339"/>
      <c r="UY2" s="339"/>
      <c r="UZ2" s="339"/>
      <c r="VA2" s="141"/>
      <c r="VB2" s="339" t="s">
        <v>301</v>
      </c>
      <c r="VC2" s="339"/>
      <c r="VD2" s="339"/>
      <c r="VE2" s="339"/>
      <c r="VF2" s="339"/>
      <c r="VG2" s="339"/>
      <c r="VH2" s="339"/>
      <c r="VI2" s="339"/>
      <c r="VJ2" s="339"/>
      <c r="VK2" s="339"/>
      <c r="VL2" s="339"/>
      <c r="VM2" s="339"/>
      <c r="VN2" s="141"/>
      <c r="VO2" s="339" t="s">
        <v>302</v>
      </c>
      <c r="VP2" s="339"/>
      <c r="VQ2" s="339"/>
      <c r="VR2" s="339"/>
      <c r="VS2" s="339"/>
      <c r="VT2" s="339"/>
      <c r="VU2" s="339"/>
      <c r="VV2" s="339"/>
      <c r="VW2" s="339"/>
      <c r="VX2" s="339"/>
      <c r="VY2" s="339"/>
      <c r="VZ2" s="339"/>
      <c r="WA2" s="141"/>
      <c r="WB2" s="339" t="s">
        <v>303</v>
      </c>
      <c r="WC2" s="339"/>
      <c r="WD2" s="339"/>
      <c r="WE2" s="339"/>
      <c r="WF2" s="339"/>
      <c r="WG2" s="339"/>
      <c r="WH2" s="339"/>
      <c r="WI2" s="339"/>
      <c r="WJ2" s="339"/>
      <c r="WK2" s="339"/>
      <c r="WL2" s="339"/>
      <c r="WM2" s="339"/>
      <c r="WN2" s="141"/>
      <c r="WO2" s="339" t="s">
        <v>304</v>
      </c>
      <c r="WP2" s="339"/>
      <c r="WQ2" s="339"/>
      <c r="WR2" s="339"/>
      <c r="WS2" s="339"/>
      <c r="WT2" s="339"/>
      <c r="WU2" s="339"/>
      <c r="WV2" s="339"/>
      <c r="WW2" s="339"/>
      <c r="WX2" s="339"/>
      <c r="WY2" s="339"/>
      <c r="WZ2" s="339"/>
      <c r="XA2" s="141"/>
      <c r="XB2" s="339" t="s">
        <v>306</v>
      </c>
      <c r="XC2" s="339"/>
      <c r="XD2" s="339"/>
      <c r="XE2" s="339"/>
      <c r="XF2" s="339"/>
      <c r="XG2" s="339"/>
      <c r="XH2" s="339"/>
      <c r="XI2" s="339"/>
      <c r="XJ2" s="339"/>
      <c r="XK2" s="339"/>
      <c r="XL2" s="339"/>
      <c r="XM2" s="339"/>
      <c r="XN2" s="141"/>
      <c r="XO2" s="339" t="s">
        <v>305</v>
      </c>
      <c r="XP2" s="339"/>
      <c r="XQ2" s="339"/>
      <c r="XR2" s="339"/>
      <c r="XS2" s="339"/>
      <c r="XT2" s="339"/>
      <c r="XU2" s="339"/>
      <c r="XV2" s="339"/>
      <c r="XW2" s="339"/>
      <c r="XX2" s="339"/>
      <c r="XY2" s="339"/>
      <c r="XZ2" s="339"/>
      <c r="YA2" s="141"/>
      <c r="YB2" s="339" t="s">
        <v>307</v>
      </c>
      <c r="YC2" s="339"/>
      <c r="YD2" s="339"/>
      <c r="YE2" s="339"/>
      <c r="YF2" s="339"/>
      <c r="YG2" s="339"/>
      <c r="YH2" s="339"/>
      <c r="YI2" s="339"/>
      <c r="YJ2" s="339"/>
      <c r="YK2" s="339"/>
      <c r="YL2" s="339"/>
      <c r="YM2" s="339"/>
      <c r="YN2" s="141"/>
      <c r="YO2" s="339" t="s">
        <v>308</v>
      </c>
      <c r="YP2" s="339"/>
      <c r="YQ2" s="339"/>
      <c r="YR2" s="339"/>
      <c r="YS2" s="339"/>
      <c r="YT2" s="339"/>
      <c r="YU2" s="339"/>
      <c r="YV2" s="339"/>
      <c r="YW2" s="339"/>
      <c r="YX2" s="339"/>
      <c r="YY2" s="339"/>
      <c r="YZ2" s="339"/>
      <c r="ZA2" s="141"/>
      <c r="ZB2" s="339" t="s">
        <v>309</v>
      </c>
      <c r="ZC2" s="339"/>
      <c r="ZD2" s="339"/>
      <c r="ZE2" s="339"/>
      <c r="ZF2" s="339"/>
      <c r="ZG2" s="339"/>
      <c r="ZH2" s="339"/>
      <c r="ZI2" s="339"/>
      <c r="ZJ2" s="339"/>
      <c r="ZK2" s="339"/>
      <c r="ZL2" s="339"/>
      <c r="ZM2" s="339"/>
      <c r="ZN2" s="141"/>
      <c r="ZO2" s="339" t="s">
        <v>310</v>
      </c>
      <c r="ZP2" s="339"/>
      <c r="ZQ2" s="339"/>
      <c r="ZR2" s="339"/>
      <c r="ZS2" s="339"/>
      <c r="ZT2" s="339"/>
      <c r="ZU2" s="339"/>
      <c r="ZV2" s="339"/>
      <c r="ZW2" s="339"/>
      <c r="ZX2" s="339"/>
      <c r="ZY2" s="339"/>
      <c r="ZZ2" s="339"/>
      <c r="AAA2" s="141"/>
      <c r="AAB2" s="339" t="s">
        <v>311</v>
      </c>
      <c r="AAC2" s="339"/>
      <c r="AAD2" s="339"/>
      <c r="AAE2" s="339"/>
      <c r="AAF2" s="339"/>
      <c r="AAG2" s="339"/>
      <c r="AAH2" s="339"/>
      <c r="AAI2" s="339"/>
      <c r="AAJ2" s="339"/>
      <c r="AAK2" s="339"/>
      <c r="AAL2" s="339"/>
      <c r="AAM2" s="339"/>
      <c r="AAN2" s="141"/>
      <c r="AAO2" s="339" t="s">
        <v>312</v>
      </c>
      <c r="AAP2" s="339"/>
      <c r="AAQ2" s="339"/>
      <c r="AAR2" s="339"/>
      <c r="AAS2" s="339"/>
      <c r="AAT2" s="339"/>
      <c r="AAU2" s="339"/>
      <c r="AAV2" s="339"/>
      <c r="AAW2" s="339"/>
      <c r="AAX2" s="339"/>
      <c r="AAY2" s="339"/>
      <c r="AAZ2" s="339"/>
      <c r="ABA2" s="141"/>
      <c r="ABB2" s="339" t="s">
        <v>313</v>
      </c>
      <c r="ABC2" s="339"/>
      <c r="ABD2" s="339"/>
      <c r="ABE2" s="339"/>
      <c r="ABF2" s="339"/>
      <c r="ABG2" s="339"/>
      <c r="ABH2" s="339"/>
      <c r="ABI2" s="339"/>
      <c r="ABJ2" s="339"/>
      <c r="ABK2" s="339"/>
      <c r="ABL2" s="339"/>
      <c r="ABM2" s="339"/>
      <c r="ABN2" s="141"/>
      <c r="ABO2" s="339" t="s">
        <v>314</v>
      </c>
      <c r="ABP2" s="339"/>
      <c r="ABQ2" s="339"/>
      <c r="ABR2" s="339"/>
      <c r="ABS2" s="339"/>
      <c r="ABT2" s="339"/>
      <c r="ABU2" s="339"/>
      <c r="ABV2" s="339"/>
      <c r="ABW2" s="339"/>
      <c r="ABX2" s="339"/>
      <c r="ABY2" s="339"/>
      <c r="ABZ2" s="339"/>
      <c r="ACA2" s="141"/>
      <c r="ACB2" s="339" t="s">
        <v>315</v>
      </c>
      <c r="ACC2" s="339"/>
      <c r="ACD2" s="339"/>
      <c r="ACE2" s="339"/>
      <c r="ACF2" s="339"/>
      <c r="ACG2" s="339"/>
      <c r="ACH2" s="339"/>
      <c r="ACI2" s="339"/>
      <c r="ACJ2" s="339"/>
      <c r="ACK2" s="339"/>
      <c r="ACL2" s="339"/>
      <c r="ACM2" s="339"/>
      <c r="ACN2" s="141"/>
      <c r="ACO2" s="339" t="s">
        <v>316</v>
      </c>
      <c r="ACP2" s="339"/>
      <c r="ACQ2" s="339"/>
      <c r="ACR2" s="339"/>
      <c r="ACS2" s="339"/>
      <c r="ACT2" s="339"/>
      <c r="ACU2" s="339"/>
      <c r="ACV2" s="339"/>
      <c r="ACW2" s="339"/>
      <c r="ACX2" s="339"/>
      <c r="ACY2" s="339"/>
      <c r="ACZ2" s="339"/>
      <c r="ADA2" s="141"/>
      <c r="ADB2" s="339" t="s">
        <v>790</v>
      </c>
      <c r="ADC2" s="339"/>
      <c r="ADD2" s="339"/>
      <c r="ADE2" s="339"/>
      <c r="ADF2" s="339"/>
      <c r="ADG2" s="339"/>
      <c r="ADH2" s="339"/>
      <c r="ADI2" s="339"/>
      <c r="ADJ2" s="339"/>
      <c r="ADK2" s="339"/>
      <c r="ADL2" s="339"/>
      <c r="ADM2" s="339"/>
      <c r="ADN2" s="141"/>
      <c r="ADO2" s="339" t="s">
        <v>791</v>
      </c>
      <c r="ADP2" s="339"/>
      <c r="ADQ2" s="339"/>
      <c r="ADR2" s="339"/>
      <c r="ADS2" s="339"/>
      <c r="ADT2" s="339"/>
      <c r="ADU2" s="339"/>
      <c r="ADV2" s="339"/>
      <c r="ADW2" s="339"/>
      <c r="ADX2" s="339"/>
      <c r="ADY2" s="339"/>
      <c r="ADZ2" s="339"/>
      <c r="AEA2" s="141"/>
      <c r="AEB2" s="339" t="s">
        <v>792</v>
      </c>
      <c r="AEC2" s="339"/>
      <c r="AED2" s="339"/>
      <c r="AEE2" s="339"/>
      <c r="AEF2" s="339"/>
      <c r="AEG2" s="339"/>
      <c r="AEH2" s="339"/>
      <c r="AEI2" s="339"/>
      <c r="AEJ2" s="339"/>
      <c r="AEK2" s="339"/>
      <c r="AEL2" s="339"/>
      <c r="AEM2" s="339"/>
      <c r="AEN2" s="141"/>
    </row>
    <row r="3" spans="1:820">
      <c r="A3" s="81"/>
      <c r="B3" s="11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11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11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111"/>
      <c r="AP3" s="81"/>
      <c r="AQ3" s="81"/>
      <c r="AR3" s="81"/>
      <c r="AS3" s="81"/>
      <c r="AT3" s="81"/>
      <c r="AU3" s="81"/>
      <c r="AV3" s="81"/>
      <c r="AW3" s="81"/>
      <c r="AX3" s="81"/>
      <c r="AY3" s="81"/>
      <c r="AZ3" s="81"/>
      <c r="BA3" s="81"/>
      <c r="BB3" s="111"/>
      <c r="BC3" s="81"/>
      <c r="BD3" s="81"/>
      <c r="BE3" s="81"/>
      <c r="BF3" s="81"/>
      <c r="BG3" s="81"/>
      <c r="BH3" s="81"/>
      <c r="BI3" s="81"/>
      <c r="BJ3" s="81"/>
      <c r="BK3" s="81"/>
      <c r="BL3" s="81"/>
      <c r="BM3" s="81"/>
      <c r="BN3" s="81"/>
      <c r="BO3" s="111"/>
      <c r="BP3" s="81"/>
      <c r="BQ3" s="81"/>
      <c r="BR3" s="81"/>
      <c r="BS3" s="81"/>
      <c r="BT3" s="81"/>
      <c r="BU3" s="81"/>
      <c r="BV3" s="81"/>
      <c r="BW3" s="81"/>
      <c r="BX3" s="81"/>
      <c r="BY3" s="81"/>
      <c r="BZ3" s="81"/>
      <c r="CA3" s="81"/>
      <c r="CB3" s="111"/>
      <c r="CC3" s="81"/>
      <c r="CD3" s="81"/>
      <c r="CE3" s="81"/>
      <c r="CF3" s="81"/>
      <c r="CG3" s="81"/>
      <c r="CH3" s="81"/>
      <c r="CI3" s="81"/>
      <c r="CJ3" s="81"/>
      <c r="CK3" s="81"/>
      <c r="CL3" s="81"/>
      <c r="CM3" s="81"/>
      <c r="CN3" s="81"/>
      <c r="CO3" s="111"/>
      <c r="CP3" s="81"/>
      <c r="CQ3" s="81"/>
      <c r="CR3" s="81"/>
      <c r="CS3" s="81"/>
      <c r="CT3" s="81"/>
      <c r="CU3" s="81"/>
      <c r="CV3" s="81"/>
      <c r="CW3" s="81"/>
      <c r="CX3" s="81"/>
      <c r="CY3" s="81"/>
      <c r="CZ3" s="81"/>
      <c r="DA3" s="81"/>
      <c r="DB3" s="111"/>
      <c r="DC3" s="81"/>
      <c r="DD3" s="81"/>
      <c r="DE3" s="81"/>
      <c r="DF3" s="81"/>
      <c r="DG3" s="81"/>
      <c r="DH3" s="81"/>
      <c r="DI3" s="81"/>
      <c r="DJ3" s="81"/>
      <c r="DK3" s="81"/>
      <c r="DL3" s="81"/>
      <c r="DM3" s="81"/>
      <c r="DN3" s="81"/>
      <c r="DO3" s="111"/>
      <c r="DP3" s="81"/>
      <c r="DQ3" s="81"/>
      <c r="DR3" s="81"/>
      <c r="DS3" s="81"/>
      <c r="DT3" s="81"/>
      <c r="DU3" s="81"/>
      <c r="DV3" s="81"/>
      <c r="DW3" s="81"/>
      <c r="DX3" s="81"/>
      <c r="DY3" s="81"/>
      <c r="DZ3" s="81"/>
      <c r="EA3" s="81"/>
      <c r="EB3" s="111"/>
      <c r="EC3" s="81"/>
      <c r="ED3" s="81"/>
      <c r="EE3" s="81"/>
      <c r="EF3" s="81"/>
      <c r="EG3" s="81"/>
      <c r="EH3" s="81"/>
      <c r="EI3" s="81"/>
      <c r="EJ3" s="81"/>
      <c r="EK3" s="81"/>
      <c r="EL3" s="81"/>
      <c r="EM3" s="81"/>
      <c r="EN3" s="81"/>
      <c r="EO3" s="111"/>
      <c r="EP3" s="81"/>
      <c r="EQ3" s="81"/>
      <c r="ER3" s="81"/>
      <c r="ES3" s="81"/>
      <c r="ET3" s="81"/>
      <c r="EU3" s="81"/>
      <c r="EV3" s="81"/>
      <c r="EW3" s="81"/>
      <c r="EX3" s="81"/>
      <c r="EY3" s="81"/>
      <c r="EZ3" s="81"/>
      <c r="FA3" s="81"/>
      <c r="FB3" s="111"/>
      <c r="FC3" s="81"/>
      <c r="FD3" s="81"/>
      <c r="FE3" s="81"/>
      <c r="FF3" s="81"/>
      <c r="FG3" s="81"/>
      <c r="FH3" s="81"/>
      <c r="FI3" s="81"/>
      <c r="FJ3" s="81"/>
      <c r="FK3" s="81"/>
      <c r="FL3" s="81"/>
      <c r="FM3" s="81"/>
      <c r="FN3" s="81"/>
      <c r="FO3" s="111"/>
      <c r="FP3" s="81"/>
      <c r="FQ3" s="81"/>
      <c r="FR3" s="81"/>
      <c r="FS3" s="81"/>
      <c r="FT3" s="81"/>
      <c r="FU3" s="81"/>
      <c r="FV3" s="81"/>
      <c r="FW3" s="81"/>
      <c r="FX3" s="81"/>
      <c r="FY3" s="81"/>
      <c r="FZ3" s="81"/>
      <c r="GA3" s="81"/>
      <c r="GB3" s="111"/>
      <c r="GC3" s="81"/>
      <c r="GD3" s="81"/>
      <c r="GE3" s="81"/>
      <c r="GF3" s="81"/>
      <c r="GG3" s="81"/>
      <c r="GH3" s="81"/>
      <c r="GI3" s="81"/>
      <c r="GJ3" s="81"/>
      <c r="GK3" s="81"/>
      <c r="GL3" s="81"/>
      <c r="GM3" s="81"/>
      <c r="GN3" s="81"/>
      <c r="GO3" s="111"/>
      <c r="GP3" s="81"/>
      <c r="GQ3" s="81"/>
      <c r="GR3" s="81"/>
      <c r="GS3" s="81"/>
      <c r="GT3" s="81"/>
      <c r="GU3" s="81"/>
      <c r="GV3" s="81"/>
      <c r="GW3" s="81"/>
      <c r="GX3" s="81"/>
      <c r="GY3" s="81"/>
      <c r="GZ3" s="81"/>
      <c r="HA3" s="81"/>
      <c r="HB3" s="111"/>
      <c r="HC3" s="81"/>
      <c r="HD3" s="81"/>
      <c r="HE3" s="81"/>
      <c r="HF3" s="81"/>
      <c r="HG3" s="81"/>
      <c r="HH3" s="81"/>
      <c r="HI3" s="81"/>
      <c r="HJ3" s="81"/>
      <c r="HK3" s="81"/>
      <c r="HL3" s="81"/>
      <c r="HM3" s="81"/>
      <c r="HN3" s="81"/>
      <c r="HO3" s="111"/>
      <c r="HP3" s="81"/>
      <c r="HQ3" s="81"/>
      <c r="HR3" s="81"/>
      <c r="HS3" s="81"/>
      <c r="HT3" s="81"/>
      <c r="HU3" s="81"/>
      <c r="HV3" s="81"/>
      <c r="HW3" s="81"/>
      <c r="HX3" s="81"/>
      <c r="HY3" s="81"/>
      <c r="HZ3" s="81"/>
      <c r="IA3" s="81"/>
      <c r="IB3" s="111"/>
      <c r="IC3" s="81"/>
      <c r="ID3" s="81"/>
      <c r="IE3" s="81"/>
      <c r="IF3" s="81"/>
      <c r="IG3" s="81"/>
      <c r="IH3" s="81"/>
      <c r="II3" s="81"/>
      <c r="IJ3" s="81"/>
      <c r="IK3" s="81"/>
      <c r="IL3" s="81"/>
      <c r="IM3" s="81"/>
      <c r="IN3" s="81"/>
      <c r="IO3" s="111"/>
      <c r="IP3" s="81"/>
      <c r="IQ3" s="81"/>
      <c r="IR3" s="81"/>
      <c r="IS3" s="81"/>
      <c r="IT3" s="81"/>
      <c r="IU3" s="81"/>
      <c r="IV3" s="81"/>
      <c r="IW3" s="81"/>
      <c r="IX3" s="81"/>
      <c r="IY3" s="81"/>
      <c r="IZ3" s="81"/>
      <c r="JA3" s="81"/>
      <c r="JB3" s="111"/>
      <c r="JC3" s="81"/>
      <c r="JD3" s="81"/>
      <c r="JE3" s="81"/>
      <c r="JF3" s="81"/>
      <c r="JG3" s="81"/>
      <c r="JH3" s="81"/>
      <c r="JI3" s="81"/>
      <c r="JJ3" s="81"/>
      <c r="JK3" s="81"/>
      <c r="JL3" s="81"/>
      <c r="JM3" s="81"/>
      <c r="JN3" s="81"/>
      <c r="JO3" s="111"/>
      <c r="JP3" s="81"/>
      <c r="JQ3" s="81"/>
      <c r="JR3" s="81"/>
      <c r="JS3" s="81"/>
      <c r="JT3" s="81"/>
      <c r="JU3" s="81"/>
      <c r="JV3" s="81"/>
      <c r="JW3" s="81"/>
      <c r="JX3" s="81"/>
      <c r="JY3" s="81"/>
      <c r="JZ3" s="81"/>
      <c r="KA3" s="81"/>
      <c r="KB3" s="111"/>
      <c r="KC3" s="81"/>
      <c r="KD3" s="81"/>
      <c r="KE3" s="81"/>
      <c r="KF3" s="81"/>
      <c r="KG3" s="81"/>
      <c r="KH3" s="81"/>
      <c r="KI3" s="81"/>
      <c r="KJ3" s="81"/>
      <c r="KK3" s="81"/>
      <c r="KL3" s="81"/>
      <c r="KM3" s="81"/>
      <c r="KN3" s="81"/>
      <c r="KO3" s="111"/>
      <c r="KP3" s="81"/>
      <c r="KQ3" s="81"/>
      <c r="KR3" s="81"/>
      <c r="KS3" s="81"/>
      <c r="KT3" s="81"/>
      <c r="KU3" s="81"/>
      <c r="KV3" s="81"/>
      <c r="KW3" s="81"/>
      <c r="KX3" s="81"/>
      <c r="KY3" s="81"/>
      <c r="KZ3" s="81"/>
      <c r="LA3" s="81"/>
      <c r="LB3" s="111"/>
      <c r="LC3" s="81"/>
      <c r="LD3" s="81"/>
      <c r="LE3" s="81"/>
      <c r="LF3" s="81"/>
      <c r="LG3" s="81"/>
      <c r="LH3" s="81"/>
      <c r="LI3" s="81"/>
      <c r="LJ3" s="81"/>
      <c r="LK3" s="81"/>
      <c r="LL3" s="81"/>
      <c r="LM3" s="81"/>
      <c r="LN3" s="81"/>
      <c r="LO3" s="111"/>
      <c r="LP3" s="81"/>
      <c r="LQ3" s="81"/>
      <c r="LR3" s="81"/>
      <c r="LS3" s="81"/>
      <c r="LT3" s="81"/>
      <c r="LU3" s="81"/>
      <c r="LV3" s="81"/>
      <c r="LW3" s="81"/>
      <c r="LX3" s="81"/>
      <c r="LY3" s="81"/>
      <c r="LZ3" s="81"/>
      <c r="MA3" s="81"/>
      <c r="MB3" s="111"/>
      <c r="MC3" s="81"/>
      <c r="MD3" s="81"/>
      <c r="ME3" s="81"/>
      <c r="MF3" s="81"/>
      <c r="MG3" s="81"/>
      <c r="MH3" s="81"/>
      <c r="MI3" s="81"/>
      <c r="MJ3" s="81"/>
      <c r="MK3" s="81"/>
      <c r="ML3" s="81"/>
      <c r="MM3" s="81"/>
      <c r="MN3" s="81"/>
      <c r="MO3" s="111"/>
      <c r="MP3" s="81"/>
      <c r="MQ3" s="81"/>
      <c r="MR3" s="81"/>
      <c r="MS3" s="81"/>
      <c r="MT3" s="81"/>
      <c r="MU3" s="81"/>
      <c r="MV3" s="81"/>
      <c r="MW3" s="81"/>
      <c r="MX3" s="81"/>
      <c r="MY3" s="81"/>
      <c r="MZ3" s="81"/>
      <c r="NA3" s="81"/>
      <c r="NB3" s="111"/>
      <c r="NC3" s="81"/>
      <c r="ND3" s="81"/>
      <c r="NE3" s="81"/>
      <c r="NF3" s="81"/>
      <c r="NG3" s="81"/>
      <c r="NH3" s="81"/>
      <c r="NI3" s="81"/>
      <c r="NJ3" s="81"/>
      <c r="NK3" s="81"/>
      <c r="NL3" s="81"/>
      <c r="NM3" s="81"/>
      <c r="NN3" s="81"/>
      <c r="NO3" s="111"/>
      <c r="NP3" s="81"/>
      <c r="NQ3" s="81"/>
      <c r="NR3" s="81"/>
      <c r="NS3" s="81"/>
      <c r="NT3" s="81"/>
      <c r="NU3" s="81"/>
      <c r="NV3" s="81"/>
      <c r="NW3" s="81"/>
      <c r="NX3" s="81"/>
      <c r="NY3" s="81"/>
      <c r="NZ3" s="81"/>
      <c r="OA3" s="81"/>
      <c r="OB3" s="111"/>
      <c r="OC3" s="81"/>
      <c r="OD3" s="81"/>
      <c r="OE3" s="81"/>
      <c r="OF3" s="81"/>
      <c r="OG3" s="81"/>
      <c r="OH3" s="81"/>
      <c r="OI3" s="81"/>
      <c r="OJ3" s="81"/>
      <c r="OK3" s="81"/>
      <c r="OL3" s="81"/>
      <c r="OM3" s="81"/>
      <c r="ON3" s="81"/>
      <c r="OO3" s="111"/>
      <c r="OP3" s="81"/>
      <c r="OQ3" s="81"/>
      <c r="OR3" s="81"/>
      <c r="OS3" s="81"/>
      <c r="OT3" s="81"/>
      <c r="OU3" s="81"/>
      <c r="OV3" s="81"/>
      <c r="OW3" s="81"/>
      <c r="OX3" s="81"/>
      <c r="OY3" s="81"/>
      <c r="OZ3" s="81"/>
      <c r="PA3" s="81"/>
      <c r="PB3" s="111"/>
      <c r="PC3" s="81"/>
      <c r="PD3" s="81"/>
      <c r="PE3" s="81"/>
      <c r="PF3" s="81"/>
      <c r="PG3" s="81"/>
      <c r="PH3" s="81"/>
      <c r="PI3" s="81"/>
      <c r="PJ3" s="81"/>
      <c r="PK3" s="81"/>
      <c r="PL3" s="81"/>
      <c r="PM3" s="81"/>
      <c r="PN3" s="81"/>
      <c r="PO3" s="111"/>
      <c r="PP3" s="81"/>
      <c r="PQ3" s="81"/>
      <c r="PR3" s="81"/>
      <c r="PS3" s="81"/>
      <c r="PT3" s="81"/>
      <c r="PU3" s="81"/>
      <c r="PV3" s="81"/>
      <c r="PW3" s="81"/>
      <c r="PX3" s="81"/>
      <c r="PY3" s="81"/>
      <c r="PZ3" s="81"/>
      <c r="QA3" s="81"/>
      <c r="QB3" s="111"/>
      <c r="QC3" s="81"/>
      <c r="QD3" s="81"/>
      <c r="QE3" s="81"/>
      <c r="QF3" s="81"/>
      <c r="QG3" s="81"/>
      <c r="QH3" s="81"/>
      <c r="QI3" s="81"/>
      <c r="QJ3" s="81"/>
      <c r="QK3" s="81"/>
      <c r="QL3" s="81"/>
      <c r="QM3" s="81"/>
      <c r="QN3" s="81"/>
      <c r="QO3" s="111"/>
      <c r="QP3" s="81"/>
      <c r="QQ3" s="81"/>
      <c r="QR3" s="81"/>
      <c r="QS3" s="81"/>
      <c r="QT3" s="81"/>
      <c r="QU3" s="81"/>
      <c r="QV3" s="81"/>
      <c r="QW3" s="81"/>
      <c r="QX3" s="81"/>
      <c r="QY3" s="81"/>
      <c r="QZ3" s="81"/>
      <c r="RA3" s="81"/>
      <c r="RB3" s="111"/>
      <c r="RC3" s="81"/>
      <c r="RD3" s="81"/>
      <c r="RE3" s="81"/>
      <c r="RF3" s="81"/>
      <c r="RG3" s="81"/>
      <c r="RH3" s="81"/>
      <c r="RI3" s="81"/>
      <c r="RJ3" s="81"/>
      <c r="RK3" s="81"/>
      <c r="RL3" s="81"/>
      <c r="RM3" s="81"/>
      <c r="RN3" s="81"/>
      <c r="RO3" s="111"/>
      <c r="RP3" s="81"/>
      <c r="RQ3" s="81"/>
      <c r="RR3" s="81"/>
      <c r="RS3" s="81"/>
      <c r="RT3" s="81"/>
      <c r="RU3" s="81"/>
      <c r="RV3" s="81"/>
      <c r="RW3" s="81"/>
      <c r="RX3" s="81"/>
      <c r="RY3" s="81"/>
      <c r="RZ3" s="81"/>
      <c r="SA3" s="81"/>
      <c r="SB3" s="111"/>
      <c r="SC3" s="81"/>
      <c r="SD3" s="81"/>
      <c r="SE3" s="81"/>
      <c r="SF3" s="81"/>
      <c r="SG3" s="81"/>
      <c r="SH3" s="81"/>
      <c r="SI3" s="81"/>
      <c r="SJ3" s="81"/>
      <c r="SK3" s="81"/>
      <c r="SL3" s="81"/>
      <c r="SM3" s="81"/>
      <c r="SN3" s="81"/>
      <c r="SO3" s="111"/>
      <c r="SP3" s="81"/>
      <c r="SQ3" s="81"/>
      <c r="SR3" s="81"/>
      <c r="SS3" s="81"/>
      <c r="ST3" s="81"/>
      <c r="SU3" s="81"/>
      <c r="SV3" s="81"/>
      <c r="SW3" s="81"/>
      <c r="SX3" s="81"/>
      <c r="SY3" s="81"/>
      <c r="SZ3" s="81"/>
      <c r="TA3" s="81"/>
      <c r="TB3" s="111"/>
      <c r="TC3" s="81"/>
      <c r="TD3" s="81"/>
      <c r="TE3" s="81"/>
      <c r="TF3" s="81"/>
      <c r="TG3" s="81"/>
      <c r="TH3" s="81"/>
      <c r="TI3" s="81"/>
      <c r="TJ3" s="81"/>
      <c r="TK3" s="81"/>
      <c r="TL3" s="81"/>
      <c r="TM3" s="81"/>
      <c r="TN3" s="81"/>
      <c r="TO3" s="111"/>
      <c r="TP3" s="81"/>
      <c r="TQ3" s="81"/>
      <c r="TR3" s="81"/>
      <c r="TS3" s="81"/>
      <c r="TT3" s="81"/>
      <c r="TU3" s="81"/>
      <c r="TV3" s="81"/>
      <c r="TW3" s="81"/>
      <c r="TX3" s="81"/>
      <c r="TY3" s="81"/>
      <c r="TZ3" s="81"/>
      <c r="UA3" s="81"/>
      <c r="UB3" s="111"/>
      <c r="UC3" s="81"/>
      <c r="UD3" s="81"/>
      <c r="UE3" s="81"/>
      <c r="UF3" s="81"/>
      <c r="UG3" s="81"/>
      <c r="UH3" s="81"/>
      <c r="UI3" s="81"/>
      <c r="UJ3" s="81"/>
      <c r="UK3" s="81"/>
      <c r="UL3" s="81"/>
      <c r="UM3" s="81"/>
      <c r="UN3" s="81"/>
      <c r="UO3" s="111"/>
      <c r="UP3" s="81"/>
      <c r="UQ3" s="81"/>
      <c r="UR3" s="81"/>
      <c r="US3" s="81"/>
      <c r="UT3" s="81"/>
      <c r="UU3" s="81"/>
      <c r="UV3" s="81"/>
      <c r="UW3" s="81"/>
      <c r="UX3" s="81"/>
      <c r="UY3" s="81"/>
      <c r="UZ3" s="81"/>
      <c r="VA3" s="81"/>
      <c r="VB3" s="111"/>
      <c r="VC3" s="81"/>
      <c r="VD3" s="81"/>
      <c r="VE3" s="81"/>
      <c r="VF3" s="81"/>
      <c r="VG3" s="81"/>
      <c r="VH3" s="81"/>
      <c r="VI3" s="81"/>
      <c r="VJ3" s="81"/>
      <c r="VK3" s="81"/>
      <c r="VL3" s="81"/>
      <c r="VM3" s="81"/>
      <c r="VN3" s="81"/>
      <c r="VO3" s="111"/>
      <c r="VP3" s="81"/>
      <c r="VQ3" s="81"/>
      <c r="VR3" s="81"/>
      <c r="VS3" s="81"/>
      <c r="VT3" s="81"/>
      <c r="VU3" s="81"/>
      <c r="VV3" s="81"/>
      <c r="VW3" s="81"/>
      <c r="VX3" s="81"/>
      <c r="VY3" s="81"/>
      <c r="VZ3" s="81"/>
      <c r="WA3" s="81"/>
      <c r="WB3" s="111"/>
      <c r="WC3" s="81"/>
      <c r="WD3" s="81"/>
      <c r="WE3" s="81"/>
      <c r="WF3" s="81"/>
      <c r="WG3" s="81"/>
      <c r="WH3" s="81"/>
      <c r="WI3" s="81"/>
      <c r="WJ3" s="81"/>
      <c r="WK3" s="81"/>
      <c r="WL3" s="81"/>
      <c r="WM3" s="81"/>
      <c r="WN3" s="81"/>
      <c r="WO3" s="111"/>
      <c r="WP3" s="81"/>
      <c r="WQ3" s="81"/>
      <c r="WR3" s="81"/>
      <c r="WS3" s="81"/>
      <c r="WT3" s="81"/>
      <c r="WU3" s="81"/>
      <c r="WV3" s="81"/>
      <c r="WW3" s="81"/>
      <c r="WX3" s="81"/>
      <c r="WY3" s="81"/>
      <c r="WZ3" s="81"/>
      <c r="XA3" s="81"/>
      <c r="XB3" s="111"/>
      <c r="XC3" s="81"/>
      <c r="XD3" s="81"/>
      <c r="XE3" s="81"/>
      <c r="XF3" s="81"/>
      <c r="XG3" s="81"/>
      <c r="XH3" s="81"/>
      <c r="XI3" s="81"/>
      <c r="XJ3" s="81"/>
      <c r="XK3" s="81"/>
      <c r="XL3" s="81"/>
      <c r="XM3" s="81"/>
      <c r="XN3" s="81"/>
      <c r="XO3" s="111"/>
      <c r="XP3" s="81"/>
      <c r="XQ3" s="81"/>
      <c r="XR3" s="81"/>
      <c r="XS3" s="81"/>
      <c r="XT3" s="81"/>
      <c r="XU3" s="81"/>
      <c r="XV3" s="81"/>
      <c r="XW3" s="81"/>
      <c r="XX3" s="81"/>
      <c r="XY3" s="81"/>
      <c r="XZ3" s="81"/>
      <c r="YA3" s="81"/>
      <c r="YB3" s="111"/>
      <c r="YC3" s="81"/>
      <c r="YD3" s="81"/>
      <c r="YE3" s="81"/>
      <c r="YF3" s="81"/>
      <c r="YG3" s="81"/>
      <c r="YH3" s="81"/>
      <c r="YI3" s="81"/>
      <c r="YJ3" s="81"/>
      <c r="YK3" s="81"/>
      <c r="YL3" s="81"/>
      <c r="YM3" s="81"/>
      <c r="YN3" s="81"/>
      <c r="YO3" s="111"/>
      <c r="YP3" s="81"/>
      <c r="YQ3" s="81"/>
      <c r="YR3" s="81"/>
      <c r="YS3" s="81"/>
      <c r="YT3" s="81"/>
      <c r="YU3" s="81"/>
      <c r="YV3" s="81"/>
      <c r="YW3" s="81"/>
      <c r="YX3" s="81"/>
      <c r="YY3" s="81"/>
      <c r="YZ3" s="81"/>
      <c r="ZA3" s="81"/>
      <c r="ZB3" s="111"/>
      <c r="ZC3" s="81"/>
      <c r="ZD3" s="81"/>
      <c r="ZE3" s="81"/>
      <c r="ZF3" s="81"/>
      <c r="ZG3" s="81"/>
      <c r="ZH3" s="81"/>
      <c r="ZI3" s="81"/>
      <c r="ZJ3" s="81"/>
      <c r="ZK3" s="81"/>
      <c r="ZL3" s="81"/>
      <c r="ZM3" s="81"/>
      <c r="ZN3" s="81"/>
      <c r="ZO3" s="111"/>
      <c r="ZP3" s="81"/>
      <c r="ZQ3" s="81"/>
      <c r="ZR3" s="81"/>
      <c r="ZS3" s="81"/>
      <c r="ZT3" s="81"/>
      <c r="ZU3" s="81"/>
      <c r="ZV3" s="81"/>
      <c r="ZW3" s="81"/>
      <c r="ZX3" s="81"/>
      <c r="ZY3" s="81"/>
      <c r="ZZ3" s="81"/>
      <c r="AAA3" s="81"/>
      <c r="AAB3" s="111"/>
      <c r="AAC3" s="81"/>
      <c r="AAD3" s="81"/>
      <c r="AAE3" s="81"/>
      <c r="AAF3" s="81"/>
      <c r="AAG3" s="81"/>
      <c r="AAH3" s="81"/>
      <c r="AAI3" s="81"/>
      <c r="AAJ3" s="81"/>
      <c r="AAK3" s="81"/>
      <c r="AAL3" s="81"/>
      <c r="AAM3" s="81"/>
      <c r="AAN3" s="81"/>
      <c r="AAO3" s="111"/>
      <c r="AAP3" s="81"/>
      <c r="AAQ3" s="81"/>
      <c r="AAR3" s="81"/>
      <c r="AAS3" s="81"/>
      <c r="AAT3" s="81"/>
      <c r="AAU3" s="81"/>
      <c r="AAV3" s="81"/>
      <c r="AAW3" s="81"/>
      <c r="AAX3" s="81"/>
      <c r="AAY3" s="81"/>
      <c r="AAZ3" s="81"/>
      <c r="ABA3" s="81"/>
      <c r="ABB3" s="111"/>
      <c r="ABC3" s="81"/>
      <c r="ABD3" s="81"/>
      <c r="ABE3" s="81"/>
      <c r="ABF3" s="81"/>
      <c r="ABG3" s="81"/>
      <c r="ABH3" s="81"/>
      <c r="ABI3" s="81"/>
      <c r="ABJ3" s="81"/>
      <c r="ABK3" s="81"/>
      <c r="ABL3" s="81"/>
      <c r="ABM3" s="81"/>
      <c r="ABN3" s="81"/>
      <c r="ABO3" s="111"/>
      <c r="ABP3" s="81"/>
      <c r="ABQ3" s="81"/>
      <c r="ABR3" s="81"/>
      <c r="ABS3" s="81"/>
      <c r="ABT3" s="81"/>
      <c r="ABU3" s="81"/>
      <c r="ABV3" s="81"/>
      <c r="ABW3" s="81"/>
      <c r="ABX3" s="81"/>
      <c r="ABY3" s="81"/>
      <c r="ABZ3" s="81"/>
      <c r="ACA3" s="81"/>
      <c r="ACB3" s="111"/>
      <c r="ACC3" s="81"/>
      <c r="ACD3" s="81"/>
      <c r="ACE3" s="81"/>
      <c r="ACF3" s="81"/>
      <c r="ACG3" s="81"/>
      <c r="ACH3" s="81"/>
      <c r="ACI3" s="81"/>
      <c r="ACJ3" s="81"/>
      <c r="ACK3" s="81"/>
      <c r="ACL3" s="81"/>
      <c r="ACM3" s="81"/>
      <c r="ACN3" s="81"/>
      <c r="ACO3" s="111"/>
      <c r="ACP3" s="81"/>
      <c r="ACQ3" s="81"/>
      <c r="ACR3" s="81"/>
      <c r="ACS3" s="81"/>
      <c r="ACT3" s="81"/>
      <c r="ACU3" s="81"/>
      <c r="ACV3" s="81"/>
      <c r="ACW3" s="81"/>
      <c r="ACX3" s="81"/>
      <c r="ACY3" s="81"/>
      <c r="ACZ3" s="81"/>
      <c r="ADA3" s="81"/>
      <c r="ADB3" s="111"/>
      <c r="ADC3" s="81"/>
      <c r="ADD3" s="81"/>
      <c r="ADE3" s="81"/>
      <c r="ADF3" s="81"/>
      <c r="ADG3" s="81"/>
      <c r="ADH3" s="81"/>
      <c r="ADI3" s="81"/>
      <c r="ADJ3" s="81"/>
      <c r="ADK3" s="81"/>
      <c r="ADL3" s="81"/>
      <c r="ADM3" s="81"/>
      <c r="ADN3" s="81"/>
      <c r="ADO3" s="111"/>
      <c r="ADP3" s="81"/>
      <c r="ADQ3" s="81"/>
      <c r="ADR3" s="81"/>
      <c r="ADS3" s="81"/>
      <c r="ADT3" s="81"/>
      <c r="ADU3" s="81"/>
      <c r="ADV3" s="81"/>
      <c r="ADW3" s="81"/>
      <c r="ADX3" s="81"/>
      <c r="ADY3" s="81"/>
      <c r="ADZ3" s="81"/>
      <c r="AEA3" s="81"/>
      <c r="AEB3" s="111"/>
      <c r="AEC3" s="81"/>
      <c r="AED3" s="81"/>
      <c r="AEE3" s="81"/>
      <c r="AEF3" s="81"/>
      <c r="AEG3" s="81"/>
      <c r="AEH3" s="81"/>
      <c r="AEI3" s="81"/>
      <c r="AEJ3" s="81"/>
      <c r="AEK3" s="81"/>
      <c r="AEL3" s="81"/>
      <c r="AEM3" s="81"/>
      <c r="AEN3" s="81"/>
    </row>
    <row r="4" spans="1:820">
      <c r="A4" s="81"/>
      <c r="B4" s="48" t="s">
        <v>210</v>
      </c>
      <c r="C4" s="48" t="s">
        <v>211</v>
      </c>
      <c r="D4" s="48" t="s">
        <v>212</v>
      </c>
      <c r="E4" s="48" t="s">
        <v>213</v>
      </c>
      <c r="F4" s="48" t="s">
        <v>214</v>
      </c>
      <c r="G4" s="48" t="s">
        <v>215</v>
      </c>
      <c r="H4" s="48" t="s">
        <v>216</v>
      </c>
      <c r="I4" s="48" t="s">
        <v>217</v>
      </c>
      <c r="J4" s="48" t="s">
        <v>218</v>
      </c>
      <c r="K4" s="48" t="s">
        <v>219</v>
      </c>
      <c r="L4" s="48" t="s">
        <v>220</v>
      </c>
      <c r="M4" s="48" t="s">
        <v>221</v>
      </c>
      <c r="N4" s="81"/>
      <c r="O4" s="48" t="s">
        <v>210</v>
      </c>
      <c r="P4" s="48" t="s">
        <v>211</v>
      </c>
      <c r="Q4" s="48" t="s">
        <v>212</v>
      </c>
      <c r="R4" s="48" t="s">
        <v>213</v>
      </c>
      <c r="S4" s="48" t="s">
        <v>214</v>
      </c>
      <c r="T4" s="48" t="s">
        <v>215</v>
      </c>
      <c r="U4" s="48" t="s">
        <v>216</v>
      </c>
      <c r="V4" s="48" t="s">
        <v>217</v>
      </c>
      <c r="W4" s="48" t="s">
        <v>218</v>
      </c>
      <c r="X4" s="48" t="s">
        <v>219</v>
      </c>
      <c r="Y4" s="48" t="s">
        <v>220</v>
      </c>
      <c r="Z4" s="48" t="s">
        <v>221</v>
      </c>
      <c r="AA4" s="81"/>
      <c r="AB4" s="48" t="s">
        <v>210</v>
      </c>
      <c r="AC4" s="48" t="s">
        <v>211</v>
      </c>
      <c r="AD4" s="48" t="s">
        <v>212</v>
      </c>
      <c r="AE4" s="48" t="s">
        <v>213</v>
      </c>
      <c r="AF4" s="48" t="s">
        <v>214</v>
      </c>
      <c r="AG4" s="48" t="s">
        <v>215</v>
      </c>
      <c r="AH4" s="48" t="s">
        <v>216</v>
      </c>
      <c r="AI4" s="48" t="s">
        <v>217</v>
      </c>
      <c r="AJ4" s="48" t="s">
        <v>218</v>
      </c>
      <c r="AK4" s="48" t="s">
        <v>219</v>
      </c>
      <c r="AL4" s="48" t="s">
        <v>220</v>
      </c>
      <c r="AM4" s="48" t="s">
        <v>221</v>
      </c>
      <c r="AN4" s="81"/>
      <c r="AO4" s="48" t="s">
        <v>210</v>
      </c>
      <c r="AP4" s="48" t="s">
        <v>211</v>
      </c>
      <c r="AQ4" s="48" t="s">
        <v>212</v>
      </c>
      <c r="AR4" s="48" t="s">
        <v>213</v>
      </c>
      <c r="AS4" s="48" t="s">
        <v>214</v>
      </c>
      <c r="AT4" s="48" t="s">
        <v>215</v>
      </c>
      <c r="AU4" s="48" t="s">
        <v>216</v>
      </c>
      <c r="AV4" s="48" t="s">
        <v>217</v>
      </c>
      <c r="AW4" s="48" t="s">
        <v>218</v>
      </c>
      <c r="AX4" s="48" t="s">
        <v>219</v>
      </c>
      <c r="AY4" s="48" t="s">
        <v>220</v>
      </c>
      <c r="AZ4" s="48" t="s">
        <v>221</v>
      </c>
      <c r="BA4" s="81"/>
      <c r="BB4" s="48" t="s">
        <v>210</v>
      </c>
      <c r="BC4" s="48" t="s">
        <v>211</v>
      </c>
      <c r="BD4" s="48" t="s">
        <v>212</v>
      </c>
      <c r="BE4" s="48" t="s">
        <v>213</v>
      </c>
      <c r="BF4" s="48" t="s">
        <v>214</v>
      </c>
      <c r="BG4" s="48" t="s">
        <v>215</v>
      </c>
      <c r="BH4" s="48" t="s">
        <v>216</v>
      </c>
      <c r="BI4" s="48" t="s">
        <v>217</v>
      </c>
      <c r="BJ4" s="48" t="s">
        <v>218</v>
      </c>
      <c r="BK4" s="48" t="s">
        <v>219</v>
      </c>
      <c r="BL4" s="48" t="s">
        <v>220</v>
      </c>
      <c r="BM4" s="48" t="s">
        <v>221</v>
      </c>
      <c r="BN4" s="81"/>
      <c r="BO4" s="48" t="s">
        <v>210</v>
      </c>
      <c r="BP4" s="48" t="s">
        <v>211</v>
      </c>
      <c r="BQ4" s="48" t="s">
        <v>212</v>
      </c>
      <c r="BR4" s="48" t="s">
        <v>213</v>
      </c>
      <c r="BS4" s="48" t="s">
        <v>214</v>
      </c>
      <c r="BT4" s="48" t="s">
        <v>215</v>
      </c>
      <c r="BU4" s="48" t="s">
        <v>216</v>
      </c>
      <c r="BV4" s="48" t="s">
        <v>217</v>
      </c>
      <c r="BW4" s="48" t="s">
        <v>218</v>
      </c>
      <c r="BX4" s="48" t="s">
        <v>219</v>
      </c>
      <c r="BY4" s="48" t="s">
        <v>220</v>
      </c>
      <c r="BZ4" s="48" t="s">
        <v>221</v>
      </c>
      <c r="CA4" s="81"/>
      <c r="CB4" s="48" t="s">
        <v>210</v>
      </c>
      <c r="CC4" s="48" t="s">
        <v>211</v>
      </c>
      <c r="CD4" s="48" t="s">
        <v>212</v>
      </c>
      <c r="CE4" s="48" t="s">
        <v>213</v>
      </c>
      <c r="CF4" s="48" t="s">
        <v>214</v>
      </c>
      <c r="CG4" s="48" t="s">
        <v>215</v>
      </c>
      <c r="CH4" s="48" t="s">
        <v>216</v>
      </c>
      <c r="CI4" s="48" t="s">
        <v>217</v>
      </c>
      <c r="CJ4" s="48" t="s">
        <v>218</v>
      </c>
      <c r="CK4" s="48" t="s">
        <v>219</v>
      </c>
      <c r="CL4" s="48" t="s">
        <v>220</v>
      </c>
      <c r="CM4" s="48" t="s">
        <v>221</v>
      </c>
      <c r="CN4" s="81"/>
      <c r="CO4" s="48" t="s">
        <v>210</v>
      </c>
      <c r="CP4" s="48" t="s">
        <v>211</v>
      </c>
      <c r="CQ4" s="48" t="s">
        <v>212</v>
      </c>
      <c r="CR4" s="48" t="s">
        <v>213</v>
      </c>
      <c r="CS4" s="48" t="s">
        <v>214</v>
      </c>
      <c r="CT4" s="48" t="s">
        <v>215</v>
      </c>
      <c r="CU4" s="48" t="s">
        <v>216</v>
      </c>
      <c r="CV4" s="48" t="s">
        <v>217</v>
      </c>
      <c r="CW4" s="48" t="s">
        <v>218</v>
      </c>
      <c r="CX4" s="48" t="s">
        <v>219</v>
      </c>
      <c r="CY4" s="48" t="s">
        <v>220</v>
      </c>
      <c r="CZ4" s="48" t="s">
        <v>221</v>
      </c>
      <c r="DA4" s="81"/>
      <c r="DB4" s="48" t="s">
        <v>210</v>
      </c>
      <c r="DC4" s="48" t="s">
        <v>211</v>
      </c>
      <c r="DD4" s="48" t="s">
        <v>212</v>
      </c>
      <c r="DE4" s="48" t="s">
        <v>213</v>
      </c>
      <c r="DF4" s="48" t="s">
        <v>214</v>
      </c>
      <c r="DG4" s="48" t="s">
        <v>215</v>
      </c>
      <c r="DH4" s="48" t="s">
        <v>216</v>
      </c>
      <c r="DI4" s="48" t="s">
        <v>217</v>
      </c>
      <c r="DJ4" s="48" t="s">
        <v>218</v>
      </c>
      <c r="DK4" s="48" t="s">
        <v>219</v>
      </c>
      <c r="DL4" s="48" t="s">
        <v>220</v>
      </c>
      <c r="DM4" s="48" t="s">
        <v>221</v>
      </c>
      <c r="DN4" s="81"/>
      <c r="DO4" s="48" t="s">
        <v>210</v>
      </c>
      <c r="DP4" s="48" t="s">
        <v>211</v>
      </c>
      <c r="DQ4" s="48" t="s">
        <v>212</v>
      </c>
      <c r="DR4" s="48" t="s">
        <v>213</v>
      </c>
      <c r="DS4" s="48" t="s">
        <v>214</v>
      </c>
      <c r="DT4" s="48" t="s">
        <v>215</v>
      </c>
      <c r="DU4" s="48" t="s">
        <v>216</v>
      </c>
      <c r="DV4" s="48" t="s">
        <v>217</v>
      </c>
      <c r="DW4" s="48" t="s">
        <v>218</v>
      </c>
      <c r="DX4" s="48" t="s">
        <v>219</v>
      </c>
      <c r="DY4" s="48" t="s">
        <v>220</v>
      </c>
      <c r="DZ4" s="48" t="s">
        <v>221</v>
      </c>
      <c r="EA4" s="81"/>
      <c r="EB4" s="48" t="s">
        <v>210</v>
      </c>
      <c r="EC4" s="48" t="s">
        <v>211</v>
      </c>
      <c r="ED4" s="48" t="s">
        <v>212</v>
      </c>
      <c r="EE4" s="48" t="s">
        <v>213</v>
      </c>
      <c r="EF4" s="48" t="s">
        <v>214</v>
      </c>
      <c r="EG4" s="48" t="s">
        <v>215</v>
      </c>
      <c r="EH4" s="48" t="s">
        <v>216</v>
      </c>
      <c r="EI4" s="48" t="s">
        <v>217</v>
      </c>
      <c r="EJ4" s="48" t="s">
        <v>218</v>
      </c>
      <c r="EK4" s="48" t="s">
        <v>219</v>
      </c>
      <c r="EL4" s="48" t="s">
        <v>220</v>
      </c>
      <c r="EM4" s="48" t="s">
        <v>221</v>
      </c>
      <c r="EN4" s="81"/>
      <c r="EO4" s="48" t="s">
        <v>210</v>
      </c>
      <c r="EP4" s="48" t="s">
        <v>211</v>
      </c>
      <c r="EQ4" s="48" t="s">
        <v>212</v>
      </c>
      <c r="ER4" s="48" t="s">
        <v>213</v>
      </c>
      <c r="ES4" s="48" t="s">
        <v>214</v>
      </c>
      <c r="ET4" s="48" t="s">
        <v>215</v>
      </c>
      <c r="EU4" s="48" t="s">
        <v>216</v>
      </c>
      <c r="EV4" s="48" t="s">
        <v>217</v>
      </c>
      <c r="EW4" s="48" t="s">
        <v>218</v>
      </c>
      <c r="EX4" s="48" t="s">
        <v>219</v>
      </c>
      <c r="EY4" s="48" t="s">
        <v>220</v>
      </c>
      <c r="EZ4" s="48" t="s">
        <v>221</v>
      </c>
      <c r="FA4" s="81"/>
      <c r="FB4" s="48" t="s">
        <v>210</v>
      </c>
      <c r="FC4" s="48" t="s">
        <v>211</v>
      </c>
      <c r="FD4" s="48" t="s">
        <v>212</v>
      </c>
      <c r="FE4" s="48" t="s">
        <v>213</v>
      </c>
      <c r="FF4" s="48" t="s">
        <v>214</v>
      </c>
      <c r="FG4" s="48" t="s">
        <v>215</v>
      </c>
      <c r="FH4" s="48" t="s">
        <v>216</v>
      </c>
      <c r="FI4" s="48" t="s">
        <v>217</v>
      </c>
      <c r="FJ4" s="48" t="s">
        <v>218</v>
      </c>
      <c r="FK4" s="48" t="s">
        <v>219</v>
      </c>
      <c r="FL4" s="48" t="s">
        <v>220</v>
      </c>
      <c r="FM4" s="48" t="s">
        <v>221</v>
      </c>
      <c r="FN4" s="81"/>
      <c r="FO4" s="48" t="s">
        <v>210</v>
      </c>
      <c r="FP4" s="48" t="s">
        <v>211</v>
      </c>
      <c r="FQ4" s="48" t="s">
        <v>212</v>
      </c>
      <c r="FR4" s="48" t="s">
        <v>213</v>
      </c>
      <c r="FS4" s="48" t="s">
        <v>214</v>
      </c>
      <c r="FT4" s="48" t="s">
        <v>215</v>
      </c>
      <c r="FU4" s="48" t="s">
        <v>216</v>
      </c>
      <c r="FV4" s="48" t="s">
        <v>217</v>
      </c>
      <c r="FW4" s="48" t="s">
        <v>218</v>
      </c>
      <c r="FX4" s="48" t="s">
        <v>219</v>
      </c>
      <c r="FY4" s="48" t="s">
        <v>220</v>
      </c>
      <c r="FZ4" s="48" t="s">
        <v>221</v>
      </c>
      <c r="GA4" s="81"/>
      <c r="GB4" s="48" t="s">
        <v>210</v>
      </c>
      <c r="GC4" s="48" t="s">
        <v>211</v>
      </c>
      <c r="GD4" s="48" t="s">
        <v>212</v>
      </c>
      <c r="GE4" s="48" t="s">
        <v>213</v>
      </c>
      <c r="GF4" s="48" t="s">
        <v>214</v>
      </c>
      <c r="GG4" s="48" t="s">
        <v>215</v>
      </c>
      <c r="GH4" s="48" t="s">
        <v>216</v>
      </c>
      <c r="GI4" s="48" t="s">
        <v>217</v>
      </c>
      <c r="GJ4" s="48" t="s">
        <v>218</v>
      </c>
      <c r="GK4" s="48" t="s">
        <v>219</v>
      </c>
      <c r="GL4" s="48" t="s">
        <v>220</v>
      </c>
      <c r="GM4" s="48" t="s">
        <v>221</v>
      </c>
      <c r="GN4" s="81"/>
      <c r="GO4" s="48" t="s">
        <v>210</v>
      </c>
      <c r="GP4" s="48" t="s">
        <v>211</v>
      </c>
      <c r="GQ4" s="48" t="s">
        <v>212</v>
      </c>
      <c r="GR4" s="48" t="s">
        <v>213</v>
      </c>
      <c r="GS4" s="48" t="s">
        <v>214</v>
      </c>
      <c r="GT4" s="48" t="s">
        <v>215</v>
      </c>
      <c r="GU4" s="48" t="s">
        <v>216</v>
      </c>
      <c r="GV4" s="48" t="s">
        <v>217</v>
      </c>
      <c r="GW4" s="48" t="s">
        <v>218</v>
      </c>
      <c r="GX4" s="48" t="s">
        <v>219</v>
      </c>
      <c r="GY4" s="48" t="s">
        <v>220</v>
      </c>
      <c r="GZ4" s="48" t="s">
        <v>221</v>
      </c>
      <c r="HA4" s="81"/>
      <c r="HB4" s="48" t="s">
        <v>210</v>
      </c>
      <c r="HC4" s="48" t="s">
        <v>211</v>
      </c>
      <c r="HD4" s="48" t="s">
        <v>212</v>
      </c>
      <c r="HE4" s="48" t="s">
        <v>213</v>
      </c>
      <c r="HF4" s="48" t="s">
        <v>214</v>
      </c>
      <c r="HG4" s="48" t="s">
        <v>215</v>
      </c>
      <c r="HH4" s="48" t="s">
        <v>216</v>
      </c>
      <c r="HI4" s="48" t="s">
        <v>217</v>
      </c>
      <c r="HJ4" s="48" t="s">
        <v>218</v>
      </c>
      <c r="HK4" s="48" t="s">
        <v>219</v>
      </c>
      <c r="HL4" s="48" t="s">
        <v>220</v>
      </c>
      <c r="HM4" s="48" t="s">
        <v>221</v>
      </c>
      <c r="HN4" s="81"/>
      <c r="HO4" s="48" t="s">
        <v>210</v>
      </c>
      <c r="HP4" s="48" t="s">
        <v>211</v>
      </c>
      <c r="HQ4" s="48" t="s">
        <v>212</v>
      </c>
      <c r="HR4" s="48" t="s">
        <v>213</v>
      </c>
      <c r="HS4" s="48" t="s">
        <v>214</v>
      </c>
      <c r="HT4" s="48" t="s">
        <v>215</v>
      </c>
      <c r="HU4" s="48" t="s">
        <v>216</v>
      </c>
      <c r="HV4" s="48" t="s">
        <v>217</v>
      </c>
      <c r="HW4" s="48" t="s">
        <v>218</v>
      </c>
      <c r="HX4" s="48" t="s">
        <v>219</v>
      </c>
      <c r="HY4" s="48" t="s">
        <v>220</v>
      </c>
      <c r="HZ4" s="48" t="s">
        <v>221</v>
      </c>
      <c r="IA4" s="81"/>
      <c r="IB4" s="48" t="s">
        <v>210</v>
      </c>
      <c r="IC4" s="48" t="s">
        <v>211</v>
      </c>
      <c r="ID4" s="48" t="s">
        <v>212</v>
      </c>
      <c r="IE4" s="48" t="s">
        <v>213</v>
      </c>
      <c r="IF4" s="48" t="s">
        <v>214</v>
      </c>
      <c r="IG4" s="48" t="s">
        <v>215</v>
      </c>
      <c r="IH4" s="48" t="s">
        <v>216</v>
      </c>
      <c r="II4" s="48" t="s">
        <v>217</v>
      </c>
      <c r="IJ4" s="48" t="s">
        <v>218</v>
      </c>
      <c r="IK4" s="48" t="s">
        <v>219</v>
      </c>
      <c r="IL4" s="48" t="s">
        <v>220</v>
      </c>
      <c r="IM4" s="48" t="s">
        <v>221</v>
      </c>
      <c r="IN4" s="81"/>
      <c r="IO4" s="48" t="s">
        <v>210</v>
      </c>
      <c r="IP4" s="48" t="s">
        <v>211</v>
      </c>
      <c r="IQ4" s="48" t="s">
        <v>212</v>
      </c>
      <c r="IR4" s="48" t="s">
        <v>213</v>
      </c>
      <c r="IS4" s="48" t="s">
        <v>214</v>
      </c>
      <c r="IT4" s="48" t="s">
        <v>215</v>
      </c>
      <c r="IU4" s="48" t="s">
        <v>216</v>
      </c>
      <c r="IV4" s="48" t="s">
        <v>217</v>
      </c>
      <c r="IW4" s="48" t="s">
        <v>218</v>
      </c>
      <c r="IX4" s="48" t="s">
        <v>219</v>
      </c>
      <c r="IY4" s="48" t="s">
        <v>220</v>
      </c>
      <c r="IZ4" s="48" t="s">
        <v>221</v>
      </c>
      <c r="JA4" s="81"/>
      <c r="JB4" s="48" t="s">
        <v>210</v>
      </c>
      <c r="JC4" s="48" t="s">
        <v>211</v>
      </c>
      <c r="JD4" s="48" t="s">
        <v>212</v>
      </c>
      <c r="JE4" s="48" t="s">
        <v>213</v>
      </c>
      <c r="JF4" s="48" t="s">
        <v>214</v>
      </c>
      <c r="JG4" s="48" t="s">
        <v>215</v>
      </c>
      <c r="JH4" s="48" t="s">
        <v>216</v>
      </c>
      <c r="JI4" s="48" t="s">
        <v>217</v>
      </c>
      <c r="JJ4" s="48" t="s">
        <v>218</v>
      </c>
      <c r="JK4" s="48" t="s">
        <v>219</v>
      </c>
      <c r="JL4" s="48" t="s">
        <v>220</v>
      </c>
      <c r="JM4" s="48" t="s">
        <v>221</v>
      </c>
      <c r="JN4" s="81"/>
      <c r="JO4" s="48" t="s">
        <v>210</v>
      </c>
      <c r="JP4" s="48" t="s">
        <v>211</v>
      </c>
      <c r="JQ4" s="48" t="s">
        <v>212</v>
      </c>
      <c r="JR4" s="48" t="s">
        <v>213</v>
      </c>
      <c r="JS4" s="48" t="s">
        <v>214</v>
      </c>
      <c r="JT4" s="48" t="s">
        <v>215</v>
      </c>
      <c r="JU4" s="48" t="s">
        <v>216</v>
      </c>
      <c r="JV4" s="48" t="s">
        <v>217</v>
      </c>
      <c r="JW4" s="48" t="s">
        <v>218</v>
      </c>
      <c r="JX4" s="48" t="s">
        <v>219</v>
      </c>
      <c r="JY4" s="48" t="s">
        <v>220</v>
      </c>
      <c r="JZ4" s="48" t="s">
        <v>221</v>
      </c>
      <c r="KA4" s="81"/>
      <c r="KB4" s="48" t="s">
        <v>210</v>
      </c>
      <c r="KC4" s="48" t="s">
        <v>211</v>
      </c>
      <c r="KD4" s="48" t="s">
        <v>212</v>
      </c>
      <c r="KE4" s="48" t="s">
        <v>213</v>
      </c>
      <c r="KF4" s="48" t="s">
        <v>214</v>
      </c>
      <c r="KG4" s="48" t="s">
        <v>215</v>
      </c>
      <c r="KH4" s="48" t="s">
        <v>216</v>
      </c>
      <c r="KI4" s="48" t="s">
        <v>217</v>
      </c>
      <c r="KJ4" s="48" t="s">
        <v>218</v>
      </c>
      <c r="KK4" s="48" t="s">
        <v>219</v>
      </c>
      <c r="KL4" s="48" t="s">
        <v>220</v>
      </c>
      <c r="KM4" s="48" t="s">
        <v>221</v>
      </c>
      <c r="KN4" s="81"/>
      <c r="KO4" s="48" t="s">
        <v>210</v>
      </c>
      <c r="KP4" s="48" t="s">
        <v>211</v>
      </c>
      <c r="KQ4" s="48" t="s">
        <v>212</v>
      </c>
      <c r="KR4" s="48" t="s">
        <v>213</v>
      </c>
      <c r="KS4" s="48" t="s">
        <v>214</v>
      </c>
      <c r="KT4" s="48" t="s">
        <v>215</v>
      </c>
      <c r="KU4" s="48" t="s">
        <v>216</v>
      </c>
      <c r="KV4" s="48" t="s">
        <v>217</v>
      </c>
      <c r="KW4" s="48" t="s">
        <v>218</v>
      </c>
      <c r="KX4" s="48" t="s">
        <v>219</v>
      </c>
      <c r="KY4" s="48" t="s">
        <v>220</v>
      </c>
      <c r="KZ4" s="48" t="s">
        <v>221</v>
      </c>
      <c r="LA4" s="81"/>
      <c r="LB4" s="48" t="s">
        <v>210</v>
      </c>
      <c r="LC4" s="48" t="s">
        <v>211</v>
      </c>
      <c r="LD4" s="48" t="s">
        <v>212</v>
      </c>
      <c r="LE4" s="48" t="s">
        <v>213</v>
      </c>
      <c r="LF4" s="48" t="s">
        <v>214</v>
      </c>
      <c r="LG4" s="48" t="s">
        <v>215</v>
      </c>
      <c r="LH4" s="48" t="s">
        <v>216</v>
      </c>
      <c r="LI4" s="48" t="s">
        <v>217</v>
      </c>
      <c r="LJ4" s="48" t="s">
        <v>218</v>
      </c>
      <c r="LK4" s="48" t="s">
        <v>219</v>
      </c>
      <c r="LL4" s="48" t="s">
        <v>220</v>
      </c>
      <c r="LM4" s="48" t="s">
        <v>221</v>
      </c>
      <c r="LN4" s="81"/>
      <c r="LO4" s="48" t="s">
        <v>210</v>
      </c>
      <c r="LP4" s="48" t="s">
        <v>211</v>
      </c>
      <c r="LQ4" s="48" t="s">
        <v>212</v>
      </c>
      <c r="LR4" s="48" t="s">
        <v>213</v>
      </c>
      <c r="LS4" s="48" t="s">
        <v>214</v>
      </c>
      <c r="LT4" s="48" t="s">
        <v>215</v>
      </c>
      <c r="LU4" s="48" t="s">
        <v>216</v>
      </c>
      <c r="LV4" s="48" t="s">
        <v>217</v>
      </c>
      <c r="LW4" s="48" t="s">
        <v>218</v>
      </c>
      <c r="LX4" s="48" t="s">
        <v>219</v>
      </c>
      <c r="LY4" s="48" t="s">
        <v>220</v>
      </c>
      <c r="LZ4" s="48" t="s">
        <v>221</v>
      </c>
      <c r="MA4" s="81"/>
      <c r="MB4" s="48" t="s">
        <v>210</v>
      </c>
      <c r="MC4" s="48" t="s">
        <v>211</v>
      </c>
      <c r="MD4" s="48" t="s">
        <v>212</v>
      </c>
      <c r="ME4" s="48" t="s">
        <v>213</v>
      </c>
      <c r="MF4" s="48" t="s">
        <v>214</v>
      </c>
      <c r="MG4" s="48" t="s">
        <v>215</v>
      </c>
      <c r="MH4" s="48" t="s">
        <v>216</v>
      </c>
      <c r="MI4" s="48" t="s">
        <v>217</v>
      </c>
      <c r="MJ4" s="48" t="s">
        <v>218</v>
      </c>
      <c r="MK4" s="48" t="s">
        <v>219</v>
      </c>
      <c r="ML4" s="48" t="s">
        <v>220</v>
      </c>
      <c r="MM4" s="48" t="s">
        <v>221</v>
      </c>
      <c r="MN4" s="81"/>
      <c r="MO4" s="48" t="s">
        <v>210</v>
      </c>
      <c r="MP4" s="48" t="s">
        <v>211</v>
      </c>
      <c r="MQ4" s="48" t="s">
        <v>212</v>
      </c>
      <c r="MR4" s="48" t="s">
        <v>213</v>
      </c>
      <c r="MS4" s="48" t="s">
        <v>214</v>
      </c>
      <c r="MT4" s="48" t="s">
        <v>215</v>
      </c>
      <c r="MU4" s="48" t="s">
        <v>216</v>
      </c>
      <c r="MV4" s="48" t="s">
        <v>217</v>
      </c>
      <c r="MW4" s="48" t="s">
        <v>218</v>
      </c>
      <c r="MX4" s="48" t="s">
        <v>219</v>
      </c>
      <c r="MY4" s="48" t="s">
        <v>220</v>
      </c>
      <c r="MZ4" s="48" t="s">
        <v>221</v>
      </c>
      <c r="NA4" s="81"/>
      <c r="NB4" s="48" t="s">
        <v>210</v>
      </c>
      <c r="NC4" s="48" t="s">
        <v>211</v>
      </c>
      <c r="ND4" s="48" t="s">
        <v>212</v>
      </c>
      <c r="NE4" s="48" t="s">
        <v>213</v>
      </c>
      <c r="NF4" s="48" t="s">
        <v>214</v>
      </c>
      <c r="NG4" s="48" t="s">
        <v>215</v>
      </c>
      <c r="NH4" s="48" t="s">
        <v>216</v>
      </c>
      <c r="NI4" s="48" t="s">
        <v>217</v>
      </c>
      <c r="NJ4" s="48" t="s">
        <v>218</v>
      </c>
      <c r="NK4" s="48" t="s">
        <v>219</v>
      </c>
      <c r="NL4" s="48" t="s">
        <v>220</v>
      </c>
      <c r="NM4" s="48" t="s">
        <v>221</v>
      </c>
      <c r="NN4" s="81"/>
      <c r="NO4" s="48" t="s">
        <v>210</v>
      </c>
      <c r="NP4" s="48" t="s">
        <v>211</v>
      </c>
      <c r="NQ4" s="48" t="s">
        <v>212</v>
      </c>
      <c r="NR4" s="48" t="s">
        <v>213</v>
      </c>
      <c r="NS4" s="48" t="s">
        <v>214</v>
      </c>
      <c r="NT4" s="48" t="s">
        <v>215</v>
      </c>
      <c r="NU4" s="48" t="s">
        <v>216</v>
      </c>
      <c r="NV4" s="48" t="s">
        <v>217</v>
      </c>
      <c r="NW4" s="48" t="s">
        <v>218</v>
      </c>
      <c r="NX4" s="48" t="s">
        <v>219</v>
      </c>
      <c r="NY4" s="48" t="s">
        <v>220</v>
      </c>
      <c r="NZ4" s="48" t="s">
        <v>221</v>
      </c>
      <c r="OA4" s="81"/>
      <c r="OB4" s="223" t="s">
        <v>210</v>
      </c>
      <c r="OC4" s="48" t="s">
        <v>211</v>
      </c>
      <c r="OD4" s="48" t="s">
        <v>212</v>
      </c>
      <c r="OE4" s="48" t="s">
        <v>213</v>
      </c>
      <c r="OF4" s="48" t="s">
        <v>214</v>
      </c>
      <c r="OG4" s="48" t="s">
        <v>215</v>
      </c>
      <c r="OH4" s="48" t="s">
        <v>216</v>
      </c>
      <c r="OI4" s="48" t="s">
        <v>217</v>
      </c>
      <c r="OJ4" s="48" t="s">
        <v>218</v>
      </c>
      <c r="OK4" s="48" t="s">
        <v>219</v>
      </c>
      <c r="OL4" s="48" t="s">
        <v>220</v>
      </c>
      <c r="OM4" s="48" t="s">
        <v>221</v>
      </c>
      <c r="ON4" s="81"/>
      <c r="OO4" s="48" t="s">
        <v>210</v>
      </c>
      <c r="OP4" s="48" t="s">
        <v>211</v>
      </c>
      <c r="OQ4" s="48" t="s">
        <v>212</v>
      </c>
      <c r="OR4" s="48" t="s">
        <v>213</v>
      </c>
      <c r="OS4" s="48" t="s">
        <v>214</v>
      </c>
      <c r="OT4" s="48" t="s">
        <v>215</v>
      </c>
      <c r="OU4" s="48" t="s">
        <v>216</v>
      </c>
      <c r="OV4" s="48" t="s">
        <v>217</v>
      </c>
      <c r="OW4" s="48" t="s">
        <v>218</v>
      </c>
      <c r="OX4" s="48" t="s">
        <v>219</v>
      </c>
      <c r="OY4" s="48" t="s">
        <v>220</v>
      </c>
      <c r="OZ4" s="48" t="s">
        <v>221</v>
      </c>
      <c r="PA4" s="81"/>
      <c r="PB4" s="48" t="s">
        <v>210</v>
      </c>
      <c r="PC4" s="48" t="s">
        <v>211</v>
      </c>
      <c r="PD4" s="48" t="s">
        <v>212</v>
      </c>
      <c r="PE4" s="48" t="s">
        <v>213</v>
      </c>
      <c r="PF4" s="48" t="s">
        <v>214</v>
      </c>
      <c r="PG4" s="48" t="s">
        <v>215</v>
      </c>
      <c r="PH4" s="48" t="s">
        <v>216</v>
      </c>
      <c r="PI4" s="48" t="s">
        <v>217</v>
      </c>
      <c r="PJ4" s="48" t="s">
        <v>218</v>
      </c>
      <c r="PK4" s="48" t="s">
        <v>219</v>
      </c>
      <c r="PL4" s="48" t="s">
        <v>220</v>
      </c>
      <c r="PM4" s="48" t="s">
        <v>221</v>
      </c>
      <c r="PN4" s="81"/>
      <c r="PO4" s="48" t="s">
        <v>210</v>
      </c>
      <c r="PP4" s="48" t="s">
        <v>211</v>
      </c>
      <c r="PQ4" s="48" t="s">
        <v>212</v>
      </c>
      <c r="PR4" s="48" t="s">
        <v>213</v>
      </c>
      <c r="PS4" s="48" t="s">
        <v>214</v>
      </c>
      <c r="PT4" s="48" t="s">
        <v>215</v>
      </c>
      <c r="PU4" s="48" t="s">
        <v>216</v>
      </c>
      <c r="PV4" s="48" t="s">
        <v>217</v>
      </c>
      <c r="PW4" s="48" t="s">
        <v>218</v>
      </c>
      <c r="PX4" s="48" t="s">
        <v>219</v>
      </c>
      <c r="PY4" s="48" t="s">
        <v>220</v>
      </c>
      <c r="PZ4" s="48" t="s">
        <v>221</v>
      </c>
      <c r="QA4" s="81"/>
      <c r="QB4" s="48" t="s">
        <v>210</v>
      </c>
      <c r="QC4" s="48" t="s">
        <v>211</v>
      </c>
      <c r="QD4" s="48" t="s">
        <v>212</v>
      </c>
      <c r="QE4" s="48" t="s">
        <v>213</v>
      </c>
      <c r="QF4" s="48" t="s">
        <v>214</v>
      </c>
      <c r="QG4" s="48" t="s">
        <v>215</v>
      </c>
      <c r="QH4" s="48" t="s">
        <v>216</v>
      </c>
      <c r="QI4" s="48" t="s">
        <v>217</v>
      </c>
      <c r="QJ4" s="48" t="s">
        <v>218</v>
      </c>
      <c r="QK4" s="48" t="s">
        <v>219</v>
      </c>
      <c r="QL4" s="48" t="s">
        <v>220</v>
      </c>
      <c r="QM4" s="48" t="s">
        <v>221</v>
      </c>
      <c r="QN4" s="81"/>
      <c r="QO4" s="48" t="s">
        <v>210</v>
      </c>
      <c r="QP4" s="48" t="s">
        <v>211</v>
      </c>
      <c r="QQ4" s="48" t="s">
        <v>212</v>
      </c>
      <c r="QR4" s="48" t="s">
        <v>213</v>
      </c>
      <c r="QS4" s="48" t="s">
        <v>214</v>
      </c>
      <c r="QT4" s="48" t="s">
        <v>215</v>
      </c>
      <c r="QU4" s="48" t="s">
        <v>216</v>
      </c>
      <c r="QV4" s="48" t="s">
        <v>217</v>
      </c>
      <c r="QW4" s="48" t="s">
        <v>218</v>
      </c>
      <c r="QX4" s="48" t="s">
        <v>219</v>
      </c>
      <c r="QY4" s="48" t="s">
        <v>220</v>
      </c>
      <c r="QZ4" s="48" t="s">
        <v>221</v>
      </c>
      <c r="RA4" s="81"/>
      <c r="RB4" s="48" t="s">
        <v>210</v>
      </c>
      <c r="RC4" s="48" t="s">
        <v>211</v>
      </c>
      <c r="RD4" s="48" t="s">
        <v>212</v>
      </c>
      <c r="RE4" s="48" t="s">
        <v>213</v>
      </c>
      <c r="RF4" s="48" t="s">
        <v>214</v>
      </c>
      <c r="RG4" s="48" t="s">
        <v>215</v>
      </c>
      <c r="RH4" s="48" t="s">
        <v>216</v>
      </c>
      <c r="RI4" s="48" t="s">
        <v>217</v>
      </c>
      <c r="RJ4" s="48" t="s">
        <v>218</v>
      </c>
      <c r="RK4" s="48" t="s">
        <v>219</v>
      </c>
      <c r="RL4" s="48" t="s">
        <v>220</v>
      </c>
      <c r="RM4" s="48" t="s">
        <v>221</v>
      </c>
      <c r="RN4" s="81"/>
      <c r="RO4" s="48" t="s">
        <v>210</v>
      </c>
      <c r="RP4" s="48" t="s">
        <v>211</v>
      </c>
      <c r="RQ4" s="48" t="s">
        <v>212</v>
      </c>
      <c r="RR4" s="48" t="s">
        <v>213</v>
      </c>
      <c r="RS4" s="48" t="s">
        <v>214</v>
      </c>
      <c r="RT4" s="48" t="s">
        <v>215</v>
      </c>
      <c r="RU4" s="48" t="s">
        <v>216</v>
      </c>
      <c r="RV4" s="48" t="s">
        <v>217</v>
      </c>
      <c r="RW4" s="48" t="s">
        <v>218</v>
      </c>
      <c r="RX4" s="48" t="s">
        <v>219</v>
      </c>
      <c r="RY4" s="48" t="s">
        <v>220</v>
      </c>
      <c r="RZ4" s="48" t="s">
        <v>221</v>
      </c>
      <c r="SA4" s="81"/>
      <c r="SB4" s="48" t="s">
        <v>210</v>
      </c>
      <c r="SC4" s="48" t="s">
        <v>211</v>
      </c>
      <c r="SD4" s="48" t="s">
        <v>212</v>
      </c>
      <c r="SE4" s="48" t="s">
        <v>213</v>
      </c>
      <c r="SF4" s="48" t="s">
        <v>214</v>
      </c>
      <c r="SG4" s="48" t="s">
        <v>215</v>
      </c>
      <c r="SH4" s="48" t="s">
        <v>216</v>
      </c>
      <c r="SI4" s="48" t="s">
        <v>217</v>
      </c>
      <c r="SJ4" s="48" t="s">
        <v>218</v>
      </c>
      <c r="SK4" s="48" t="s">
        <v>219</v>
      </c>
      <c r="SL4" s="48" t="s">
        <v>220</v>
      </c>
      <c r="SM4" s="48" t="s">
        <v>221</v>
      </c>
      <c r="SN4" s="81"/>
      <c r="SO4" s="48" t="s">
        <v>210</v>
      </c>
      <c r="SP4" s="48" t="s">
        <v>211</v>
      </c>
      <c r="SQ4" s="48" t="s">
        <v>212</v>
      </c>
      <c r="SR4" s="48" t="s">
        <v>213</v>
      </c>
      <c r="SS4" s="48" t="s">
        <v>214</v>
      </c>
      <c r="ST4" s="48" t="s">
        <v>215</v>
      </c>
      <c r="SU4" s="48" t="s">
        <v>216</v>
      </c>
      <c r="SV4" s="48" t="s">
        <v>217</v>
      </c>
      <c r="SW4" s="48" t="s">
        <v>218</v>
      </c>
      <c r="SX4" s="48" t="s">
        <v>219</v>
      </c>
      <c r="SY4" s="48" t="s">
        <v>220</v>
      </c>
      <c r="SZ4" s="48" t="s">
        <v>221</v>
      </c>
      <c r="TA4" s="81"/>
      <c r="TB4" s="48" t="s">
        <v>210</v>
      </c>
      <c r="TC4" s="48" t="s">
        <v>211</v>
      </c>
      <c r="TD4" s="48" t="s">
        <v>212</v>
      </c>
      <c r="TE4" s="48" t="s">
        <v>213</v>
      </c>
      <c r="TF4" s="48" t="s">
        <v>214</v>
      </c>
      <c r="TG4" s="48" t="s">
        <v>215</v>
      </c>
      <c r="TH4" s="48" t="s">
        <v>216</v>
      </c>
      <c r="TI4" s="48" t="s">
        <v>217</v>
      </c>
      <c r="TJ4" s="48" t="s">
        <v>218</v>
      </c>
      <c r="TK4" s="48" t="s">
        <v>219</v>
      </c>
      <c r="TL4" s="48" t="s">
        <v>220</v>
      </c>
      <c r="TM4" s="48" t="s">
        <v>221</v>
      </c>
      <c r="TN4" s="81"/>
      <c r="TO4" s="48" t="s">
        <v>210</v>
      </c>
      <c r="TP4" s="48" t="s">
        <v>211</v>
      </c>
      <c r="TQ4" s="48" t="s">
        <v>212</v>
      </c>
      <c r="TR4" s="48" t="s">
        <v>213</v>
      </c>
      <c r="TS4" s="48" t="s">
        <v>214</v>
      </c>
      <c r="TT4" s="48" t="s">
        <v>215</v>
      </c>
      <c r="TU4" s="48" t="s">
        <v>216</v>
      </c>
      <c r="TV4" s="48" t="s">
        <v>217</v>
      </c>
      <c r="TW4" s="48" t="s">
        <v>218</v>
      </c>
      <c r="TX4" s="48" t="s">
        <v>219</v>
      </c>
      <c r="TY4" s="48" t="s">
        <v>220</v>
      </c>
      <c r="TZ4" s="48" t="s">
        <v>221</v>
      </c>
      <c r="UA4" s="81"/>
      <c r="UB4" s="147" t="s">
        <v>210</v>
      </c>
      <c r="UC4" s="147" t="s">
        <v>211</v>
      </c>
      <c r="UD4" s="147" t="s">
        <v>212</v>
      </c>
      <c r="UE4" s="147" t="s">
        <v>213</v>
      </c>
      <c r="UF4" s="147" t="s">
        <v>214</v>
      </c>
      <c r="UG4" s="147" t="s">
        <v>215</v>
      </c>
      <c r="UH4" s="147" t="s">
        <v>216</v>
      </c>
      <c r="UI4" s="147" t="s">
        <v>217</v>
      </c>
      <c r="UJ4" s="147" t="s">
        <v>218</v>
      </c>
      <c r="UK4" s="147" t="s">
        <v>219</v>
      </c>
      <c r="UL4" s="147" t="s">
        <v>220</v>
      </c>
      <c r="UM4" s="147" t="s">
        <v>221</v>
      </c>
      <c r="UN4" s="81"/>
      <c r="UO4" s="147" t="s">
        <v>210</v>
      </c>
      <c r="UP4" s="147" t="s">
        <v>211</v>
      </c>
      <c r="UQ4" s="147" t="s">
        <v>212</v>
      </c>
      <c r="UR4" s="147" t="s">
        <v>213</v>
      </c>
      <c r="US4" s="147" t="s">
        <v>214</v>
      </c>
      <c r="UT4" s="147" t="s">
        <v>215</v>
      </c>
      <c r="UU4" s="147" t="s">
        <v>216</v>
      </c>
      <c r="UV4" s="147" t="s">
        <v>217</v>
      </c>
      <c r="UW4" s="147" t="s">
        <v>218</v>
      </c>
      <c r="UX4" s="147" t="s">
        <v>219</v>
      </c>
      <c r="UY4" s="147" t="s">
        <v>220</v>
      </c>
      <c r="UZ4" s="147" t="s">
        <v>221</v>
      </c>
      <c r="VA4" s="81"/>
      <c r="VB4" s="147" t="s">
        <v>210</v>
      </c>
      <c r="VC4" s="147" t="s">
        <v>211</v>
      </c>
      <c r="VD4" s="147" t="s">
        <v>212</v>
      </c>
      <c r="VE4" s="147" t="s">
        <v>213</v>
      </c>
      <c r="VF4" s="147" t="s">
        <v>214</v>
      </c>
      <c r="VG4" s="147" t="s">
        <v>215</v>
      </c>
      <c r="VH4" s="147" t="s">
        <v>216</v>
      </c>
      <c r="VI4" s="147" t="s">
        <v>217</v>
      </c>
      <c r="VJ4" s="147" t="s">
        <v>218</v>
      </c>
      <c r="VK4" s="147" t="s">
        <v>219</v>
      </c>
      <c r="VL4" s="147" t="s">
        <v>220</v>
      </c>
      <c r="VM4" s="147" t="s">
        <v>221</v>
      </c>
      <c r="VN4" s="81"/>
      <c r="VO4" s="147" t="s">
        <v>210</v>
      </c>
      <c r="VP4" s="147" t="s">
        <v>211</v>
      </c>
      <c r="VQ4" s="147" t="s">
        <v>212</v>
      </c>
      <c r="VR4" s="147" t="s">
        <v>213</v>
      </c>
      <c r="VS4" s="147" t="s">
        <v>214</v>
      </c>
      <c r="VT4" s="147" t="s">
        <v>215</v>
      </c>
      <c r="VU4" s="147" t="s">
        <v>216</v>
      </c>
      <c r="VV4" s="147" t="s">
        <v>217</v>
      </c>
      <c r="VW4" s="147" t="s">
        <v>218</v>
      </c>
      <c r="VX4" s="147" t="s">
        <v>219</v>
      </c>
      <c r="VY4" s="147" t="s">
        <v>220</v>
      </c>
      <c r="VZ4" s="147" t="s">
        <v>221</v>
      </c>
      <c r="WA4" s="81"/>
      <c r="WB4" s="147" t="s">
        <v>210</v>
      </c>
      <c r="WC4" s="147" t="s">
        <v>211</v>
      </c>
      <c r="WD4" s="147" t="s">
        <v>212</v>
      </c>
      <c r="WE4" s="147" t="s">
        <v>213</v>
      </c>
      <c r="WF4" s="147" t="s">
        <v>214</v>
      </c>
      <c r="WG4" s="147" t="s">
        <v>215</v>
      </c>
      <c r="WH4" s="147" t="s">
        <v>216</v>
      </c>
      <c r="WI4" s="147" t="s">
        <v>217</v>
      </c>
      <c r="WJ4" s="147" t="s">
        <v>218</v>
      </c>
      <c r="WK4" s="147" t="s">
        <v>219</v>
      </c>
      <c r="WL4" s="147" t="s">
        <v>220</v>
      </c>
      <c r="WM4" s="147" t="s">
        <v>221</v>
      </c>
      <c r="WN4" s="81"/>
      <c r="WO4" s="147" t="s">
        <v>210</v>
      </c>
      <c r="WP4" s="147" t="s">
        <v>211</v>
      </c>
      <c r="WQ4" s="147" t="s">
        <v>212</v>
      </c>
      <c r="WR4" s="147" t="s">
        <v>213</v>
      </c>
      <c r="WS4" s="147" t="s">
        <v>214</v>
      </c>
      <c r="WT4" s="147" t="s">
        <v>215</v>
      </c>
      <c r="WU4" s="147" t="s">
        <v>216</v>
      </c>
      <c r="WV4" s="147" t="s">
        <v>217</v>
      </c>
      <c r="WW4" s="147" t="s">
        <v>218</v>
      </c>
      <c r="WX4" s="147" t="s">
        <v>219</v>
      </c>
      <c r="WY4" s="147" t="s">
        <v>220</v>
      </c>
      <c r="WZ4" s="147" t="s">
        <v>221</v>
      </c>
      <c r="XA4" s="81"/>
      <c r="XB4" s="147" t="s">
        <v>210</v>
      </c>
      <c r="XC4" s="147" t="s">
        <v>211</v>
      </c>
      <c r="XD4" s="147" t="s">
        <v>212</v>
      </c>
      <c r="XE4" s="147" t="s">
        <v>213</v>
      </c>
      <c r="XF4" s="147" t="s">
        <v>214</v>
      </c>
      <c r="XG4" s="147" t="s">
        <v>215</v>
      </c>
      <c r="XH4" s="147" t="s">
        <v>216</v>
      </c>
      <c r="XI4" s="147" t="s">
        <v>217</v>
      </c>
      <c r="XJ4" s="147" t="s">
        <v>218</v>
      </c>
      <c r="XK4" s="147" t="s">
        <v>219</v>
      </c>
      <c r="XL4" s="147" t="s">
        <v>220</v>
      </c>
      <c r="XM4" s="147" t="s">
        <v>221</v>
      </c>
      <c r="XN4" s="81"/>
      <c r="XO4" s="147" t="s">
        <v>210</v>
      </c>
      <c r="XP4" s="147" t="s">
        <v>211</v>
      </c>
      <c r="XQ4" s="147" t="s">
        <v>212</v>
      </c>
      <c r="XR4" s="147" t="s">
        <v>213</v>
      </c>
      <c r="XS4" s="147" t="s">
        <v>214</v>
      </c>
      <c r="XT4" s="147" t="s">
        <v>215</v>
      </c>
      <c r="XU4" s="147" t="s">
        <v>216</v>
      </c>
      <c r="XV4" s="147" t="s">
        <v>217</v>
      </c>
      <c r="XW4" s="147" t="s">
        <v>218</v>
      </c>
      <c r="XX4" s="147" t="s">
        <v>219</v>
      </c>
      <c r="XY4" s="147" t="s">
        <v>220</v>
      </c>
      <c r="XZ4" s="147" t="s">
        <v>221</v>
      </c>
      <c r="YA4" s="81"/>
      <c r="YB4" s="147" t="s">
        <v>210</v>
      </c>
      <c r="YC4" s="147" t="s">
        <v>211</v>
      </c>
      <c r="YD4" s="147" t="s">
        <v>212</v>
      </c>
      <c r="YE4" s="147" t="s">
        <v>213</v>
      </c>
      <c r="YF4" s="147" t="s">
        <v>214</v>
      </c>
      <c r="YG4" s="147" t="s">
        <v>215</v>
      </c>
      <c r="YH4" s="147" t="s">
        <v>216</v>
      </c>
      <c r="YI4" s="147" t="s">
        <v>217</v>
      </c>
      <c r="YJ4" s="147" t="s">
        <v>218</v>
      </c>
      <c r="YK4" s="147" t="s">
        <v>219</v>
      </c>
      <c r="YL4" s="147" t="s">
        <v>220</v>
      </c>
      <c r="YM4" s="147" t="s">
        <v>221</v>
      </c>
      <c r="YN4" s="81"/>
      <c r="YO4" s="147" t="s">
        <v>210</v>
      </c>
      <c r="YP4" s="147" t="s">
        <v>211</v>
      </c>
      <c r="YQ4" s="147" t="s">
        <v>212</v>
      </c>
      <c r="YR4" s="147" t="s">
        <v>213</v>
      </c>
      <c r="YS4" s="147" t="s">
        <v>214</v>
      </c>
      <c r="YT4" s="147" t="s">
        <v>215</v>
      </c>
      <c r="YU4" s="147" t="s">
        <v>216</v>
      </c>
      <c r="YV4" s="147" t="s">
        <v>217</v>
      </c>
      <c r="YW4" s="147" t="s">
        <v>218</v>
      </c>
      <c r="YX4" s="147" t="s">
        <v>219</v>
      </c>
      <c r="YY4" s="147" t="s">
        <v>220</v>
      </c>
      <c r="YZ4" s="147" t="s">
        <v>221</v>
      </c>
      <c r="ZA4" s="81"/>
      <c r="ZB4" s="147" t="s">
        <v>210</v>
      </c>
      <c r="ZC4" s="147" t="s">
        <v>211</v>
      </c>
      <c r="ZD4" s="147" t="s">
        <v>212</v>
      </c>
      <c r="ZE4" s="147" t="s">
        <v>213</v>
      </c>
      <c r="ZF4" s="147" t="s">
        <v>214</v>
      </c>
      <c r="ZG4" s="147" t="s">
        <v>215</v>
      </c>
      <c r="ZH4" s="147" t="s">
        <v>216</v>
      </c>
      <c r="ZI4" s="147" t="s">
        <v>217</v>
      </c>
      <c r="ZJ4" s="147" t="s">
        <v>218</v>
      </c>
      <c r="ZK4" s="147" t="s">
        <v>219</v>
      </c>
      <c r="ZL4" s="147" t="s">
        <v>220</v>
      </c>
      <c r="ZM4" s="147" t="s">
        <v>221</v>
      </c>
      <c r="ZN4" s="81"/>
      <c r="ZO4" s="147" t="s">
        <v>210</v>
      </c>
      <c r="ZP4" s="147" t="s">
        <v>211</v>
      </c>
      <c r="ZQ4" s="147" t="s">
        <v>212</v>
      </c>
      <c r="ZR4" s="147" t="s">
        <v>213</v>
      </c>
      <c r="ZS4" s="147" t="s">
        <v>214</v>
      </c>
      <c r="ZT4" s="147" t="s">
        <v>215</v>
      </c>
      <c r="ZU4" s="147" t="s">
        <v>216</v>
      </c>
      <c r="ZV4" s="147" t="s">
        <v>217</v>
      </c>
      <c r="ZW4" s="147" t="s">
        <v>218</v>
      </c>
      <c r="ZX4" s="147" t="s">
        <v>219</v>
      </c>
      <c r="ZY4" s="147" t="s">
        <v>220</v>
      </c>
      <c r="ZZ4" s="147" t="s">
        <v>221</v>
      </c>
      <c r="AAA4" s="81"/>
      <c r="AAB4" s="147" t="s">
        <v>210</v>
      </c>
      <c r="AAC4" s="147" t="s">
        <v>211</v>
      </c>
      <c r="AAD4" s="147" t="s">
        <v>212</v>
      </c>
      <c r="AAE4" s="147" t="s">
        <v>213</v>
      </c>
      <c r="AAF4" s="147" t="s">
        <v>214</v>
      </c>
      <c r="AAG4" s="147" t="s">
        <v>215</v>
      </c>
      <c r="AAH4" s="147" t="s">
        <v>216</v>
      </c>
      <c r="AAI4" s="147" t="s">
        <v>217</v>
      </c>
      <c r="AAJ4" s="147" t="s">
        <v>218</v>
      </c>
      <c r="AAK4" s="147" t="s">
        <v>219</v>
      </c>
      <c r="AAL4" s="147" t="s">
        <v>220</v>
      </c>
      <c r="AAM4" s="147" t="s">
        <v>221</v>
      </c>
      <c r="AAN4" s="81"/>
      <c r="AAO4" s="147" t="s">
        <v>210</v>
      </c>
      <c r="AAP4" s="147" t="s">
        <v>211</v>
      </c>
      <c r="AAQ4" s="147" t="s">
        <v>212</v>
      </c>
      <c r="AAR4" s="147" t="s">
        <v>213</v>
      </c>
      <c r="AAS4" s="147" t="s">
        <v>214</v>
      </c>
      <c r="AAT4" s="147" t="s">
        <v>215</v>
      </c>
      <c r="AAU4" s="147" t="s">
        <v>216</v>
      </c>
      <c r="AAV4" s="147" t="s">
        <v>217</v>
      </c>
      <c r="AAW4" s="147" t="s">
        <v>218</v>
      </c>
      <c r="AAX4" s="147" t="s">
        <v>219</v>
      </c>
      <c r="AAY4" s="147" t="s">
        <v>220</v>
      </c>
      <c r="AAZ4" s="147" t="s">
        <v>221</v>
      </c>
      <c r="ABA4" s="81"/>
      <c r="ABB4" s="147" t="s">
        <v>210</v>
      </c>
      <c r="ABC4" s="147" t="s">
        <v>211</v>
      </c>
      <c r="ABD4" s="147" t="s">
        <v>212</v>
      </c>
      <c r="ABE4" s="147" t="s">
        <v>213</v>
      </c>
      <c r="ABF4" s="147" t="s">
        <v>214</v>
      </c>
      <c r="ABG4" s="147" t="s">
        <v>215</v>
      </c>
      <c r="ABH4" s="147" t="s">
        <v>216</v>
      </c>
      <c r="ABI4" s="147" t="s">
        <v>217</v>
      </c>
      <c r="ABJ4" s="147" t="s">
        <v>218</v>
      </c>
      <c r="ABK4" s="147" t="s">
        <v>219</v>
      </c>
      <c r="ABL4" s="147" t="s">
        <v>220</v>
      </c>
      <c r="ABM4" s="147" t="s">
        <v>221</v>
      </c>
      <c r="ABN4" s="81"/>
      <c r="ABO4" s="147" t="s">
        <v>210</v>
      </c>
      <c r="ABP4" s="147" t="s">
        <v>211</v>
      </c>
      <c r="ABQ4" s="147" t="s">
        <v>212</v>
      </c>
      <c r="ABR4" s="147" t="s">
        <v>213</v>
      </c>
      <c r="ABS4" s="147" t="s">
        <v>214</v>
      </c>
      <c r="ABT4" s="147" t="s">
        <v>215</v>
      </c>
      <c r="ABU4" s="147" t="s">
        <v>216</v>
      </c>
      <c r="ABV4" s="147" t="s">
        <v>217</v>
      </c>
      <c r="ABW4" s="147" t="s">
        <v>218</v>
      </c>
      <c r="ABX4" s="147" t="s">
        <v>219</v>
      </c>
      <c r="ABY4" s="147" t="s">
        <v>220</v>
      </c>
      <c r="ABZ4" s="147" t="s">
        <v>221</v>
      </c>
      <c r="ACA4" s="81"/>
      <c r="ACB4" s="147" t="s">
        <v>210</v>
      </c>
      <c r="ACC4" s="147" t="s">
        <v>211</v>
      </c>
      <c r="ACD4" s="147" t="s">
        <v>212</v>
      </c>
      <c r="ACE4" s="147" t="s">
        <v>213</v>
      </c>
      <c r="ACF4" s="147" t="s">
        <v>214</v>
      </c>
      <c r="ACG4" s="147" t="s">
        <v>215</v>
      </c>
      <c r="ACH4" s="147" t="s">
        <v>216</v>
      </c>
      <c r="ACI4" s="147" t="s">
        <v>217</v>
      </c>
      <c r="ACJ4" s="147" t="s">
        <v>218</v>
      </c>
      <c r="ACK4" s="147" t="s">
        <v>219</v>
      </c>
      <c r="ACL4" s="147" t="s">
        <v>220</v>
      </c>
      <c r="ACM4" s="147" t="s">
        <v>221</v>
      </c>
      <c r="ACN4" s="81"/>
      <c r="ACO4" s="147" t="s">
        <v>210</v>
      </c>
      <c r="ACP4" s="147" t="s">
        <v>211</v>
      </c>
      <c r="ACQ4" s="147" t="s">
        <v>212</v>
      </c>
      <c r="ACR4" s="147" t="s">
        <v>213</v>
      </c>
      <c r="ACS4" s="147" t="s">
        <v>214</v>
      </c>
      <c r="ACT4" s="147" t="s">
        <v>215</v>
      </c>
      <c r="ACU4" s="147" t="s">
        <v>216</v>
      </c>
      <c r="ACV4" s="147" t="s">
        <v>217</v>
      </c>
      <c r="ACW4" s="147" t="s">
        <v>218</v>
      </c>
      <c r="ACX4" s="147" t="s">
        <v>219</v>
      </c>
      <c r="ACY4" s="147" t="s">
        <v>220</v>
      </c>
      <c r="ACZ4" s="147" t="s">
        <v>221</v>
      </c>
      <c r="ADA4" s="81"/>
      <c r="ADB4" s="147" t="s">
        <v>210</v>
      </c>
      <c r="ADC4" s="147" t="s">
        <v>211</v>
      </c>
      <c r="ADD4" s="147" t="s">
        <v>212</v>
      </c>
      <c r="ADE4" s="147" t="s">
        <v>213</v>
      </c>
      <c r="ADF4" s="147" t="s">
        <v>214</v>
      </c>
      <c r="ADG4" s="147" t="s">
        <v>215</v>
      </c>
      <c r="ADH4" s="147" t="s">
        <v>216</v>
      </c>
      <c r="ADI4" s="147" t="s">
        <v>217</v>
      </c>
      <c r="ADJ4" s="147" t="s">
        <v>218</v>
      </c>
      <c r="ADK4" s="147" t="s">
        <v>219</v>
      </c>
      <c r="ADL4" s="147" t="s">
        <v>220</v>
      </c>
      <c r="ADM4" s="147" t="s">
        <v>221</v>
      </c>
      <c r="ADN4" s="81"/>
      <c r="ADO4" s="147" t="s">
        <v>210</v>
      </c>
      <c r="ADP4" s="147" t="s">
        <v>211</v>
      </c>
      <c r="ADQ4" s="147" t="s">
        <v>212</v>
      </c>
      <c r="ADR4" s="147" t="s">
        <v>213</v>
      </c>
      <c r="ADS4" s="147" t="s">
        <v>214</v>
      </c>
      <c r="ADT4" s="147" t="s">
        <v>215</v>
      </c>
      <c r="ADU4" s="147" t="s">
        <v>216</v>
      </c>
      <c r="ADV4" s="147" t="s">
        <v>217</v>
      </c>
      <c r="ADW4" s="147" t="s">
        <v>218</v>
      </c>
      <c r="ADX4" s="147" t="s">
        <v>219</v>
      </c>
      <c r="ADY4" s="147" t="s">
        <v>220</v>
      </c>
      <c r="ADZ4" s="147" t="s">
        <v>221</v>
      </c>
      <c r="AEA4" s="81"/>
      <c r="AEB4" s="147" t="s">
        <v>210</v>
      </c>
      <c r="AEC4" s="147" t="s">
        <v>211</v>
      </c>
      <c r="AED4" s="147" t="s">
        <v>212</v>
      </c>
      <c r="AEE4" s="147" t="s">
        <v>213</v>
      </c>
      <c r="AEF4" s="147" t="s">
        <v>214</v>
      </c>
      <c r="AEG4" s="147" t="s">
        <v>215</v>
      </c>
      <c r="AEH4" s="147" t="s">
        <v>216</v>
      </c>
      <c r="AEI4" s="147" t="s">
        <v>217</v>
      </c>
      <c r="AEJ4" s="147" t="s">
        <v>218</v>
      </c>
      <c r="AEK4" s="147" t="s">
        <v>219</v>
      </c>
      <c r="AEL4" s="147" t="s">
        <v>220</v>
      </c>
      <c r="AEM4" s="147" t="s">
        <v>221</v>
      </c>
      <c r="AEN4" s="81"/>
    </row>
    <row r="5" spans="1:820">
      <c r="A5" s="81"/>
      <c r="B5" s="81">
        <v>4</v>
      </c>
      <c r="C5" s="133">
        <f t="shared" ref="C5:C68" si="0">POWER((0.773354184+0.088990524*LOG(B5)-0.033362978*B5^0.5)+2.326348*(0.039580158+0.040295897*LOG(B5)-0.004022959*B5^0.5),1/-0.184)</f>
        <v>1.8838391803504853</v>
      </c>
      <c r="D5" s="133">
        <f t="shared" ref="D5:D68" si="1">POWER((0.773354184+0.088990524*LOG(B5)-0.033362978*B5^0.5)+1.959964*(0.039580158+0.040295897*LOG(B5)-0.004022959*B5^0.5),1/-0.184)</f>
        <v>2.1374171322594568</v>
      </c>
      <c r="E5" s="133">
        <f t="shared" ref="E5:E68" si="2">POWER((0.773354184+0.088990524*LOG(B5)-0.033362978*B5^0.5)+1.644854*(0.039580158+0.040295897*LOG(B5)-0.004022959*B5^0.5),1/-0.184)</f>
        <v>2.3883649861159659</v>
      </c>
      <c r="F5" s="133">
        <f>POWER((0.773354184+0.088990524*LOG(B5)-0.033362978*B5^0.5)+1.281552*(0.039580158+0.040295897*LOG(B5)-0.004022959*B5^0.5),1/-0.184)</f>
        <v>2.722298941681041</v>
      </c>
      <c r="G5" s="133">
        <f>POWER((0.773354184+0.088990524*LOG(B5)-0.033362978*B5^0.5)+0.6755*(0.039580158+0.040295897*LOG(B5)-0.004022959*B5^0.5),1/-0.184)</f>
        <v>3.4111660023158632</v>
      </c>
      <c r="H5" s="134">
        <f>POWER((0.773354184+0.088990524*LOG(B5)-0.033362978*B5^0.5)+0*(0.039580158+0.040295897*LOG(B5)-0.004022959*B5^0.5),1/-0.184)</f>
        <v>4.4372404790245881</v>
      </c>
      <c r="I5" s="133">
        <f>POWER((0.773354184+0.088990524*LOG(B5)-0.033362978*B5^0.5)-0.6755*(0.039580158+0.040295897*LOG(B5)-0.004022959*B5^0.5),1/-0.184)</f>
        <v>5.8496750619187372</v>
      </c>
      <c r="J5" s="133">
        <f t="shared" ref="J5:J68" si="3">POWER((0.773354184+0.088990524*LOG(B5)-0.033362978*B5^0.5)-1.281552*(0.039580158+0.040295897*LOG(B5)-0.004022959*B5^0.5),1/-0.184)</f>
        <v>7.5903995439229579</v>
      </c>
      <c r="K5" s="133">
        <f t="shared" ref="K5:K68" si="4">POWER((0.773354184+0.088990524*LOG(B5)-0.033362978*B5^0.5)-1.644854*(0.039580158+0.040295897*LOG(B5)-0.004022959*B5^0.5),1/-0.184)</f>
        <v>8.9284769464467733</v>
      </c>
      <c r="L5" s="133">
        <f t="shared" ref="L5:L68" si="5">POWER((0.773354184+0.088990524*LOG(B5)-0.033362978*B5^0.5)-1.959964*(0.039580158+0.040295897*LOG(B5)-0.004022959*B5^0.5),1/-0.184)</f>
        <v>10.320254183852029</v>
      </c>
      <c r="M5" s="133">
        <f t="shared" ref="M5:M68" si="6">POWER((0.773354184+0.088990524*LOG(B5)-0.033362978*B5^0.5)-2.326348*(0.039580158+0.040295897*LOG(B5)-0.004022959*B5^0.5),1/-0.184)</f>
        <v>12.274767510840258</v>
      </c>
      <c r="N5" s="81"/>
      <c r="O5" s="75">
        <v>4</v>
      </c>
      <c r="P5" s="151">
        <f t="shared" ref="P5:P68" si="7">POWER((0.505808068+0.226937134*LOG(O5)-0.064370273*O5^0.5)+2.326348*(0.071640457-0.007414736*LOG(O5)+0.005337774*O5^0.5),1/-0.403)</f>
        <v>2.4682844195187292</v>
      </c>
      <c r="Q5" s="151">
        <f t="shared" ref="Q5:Q68" si="8">POWER((0.505808068+0.226937134*LOG(O5)-0.064370273*O5^0.5)+1.959964*(0.071640457-0.007414736*LOG(O5)+0.005337774*O5^0.5),1/-0.403)</f>
        <v>2.7388576273105643</v>
      </c>
      <c r="R5" s="151">
        <f t="shared" ref="R5:R68" si="9">POWER((0.505808068+0.226937134*LOG(O5)-0.064370273*O5^0.5)+1.644854*(0.071640457-0.007414736*LOG(O5)+0.005337774*O5^0.5),1/-0.403)</f>
        <v>3.0060518835492633</v>
      </c>
      <c r="S5" s="151">
        <f>POWER((0.505808068+0.226937134*LOG(O5)-0.064370273*O5^0.5)+1.281552*(0.071640457-0.007414736*LOG(O5)+0.005337774*O5^0.5),1/-0.403)</f>
        <v>3.3617854524113935</v>
      </c>
      <c r="T5" s="151">
        <f>POWER((0.505808068+0.226937134*LOG(O5)-0.064370273*O5^0.5)+0.6755*(0.071640457-0.007414736*LOG(O5)+0.005337774*O5^0.5),1/-0.403)</f>
        <v>4.1002833498991373</v>
      </c>
      <c r="U5" s="134">
        <f>POWER((0.505808068+0.226937134*LOG(O5)-0.064370273*O5^0.5)+0*(0.071640457-0.007414736*LOG(O5)+0.005337774*O5^0.5),1/-0.403)</f>
        <v>5.2221332812292065</v>
      </c>
      <c r="V5" s="151">
        <f>POWER((0.505808068+0.226937134*LOG(O5)-0.064370273*O5^0.5)-0.6755*(0.071640457-0.007414736*LOG(O5)+0.005337774*O5^0.5),1/-0.403)</f>
        <v>6.8270925245565612</v>
      </c>
      <c r="W5" s="151">
        <f t="shared" ref="W5:W68" si="10">POWER((0.505808068+0.226937134*LOG(O5)-0.064370273*O5^0.5)-1.281552*(0.071640457-0.007414736*LOG(O5)+0.005337774*O5^0.5),1/-0.403)</f>
        <v>8.9240887693017932</v>
      </c>
      <c r="X5" s="151">
        <f t="shared" ref="X5:X68" si="11">POWER((0.505808068+0.226937134*LOG(O5)-0.064370273*O5^0.5)-1.644854*(0.071640457-0.007414736*LOG(O5)+0.005337774*O5^0.5),1/-0.403)</f>
        <v>10.637438492047412</v>
      </c>
      <c r="Y5" s="151">
        <f t="shared" ref="Y5:Y68" si="12">POWER((0.505808068+0.226937134*LOG(O5)-0.064370273*O5^0.5)-1.959964*(0.071640457-0.007414736*LOG(O5)+0.005337774*O5^0.5),1/-0.403)</f>
        <v>12.521822116901886</v>
      </c>
      <c r="Z5" s="151">
        <f t="shared" ref="Z5:Z68" si="13">POWER((0.505808068+0.226937134*LOG(O5)-0.064370273*O5^0.5)-2.326348*(0.071640457-0.007414736*LOG(O5)+0.005337774*O5^0.5),1/-0.403)</f>
        <v>15.358197172658192</v>
      </c>
      <c r="AA5" s="81"/>
      <c r="AB5" s="75">
        <v>6</v>
      </c>
      <c r="AC5" s="151">
        <f t="shared" ref="AC5:AC68" si="14">POWER((0.787318871+0.000048337*LOG(AB5)-0.019778508*AB5^0.5)+2.326348*(0.033225354+0.124933628*LOG(AB5)-0.02063485*AB5^0.5),1/-0.225)</f>
        <v>1.4156044993771273</v>
      </c>
      <c r="AD5" s="151">
        <f t="shared" ref="AD5:AD68" si="15">POWER((0.787318871+0.000048337*LOG(AB5)-0.019778508*AB5^0.5)+1.959964*(0.033225354+0.124933628*LOG(AB5)-0.02063485*AB5^0.5),1/-0.225)</f>
        <v>1.6331608707140908</v>
      </c>
      <c r="AE5" s="151">
        <f t="shared" ref="AE5:AE68" si="16">POWER((0.787318871+0.000048337*LOG(AB5)-0.019778508*AB5^0.5)+1.644854*(0.033225354+0.124933628*LOG(AB5)-0.02063485*AB5^0.5),1/-0.225)</f>
        <v>1.8538418794310376</v>
      </c>
      <c r="AF5" s="151">
        <f>POWER((0.787318871+0.000048337*LOG(AB5)-0.019778508*AB5^0.5)+1.281552*(0.033225354+0.124933628*LOG(AB5)-0.02063485*AB5^0.5),1/-0.225)</f>
        <v>2.155490821385178</v>
      </c>
      <c r="AG5" s="151">
        <f>POWER((0.787318871+0.000048337*LOG(AB5)-0.019778508*AB5^0.5)+0.6755*(0.033225354+0.124933628*LOG(AB5)-0.02063485*AB5^0.5),1/-0.225)</f>
        <v>2.8052167298989512</v>
      </c>
      <c r="AH5" s="134">
        <f>POWER((0.787318871+0.000048337*LOG(AB5)-0.019778508*AB5^0.5)+0*(0.033225354+0.124933628*LOG(AB5)-0.02063485*AB5^0.5),1/-0.225)</f>
        <v>3.8374222373496774</v>
      </c>
      <c r="AI5" s="151">
        <f>POWER((0.787318871+0.000048337*LOG(AB5)-0.019778508*AB5^0.5)-0.6755*(0.033225354+0.124933628*LOG(AB5)-0.02063485*AB5^0.5),1/-0.225)</f>
        <v>5.3757369066102516</v>
      </c>
      <c r="AJ5" s="151">
        <f t="shared" ref="AJ5:AJ68" si="17">POWER((0.787318871+0.000048337*LOG(AB5)-0.019778508*AB5^0.5)-1.281552*(0.033225354+0.124933628*LOG(AB5)-0.02063485*AB5^0.5),1/-0.225)</f>
        <v>7.4466039575962597</v>
      </c>
      <c r="AK5" s="151">
        <f t="shared" ref="AK5:AK68" si="18">POWER((0.787318871+0.000048337*LOG(AB5)-0.019778508*AB5^0.5)-1.644854*(0.033225354+0.124933628*LOG(AB5)-0.02063485*AB5^0.5),1/-0.225)</f>
        <v>9.1632853386725674</v>
      </c>
      <c r="AL5" s="151">
        <f t="shared" ref="AL5:AL68" si="19">POWER((0.787318871+0.000048337*LOG(AB5)-0.019778508*AB5^0.5)-1.959964*(0.033225354+0.124933628*LOG(AB5)-0.02063485*AB5^0.5),1/-0.225)</f>
        <v>11.05988497028493</v>
      </c>
      <c r="AM5" s="151">
        <f t="shared" ref="AM5:AM68" si="20">POWER((0.787318871+0.000048337*LOG(AB5)-0.019778508*AB5^0.5)-2.326348*(0.033225354+0.124933628*LOG(AB5)-0.02063485*AB5^0.5),1/-0.225)</f>
        <v>13.909352224019301</v>
      </c>
      <c r="AN5" s="81"/>
      <c r="AO5" s="81">
        <v>4</v>
      </c>
      <c r="AP5" s="133">
        <f t="shared" ref="AP5:AP68" si="21">POWER((5.836498591-4.49569107*LOG(AO5)+0.955178651*AO5^0.5)-2.326348*(0.668523278-0.817930407*LOG(AO5)+0.235086956*AO5^0.5),1/0.475)-7.001</f>
        <v>7.28666687879723</v>
      </c>
      <c r="AQ5" s="133">
        <f t="shared" ref="AQ5:AQ68" si="22">POWER((5.836498591-4.49569107*LOG(AO5)+0.955178651*AO5^0.5)-1.959964*(0.668523278-0.817930407*LOG(AO5)+0.235086956*AO5^0.5),1/0.475)-7.001</f>
        <v>9.3750697544289885</v>
      </c>
      <c r="AR5" s="133">
        <f t="shared" ref="AR5:AR68" si="23">POWER((5.836498591-4.49569107*LOG(AO5)+0.955178651*AO5^0.5)-1.644854*(0.668523278-0.817930407*LOG(AO5)+0.235086956*AO5^0.5),1/0.475)-7.001</f>
        <v>11.291169170323244</v>
      </c>
      <c r="AS5" s="133">
        <f>POWER((5.836498591-4.49569107*LOG(AO5)+0.955178651*AO5^0.5)-1.281552*(0.668523278-0.817930407*LOG(AO5)+0.235086956*AO5^0.5),1/0.475)-7.001</f>
        <v>13.638837449812179</v>
      </c>
      <c r="AT5" s="133">
        <f>POWER((5.836498591-4.49569107*LOG(AO5)+0.955178651*AO5^0.5)-0.6755*(0.668523278-0.817930407*LOG(AO5)+0.235086956*AO5^0.5),1/0.475)-7.001</f>
        <v>17.887686324177803</v>
      </c>
      <c r="AU5" s="134">
        <f>POWER((5.836498591-4.49569107*LOG(AO5)+0.955178651*AO5^0.5)-0*(0.668523278-0.817930407*LOG(AO5)+0.235086956*AO5^0.5),1/0.475)-7.001</f>
        <v>23.11753286516489</v>
      </c>
      <c r="AV5" s="133">
        <f>POWER((5.836498591-4.49569107*LOG(AO5)+0.955178651*AO5^0.5)+0.6755*(0.668523278-0.817930407*LOG(AO5)+0.235086956*AO5^0.5),1/0.475)-7.001</f>
        <v>28.873088373682368</v>
      </c>
      <c r="AW5" s="133">
        <f t="shared" ref="AW5:AW68" si="24">POWER((5.836498591-4.49569107*LOG(AO5)+0.955178651*AO5^0.5)+1.281552*(0.668523278-0.817930407*LOG(AO5)+0.235086956*AO5^0.5),1/0.475)-7.001</f>
        <v>34.48813728927685</v>
      </c>
      <c r="AX5" s="133">
        <f t="shared" ref="AX5:AX68" si="25">POWER((5.836498591-4.49569107*LOG(AO5)+0.955178651*AO5^0.5)+1.644854*(0.668523278-0.817930407*LOG(AO5)+0.235086956*AO5^0.5),1/0.475)-7.001</f>
        <v>38.060073439989623</v>
      </c>
      <c r="AY5" s="133">
        <f t="shared" ref="AY5:AY68" si="26">POWER((5.836498591-4.49569107*LOG(AO5)+0.955178651*AO5^0.5)+1.959964*(0.668523278-0.817930407*LOG(AO5)+0.235086956*AO5^0.5),1/0.475)-7.001</f>
        <v>41.283827791827484</v>
      </c>
      <c r="AZ5" s="133">
        <f t="shared" ref="AZ5:AZ68" si="27">POWER((5.836498591-4.49569107*LOG(AO5)+0.955178651*AO5^0.5)+2.326348*(0.668523278-0.817930407*LOG(AO5)+0.235086956*AO5^0.5),1/0.475)-7.001</f>
        <v>45.179447950861579</v>
      </c>
      <c r="BA5" s="81"/>
      <c r="BB5" s="81">
        <v>4</v>
      </c>
      <c r="BC5" s="133">
        <f t="shared" ref="BC5:BC68" si="28">POWER((9.129564718-8.28652525*LOG(BB5)+1.792855923*BB5^0.5)-2.326348*(1.324763978-2.174364147*LOG(BB5)+0.551355577*BB5^0.5),1/0.587)-7.001</f>
        <v>9.1781024415066241</v>
      </c>
      <c r="BD5" s="133">
        <f t="shared" ref="BD5:BD68" si="29">POWER((9.129564718-8.28652525*LOG(BB5)+1.792855923*BB5^0.5)-1.959964*(1.324763978-2.174364147*LOG(BB5)+0.551355577*BB5^0.5),1/0.587)-7.001</f>
        <v>11.44348190198615</v>
      </c>
      <c r="BE5" s="133">
        <f t="shared" ref="BE5:BE68" si="30">POWER((9.129564718-8.28652525*LOG(BB5)+1.792855923*BB5^0.5)-1.644854*(1.324763978-2.174364147*LOG(BB5)+0.551355577*BB5^0.5),1/0.587)-7.001</f>
        <v>13.488880571578811</v>
      </c>
      <c r="BF5" s="133">
        <f>POWER((9.129564718-8.28652525*LOG(BB5)+1.792855923*BB5^0.5)-1.281552*(1.324763978-2.174364147*LOG(BB5)+0.551355577*BB5^0.5),1/0.587)-7.001</f>
        <v>15.956250435343794</v>
      </c>
      <c r="BG5" s="133">
        <f>POWER((9.129564718-8.28652525*LOG(BB5)+1.792855923*BB5^0.5)-0.6755*(1.324763978-2.174364147*LOG(BB5)+0.551355577*BB5^0.5),1/0.587)-7.001</f>
        <v>20.326519069945469</v>
      </c>
      <c r="BH5" s="134">
        <f>POWER((9.129564718-8.28652525*LOG(BB5)+1.792855923*BB5^0.5)-0*(1.324763978-2.174364147*LOG(BB5)+0.551355577*BB5^0.5),1/0.587)-7.001</f>
        <v>25.562235885758763</v>
      </c>
      <c r="BI5" s="133">
        <f>POWER((9.129564718-8.28652525*LOG(BB5)+1.792855923*BB5^0.5)+0.6755*(1.324763978-2.174364147*LOG(BB5)+0.551355577*BB5^0.5),1/0.587)-7.001</f>
        <v>31.171220092856803</v>
      </c>
      <c r="BJ5" s="133">
        <f t="shared" ref="BJ5:BJ68" si="31">POWER((9.129564718-8.28652525*LOG(BB5)+1.792855923*BB5^0.5)+1.281552*(1.324763978-2.174364147*LOG(BB5)+0.551355577*BB5^0.5),1/0.587)-7.001</f>
        <v>36.512815068246645</v>
      </c>
      <c r="BK5" s="133">
        <f t="shared" ref="BK5:BK68" si="32">POWER((9.129564718-8.28652525*LOG(BB5)+1.792855923*BB5^0.5)+1.644854*(1.324763978-2.174364147*LOG(BB5)+0.551355577*BB5^0.5),1/0.587)-7.001</f>
        <v>39.852204841992112</v>
      </c>
      <c r="BL5" s="133">
        <f t="shared" ref="BL5:BL68" si="33">POWER((9.129564718-8.28652525*LOG(BB5)+1.792855923*BB5^0.5)+1.959964*(1.324763978-2.174364147*LOG(BB5)+0.551355577*BB5^0.5),1/0.587)-7.001</f>
        <v>42.830722503605344</v>
      </c>
      <c r="BM5" s="133">
        <f t="shared" ref="BM5:BM68" si="34">POWER((9.129564718-8.28652525*LOG(BB5)+1.792855923*BB5^0.5)+2.326348*(1.324763978-2.174364147*LOG(BB5)+0.551355577*BB5^0.5),1/0.587)-7.001</f>
        <v>46.388658114440247</v>
      </c>
      <c r="BN5" s="81"/>
      <c r="BO5" s="75">
        <v>6</v>
      </c>
      <c r="BP5" s="151">
        <f t="shared" ref="BP5:BP68" si="35">POWER((1.701585669-0.715178046*LOG(BO5)+0.147015501*BO5^0.5)-2.326348*(0.063416169+0.043129977*LOG(BO5)-0.00118163*BO5^0.5),1/0.148)</f>
        <v>5.4805553274662664</v>
      </c>
      <c r="BQ5" s="151">
        <f t="shared" ref="BQ5:BQ68" si="36">POWER((1.701585669-0.715178046*LOG(BO5)+0.147015501*BO5^0.5)-1.959964*(0.063416169+0.043129977*LOG(BO5)-0.00118163*BO5^0.5),1/0.148)</f>
        <v>6.5527896006740134</v>
      </c>
      <c r="BR5" s="151">
        <f t="shared" ref="BR5:BR68" si="37">POWER((1.701585669-0.715178046*LOG(BO5)+0.147015501*BO5^0.5)-1.644854*(0.063416169+0.043129977*LOG(BO5)-0.00118163*BO5^0.5),1/0.148)</f>
        <v>7.6131556365965682</v>
      </c>
      <c r="BS5" s="151">
        <f>POWER((1.701585669-0.715178046*LOG(BO5)+0.147015501*BO5^0.5)-1.281552*(0.063416169+0.043129977*LOG(BO5)-0.00118163*BO5^0.5),1/0.148)</f>
        <v>9.0139153123143885</v>
      </c>
      <c r="BT5" s="151">
        <f>POWER((1.701585669-0.715178046*LOG(BO5)+0.147015501*BO5^0.5)-0.6755*(0.063416169+0.043129977*LOG(BO5)-0.00118163*BO5^0.5),1/0.148)</f>
        <v>11.839508860901615</v>
      </c>
      <c r="BU5" s="134">
        <f>POWER((1.701585669-0.715178046*LOG(BO5)+0.147015501*BO5^0.5)-0*(0.063416169+0.043129977*LOG(BO5)-0.00118163*BO5^0.5),1/0.148)</f>
        <v>15.84621949808081</v>
      </c>
      <c r="BV5" s="151">
        <f>POWER((1.701585669-0.715178046*LOG(BO5)+0.147015501*BO5^0.5)+0.6755*(0.063416169+0.043129977*LOG(BO5)-0.00118163*BO5^0.5),1/0.148)</f>
        <v>20.954704246609882</v>
      </c>
      <c r="BW5" s="151">
        <f t="shared" ref="BW5:BW68" si="38">POWER((1.701585669-0.715178046*LOG(BO5)+0.147015501*BO5^0.5)+1.281552*(0.063416169+0.043129977*LOG(BO5)-0.00118163*BO5^0.5),1/0.148)</f>
        <v>26.6715031803698</v>
      </c>
      <c r="BX5" s="151">
        <f t="shared" ref="BX5:BX68" si="39">POWER((1.701585669-0.715178046*LOG(BO5)+0.147015501*BO5^0.5)+1.644854*(0.063416169+0.043129977*LOG(BO5)-0.00118163*BO5^0.5),1/0.148)</f>
        <v>30.697476666782176</v>
      </c>
      <c r="BY5" s="151">
        <f t="shared" ref="BY5:BY68" si="40">POWER((1.701585669-0.715178046*LOG(BO5)+0.147015501*BO5^0.5)+1.959964*(0.063416169+0.043129977*LOG(BO5)-0.00118163*BO5^0.5),1/0.148)</f>
        <v>34.597861873441488</v>
      </c>
      <c r="BZ5" s="151">
        <f t="shared" ref="BZ5:BZ68" si="41">POWER((1.701585669-0.715178046*LOG(BO5)+0.147015501*BO5^0.5)+2.326348*(0.063416169+0.043129977*LOG(BO5)-0.00118163*BO5^0.5),1/0.148)</f>
        <v>39.656509162338246</v>
      </c>
      <c r="CA5" s="81"/>
      <c r="CB5" s="81">
        <v>4</v>
      </c>
      <c r="CC5" s="133">
        <f t="shared" ref="CC5:CC68" si="42">POWER((21.898574356-26.903936553*LOG(CB5)+4.665112065*CB5^0.5)-2.326348*(1.88745203+0.51223873*LOG(CB5)+0.068486778*CB5^0.5),1/0.709)-7.001</f>
        <v>17.303715998122524</v>
      </c>
      <c r="CD5" s="133">
        <f t="shared" ref="CD5:CD68" si="43">POWER((21.898574356-26.903936553*LOG(CB5)+4.665112065*CB5^0.5)-1.959964*(1.88745203+0.51223873*LOG(CB5)+0.068486778*CB5^0.5),1/0.709)-7.001</f>
        <v>20.409252706186837</v>
      </c>
      <c r="CE5" s="133">
        <f t="shared" ref="CE5:CE68" si="44">POWER((21.898574356-26.903936553*LOG(CB5)+4.665112065*CB5^0.5)-1.644854*(1.88745203+0.51223873*LOG(CB5)+0.068486778*CB5^0.5),1/0.709)-7.001</f>
        <v>23.165175617179177</v>
      </c>
      <c r="CF5" s="133">
        <f>POWER((21.898574356-26.903936553*LOG(CB5)+4.665112065*CB5^0.5)-1.281552*(1.88745203+0.51223873*LOG(CB5)+0.068486778*CB5^0.5),1/0.709)-7.001</f>
        <v>26.435900105676264</v>
      </c>
      <c r="CG5" s="133">
        <f>POWER((21.898574356-26.903936553*LOG(CB5)+4.665112065*CB5^0.5)-0.6755*(1.88745203+0.51223873*LOG(CB5)+0.068486778*CB5^0.5),1/0.709)-7.001</f>
        <v>32.103645296136115</v>
      </c>
      <c r="CH5" s="134">
        <f>POWER((21.898574356-26.903936553*LOG(CB5)+4.665112065*CB5^0.5)-0*(1.88745203+0.51223873*LOG(CB5)+0.068486778*CB5^0.5),1/0.709)-7.001</f>
        <v>38.714989318377611</v>
      </c>
      <c r="CI5" s="133">
        <f>POWER((21.898574356-26.903936553*LOG(CB5)+4.665112065*CB5^0.5)+0.6755*(1.88745203+0.51223873*LOG(CB5)+0.068486778*CB5^0.5),1/0.709)-7.001</f>
        <v>45.617459078859028</v>
      </c>
      <c r="CJ5" s="133">
        <f t="shared" ref="CJ5:CJ68" si="45">POWER((21.898574356-26.903936553*LOG(CB5)+4.665112065*CB5^0.5)+1.281552*(1.88745203+0.51223873*LOG(CB5)+0.068486778*CB5^0.5),1/0.709)-7.001</f>
        <v>52.04430956627791</v>
      </c>
      <c r="CK5" s="133">
        <f t="shared" ref="CK5:CK68" si="46">POWER((21.898574356-26.903936553*LOG(CB5)+4.665112065*CB5^0.5)+1.644854*(1.88745203+0.51223873*LOG(CB5)+0.068486778*CB5^0.5),1/0.709)-7.001</f>
        <v>55.998452112041456</v>
      </c>
      <c r="CL5" s="133">
        <f t="shared" ref="CL5:CL68" si="47">POWER((21.898574356-26.903936553*LOG(CB5)+4.665112065*CB5^0.5)+1.959964*(1.88745203+0.51223873*LOG(CB5)+0.068486778*CB5^0.5),1/0.709)-7.001</f>
        <v>59.487745082818584</v>
      </c>
      <c r="CM5" s="133">
        <f t="shared" ref="CM5:CM68" si="48">POWER((21.898574356-26.903936553*LOG(CB5)+4.665112065*CB5^0.5)+2.326348*(1.88745203+0.51223873*LOG(CB5)+0.068486778*CB5^0.5),1/0.709)-7.001</f>
        <v>63.612784700129218</v>
      </c>
      <c r="CN5" s="81"/>
      <c r="CO5" s="81">
        <v>4</v>
      </c>
      <c r="CP5" s="133">
        <f t="shared" ref="CP5:CP68" si="49">POWER((20.182143031-22.173706696*LOG(CO5)+3.844054992*CO5^0.5)-2.326348*(2.292087929-0.758787886*LOG(CO5)+0.216995794*CO5^0.5),1/0.697)-6.001</f>
        <v>18.296233469601869</v>
      </c>
      <c r="CQ5" s="133">
        <f t="shared" ref="CQ5:CQ68" si="50">POWER((20.182143031-22.173706696*LOG(CO5)+3.844054992*CO5^0.5)-1.959964*(2.292087929-0.758787886*LOG(CO5)+0.216995794*CO5^0.5),1/0.697)-6.001</f>
        <v>21.492793638004933</v>
      </c>
      <c r="CR5" s="133">
        <f t="shared" ref="CR5:CR68" si="51">POWER((20.182143031-22.173706696*LOG(CO5)+3.844054992*CO5^0.5)-1.644854*(2.292087929-0.758787886*LOG(CO5)+0.216995794*CO5^0.5),1/0.697)-6.001</f>
        <v>24.33570213587544</v>
      </c>
      <c r="CS5" s="133">
        <f>POWER((20.182143031-22.173706696*LOG(CO5)+3.844054992*CO5^0.5)-1.281552*(2.292087929-0.758787886*LOG(CO5)+0.216995794*CO5^0.5),1/0.697)-6.001</f>
        <v>27.71641377818791</v>
      </c>
      <c r="CT5" s="133">
        <f>POWER((20.182143031-22.173706696*LOG(CO5)+3.844054992*CO5^0.5)-0.6755*(2.292087929-0.758787886*LOG(CO5)+0.216995794*CO5^0.5),1/0.697)-6.001</f>
        <v>33.590007713278879</v>
      </c>
      <c r="CU5" s="134">
        <f>POWER((20.182143031-22.173706696*LOG(CO5)+3.844054992*CO5^0.5)-0*(2.292087929-0.758787886*LOG(CO5)+0.216995794*CO5^0.5),1/0.697)-6.001</f>
        <v>40.462517833286661</v>
      </c>
      <c r="CV5" s="133">
        <f>POWER((20.182143031-22.173706696*LOG(CO5)+3.844054992*CO5^0.5)+0.6755*(2.292087929-0.758787886*LOG(CO5)+0.216995794*CO5^0.5),1/0.697)-6.001</f>
        <v>47.658253617061455</v>
      </c>
      <c r="CW5" s="133">
        <f t="shared" ref="CW5:CW68" si="52">POWER((20.182143031-22.173706696*LOG(CO5)+3.844054992*CO5^0.5)+1.281552*(2.292087929-0.758787886*LOG(CO5)+0.216995794*CO5^0.5),1/0.697)-6.001</f>
        <v>54.374540457796392</v>
      </c>
      <c r="CX5" s="133">
        <f t="shared" ref="CX5:CX68" si="53">POWER((20.182143031-22.173706696*LOG(CO5)+3.844054992*CO5^0.5)+1.644854*(2.292087929-0.758787886*LOG(CO5)+0.216995794*CO5^0.5),1/0.697)-6.001</f>
        <v>58.513783036424222</v>
      </c>
      <c r="CY5" s="133">
        <f t="shared" ref="CY5:CY68" si="54">POWER((20.182143031-22.173706696*LOG(CO5)+3.844054992*CO5^0.5)+1.959964*(2.292087929-0.758787886*LOG(CO5)+0.216995794*CO5^0.5),1/0.697)-6.001</f>
        <v>62.170514305938276</v>
      </c>
      <c r="CZ5" s="133">
        <f t="shared" ref="CZ5:CZ68" si="55">POWER((20.182143031-22.173706696*LOG(CO5)+3.844054992*CO5^0.5)+2.326348*(2.292087929-0.758787886*LOG(CO5)+0.216995794*CO5^0.5),1/0.697)-6.001</f>
        <v>66.498156955791899</v>
      </c>
      <c r="DA5" s="81"/>
      <c r="DB5" s="81">
        <v>6</v>
      </c>
      <c r="DC5" s="133">
        <f t="shared" ref="DC5:DC68" si="56">POWER((15.057371662-19.456694991*LOG(DB5)+3.368955099*DB5^0.5)-2.326348*(1.038994015+0.341963836*LOG(DB5)+0.047821163*DB5^0.5),1/0.608)-7.001</f>
        <v>6.471377446968293</v>
      </c>
      <c r="DD5" s="133">
        <f t="shared" ref="DD5:DD68" si="57">POWER((15.057371662-19.456694991*LOG(DB5)+3.368955099*DB5^0.5)-1.959964*(1.038994015+0.341963836*LOG(DB5)+0.047821163*DB5^0.5),1/0.608)-7.001</f>
        <v>8.9279099143014449</v>
      </c>
      <c r="DE5" s="133">
        <f t="shared" ref="DE5:DE68" si="58">POWER((15.057371662-19.456694991*LOG(DB5)+3.368955099*DB5^0.5)-1.644854*(1.038994015+0.341963836*LOG(DB5)+0.047821163*DB5^0.5),1/0.608)-7.001</f>
        <v>11.167566612691889</v>
      </c>
      <c r="DF5" s="133">
        <f>POWER((15.057371662-19.456694991*LOG(DB5)+3.368955099*DB5^0.5)-1.281552*(1.038994015+0.341963836*LOG(DB5)+0.047821163*DB5^0.5),1/0.608)-7.001</f>
        <v>13.890890582424475</v>
      </c>
      <c r="DG5" s="133">
        <f>POWER((15.057371662-19.456694991*LOG(DB5)+3.368955099*DB5^0.5)-0.6755*(1.038994015+0.341963836*LOG(DB5)+0.047821163*DB5^0.5),1/0.608)-7.001</f>
        <v>18.758735818695815</v>
      </c>
      <c r="DH5" s="134">
        <f>POWER((15.057371662-19.456694991*LOG(DB5)+3.368955099*DB5^0.5)-0*(1.038994015+0.341963836*LOG(DB5)+0.047821163*DB5^0.5),1/0.608)-7.001</f>
        <v>24.644183151453472</v>
      </c>
      <c r="DI5" s="133">
        <f>POWER((15.057371662-19.456694991*LOG(DB5)+3.368955099*DB5^0.5)+0.6755*(1.038994015+0.341963836*LOG(DB5)+0.047821163*DB5^0.5),1/0.608)-7.001</f>
        <v>30.993980308045277</v>
      </c>
      <c r="DJ5" s="133">
        <f t="shared" ref="DJ5:DJ68" si="59">POWER((15.057371662-19.456694991*LOG(DB5)+3.368955099*DB5^0.5)+1.281552*(1.038994015+0.341963836*LOG(DB5)+0.047821163*DB5^0.5),1/0.608)-7.001</f>
        <v>37.071274939013165</v>
      </c>
      <c r="DK5" s="133">
        <f t="shared" ref="DK5:DK68" si="60">POWER((15.057371662-19.456694991*LOG(DB5)+3.368955099*DB5^0.5)+1.644854*(1.038994015+0.341963836*LOG(DB5)+0.047821163*DB5^0.5),1/0.608)-7.001</f>
        <v>40.881796390905642</v>
      </c>
      <c r="DL5" s="133">
        <f t="shared" ref="DL5:DL68" si="61">POWER((15.057371662-19.456694991*LOG(DB5)+3.368955099*DB5^0.5)+1.959964*(1.038994015+0.341963836*LOG(DB5)+0.047821163*DB5^0.5),1/0.608)-7.001</f>
        <v>44.286346754588898</v>
      </c>
      <c r="DM5" s="133">
        <f t="shared" ref="DM5:DM68" si="62">POWER((15.057371662-19.456694991*LOG(DB5)+3.368955099*DB5^0.5)+2.326348*(1.038994015+0.341963836*LOG(DB5)+0.047821163*DB5^0.5),1/0.608)-7.001</f>
        <v>48.359196789907429</v>
      </c>
      <c r="DN5" s="81"/>
      <c r="DO5" s="81">
        <v>4</v>
      </c>
      <c r="DP5" s="133">
        <v>8.8733211095038946</v>
      </c>
      <c r="DQ5" s="133">
        <v>9.3526616907608666</v>
      </c>
      <c r="DR5" s="133">
        <v>9.7855811002899138</v>
      </c>
      <c r="DS5" s="133">
        <v>10.309638633386463</v>
      </c>
      <c r="DT5" s="133">
        <v>11.247060475388929</v>
      </c>
      <c r="DU5" s="134">
        <v>12.392691692245567</v>
      </c>
      <c r="DV5" s="133">
        <v>13.655017479021902</v>
      </c>
      <c r="DW5" s="133">
        <v>14.896623716927055</v>
      </c>
      <c r="DX5" s="133">
        <v>15.694398299402186</v>
      </c>
      <c r="DY5" s="133">
        <v>16.420866322018988</v>
      </c>
      <c r="DZ5" s="133">
        <v>17.307928506561041</v>
      </c>
      <c r="EA5" s="81"/>
      <c r="EB5" s="81">
        <v>4</v>
      </c>
      <c r="EC5" s="133">
        <v>8.4692288013834105</v>
      </c>
      <c r="ED5" s="133">
        <v>9.0112834249226719</v>
      </c>
      <c r="EE5" s="133">
        <v>9.5051482855272766</v>
      </c>
      <c r="EF5" s="133">
        <v>10.108228229189345</v>
      </c>
      <c r="EG5" s="133">
        <v>11.200625866196535</v>
      </c>
      <c r="EH5" s="134">
        <v>12.557886128025443</v>
      </c>
      <c r="EI5" s="133">
        <v>14.079615361530246</v>
      </c>
      <c r="EJ5" s="133">
        <v>15.601201360794855</v>
      </c>
      <c r="EK5" s="133">
        <v>16.591061945300908</v>
      </c>
      <c r="EL5" s="133">
        <v>17.500337806299452</v>
      </c>
      <c r="EM5" s="133">
        <v>18.620408977343264</v>
      </c>
      <c r="EN5" s="81"/>
      <c r="EO5" s="81">
        <v>6</v>
      </c>
      <c r="EP5" s="133">
        <v>10.598552844512826</v>
      </c>
      <c r="EQ5" s="133">
        <v>11.438736006086199</v>
      </c>
      <c r="ER5" s="133">
        <v>12.214421028721336</v>
      </c>
      <c r="ES5" s="133">
        <v>13.174242508291174</v>
      </c>
      <c r="ET5" s="133">
        <v>14.946168744960884</v>
      </c>
      <c r="EU5" s="134">
        <v>17.203395377313974</v>
      </c>
      <c r="EV5" s="133">
        <v>19.801516867522992</v>
      </c>
      <c r="EW5" s="133">
        <v>22.464806786570712</v>
      </c>
      <c r="EX5" s="133">
        <v>24.230113880327742</v>
      </c>
      <c r="EY5" s="133">
        <v>25.873209448204626</v>
      </c>
      <c r="EZ5" s="133">
        <v>27.924266345608984</v>
      </c>
      <c r="FA5" s="81"/>
      <c r="FB5" s="81">
        <v>4</v>
      </c>
      <c r="FC5" s="133">
        <v>4.5371459847929883</v>
      </c>
      <c r="FD5" s="133">
        <v>4.8208127556946234</v>
      </c>
      <c r="FE5" s="133">
        <v>5.0789266735824521</v>
      </c>
      <c r="FF5" s="133">
        <v>5.3937138658455925</v>
      </c>
      <c r="FG5" s="133">
        <v>5.962850842313637</v>
      </c>
      <c r="FH5" s="134">
        <v>6.6682558842634343</v>
      </c>
      <c r="FI5" s="133">
        <v>7.4571103175139726</v>
      </c>
      <c r="FJ5" s="133">
        <v>8.2439739378059986</v>
      </c>
      <c r="FK5" s="133">
        <v>8.754927841210554</v>
      </c>
      <c r="FL5" s="133">
        <v>9.2236804853058274</v>
      </c>
      <c r="FM5" s="133">
        <v>9.800353942114274</v>
      </c>
      <c r="FN5" s="81"/>
      <c r="FO5" s="81">
        <v>4</v>
      </c>
      <c r="FP5" s="133">
        <v>4.6804751591115021</v>
      </c>
      <c r="FQ5" s="133">
        <v>5.0081268950235982</v>
      </c>
      <c r="FR5" s="133">
        <v>5.3082129339799557</v>
      </c>
      <c r="FS5" s="133">
        <v>5.6765769265864376</v>
      </c>
      <c r="FT5" s="133">
        <v>6.3488371244867503</v>
      </c>
      <c r="FU5" s="134">
        <v>7.1923669290799888</v>
      </c>
      <c r="FV5" s="133">
        <v>8.1479711997975439</v>
      </c>
      <c r="FW5" s="133">
        <v>9.1129113040367091</v>
      </c>
      <c r="FX5" s="133">
        <v>9.7453027385880766</v>
      </c>
      <c r="FY5" s="133">
        <v>10.329239479519968</v>
      </c>
      <c r="FZ5" s="133">
        <v>11.052327014666496</v>
      </c>
      <c r="GA5" s="81"/>
      <c r="GB5" s="81">
        <v>6</v>
      </c>
      <c r="GC5" s="133">
        <v>5.291815701116751</v>
      </c>
      <c r="GD5" s="133">
        <v>5.7593215037240224</v>
      </c>
      <c r="GE5" s="133">
        <v>6.1943050968771232</v>
      </c>
      <c r="GF5" s="133">
        <v>6.7367421710238755</v>
      </c>
      <c r="GG5" s="133">
        <v>7.7493844704653743</v>
      </c>
      <c r="GH5" s="134">
        <v>9.0584437633583672</v>
      </c>
      <c r="GI5" s="133">
        <v>10.588634971804202</v>
      </c>
      <c r="GJ5" s="133">
        <v>12.180279626384301</v>
      </c>
      <c r="GK5" s="133">
        <v>13.24691020713438</v>
      </c>
      <c r="GL5" s="133">
        <v>14.247408025557942</v>
      </c>
      <c r="GM5" s="133">
        <v>15.506096215068411</v>
      </c>
      <c r="GN5" s="81"/>
      <c r="GO5" s="81">
        <v>4</v>
      </c>
      <c r="GP5" s="133">
        <f t="shared" ref="GP5:GP68" si="63">POWER((0.233620187-0.086725664*LOG(GO5)+0.04901957*GO5^0.5)-2.326348*(0.086429948-0.007000796*LOG(GO5)+0.002228381*GO5^0.5),1/2.06)</f>
        <v>0.2895244437038722</v>
      </c>
      <c r="GQ5" s="133">
        <f t="shared" ref="GQ5:GQ68" si="64">POWER((0.233620187-0.086725664*LOG(GO5)+0.04901957*GO5^0.5)-1.959964*(0.086429948-0.007000796*LOG(GO5)+0.002228381*GO5^0.5),1/2.06)</f>
        <v>0.34184880785489974</v>
      </c>
      <c r="GR5" s="133">
        <f t="shared" ref="GR5:GR68" si="65">POWER((0.233620187-0.086725664*LOG(GO5)+0.04901957*GO5^0.5)-1.644854*(0.086429948-0.007000796*LOG(GO5)+0.002228381*GO5^0.5),1/2.06)</f>
        <v>0.3808481789181527</v>
      </c>
      <c r="GS5" s="133">
        <f>POWER((0.233620187-0.086725664*LOG(GO5)+0.04901957*GO5^0.5)-1.281552*(0.086429948-0.007000796*LOG(GO5)+0.002228381*GO5^0.5),1/2.06)</f>
        <v>0.4211156678121849</v>
      </c>
      <c r="GT5" s="133">
        <f>POWER((0.233620187-0.086725664*LOG(GO5)+0.04901957*GO5^0.5)-0.6577*(0.086429948-0.007000796*LOG(GO5)+0.002228381*GO5^0.5),1/2.06)</f>
        <v>0.48207455852380293</v>
      </c>
      <c r="GU5" s="134">
        <f>POWER((0.233620187-0.086725664*LOG(GO5)+0.04901957*GO5^0.5)-0*(0.086429948-0.007000796*LOG(GO5)+0.002228381*GO5^0.5),1/2.06)</f>
        <v>0.53853263206197688</v>
      </c>
      <c r="GV5" s="133">
        <f>POWER((0.233620187-0.086725664*LOG(GO5)+0.04901957*GO5^0.5)+0.6577*(0.086429948-0.007000796*LOG(GO5)+0.002228381*GO5^0.5),1/2.06)</f>
        <v>0.58931751629080931</v>
      </c>
      <c r="GW5" s="133">
        <f t="shared" ref="GW5:GW68" si="66">POWER((0.233620187-0.086725664*LOG(GO5)+0.04901957*GO5^0.5)+1.281552*(0.086429948-0.007000796*LOG(GO5)+0.002228381*GO5^0.5),1/2.06)</f>
        <v>0.63353180811123155</v>
      </c>
      <c r="GX5" s="133">
        <f t="shared" ref="GX5:GX68" si="67">POWER((0.233620187-0.086725664*LOG(GO5)+0.04901957*GO5^0.5)+1.644854*(0.086429948-0.007000796*LOG(GO5)+0.002228381*GO5^0.5),1/2.06)</f>
        <v>0.65783459898249963</v>
      </c>
      <c r="GY5" s="133">
        <f t="shared" ref="GY5:GY68" si="68">POWER((0.233620187-0.086725664*LOG(GO5)+0.04901957*GO5^0.5)+1.959964*(0.086429948-0.007000796*LOG(GO5)+0.002228381*GO5^0.5),1/2.06)</f>
        <v>0.67816789852182746</v>
      </c>
      <c r="GZ5" s="133">
        <f t="shared" ref="GZ5:GZ68" si="69">POWER((0.233620187-0.086725664*LOG(GO5)+0.04901957*GO5^0.5)+2.326348*(0.086429948-0.007000796*LOG(GO5)+0.002228381*GO5^0.5),1/2.06)</f>
        <v>0.70102572469256386</v>
      </c>
      <c r="HA5" s="81"/>
      <c r="HB5" s="81">
        <v>4</v>
      </c>
      <c r="HC5" s="133">
        <f t="shared" ref="HC5:HC68" si="70">POWER((0.260159768-0.151356012*LOG(HB5)+0.060955623*HB5^0.5)-2.326348*(0.063209008+0.037954229*LOG(HB5)-0.004615882*HB5^0.5),1/2.04)</f>
        <v>0.34224926991125809</v>
      </c>
      <c r="HD5" s="133">
        <f t="shared" ref="HD5:HD68" si="71">POWER((0.260159768-0.151356012*LOG(HB5)+0.060955623*HB5^0.5)-1.959964*(0.063209008+0.037954229*LOG(HB5)-0.004615882*HB5^0.5),1/2.04)</f>
        <v>0.3819358988739458</v>
      </c>
      <c r="HE5" s="133">
        <f t="shared" ref="HE5:HE68" si="72">POWER((0.260159768-0.151356012*LOG(HB5)+0.060955623*HB5^0.5)-1.644854*(0.063209008+0.037954229*LOG(HB5)-0.004615882*HB5^0.5),1/2.04)</f>
        <v>0.41291856971813035</v>
      </c>
      <c r="HF5" s="133">
        <f>POWER((0.260159768-0.151356012*LOG(HB5)+0.060955623*HB5^0.5)-1.281552*(0.063209008+0.037954229*LOG(HB5)-0.004615882*HB5^0.5),1/2.04)</f>
        <v>0.44587786219963338</v>
      </c>
      <c r="HG5" s="133">
        <f>POWER((0.260159768-0.151356012*LOG(HB5)+0.060955623*HB5^0.5)-0.6755*(0.063209008+0.037954229*LOG(HB5)-0.004615882*HB5^0.5),1/2.04)</f>
        <v>0.4958337997965368</v>
      </c>
      <c r="HH5" s="134">
        <f>POWER((0.260159768-0.151356012*LOG(HB5)+0.060955623*HB5^0.5)-0*(0.063209008+0.037954229*LOG(HB5)-0.004615882*HB5^0.5),1/2.04)</f>
        <v>0.54596230009726077</v>
      </c>
      <c r="HI5" s="133">
        <f>POWER((0.260159768-0.151356012*LOG(HB5)+0.060955623*HB5^0.5)+0.6755*(0.063209008+0.037954229*LOG(HB5)-0.004615882*HB5^0.5),1/2.04)</f>
        <v>0.59170532064981352</v>
      </c>
      <c r="HJ5" s="133">
        <f t="shared" ref="HJ5:HJ68" si="73">POWER((0.260159768-0.151356012*LOG(HB5)+0.060955623*HB5^0.5)+1.281552*(0.063209008+0.037954229*LOG(HB5)-0.004615882*HB5^0.5),1/2.04)</f>
        <v>0.62981970093301876</v>
      </c>
      <c r="HK5" s="133">
        <f t="shared" ref="HK5:HK68" si="74">POWER((0.260159768-0.151356012*LOG(HB5)+0.060955623*HB5^0.5)+1.644854*(0.063209008+0.037954229*LOG(HB5)-0.004615882*HB5^0.5),1/2.04)</f>
        <v>0.6515588599067117</v>
      </c>
      <c r="HL5" s="133">
        <f t="shared" ref="HL5:HL68" si="75">POWER((0.260159768-0.151356012*LOG(HB5)+0.060955623*HB5^0.5)+1.959964*(0.063209008+0.037954229*LOG(HB5)-0.004615882*HB5^0.5),1/2.04)</f>
        <v>0.66982106293012389</v>
      </c>
      <c r="HM5" s="133">
        <f t="shared" ref="HM5:HM68" si="76">POWER((0.260159768-0.151356012*LOG(HB5)+0.060955623*HB5^0.5)+2.326348*(0.063209008+0.037954229*LOG(HB5)-0.004615882*HB5^0.5),1/2.04)</f>
        <v>0.69042424269059977</v>
      </c>
      <c r="HN5" s="81"/>
      <c r="HO5" s="81">
        <v>6</v>
      </c>
      <c r="HP5" s="83">
        <f t="shared" ref="HP5:HP68" si="77">POWER((0.207481579-0.01891618*LOG(HO5)+0.03605933*HO5^0.5)-2.326348*(0.110751963-0.054950947*LOG(HO5)+0.009715719*HO5^0.5),1/2.08)</f>
        <v>0.27373337756195126</v>
      </c>
      <c r="HQ5" s="83">
        <f t="shared" ref="HQ5:HQ68" si="78">POWER((0.207481579-0.01891618*LOG(HO5)+0.03605933*HO5^0.5)-1.959964*(0.110751963-0.054950947*LOG(HO5)+0.009715719*HO5^0.5),1/2.08)</f>
        <v>0.33241948158939516</v>
      </c>
      <c r="HR5" s="83">
        <f t="shared" ref="HR5:HR68" si="79">POWER((0.207481579-0.01891618*LOG(HO5)+0.03605933*HO5^0.5)-1.644854*(0.110751963-0.054950947*LOG(HO5)+0.009715719*HO5^0.5),1/2.08)</f>
        <v>0.37513123351488104</v>
      </c>
      <c r="HS5" s="83">
        <f>POWER((0.207481579-0.01891618*LOG(HO5)+0.03605933*HO5^0.5)-1.281552*(0.110751963-0.054950947*LOG(HO5)+0.009715719*HO5^0.5),1/2.08)</f>
        <v>0.41862557139049505</v>
      </c>
      <c r="HT5" s="83">
        <f>POWER((0.207481579-0.01891618*LOG(HO5)+0.03605933*HO5^0.5)-0.6755*(0.110751963-0.054950947*LOG(HO5)+0.009715719*HO5^0.5),1/2.08)</f>
        <v>0.48193266832425652</v>
      </c>
      <c r="HU5" s="84">
        <f>POWER((0.207481579-0.01891618*LOG(HO5)+0.03605933*HO5^0.5)-0*(0.110751963-0.054950947*LOG(HO5)+0.009715719*HO5^0.5),1/2.08)</f>
        <v>0.54327659984938426</v>
      </c>
      <c r="HV5" s="83">
        <f>POWER((0.207481579-0.01891618*LOG(HO5)+0.03605933*HO5^0.5)+0.6755*(0.110751963-0.054950947*LOG(HO5)+0.009715719*HO5^0.5),1/2.08)</f>
        <v>0.59791643117674775</v>
      </c>
      <c r="HW5" s="83">
        <f t="shared" ref="HW5:HW68" si="80">POWER((0.207481579-0.01891618*LOG(HO5)+0.03605933*HO5^0.5)+1.281552*(0.110751963-0.054950947*LOG(HO5)+0.009715719*HO5^0.5),1/2.08)</f>
        <v>0.64270999344581548</v>
      </c>
      <c r="HX5" s="83">
        <f t="shared" ref="HX5:HX68" si="81">POWER((0.207481579-0.01891618*LOG(HO5)+0.03605933*HO5^0.5)+1.644854*(0.110751963-0.054950947*LOG(HO5)+0.009715719*HO5^0.5),1/2.08)</f>
        <v>0.66801458174479844</v>
      </c>
      <c r="HY5" s="83">
        <f t="shared" ref="HY5:HY68" si="82">POWER((0.207481579-0.01891618*LOG(HO5)+0.03605933*HO5^0.5)+1.959964*(0.110751963-0.054950947*LOG(HO5)+0.009715719*HO5^0.5),1/2.08)</f>
        <v>0.68915253099988538</v>
      </c>
      <c r="HZ5" s="83">
        <f t="shared" ref="HZ5:HZ68" si="83">POWER((0.207481579-0.01891618*LOG(HO5)+0.03605933*HO5^0.5)+2.326348*(0.110751963-0.054950947*LOG(HO5)+0.009715719*HO5^0.5),1/2.08)</f>
        <v>0.71288164892142381</v>
      </c>
      <c r="IA5" s="81"/>
      <c r="IB5" s="81">
        <v>4</v>
      </c>
      <c r="IC5" s="83">
        <f t="shared" ref="IC5:IC68" si="84">POWER((0.018347209-0.007282911*LOG(IB5)+0.004299644*IB5^0.5)-2.326348*(0.007950591-0.000478586*LOG(IB5)+0.000131249*IB5^0.5),1/3.61)</f>
        <v>0.21850869957070468</v>
      </c>
      <c r="ID5" s="83">
        <f t="shared" ref="ID5:ID68" si="85">POWER((0.018347209-0.007282911*LOG(IB5)+0.004299644*IB5^0.5)-1.959964*(0.007950591-0.000478586*LOG(IB5)+0.000131249*IB5^0.5),1/3.61)</f>
        <v>0.25326420263943294</v>
      </c>
      <c r="IE5" s="83">
        <f t="shared" ref="IE5:IE68" si="86">POWER((0.018347209-0.007282911*LOG(IB5)+0.004299644*IB5^0.5)-1.644854*(0.007950591-0.000478586*LOG(IB5)+0.000131249*IB5^0.5),1/3.61)</f>
        <v>0.27551546015269412</v>
      </c>
      <c r="IF5" s="83">
        <f>POWER((0.018347209-0.007282911*LOG(IB5)+0.004299644*IB5^0.5)-1.281552*(0.007950591-0.000478586*LOG(IB5)+0.000131249*IB5^0.5),1/3.61)</f>
        <v>0.29642539688344371</v>
      </c>
      <c r="IG5" s="83">
        <f>POWER((0.018347209-0.007282911*LOG(IB5)+0.004299644*IB5^0.5)-0.6755*(0.007950591-0.000478586*LOG(IB5)+0.000131249*IB5^0.5),1/3.61)</f>
        <v>0.3245530949972833</v>
      </c>
      <c r="IH5" s="84">
        <f>POWER((0.018347209-0.007282911*LOG(IB5)+0.004299644*IB5^0.5)-0*(0.007950591-0.000478586*LOG(IB5)+0.000131249*IB5^0.5),1/3.61)</f>
        <v>0.34984088619250803</v>
      </c>
      <c r="II5" s="83">
        <f>POWER((0.018347209-0.007282911*LOG(IB5)+0.004299644*IB5^0.5)+0.6755*(0.007950591-0.000478586*LOG(IB5)+0.000131249*IB5^0.5),1/3.61)</f>
        <v>0.37109434348113862</v>
      </c>
      <c r="IJ5" s="83">
        <f t="shared" ref="IJ5:IJ68" si="87">POWER((0.018347209-0.007282911*LOG(IB5)+0.004299644*IB5^0.5)+1.281552*(0.007950591-0.000478586*LOG(IB5)+0.000131249*IB5^0.5),1/3.61)</f>
        <v>0.38777832649355426</v>
      </c>
      <c r="IK5" s="83">
        <f t="shared" ref="IK5:IK68" si="88">POWER((0.018347209-0.007282911*LOG(IB5)+0.004299644*IB5^0.5)+1.644854*(0.007950591-0.000478586*LOG(IB5)+0.000131249*IB5^0.5),1/3.61)</f>
        <v>0.39694463130952728</v>
      </c>
      <c r="IL5" s="83">
        <f t="shared" ref="IL5:IL68" si="89">POWER((0.018347209-0.007282911*LOG(IB5)+0.004299644*IB5^0.5)+1.959964*(0.007950591-0.000478586*LOG(IB5)+0.000131249*IB5^0.5),1/3.61)</f>
        <v>0.40447030135373302</v>
      </c>
      <c r="IM5" s="83">
        <f t="shared" ref="IM5:IM68" si="90">POWER((0.018347209-0.007282911*LOG(IB5)+0.004299644*IB5^0.5)+2.326348*(0.007950591-0.000478586*LOG(IB5)+0.000131249*IB5^0.5),1/3.61)</f>
        <v>0.41278467343240255</v>
      </c>
      <c r="IN5" s="81"/>
      <c r="IO5" s="81">
        <v>4</v>
      </c>
      <c r="IP5" s="133">
        <f t="shared" ref="IP5:IP68" si="91">POWER((0.021322342-0.013400605*LOG(IO5)+0.005506749*IO5^0.5)-2.326348*(0.006004732+0.003720707*LOG(IO5)-0.000504609*IO5^0.5),1/3.57)</f>
        <v>0.25335282509415508</v>
      </c>
      <c r="IQ5" s="133">
        <f t="shared" ref="IQ5:IQ68" si="92">POWER((0.021322342-0.013400605*LOG(IO5)+0.005506749*IO5^0.5)-1.959964*(0.006004732+0.003720707*LOG(IO5)-0.000504609*IO5^0.5),1/3.57)</f>
        <v>0.27594457996546118</v>
      </c>
      <c r="IR5" s="133">
        <f t="shared" ref="IR5:IR68" si="93">POWER((0.021322342-0.013400605*LOG(IO5)+0.005506749*IO5^0.5)-1.644854*(0.006004732+0.003720707*LOG(IO5)-0.000504609*IO5^0.5),1/3.57)</f>
        <v>0.29215544808562349</v>
      </c>
      <c r="IS5" s="133">
        <f>POWER((0.021322342-0.013400605*LOG(IO5)+0.005506749*IO5^0.5)-1.281552*(0.006004732+0.003720707*LOG(IO5)-0.000504609*IO5^0.5),1/3.57)</f>
        <v>0.30836225195099459</v>
      </c>
      <c r="IT5" s="133">
        <f>POWER((0.021322342-0.013400605*LOG(IO5)+0.005506749*IO5^0.5)-0.6755*(0.006004732+0.003720707*LOG(IO5)-0.000504609*IO5^0.5),1/3.57)</f>
        <v>0.33133594870891087</v>
      </c>
      <c r="IU5" s="134">
        <f>POWER((0.021322342-0.013400605*LOG(IO5)+0.005506749*IO5^0.5)-0*(0.006004732+0.003720707*LOG(IO5)-0.000504609*IO5^0.5),1/3.57)</f>
        <v>0.3528807154535617</v>
      </c>
      <c r="IV5" s="133">
        <f>POWER((0.021322342-0.013400605*LOG(IO5)+0.005506749*IO5^0.5)+0.6755*(0.006004732+0.003720707*LOG(IO5)-0.000504609*IO5^0.5),1/3.57)</f>
        <v>0.37149229288810448</v>
      </c>
      <c r="IW5" s="133">
        <f t="shared" ref="IW5:IW68" si="94">POWER((0.021322342-0.013400605*LOG(IO5)+0.005506749*IO5^0.5)+1.281552*(0.006004732+0.003720707*LOG(IO5)-0.000504609*IO5^0.5),1/3.57)</f>
        <v>0.38636243526146824</v>
      </c>
      <c r="IX5" s="133">
        <f t="shared" ref="IX5:IX68" si="95">POWER((0.021322342-0.013400605*LOG(IO5)+0.005506749*IO5^0.5)+1.644854*(0.006004732+0.003720707*LOG(IO5)-0.000504609*IO5^0.5),1/3.57)</f>
        <v>0.39461535001312215</v>
      </c>
      <c r="IY5" s="133">
        <f t="shared" ref="IY5:IY68" si="96">POWER((0.021322342-0.013400605*LOG(IO5)+0.005506749*IO5^0.5)+1.959964*(0.006004732+0.003720707*LOG(IO5)-0.000504609*IO5^0.5),1/3.57)</f>
        <v>0.40143062408361463</v>
      </c>
      <c r="IZ5" s="133">
        <f t="shared" ref="IZ5:IZ68" si="97">POWER((0.021322342-0.013400605*LOG(IO5)+0.005506749*IO5^0.5)+2.326348*(0.006004732+0.003720707*LOG(IO5)-0.000504609*IO5^0.5),1/3.57)</f>
        <v>0.4089983803958846</v>
      </c>
      <c r="JA5" s="81"/>
      <c r="JB5" s="81">
        <v>6</v>
      </c>
      <c r="JC5" s="133">
        <f t="shared" ref="JC5:JC68" si="98">POWER((0.015562404-0.001236024*LOG(JB5)+0.003069913*JB5^0.5)-2.326348*(0.009868481-0.004683869*LOG(JB5)+0.000784556*JB5^0.5),1/3.65)</f>
        <v>0.20672795825870072</v>
      </c>
      <c r="JD5" s="133">
        <f t="shared" ref="JD5:JD68" si="99">POWER((0.015562404-0.001236024*LOG(JB5)+0.003069913*JB5^0.5)-1.959964*(0.009868481-0.004683869*LOG(JB5)+0.000784556*JB5^0.5),1/3.65)</f>
        <v>0.24792358666806807</v>
      </c>
      <c r="JE5" s="133">
        <f t="shared" ref="JE5:JE68" si="100">POWER((0.015562404-0.001236024*LOG(JB5)+0.003069913*JB5^0.5)-1.644854*(0.009868481-0.004683869*LOG(JB5)+0.000784556*JB5^0.5),1/3.65)</f>
        <v>0.27276438261398234</v>
      </c>
      <c r="JF5" s="133">
        <f>POWER((0.015562404-0.001236024*LOG(JB5)+0.003069913*JB5^0.5)-1.281552*(0.009868481-0.004683869*LOG(JB5)+0.000784556*JB5^0.5),1/3.65)</f>
        <v>0.29549289708841159</v>
      </c>
      <c r="JG5" s="133">
        <f>POWER((0.015562404-0.001236024*LOG(JB5)+0.003069913*JB5^0.5)-0.6755*(0.009868481-0.004683869*LOG(JB5)+0.000784556*JB5^0.5),1/3.65)</f>
        <v>0.32545248242639058</v>
      </c>
      <c r="JH5" s="134">
        <f>POWER((0.015562404-0.001236024*LOG(JB5)+0.003069913*JB5^0.5)-0*(0.009868481-0.004683869*LOG(JB5)+0.000784556*JB5^0.5),1/3.65)</f>
        <v>0.35198012700921255</v>
      </c>
      <c r="JI5" s="133">
        <f>POWER((0.015562404-0.001236024*LOG(JB5)+0.003069913*JB5^0.5)+0.6755*(0.009868481-0.004683869*LOG(JB5)+0.000784556*JB5^0.5),1/3.65)</f>
        <v>0.37406677067797106</v>
      </c>
      <c r="JJ5" s="133">
        <f t="shared" ref="JJ5:JJ68" si="101">POWER((0.015562404-0.001236024*LOG(JB5)+0.003069913*JB5^0.5)+1.281552*(0.009868481-0.004683869*LOG(JB5)+0.000784556*JB5^0.5),1/3.65)</f>
        <v>0.39130306452447611</v>
      </c>
      <c r="JK5" s="133">
        <f t="shared" ref="JK5:JK68" si="102">POWER((0.015562404-0.001236024*LOG(JB5)+0.003069913*JB5^0.5)+1.644854*(0.009868481-0.004683869*LOG(JB5)+0.000784556*JB5^0.5),1/3.65)</f>
        <v>0.40074128699259648</v>
      </c>
      <c r="JL5" s="133">
        <f t="shared" ref="JL5:JL68" si="103">POWER((0.015562404-0.001236024*LOG(JB5)+0.003069913*JB5^0.5)+1.959964*(0.009868481-0.004683869*LOG(JB5)+0.000784556*JB5^0.5),1/3.65)</f>
        <v>0.40847547817733432</v>
      </c>
      <c r="JM5" s="133">
        <f t="shared" ref="JM5:JM68" si="104">POWER((0.015562404-0.001236024*LOG(JB5)+0.003069913*JB5^0.5)+2.326348*(0.009868481-0.004683869*LOG(JB5)+0.000784556*JB5^0.5),1/3.65)</f>
        <v>0.41700611869410659</v>
      </c>
      <c r="JN5" s="81"/>
      <c r="JO5" s="81">
        <v>3</v>
      </c>
      <c r="JP5" s="133">
        <f t="shared" ref="JP5:JP68" si="105">POWER((16.097260769-14.149592527*LOG(JO5)+3.314143516*JO5^0.5)-2.326348*(0.064536512+2.84968079*LOG(JO5)-0.41863164*JO5^0.5),1/0.824)-21.001</f>
        <v>2.4523807036390259</v>
      </c>
      <c r="JQ5" s="133">
        <f t="shared" ref="JQ5:JQ68" si="106">POWER((16.097260769-14.149592527*LOG(JO5)+3.314143516*JO5^0.5)-1.959964*(0.064536512+2.84968079*LOG(JO5)-0.41863164*JO5^0.5),1/0.824)-21.001</f>
        <v>2.9950996133419672</v>
      </c>
      <c r="JR5" s="133">
        <f t="shared" ref="JR5:JR68" si="107">POWER((16.097260769-14.149592527*LOG(JO5)+3.314143516*JO5^0.5)-1.644854*(0.064536512+2.84968079*LOG(JO5)-0.41863164*JO5^0.5),1/0.824)-21.001</f>
        <v>3.4636033416734939</v>
      </c>
      <c r="JS5" s="133">
        <f>POWER((16.097260769-14.149592527*LOG(JO5)+3.314143516*JO5^0.5)-1.281552*(0.064536512+2.84968079*LOG(JO5)-0.41863164*JO5^0.5),1/0.824)-21.001</f>
        <v>4.0057239207391646</v>
      </c>
      <c r="JT5" s="133">
        <f>POWER((16.097260769-14.149592527*LOG(JO5)+3.314143516*JO5^0.5)-0.6755*(0.064536512+2.84968079*LOG(JO5)-0.41863164*JO5^0.5),1/0.824)-21.001</f>
        <v>4.9146839035459706</v>
      </c>
      <c r="JU5" s="134">
        <f>POWER((16.097260769-14.149592527*LOG(JO5)+3.314143516*JO5^0.5)-0*(0.064536512+2.84968079*LOG(JO5)-0.41863164*JO5^0.5),1/0.824)-21.001</f>
        <v>5.9344510400057402</v>
      </c>
      <c r="JV5" s="133">
        <f>POWER((16.097260769-14.149592527*LOG(JO5)+3.314143516*JO5^0.5)+0.6755*(0.064536512+2.84968079*LOG(JO5)-0.41863164*JO5^0.5),1/0.824)-21.001</f>
        <v>6.9610600178592641</v>
      </c>
      <c r="JW5" s="133">
        <f t="shared" ref="JW5:JW68" si="108">POWER((16.097260769-14.149592527*LOG(JO5)+3.314143516*JO5^0.5)+1.281552*(0.064536512+2.84968079*LOG(JO5)-0.41863164*JO5^0.5),1/0.824)-21.001</f>
        <v>7.8878115628196497</v>
      </c>
      <c r="JX5" s="133">
        <f t="shared" ref="JX5:JX68" si="109">POWER((16.097260769-14.149592527*LOG(JO5)+3.314143516*JO5^0.5)+1.644854*(0.064536512+2.84968079*LOG(JO5)-0.41863164*JO5^0.5),1/0.824)-21.001</f>
        <v>8.4458891126681479</v>
      </c>
      <c r="JY5" s="133">
        <f t="shared" ref="JY5:JY68" si="110">POWER((16.097260769-14.149592527*LOG(JO5)+3.314143516*JO5^0.5)+1.959964*(0.064536512+2.84968079*LOG(JO5)-0.41863164*JO5^0.5),1/0.824)-21.001</f>
        <v>8.9314511060204289</v>
      </c>
      <c r="JZ5" s="133">
        <f t="shared" ref="JZ5:JZ68" si="111">POWER((16.097260769-14.149592527*LOG(JO5)+3.314143516*JO5^0.5)+2.326348*(0.064536512+2.84968079*LOG(JO5)-0.41863164*JO5^0.5),1/0.824)-21.001</f>
        <v>9.4977697531523546</v>
      </c>
      <c r="KA5" s="81"/>
      <c r="KB5" s="81">
        <v>3</v>
      </c>
      <c r="KC5" s="133">
        <f t="shared" ref="KC5:KC68" si="112">POWER((7.752880982-8.781963673*LOG(KB5)+2.106015174*KB5^0.5)-2.326348*(0.191693137+1.304116932*LOG(KB5)-0.179398555*KB5^0.5),1/0.682)-12.001</f>
        <v>1.9694607328084679</v>
      </c>
      <c r="KD5" s="133">
        <f t="shared" ref="KD5:KD68" si="113">POWER((7.752880982-8.781963673*LOG(KB5)+2.106015174*KB5^0.5)-1.959964*(0.191693137+1.304116932*LOG(KB5)-0.179398555*KB5^0.5),1/0.682)-12.001</f>
        <v>2.5991440475444421</v>
      </c>
      <c r="KE5" s="133">
        <f t="shared" ref="KE5:KE68" si="114">POWER((7.752880982-8.781963673*LOG(KB5)+2.106015174*KB5^0.5)-1.644854*(0.191693137+1.304116932*LOG(KB5)-0.179398555*KB5^0.5),1/0.682)-12.001</f>
        <v>3.1477158457217058</v>
      </c>
      <c r="KF5" s="133">
        <f>POWER((7.752880982-8.781963673*LOG(KB5)+2.106015174*KB5^0.5)-1.281552*(0.191693137+1.304116932*LOG(KB5)-0.179398555*KB5^0.5),1/0.682)-12.001</f>
        <v>3.7881118215720502</v>
      </c>
      <c r="KG5" s="133">
        <f>POWER((7.752880982-8.781963673*LOG(KB5)+2.106015174*KB5^0.5)-0.6755*(0.191693137+1.304116932*LOG(KB5)-0.179398555*KB5^0.5),1/0.682)-12.001</f>
        <v>4.8749702263206682</v>
      </c>
      <c r="KH5" s="134">
        <f>POWER((7.752880982-8.781963673*LOG(KB5)+2.106015174*KB5^0.5)-0*(0.191693137+1.304116932*LOG(KB5)-0.179398555*KB5^0.5),1/0.682)-12.001</f>
        <v>6.1131394358245839</v>
      </c>
      <c r="KI5" s="133">
        <f>POWER((7.752880982-8.781963673*LOG(KB5)+2.106015174*KB5^0.5)+0.6755*(0.191693137+1.304116932*LOG(KB5)-0.179398555*KB5^0.5),1/0.682)-12.001</f>
        <v>7.3788329539755271</v>
      </c>
      <c r="KJ5" s="133">
        <f t="shared" ref="KJ5:KJ68" si="115">POWER((7.752880982-8.781963673*LOG(KB5)+2.106015174*KB5^0.5)+1.281552*(0.191693137+1.304116932*LOG(KB5)-0.179398555*KB5^0.5),1/0.682)-12.001</f>
        <v>8.5372752898860416</v>
      </c>
      <c r="KK5" s="133">
        <f t="shared" ref="KK5:KK68" si="116">POWER((7.752880982-8.781963673*LOG(KB5)+2.106015174*KB5^0.5)+1.644854*(0.191693137+1.304116932*LOG(KB5)-0.179398555*KB5^0.5),1/0.682)-12.001</f>
        <v>9.241885617095404</v>
      </c>
      <c r="KL5" s="133">
        <f t="shared" ref="KL5:KL68" si="117">POWER((7.752880982-8.781963673*LOG(KB5)+2.106015174*KB5^0.5)+1.959964*(0.191693137+1.304116932*LOG(KB5)-0.179398555*KB5^0.5),1/0.682)-12.001</f>
        <v>9.8591161465156159</v>
      </c>
      <c r="KM5" s="133">
        <f t="shared" ref="KM5:KM68" si="118">POWER((7.752880982-8.781963673*LOG(KB5)+2.106015174*KB5^0.5)+2.326348*(0.191693137+1.304116932*LOG(KB5)-0.179398555*KB5^0.5),1/0.682)-12.001</f>
        <v>10.583808919887646</v>
      </c>
      <c r="KN5" s="81"/>
      <c r="KO5" s="81">
        <v>5</v>
      </c>
      <c r="KP5" s="133">
        <f t="shared" ref="KP5:KP68" si="119">POWER((36.417866766-39.889386591*LOG(KO5)+9.012473251*KO5^0.5)-2.326348*(-0.523248174+11.074385215*LOG(KO5)-1.898763058*KO5^0.5),1/1.06)-21.001</f>
        <v>-2.7099124376309582</v>
      </c>
      <c r="KQ5" s="133">
        <f t="shared" ref="KQ5:KQ68" si="120">POWER((36.417866766-39.889386591*LOG(KO5)+9.012473251*KO5^0.5)-1.959964*(-0.523248174+11.074385215*LOG(KO5)-1.898763058*KO5^0.5),1/1.06)-21.001</f>
        <v>-1.8483440878152742</v>
      </c>
      <c r="KR5" s="133">
        <f t="shared" ref="KR5:KR68" si="121">POWER((36.417866766-39.889386591*LOG(KO5)+9.012473251*KO5^0.5)-1.644854*(-0.523248174+11.074385215*LOG(KO5)-1.898763058*KO5^0.5),1/1.06)-21.001</f>
        <v>-1.1092088236854458</v>
      </c>
      <c r="KS5" s="133">
        <f>POWER((36.417866766-39.889386591*LOG(KO5)+9.012473251*KO5^0.5)-1.281552*(-0.523248174+11.074385215*LOG(KO5)-1.898763058*KO5^0.5),1/1.06)-21.001</f>
        <v>-0.25906929403407375</v>
      </c>
      <c r="KT5" s="133">
        <f>POWER((36.417866766-39.889386591*LOG(KO5)+9.012473251*KO5^0.5)-0.6755*(-0.523248174+11.074385215*LOG(KO5)-1.898763058*KO5^0.5),1/1.06)-21.001</f>
        <v>1.1545168083077328</v>
      </c>
      <c r="KU5" s="134">
        <f>POWER((36.417866766-39.889386591*LOG(KO5)+9.012473251*KO5^0.5)-0*(-0.523248174+11.074385215*LOG(KO5)-1.898763058*KO5^0.5),1/1.06)-21.001</f>
        <v>2.7237461046739782</v>
      </c>
      <c r="KV5" s="133">
        <f>POWER((36.417866766-39.889386591*LOG(KO5)+9.012473251*KO5^0.5)+0.6755*(-0.523248174+11.074385215*LOG(KO5)-1.898763058*KO5^0.5),1/1.06)-21.001</f>
        <v>4.2867674842328007</v>
      </c>
      <c r="KW5" s="133">
        <f t="shared" ref="KW5:KW68" si="122">POWER((36.417866766-39.889386591*LOG(KO5)+9.012473251*KO5^0.5)+1.281552*(-0.523248174+11.074385215*LOG(KO5)-1.898763058*KO5^0.5),1/1.06)-21.001</f>
        <v>5.6841652285583493</v>
      </c>
      <c r="KX5" s="133">
        <f t="shared" ref="KX5:KX68" si="123">POWER((36.417866766-39.889386591*LOG(KO5)+9.012473251*KO5^0.5)+1.644854*(-0.523248174+11.074385215*LOG(KO5)-1.898763058*KO5^0.5),1/1.06)-21.001</f>
        <v>6.5197293790991218</v>
      </c>
      <c r="KY5" s="133">
        <f t="shared" ref="KY5:KY68" si="124">POWER((36.417866766-39.889386591*LOG(KO5)+9.012473251*KO5^0.5)+1.959964*(-0.523248174+11.074385215*LOG(KO5)-1.898763058*KO5^0.5),1/1.06)-21.001</f>
        <v>7.2432235280679755</v>
      </c>
      <c r="KZ5" s="133">
        <f t="shared" ref="KZ5:KZ68" si="125">POWER((36.417866766-39.889386591*LOG(KO5)+9.012473251*KO5^0.5)+2.326348*(-0.523248174+11.074385215*LOG(KO5)-1.898763058*KO5^0.5),1/1.06)-21.001</f>
        <v>8.083049063089554</v>
      </c>
      <c r="LA5" s="81"/>
      <c r="LB5" s="81">
        <v>3</v>
      </c>
      <c r="LC5" s="133">
        <f t="shared" ref="LC5:LC68" si="126">POWER((28.797128085-34.675255936*LOG(LB5)+7.672285014*LB5^0.5)-2.326348*(2.788835808+3.337133322*LOG(LB5)-0.636861667*LB5^0.5),1/0.795)-36.001</f>
        <v>1.7041612881868744</v>
      </c>
      <c r="LD5" s="133">
        <f t="shared" ref="LD5:LD68" si="127">POWER((28.797128085-34.675255936*LOG(LB5)+7.672285014*LB5^0.5)-1.959964*(2.788835808+3.337133322*LOG(LB5)-0.636861667*LB5^0.5),1/0.795)-36.001</f>
        <v>4.9105399336543414</v>
      </c>
      <c r="LE5" s="133">
        <f t="shared" ref="LE5:LE68" si="128">POWER((28.797128085-34.675255936*LOG(LB5)+7.672285014*LB5^0.5)-1.644854*(2.788835808+3.337133322*LOG(LB5)-0.636861667*LB5^0.5),1/0.795)-36.001</f>
        <v>7.7101979622419208</v>
      </c>
      <c r="LF5" s="133">
        <f>POWER((28.797128085-34.675255936*LOG(LB5)+7.672285014*LB5^0.5)-1.281552*(2.788835808+3.337133322*LOG(LB5)-0.636861667*LB5^0.5),1/0.795)-36.001</f>
        <v>10.984192561302969</v>
      </c>
      <c r="LG5" s="133">
        <f>POWER((28.797128085-34.675255936*LOG(LB5)+7.672285014*LB5^0.5)-0.6755*(2.788835808+3.337133322*LOG(LB5)-0.636861667*LB5^0.5),1/0.795)-36.001</f>
        <v>16.550510502871909</v>
      </c>
      <c r="LH5" s="134">
        <f>POWER((28.797128085-34.675255936*LOG(LB5)+7.672285014*LB5^0.5)-0*(2.788835808+3.337133322*LOG(LB5)-0.636861667*LB5^0.5),1/0.795)-36.001</f>
        <v>22.900138994095016</v>
      </c>
      <c r="LI5" s="133">
        <f>POWER((28.797128085-34.675255936*LOG(LB5)+7.672285014*LB5^0.5)+0.6755*(2.788835808+3.337133322*LOG(LB5)-0.636861667*LB5^0.5),1/0.795)-36.001</f>
        <v>29.393469011370748</v>
      </c>
      <c r="LJ5" s="133">
        <f t="shared" ref="LJ5:LJ68" si="129">POWER((28.797128085-34.675255936*LOG(LB5)+7.672285014*LB5^0.5)+1.281552*(2.788835808+3.337133322*LOG(LB5)-0.636861667*LB5^0.5),1/0.795)-36.001</f>
        <v>35.33441558246188</v>
      </c>
      <c r="LK5" s="133">
        <f t="shared" ref="LK5:LK68" si="130">POWER((28.797128085-34.675255936*LOG(LB5)+7.672285014*LB5^0.5)+1.644854*(2.788835808+3.337133322*LOG(LB5)-0.636861667*LB5^0.5),1/0.795)-36.001</f>
        <v>38.945590748520907</v>
      </c>
      <c r="LL5" s="133">
        <f t="shared" ref="LL5:LL68" si="131">POWER((28.797128085-34.675255936*LOG(LB5)+7.672285014*LB5^0.5)+1.959964*(2.788835808+3.337133322*LOG(LB5)-0.636861667*LB5^0.5),1/0.795)-36.001</f>
        <v>42.106962492605213</v>
      </c>
      <c r="LM5" s="133">
        <f t="shared" ref="LM5:LM68" si="132">POWER((28.797128085-34.675255936*LOG(LB5)+7.672285014*LB5^0.5)+2.326348*(2.788835808+3.337133322*LOG(LB5)-0.636861667*LB5^0.5),1/0.795)-36.001</f>
        <v>45.815965824243229</v>
      </c>
      <c r="LN5" s="81"/>
      <c r="LO5" s="81">
        <v>3</v>
      </c>
      <c r="LP5" s="133">
        <f t="shared" ref="LP5:LP68" si="133">POWER((24.915203177-32.956211783*LOG(LO5)+7.466978987*LO5^0.5)-2.326348*(2.872407826+2.073965202*LOG(LO5)-0.404771925*LO5^0.5),1/0.771)-31.001</f>
        <v>1.8649033691691024</v>
      </c>
      <c r="LQ5" s="133">
        <f t="shared" ref="LQ5:LQ68" si="134">POWER((24.915203177-32.956211783*LOG(LO5)+7.466978987*LO5^0.5)-1.959964*(2.872407826+2.073965202*LOG(LO5)-0.404771925*LO5^0.5),1/0.771)-31.001</f>
        <v>5.2452405754148934</v>
      </c>
      <c r="LR5" s="133">
        <f t="shared" ref="LR5:LR68" si="135">POWER((24.915203177-32.956211783*LOG(LO5)+7.466978987*LO5^0.5)-1.644854*(2.872407826+2.073965202*LOG(LO5)-0.404771925*LO5^0.5),1/0.771)-31.001</f>
        <v>8.2117163634010204</v>
      </c>
      <c r="LS5" s="133">
        <f>POWER((24.915203177-32.956211783*LOG(LO5)+7.466978987*LO5^0.5)-1.281552*(2.872407826+2.073965202*LOG(LO5)-0.404771925*LO5^0.5),1/0.771)-31.001</f>
        <v>11.696693177196526</v>
      </c>
      <c r="LT5" s="133">
        <f>POWER((24.915203177-32.956211783*LOG(LO5)+7.466978987*LO5^0.5)-0.6755*(2.872407826+2.073965202*LOG(LO5)-0.404771925*LO5^0.5),1/0.771)-31.001</f>
        <v>17.656683027401133</v>
      </c>
      <c r="LU5" s="134">
        <f>POWER((24.915203177-32.956211783*LOG(LO5)+7.466978987*LO5^0.5)-0*(2.872407826+2.073965202*LOG(LO5)-0.404771925*LO5^0.5),1/0.771)-31.001</f>
        <v>24.502195208732044</v>
      </c>
      <c r="LV5" s="133">
        <f>POWER((24.915203177-32.956211783*LOG(LO5)+7.466978987*LO5^0.5)+0.6755*(2.872407826+2.073965202*LOG(LO5)-0.404771925*LO5^0.5),1/0.771)-31.001</f>
        <v>31.547036571146908</v>
      </c>
      <c r="LW5" s="133">
        <f t="shared" ref="LW5:LW68" si="136">POWER((24.915203177-32.956211783*LOG(LO5)+7.466978987*LO5^0.5)+1.281552*(2.872407826+2.073965202*LOG(LO5)-0.404771925*LO5^0.5),1/0.771)-31.001</f>
        <v>38.026905257833747</v>
      </c>
      <c r="LX5" s="133">
        <f t="shared" ref="LX5:LX68" si="137">POWER((24.915203177-32.956211783*LOG(LO5)+7.466978987*LO5^0.5)+1.644854*(2.872407826+2.073965202*LOG(LO5)-0.404771925*LO5^0.5),1/0.771)-31.001</f>
        <v>41.980086040670614</v>
      </c>
      <c r="LY5" s="133">
        <f t="shared" ref="LY5:LY68" si="138">POWER((24.915203177-32.956211783*LOG(LO5)+7.466978987*LO5^0.5)+1.959964*(2.872407826+2.073965202*LOG(LO5)-0.404771925*LO5^0.5),1/0.771)-31.001</f>
        <v>45.449152610429181</v>
      </c>
      <c r="LZ5" s="133">
        <f t="shared" ref="LZ5:LZ68" si="139">POWER((24.915203177-32.956211783*LOG(LO5)+7.466978987*LO5^0.5)+2.326348*(2.872407826+2.073965202*LOG(LO5)-0.404771925*LO5^0.5),1/0.771)-31.001</f>
        <v>49.528448305954413</v>
      </c>
      <c r="MA5" s="81"/>
      <c r="MB5" s="81">
        <v>5</v>
      </c>
      <c r="MC5" s="133">
        <f t="shared" ref="MC5:MC68" si="140">POWER((40.468060889-51.352291932*LOG(MB5)+11.03516964*MB5^0.5)-2.326348*(3.984757467+6.833305805*LOG(MB5)-1.479905038*MB5^0.5),1/0.877)-36.001</f>
        <v>-11.440455434355194</v>
      </c>
      <c r="MD5" s="133">
        <f t="shared" ref="MD5:MD68" si="141">POWER((40.468060889-51.352291932*LOG(MB5)+11.03516964*MB5^0.5)-1.959964*(3.984757467+6.833305805*LOG(MB5)-1.479905038*MB5^0.5),1/0.877)-36.001</f>
        <v>-8.0362277159000719</v>
      </c>
      <c r="ME5" s="133">
        <f t="shared" ref="ME5:ME68" si="142">POWER((40.468060889-51.352291932*LOG(MB5)+11.03516964*MB5^0.5)-1.644854*(3.984757467+6.833305805*LOG(MB5)-1.479905038*MB5^0.5),1/0.877)-36.001</f>
        <v>-5.0667583565854315</v>
      </c>
      <c r="MF5" s="133">
        <f>POWER((40.468060889-51.352291932*LOG(MB5)+11.03516964*MB5^0.5)-1.281552*(3.984757467+6.833305805*LOG(MB5)-1.479905038*MB5^0.5),1/0.877)-36.001</f>
        <v>-1.5992126226508105</v>
      </c>
      <c r="MG5" s="133">
        <f>POWER((40.468060889-51.352291932*LOG(MB5)+11.03516964*MB5^0.5)-0.6755*(3.984757467+6.833305805*LOG(MB5)-1.479905038*MB5^0.5),1/0.877)-36.001</f>
        <v>4.2807321605439483</v>
      </c>
      <c r="MH5" s="134">
        <f>POWER((40.468060889-51.352291932*LOG(MB5)+11.03516964*MB5^0.5)-0*(3.984757467+6.833305805*LOG(MB5)-1.479905038*MB5^0.5),1/0.877)-36.001</f>
        <v>10.961029019972294</v>
      </c>
      <c r="MI5" s="133">
        <f>POWER((40.468060889-51.352291932*LOG(MB5)+11.03516964*MB5^0.5)+0.6755*(3.984757467+6.833305805*LOG(MB5)-1.479905038*MB5^0.5),1/0.877)-36.001</f>
        <v>17.760634393140684</v>
      </c>
      <c r="MJ5" s="133">
        <f t="shared" ref="MJ5:MJ68" si="143">POWER((40.468060889-51.352291932*LOG(MB5)+11.03516964*MB5^0.5)+1.281552*(3.984757467+6.833305805*LOG(MB5)-1.479905038*MB5^0.5),1/0.877)-36.001</f>
        <v>23.953119338344301</v>
      </c>
      <c r="MK5" s="133">
        <f t="shared" ref="MK5:MK68" si="144">POWER((40.468060889-51.352291932*LOG(MB5)+11.03516964*MB5^0.5)+1.644854*(3.984757467+6.833305805*LOG(MB5)-1.479905038*MB5^0.5),1/0.877)-36.001</f>
        <v>27.70389568470749</v>
      </c>
      <c r="ML5" s="133">
        <f t="shared" ref="ML5:ML68" si="145">POWER((40.468060889-51.352291932*LOG(MB5)+11.03516964*MB5^0.5)+1.959964*(3.984757467+6.833305805*LOG(MB5)-1.479905038*MB5^0.5),1/0.877)-36.001</f>
        <v>30.979342689093507</v>
      </c>
      <c r="MM5" s="133">
        <f t="shared" ref="MM5:MM68" si="146">POWER((40.468060889-51.352291932*LOG(MB5)+11.03516964*MB5^0.5)+2.326348*(3.984757467+6.833305805*LOG(MB5)-1.479905038*MB5^0.5),1/0.877)-36.001</f>
        <v>34.812643423145055</v>
      </c>
      <c r="MN5" s="81"/>
      <c r="MO5" s="81">
        <v>3</v>
      </c>
      <c r="MP5" s="133">
        <f t="shared" ref="MP5:MP68" si="147">POWER((77.659264896-105.885619813*LOG(MO5)+20.90178855*MO5^0.5)-2.326348*(6.576928972+7.878443533*LOG(MO5)-1.403803582*MO5^0.5),1/0.968)-37.001</f>
        <v>13.979011078611052</v>
      </c>
      <c r="MQ5" s="133">
        <f t="shared" ref="MQ5:MQ68" si="148">POWER((77.659264896-105.885619813*LOG(MO5)+20.90178855*MO5^0.5)-1.959964*(6.576928972+7.878443533*LOG(MO5)-1.403803582*MO5^0.5),1/0.968)-37.001</f>
        <v>17.375436708200269</v>
      </c>
      <c r="MR5" s="133">
        <f t="shared" ref="MR5:MR68" si="149">POWER((77.659264896-105.885619813*LOG(MO5)+20.90178855*MO5^0.5)-1.644854*(6.576928972+7.878443533*LOG(MO5)-1.403803582*MO5^0.5),1/0.968)-37.001</f>
        <v>20.302004752698458</v>
      </c>
      <c r="MS5" s="133">
        <f>POWER((77.659264896-105.885619813*LOG(MO5)+20.90178855*MO5^0.5)-1.281552*(6.576928972+7.878443533*LOG(MO5)-1.403803582*MO5^0.5),1/0.968)-37.001</f>
        <v>23.682087648524572</v>
      </c>
      <c r="MT5" s="133">
        <f>POWER((77.659264896-105.885619813*LOG(MO5)+20.90178855*MO5^0.5)-0.6755*(6.576928972+7.878443533*LOG(MO5)-1.403803582*MO5^0.5),1/0.968)-37.001</f>
        <v>29.333952716669295</v>
      </c>
      <c r="MU5" s="134">
        <f>POWER((77.659264896-105.885619813*LOG(MO5)+20.90178855*MO5^0.5)-0*(6.576928972+7.878443533*LOG(MO5)-1.403803582*MO5^0.5),1/0.968)-37.001</f>
        <v>35.651646673913241</v>
      </c>
      <c r="MV5" s="133">
        <f>POWER((77.659264896-105.885619813*LOG(MO5)+20.90178855*MO5^0.5)+0.6755*(6.576928972+7.878443533*LOG(MO5)-1.403803582*MO5^0.5),1/0.968)-37.001</f>
        <v>41.986990900434385</v>
      </c>
      <c r="MW5" s="133">
        <f t="shared" ref="MW5:MW68" si="150">POWER((77.659264896-105.885619813*LOG(MO5)+20.90178855*MO5^0.5)+1.281552*(6.576928972+7.878443533*LOG(MO5)-1.403803582*MO5^0.5),1/0.968)-37.001</f>
        <v>47.684923038923337</v>
      </c>
      <c r="MX5" s="133">
        <f t="shared" ref="MX5:MX68" si="151">POWER((77.659264896-105.885619813*LOG(MO5)+20.90178855*MO5^0.5)+1.644854*(6.576928972+7.878443533*LOG(MO5)-1.403803582*MO5^0.5),1/0.968)-37.001</f>
        <v>51.106534275985915</v>
      </c>
      <c r="MY5" s="133">
        <f t="shared" ref="MY5:MY68" si="152">POWER((77.659264896-105.885619813*LOG(MO5)+20.90178855*MO5^0.5)+1.959964*(6.576928972+7.878443533*LOG(MO5)-1.403803582*MO5^0.5),1/0.968)-37.001</f>
        <v>54.07772285895394</v>
      </c>
      <c r="MZ5" s="133">
        <f t="shared" ref="MZ5:MZ68" si="153">POWER((77.659264896-105.885619813*LOG(MO5)+20.90178855*MO5^0.5)+2.326348*(6.576928972+7.878443533*LOG(MO5)-1.403803582*MO5^0.5),1/0.968)-37.001</f>
        <v>57.536274793383093</v>
      </c>
      <c r="NA5" s="81"/>
      <c r="NB5" s="81">
        <v>3</v>
      </c>
      <c r="NC5" s="133">
        <f t="shared" ref="NC5:NC68" si="154">POWER((67.537332483-103.170173987*LOG(NB5)+20.93504946*NB5^0.5)-2.326348*(6.1706867+10.232980765*LOG(NB5)-2.119072457*NB5^0.5),1/0.956)-28.001</f>
        <v>16.180893246928111</v>
      </c>
      <c r="ND5" s="133">
        <f t="shared" ref="ND5:ND68" si="155">POWER((67.537332483-103.170173987*LOG(NB5)+20.93504946*NB5^0.5)-1.959964*(6.1706867+10.232980765*LOG(NB5)-2.119072457*NB5^0.5),1/0.956)-28.001</f>
        <v>19.528942675980542</v>
      </c>
      <c r="NE5" s="133">
        <f t="shared" ref="NE5:NE68" si="156">POWER((67.537332483-103.170173987*LOG(NB5)+20.93504946*NB5^0.5)-1.644854*(6.1706867+10.232980765*LOG(NB5)-2.119072457*NB5^0.5),1/0.956)-28.001</f>
        <v>22.416802623069518</v>
      </c>
      <c r="NF5" s="133">
        <f>POWER((67.537332483-103.170173987*LOG(NB5)+20.93504946*NB5^0.5)-1.281552*(6.1706867+10.232980765*LOG(NB5)-2.119072457*NB5^0.5),1/0.956)-28.001</f>
        <v>25.755360356134336</v>
      </c>
      <c r="NG5" s="133">
        <f>POWER((67.537332483-103.170173987*LOG(NB5)+20.93504946*NB5^0.5)-0.6755*(6.1706867+10.232980765*LOG(NB5)-2.119072457*NB5^0.5),1/0.956)-28.001</f>
        <v>31.344790819362007</v>
      </c>
      <c r="NH5" s="134">
        <f>POWER((67.537332483-103.170173987*LOG(NB5)+20.93504946*NB5^0.5)-0*(6.1706867+10.232980765*LOG(NB5)-2.119072457*NB5^0.5),1/0.956)-28.001</f>
        <v>37.602081183991189</v>
      </c>
      <c r="NI5" s="133">
        <f>POWER((67.537332483-103.170173987*LOG(NB5)+20.93504946*NB5^0.5)+0.6755*(6.1706867+10.232980765*LOG(NB5)-2.119072457*NB5^0.5),1/0.956)-28.001</f>
        <v>43.88578043580803</v>
      </c>
      <c r="NJ5" s="133">
        <f t="shared" ref="NJ5:NJ68" si="157">POWER((67.537332483-103.170173987*LOG(NB5)+20.93504946*NB5^0.5)+1.281552*(6.1706867+10.232980765*LOG(NB5)-2.119072457*NB5^0.5),1/0.956)-28.001</f>
        <v>49.544181286805582</v>
      </c>
      <c r="NK5" s="133">
        <f t="shared" ref="NK5:NK68" si="158">POWER((67.537332483-103.170173987*LOG(NB5)+20.93504946*NB5^0.5)+1.644854*(6.1706867+10.232980765*LOG(NB5)-2.119072457*NB5^0.5),1/0.956)-28.001</f>
        <v>52.944969256871616</v>
      </c>
      <c r="NL5" s="133">
        <f t="shared" ref="NL5:NL68" si="159">POWER((67.537332483-103.170173987*LOG(NB5)+20.93504946*NB5^0.5)+1.959964*(6.1706867+10.232980765*LOG(NB5)-2.119072457*NB5^0.5),1/0.956)-28.001</f>
        <v>55.899753188052514</v>
      </c>
      <c r="NM5" s="133">
        <f t="shared" ref="NM5:NM68" si="160">POWER((67.537332483-103.170173987*LOG(NB5)+20.93504946*NB5^0.5)+2.326348*(6.1706867+10.232980765*LOG(NB5)-2.119072457*NB5^0.5),1/0.956)-28.001</f>
        <v>59.341090006535694</v>
      </c>
      <c r="NN5" s="81"/>
      <c r="NO5" s="81">
        <v>5</v>
      </c>
      <c r="NP5" s="133">
        <f t="shared" ref="NP5:NP68" si="161">POWER((87.23276439-120.066112028*LOG(NO5)+22.93525021*NO5^0.5)-2.326348*(8.646422283+5.271086215*LOG(NO5)-1.050536633*NO5^0.5),1/0.995)-37.001</f>
        <v>-5.0789142125143485</v>
      </c>
      <c r="NQ5" s="133">
        <f t="shared" ref="NQ5:NQ68" si="162">POWER((87.23276439-120.066112028*LOG(NO5)+22.93525021*NO5^0.5)-1.959964*(8.646422283+5.271086215*LOG(NO5)-1.050536633*NO5^0.5),1/0.995)-37.001</f>
        <v>-1.3381516940196079</v>
      </c>
      <c r="NR5" s="133">
        <f t="shared" ref="NR5:NR68" si="163">POWER((87.23276439-120.066112028*LOG(NO5)+22.93525021*NO5^0.5)-1.644854*(8.646422283+5.271086215*LOG(NO5)-1.050536633*NO5^0.5),1/0.995)-37.001</f>
        <v>1.880686087262994</v>
      </c>
      <c r="NS5" s="133">
        <f>POWER((87.23276439-120.066112028*LOG(NO5)+22.93525021*NO5^0.5)-1.281552*(8.646422283+5.271086215*LOG(NO5)-1.050536633*NO5^0.5),1/0.995)-37.001</f>
        <v>5.5934530349866236</v>
      </c>
      <c r="NT5" s="133">
        <f>POWER((87.23276439-120.066112028*LOG(NO5)+22.93525021*NO5^0.5)-0.6755*(8.646422283+5.271086215*LOG(NO5)-1.050536633*NO5^0.5),1/0.995)-37.001</f>
        <v>11.790547498965552</v>
      </c>
      <c r="NU5" s="134">
        <f>POWER((87.23276439-120.066112028*LOG(NO5)+22.93525021*NO5^0.5)-0*(8.646422283+5.271086215*LOG(NO5)-1.050536633*NO5^0.5),1/0.995)-37.001</f>
        <v>18.702404436781769</v>
      </c>
      <c r="NV5" s="133">
        <f>POWER((87.23276439-120.066112028*LOG(NO5)+22.93525021*NO5^0.5)+0.6755*(8.646422283+5.271086215*LOG(NO5)-1.050536633*NO5^0.5),1/0.995)-37.001</f>
        <v>25.618563273082763</v>
      </c>
      <c r="NW5" s="133">
        <f t="shared" ref="NW5:NW68" si="164">POWER((87.23276439-120.066112028*LOG(NO5)+22.93525021*NO5^0.5)+1.281552*(8.646422283+5.271086215*LOG(NO5)-1.050536633*NO5^0.5),1/0.995)-37.001</f>
        <v>31.826944008989138</v>
      </c>
      <c r="NX5" s="133">
        <f t="shared" ref="NX5:NX68" si="165">POWER((87.23276439-120.066112028*LOG(NO5)+22.93525021*NO5^0.5)+1.644854*(8.646422283+5.271086215*LOG(NO5)-1.050536633*NO5^0.5),1/0.995)-37.001</f>
        <v>35.549960530843101</v>
      </c>
      <c r="NY5" s="133">
        <f t="shared" ref="NY5:NY68" si="166">POWER((87.23276439-120.066112028*LOG(NO5)+22.93525021*NO5^0.5)+1.959964*(8.646422283+5.271086215*LOG(NO5)-1.050536633*NO5^0.5),1/0.995)-37.001</f>
        <v>38.779894838019523</v>
      </c>
      <c r="NZ5" s="133">
        <f t="shared" ref="NZ5:NZ68" si="167">POWER((87.23276439-120.066112028*LOG(NO5)+22.93525021*NO5^0.5)+2.326348*(8.646422283+5.271086215*LOG(NO5)-1.050536633*NO5^0.5),1/0.995)-37.001</f>
        <v>42.536260848255957</v>
      </c>
      <c r="OA5" s="81"/>
      <c r="OB5" s="81">
        <v>3</v>
      </c>
      <c r="OC5" s="133">
        <v>5.205356908262206</v>
      </c>
      <c r="OD5" s="133">
        <v>5.6951978237284697</v>
      </c>
      <c r="OE5" s="133">
        <v>6.153200401954475</v>
      </c>
      <c r="OF5" s="133">
        <v>6.7271452535124672</v>
      </c>
      <c r="OG5" s="133">
        <v>7.8061855720235345</v>
      </c>
      <c r="OH5" s="134">
        <v>9.214047127330975</v>
      </c>
      <c r="OI5" s="133">
        <v>10.875819397497182</v>
      </c>
      <c r="OJ5" s="133">
        <v>12.62031088452383</v>
      </c>
      <c r="OK5" s="133">
        <v>13.797480809776546</v>
      </c>
      <c r="OL5" s="133">
        <v>14.907061544193336</v>
      </c>
      <c r="OM5" s="133">
        <v>16.309864234270041</v>
      </c>
      <c r="ON5" s="81"/>
      <c r="OO5" s="81">
        <v>3</v>
      </c>
      <c r="OP5" s="133">
        <v>3.4738111736290005</v>
      </c>
      <c r="OQ5" s="133">
        <v>3.9199564103662681</v>
      </c>
      <c r="OR5" s="133">
        <v>4.3492321888720866</v>
      </c>
      <c r="OS5" s="133">
        <v>4.9028229099227287</v>
      </c>
      <c r="OT5" s="133">
        <v>7.7136855968242815</v>
      </c>
      <c r="OU5" s="134">
        <v>7.481615384349003</v>
      </c>
      <c r="OV5" s="133">
        <v>9.3485289783705543</v>
      </c>
      <c r="OW5" s="133">
        <v>11.416804112186437</v>
      </c>
      <c r="OX5" s="133">
        <v>12.869988616046712</v>
      </c>
      <c r="OY5" s="133">
        <v>14.279385508293851</v>
      </c>
      <c r="OZ5" s="133">
        <v>16.113302065538718</v>
      </c>
      <c r="PA5" s="81"/>
      <c r="PB5" s="81">
        <v>5</v>
      </c>
      <c r="PC5" s="133">
        <v>10.317499079209679</v>
      </c>
      <c r="PD5" s="133">
        <v>11.240396842950132</v>
      </c>
      <c r="PE5" s="133">
        <v>12.099901856164964</v>
      </c>
      <c r="PF5" s="133">
        <v>13.172738439245039</v>
      </c>
      <c r="PG5" s="133">
        <v>15.178265834065938</v>
      </c>
      <c r="PH5" s="134">
        <v>17.775460400835946</v>
      </c>
      <c r="PI5" s="133">
        <v>20.817068031087832</v>
      </c>
      <c r="PJ5" s="133">
        <v>23.986431820458701</v>
      </c>
      <c r="PK5" s="133">
        <v>26.113186389251567</v>
      </c>
      <c r="PL5" s="133">
        <v>28.109949931159072</v>
      </c>
      <c r="PM5" s="133">
        <v>30.624378062545929</v>
      </c>
      <c r="PN5" s="81"/>
      <c r="PO5" s="81">
        <v>3</v>
      </c>
      <c r="PP5" s="133">
        <v>4.2729254571958837</v>
      </c>
      <c r="PQ5" s="133">
        <v>4.6149675335637657</v>
      </c>
      <c r="PR5" s="133">
        <v>4.9309627382560652</v>
      </c>
      <c r="PS5" s="133">
        <v>5.3222311326421705</v>
      </c>
      <c r="PT5" s="133">
        <v>6.0452439392709376</v>
      </c>
      <c r="PU5" s="134">
        <v>6.9674378825594481</v>
      </c>
      <c r="PV5" s="133">
        <v>8.0303112885100685</v>
      </c>
      <c r="PW5" s="133">
        <v>9.1212105294691881</v>
      </c>
      <c r="PX5" s="133">
        <v>9.844972112787346</v>
      </c>
      <c r="PY5" s="133">
        <v>10.519075225180831</v>
      </c>
      <c r="PZ5" s="133">
        <v>11.361113394939114</v>
      </c>
      <c r="QA5" s="81"/>
      <c r="QB5" s="81">
        <v>3</v>
      </c>
      <c r="QC5" s="133">
        <v>4.6903556963973676</v>
      </c>
      <c r="QD5" s="133">
        <v>4.9956473486023203</v>
      </c>
      <c r="QE5" s="133">
        <v>5.274061687757583</v>
      </c>
      <c r="QF5" s="133">
        <v>5.6143674119650813</v>
      </c>
      <c r="QG5" s="133">
        <v>6.2316236357404806</v>
      </c>
      <c r="QH5" s="134">
        <v>6.9999124848454422</v>
      </c>
      <c r="QI5" s="133">
        <v>7.8629226762782114</v>
      </c>
      <c r="QJ5" s="133">
        <v>8.7273901403515506</v>
      </c>
      <c r="QK5" s="133">
        <v>9.2905198491010275</v>
      </c>
      <c r="QL5" s="133">
        <v>9.8082933754729424</v>
      </c>
      <c r="QM5" s="133">
        <v>10.446707662945641</v>
      </c>
      <c r="QN5" s="81"/>
      <c r="QO5" s="81">
        <v>5</v>
      </c>
      <c r="QP5" s="133">
        <v>5.245104800612177</v>
      </c>
      <c r="QQ5" s="133">
        <v>5.731975599670565</v>
      </c>
      <c r="QR5" s="133">
        <v>6.1867070525219621</v>
      </c>
      <c r="QS5" s="133">
        <v>6.7559345478498578</v>
      </c>
      <c r="QT5" s="133">
        <v>7.8244346037316319</v>
      </c>
      <c r="QU5" s="134">
        <v>9.2156860433180672</v>
      </c>
      <c r="QV5" s="133">
        <v>10.854313896176365</v>
      </c>
      <c r="QW5" s="133">
        <v>12.571002375391108</v>
      </c>
      <c r="QX5" s="133">
        <v>13.727637098056363</v>
      </c>
      <c r="QY5" s="133">
        <v>14.816683667301122</v>
      </c>
      <c r="QZ5" s="133">
        <v>16.192025226854383</v>
      </c>
      <c r="RA5" s="81"/>
      <c r="RB5" s="81">
        <v>3</v>
      </c>
      <c r="RC5" s="133">
        <f t="shared" ref="RC5:RC68" si="168">POWER((1.036025856+0.321880899*LOG(RB5)-0.070188389*RB5^0.5)+2.326348*(0.017885138+0.031961819*LOG(RB5)-0.004222301*RB5^0.5),1/-0.154)</f>
        <v>0.45716727441279881</v>
      </c>
      <c r="RD5" s="133">
        <f t="shared" ref="RD5:RD68" si="169">POWER((1.036025856+0.321880899*LOG(RB5)-0.070188389*RB5^0.5)+1.959964*(0.017885138+0.031961819*LOG(RB5)-0.004222301*RB5^0.5),1/-0.154)</f>
        <v>0.48286421979784133</v>
      </c>
      <c r="RE5" s="133">
        <f t="shared" ref="RE5:RE68" si="170">POWER((1.036025856+0.321880899*LOG(RB5)-0.070188389*RB5^0.5)+1.644854*(0.017885138+0.031961819*LOG(RB5)-0.004222301*RB5^0.5),1/-0.154)</f>
        <v>0.50630524889290385</v>
      </c>
      <c r="RF5" s="133">
        <f>POWER((1.036025856+0.321880899*LOG(RB5)-0.070188389*RB5^0.5)+1.281552*(0.017885138+0.031961819*LOG(RB5)-0.004222301*RB5^0.5),1/-0.154)</f>
        <v>0.53497865473818218</v>
      </c>
      <c r="RG5" s="133">
        <f>POWER((1.036025856+0.321880899*LOG(RB5)-0.070188389*RB5^0.5)+0.6755*(0.017885138+0.031961819*LOG(RB5)-0.004222301*RB5^0.5),1/-0.154)</f>
        <v>0.58708806928990986</v>
      </c>
      <c r="RH5" s="134">
        <f>POWER((1.036025856+0.321880899*LOG(RB5)-0.070188389*RB5^0.5)+0*(0.017885138+0.031961819*LOG(RB5)-0.004222301*RB5^0.5),1/-0.154)</f>
        <v>0.65220978790253192</v>
      </c>
      <c r="RI5" s="133">
        <f>POWER((1.036025856+0.321880899*LOG(RB5)-0.070188389*RB5^0.5)-0.6755*(0.017885138+0.031961819*LOG(RB5)-0.004222301*RB5^0.5),1/-0.154)</f>
        <v>0.7258111412025442</v>
      </c>
      <c r="RJ5" s="133">
        <f t="shared" ref="RJ5:RJ68" si="171">POWER((1.036025856+0.321880899*LOG(RB5)-0.070188389*RB5^0.5)-1.281552*(0.017885138+0.031961819*LOG(RB5)-0.004222301*RB5^0.5),1/-0.154)</f>
        <v>0.80010455898717703</v>
      </c>
      <c r="RK5" s="133">
        <f t="shared" ref="RK5:RK68" si="172">POWER((1.036025856+0.321880899*LOG(RB5)-0.070188389*RB5^0.5)-1.644854*(0.017885138+0.031961819*LOG(RB5)-0.004222301*RB5^0.5),1/-0.154)</f>
        <v>0.84883937409706378</v>
      </c>
      <c r="RL5" s="133">
        <f t="shared" ref="RL5:RL68" si="173">POWER((1.036025856+0.321880899*LOG(RB5)-0.070188389*RB5^0.5)-1.959964*(0.017885138+0.031961819*LOG(RB5)-0.004222301*RB5^0.5),1/-0.154)</f>
        <v>0.89390000499322231</v>
      </c>
      <c r="RM5" s="133">
        <f t="shared" ref="RM5:RM68" si="174">POWER((1.036025856+0.321880899*LOG(RB5)-0.070188389*RB5^0.5)-2.326348*(0.017885138+0.031961819*LOG(RB5)-0.004222301*RB5^0.5),1/-0.154)</f>
        <v>0.949805196128373</v>
      </c>
      <c r="RN5" s="81"/>
      <c r="RO5" s="81">
        <v>3</v>
      </c>
      <c r="RP5" s="133">
        <f t="shared" ref="RP5:RP68" si="175">POWER((1.049872003+0.485309559*LOG(RO5)-0.109297796*RO5^0.5)+2.326348*(0.036472468+0.013628555*LOG(RO5)+0.000040422*RO5^0.5),1/-0.215)</f>
        <v>0.44136735049641029</v>
      </c>
      <c r="RQ5" s="133">
        <f t="shared" ref="RQ5:RQ68" si="176">POWER((1.049872003+0.485309559*LOG(RO5)-0.109297796*RO5^0.5)+1.959964*(0.036472468+0.013628555*LOG(RO5)+0.000040422*RO5^0.5),1/-0.215)</f>
        <v>0.46956802303141715</v>
      </c>
      <c r="RR5" s="133">
        <f t="shared" ref="RR5:RR68" si="177">POWER((1.049872003+0.485309559*LOG(RO5)-0.109297796*RO5^0.5)+1.644854*(0.036472468+0.013628555*LOG(RO5)+0.000040422*RO5^0.5),1/-0.215)</f>
        <v>0.49558998030848672</v>
      </c>
      <c r="RS5" s="133">
        <f>POWER((1.049872003+0.485309559*LOG(RO5)-0.109297796*RO5^0.5)+1.281552*(0.036472468+0.013628555*LOG(RO5)+0.000040422*RO5^0.5),1/-0.215)</f>
        <v>0.52780124051238131</v>
      </c>
      <c r="RT5" s="133">
        <f>POWER((1.049872003+0.485309559*LOG(RO5)-0.109297796*RO5^0.5)+0.6755*(0.036472468+0.013628555*LOG(RO5)+0.000040422*RO5^0.5),1/-0.215)</f>
        <v>0.58739738425837695</v>
      </c>
      <c r="RU5" s="134">
        <f>POWER((1.049872003+0.485309559*LOG(RO5)-0.109297796*RO5^0.5)+0*(0.036472468+0.013628555*LOG(RO5)+0.000040422*RO5^0.5),1/-0.215)</f>
        <v>0.66375698051169085</v>
      </c>
      <c r="RV5" s="133">
        <f>POWER((1.049872003+0.485309559*LOG(RO5)-0.109297796*RO5^0.5)-0.6755*(0.036472468+0.013628555*LOG(RO5)+0.000040422*RO5^0.5),1/-0.215)</f>
        <v>0.75252091857531667</v>
      </c>
      <c r="RW5" s="133">
        <f t="shared" ref="RW5:RW68" si="178">POWER((1.049872003+0.485309559*LOG(RO5)-0.109297796*RO5^0.5)-1.281552*(0.036472468+0.013628555*LOG(RO5)+0.000040422*RO5^0.5),1/-0.215)</f>
        <v>0.84471104405549091</v>
      </c>
      <c r="RX5" s="133">
        <f t="shared" ref="RX5:RX68" si="179">POWER((1.049872003+0.485309559*LOG(RO5)-0.109297796*RO5^0.5)-1.644854*(0.036472468+0.013628555*LOG(RO5)+0.000040422*RO5^0.5),1/-0.215)</f>
        <v>0.90657471635110176</v>
      </c>
      <c r="RY5" s="133">
        <f t="shared" ref="RY5:RY68" si="180">POWER((1.049872003+0.485309559*LOG(RO5)-0.109297796*RO5^0.5)-1.959964*(0.036472468+0.013628555*LOG(RO5)+0.000040422*RO5^0.5),1/-0.215)</f>
        <v>0.96474011148677008</v>
      </c>
      <c r="RZ5" s="133">
        <f t="shared" ref="RZ5:RZ68" si="181">POWER((1.049872003+0.485309559*LOG(RO5)-0.109297796*RO5^0.5)-2.326348*(0.036472468+0.013628555*LOG(RO5)+0.000040422*RO5^0.5),1/-0.215)</f>
        <v>1.0381793094325331</v>
      </c>
      <c r="SA5" s="81"/>
      <c r="SB5" s="81">
        <v>5</v>
      </c>
      <c r="SC5" s="133">
        <f t="shared" ref="SC5:SC68" si="182">POWER((1.002674562+0.025284351*LOG(SB5)-0.005312801*SB5^0.5)+2.326348*(0.001148719+0.003738786*LOG(SB5)-0.000644551*SB5^0.5),1/-0.013)</f>
        <v>0.34668481923419397</v>
      </c>
      <c r="SD5" s="133">
        <f t="shared" ref="SD5:SD68" si="183">POWER((1.002674562+0.025284351*LOG(SB5)-0.005312801*SB5^0.5)+1.959964*(0.001148719+0.003738786*LOG(SB5)-0.000644551*SB5^0.5),1/-0.013)</f>
        <v>0.36979743731436654</v>
      </c>
      <c r="SE5" s="133">
        <f t="shared" ref="SE5:SE68" si="184">POWER((1.002674562+0.025284351*LOG(SB5)-0.005312801*SB5^0.5)+1.644854*(0.001148719+0.003738786*LOG(SB5)-0.000644551*SB5^0.5),1/-0.013)</f>
        <v>0.3909212111515265</v>
      </c>
      <c r="SF5" s="133">
        <f>POWER((1.002674562+0.025284351*LOG(SB5)-0.005312801*SB5^0.5)+1.281552*(0.001148719+0.003738786*LOG(SB5)-0.000644551*SB5^0.5),1/-0.013)</f>
        <v>0.41679823644217051</v>
      </c>
      <c r="SG5" s="133">
        <f>POWER((1.002674562+0.025284351*LOG(SB5)-0.005312801*SB5^0.5)+0.6755*(0.001148719+0.003738786*LOG(SB5)-0.000644551*SB5^0.5),1/-0.013)</f>
        <v>0.46388890957397044</v>
      </c>
      <c r="SH5" s="134">
        <f>POWER((1.002674562+0.025284351*LOG(SB5)-0.005312801*SB5^0.5)+0*(0.001148719+0.003738786*LOG(SB5)-0.000644551*SB5^0.5),1/-0.013)</f>
        <v>0.52276387438372396</v>
      </c>
      <c r="SI5" s="133">
        <f>POWER((1.002674562+0.025284351*LOG(SB5)-0.005312801*SB5^0.5)-0.6755*(0.001148719+0.003738786*LOG(SB5)-0.000644551*SB5^0.5),1/-0.013)</f>
        <v>0.58922053621452053</v>
      </c>
      <c r="SJ5" s="133">
        <f t="shared" ref="SJ5:SJ68" si="185">POWER((1.002674562+0.025284351*LOG(SB5)-0.005312801*SB5^0.5)-1.281552*(0.001148719+0.003738786*LOG(SB5)-0.000644551*SB5^0.5),1/-0.013)</f>
        <v>0.65610875591043971</v>
      </c>
      <c r="SK5" s="133">
        <f t="shared" ref="SK5:SK68" si="186">POWER((1.002674562+0.025284351*LOG(SB5)-0.005312801*SB5^0.5)-1.644854*(0.001148719+0.003738786*LOG(SB5)-0.000644551*SB5^0.5),1/-0.013)</f>
        <v>0.69984291228316986</v>
      </c>
      <c r="SL5" s="133">
        <f t="shared" ref="SL5:SL68" si="187">POWER((1.002674562+0.025284351*LOG(SB5)-0.005312801*SB5^0.5)-1.959964*(0.001148719+0.003738786*LOG(SB5)-0.000644551*SB5^0.5),1/-0.013)</f>
        <v>0.74016215645316585</v>
      </c>
      <c r="SM5" s="133">
        <f t="shared" ref="SM5:SM68" si="188">POWER((1.002674562+0.025284351*LOG(SB5)-0.005312801*SB5^0.5)-2.326348*(0.001148719+0.003738786*LOG(SB5)-0.000644551*SB5^0.5),1/-0.013)</f>
        <v>0.79001219776209819</v>
      </c>
      <c r="SN5" s="81"/>
      <c r="SO5" s="81">
        <v>3</v>
      </c>
      <c r="SP5" s="133">
        <f t="shared" ref="SP5:SP68" si="189">POWER((0.813888038-0.237514159*LOG(SO5)+0.051772614*SO5^0.5)-2.326348*(0.01328571+0.024229934*LOG(SO5)-0.00329877*SO5^0.5),1/0.253)</f>
        <v>0.31359313024648261</v>
      </c>
      <c r="SQ5" s="133">
        <f t="shared" ref="SQ5:SQ68" si="190">POWER((0.813888038-0.237514159*LOG(SO5)+0.051772614*SO5^0.5)-1.959964*(0.01328571+0.024229934*LOG(SO5)-0.00329877*SO5^0.5),1/0.253)</f>
        <v>0.32540720207997698</v>
      </c>
      <c r="SR5" s="133">
        <f t="shared" ref="SR5:SR68" si="191">POWER((0.813888038-0.237514159*LOG(SO5)+0.051772614*SO5^0.5)-1.644854*(0.01328571+0.024229934*LOG(SO5)-0.00329877*SO5^0.5),1/0.253)</f>
        <v>0.33583115044683554</v>
      </c>
      <c r="SS5" s="133">
        <f>POWER((0.813888038-0.237514159*LOG(SO5)+0.051772614*SO5^0.5)-1.281552*(0.01328571+0.024229934*LOG(SO5)-0.00329877*SO5^0.5),1/0.253)</f>
        <v>0.34815664405282865</v>
      </c>
      <c r="ST5" s="133">
        <f>POWER((0.813888038-0.237514159*LOG(SO5)+0.051772614*SO5^0.5)-0.6755*(0.01328571+0.024229934*LOG(SO5)-0.00329877*SO5^0.5),1/0.253)</f>
        <v>0.36946583683888784</v>
      </c>
      <c r="SU5" s="134">
        <f>POWER((0.813888038-0.237514159*LOG(SO5)+0.051772614*SO5^0.5)-0*(0.01328571+0.024229934*LOG(SO5)-0.00329877*SO5^0.5),1/0.253)</f>
        <v>0.39434886306904815</v>
      </c>
      <c r="SV5" s="133">
        <f>POWER((0.813888038-0.237514159*LOG(SO5)+0.051772614*SO5^0.5)+0.6755*(0.01328571+0.024229934*LOG(SO5)-0.00329877*SO5^0.5),1/0.253)</f>
        <v>0.42046290989866336</v>
      </c>
      <c r="SW5" s="133">
        <f t="shared" ref="SW5:SW68" si="192">POWER((0.813888038-0.237514159*LOG(SO5)+0.051772614*SO5^0.5)+1.281552*(0.01328571+0.024229934*LOG(SO5)-0.00329877*SO5^0.5),1/0.253)</f>
        <v>0.44497240986711273</v>
      </c>
      <c r="SX5" s="133">
        <f t="shared" ref="SX5:SX68" si="193">POWER((0.813888038-0.237514159*LOG(SO5)+0.051772614*SO5^0.5)+1.644854*(0.01328571+0.024229934*LOG(SO5)-0.00329877*SO5^0.5),1/0.253)</f>
        <v>0.46016716745119574</v>
      </c>
      <c r="SY5" s="133">
        <f t="shared" ref="SY5:SY68" si="194">POWER((0.813888038-0.237514159*LOG(SO5)+0.051772614*SO5^0.5)+1.959964*(0.01328571+0.024229934*LOG(SO5)-0.00329877*SO5^0.5),1/0.253)</f>
        <v>0.47365731524498544</v>
      </c>
      <c r="SZ5" s="133">
        <f t="shared" ref="SZ5:SZ68" si="195">POWER((0.813888038-0.237514159*LOG(SO5)+0.051772614*SO5^0.5)+2.326348*(0.01328571+0.024229934*LOG(SO5)-0.00329877*SO5^0.5),1/0.253)</f>
        <v>0.48971154335082889</v>
      </c>
      <c r="TA5" s="81"/>
      <c r="TB5" s="81">
        <v>3</v>
      </c>
      <c r="TC5" s="133">
        <f t="shared" ref="TC5:TC68" si="196">POWER((0.868068478-0.184215521*LOG(TB5)+0.041481198*TB5^0.5)-2.326348*(0.013978394+0.00563513*LOG(TB5)-0.000125613*TB5^0.5),1/0.174)</f>
        <v>0.30591300719292119</v>
      </c>
      <c r="TD5" s="133">
        <f t="shared" ref="TD5:TD68" si="197">POWER((0.868068478-0.184215521*LOG(TB5)+0.041481198*TB5^0.5)-1.959964*(0.013978394+0.00563513*LOG(TB5)-0.000125613*TB5^0.5),1/0.174)</f>
        <v>0.31916499004467325</v>
      </c>
      <c r="TE5" s="133">
        <f t="shared" ref="TE5:TE68" si="198">POWER((0.868068478-0.184215521*LOG(TB5)+0.041481198*TB5^0.5)-1.644854*(0.013978394+0.00563513*LOG(TB5)-0.000125613*TB5^0.5),1/0.174)</f>
        <v>0.33093838295925965</v>
      </c>
      <c r="TF5" s="133">
        <f>POWER((0.868068478-0.184215521*LOG(TB5)+0.041481198*TB5^0.5)-1.281552*(0.013978394+0.00563513*LOG(TB5)-0.000125613*TB5^0.5),1/0.174)</f>
        <v>0.34495528873980941</v>
      </c>
      <c r="TG5" s="133">
        <f>POWER((0.868068478-0.184215521*LOG(TB5)+0.041481198*TB5^0.5)-0.6755*(0.013978394+0.00563513*LOG(TB5)-0.000125613*TB5^0.5),1/0.174)</f>
        <v>0.36942792163487109</v>
      </c>
      <c r="TH5" s="134">
        <f>POWER((0.868068478-0.184215521*LOG(TB5)+0.041481198*TB5^0.5)-0*(0.013978394+0.00563513*LOG(TB5)-0.000125613*TB5^0.5),1/0.174)</f>
        <v>0.39837729868909877</v>
      </c>
      <c r="TI5" s="133">
        <f>POWER((0.868068478-0.184215521*LOG(TB5)+0.041481198*TB5^0.5)+0.6755*(0.013978394+0.00563513*LOG(TB5)-0.000125613*TB5^0.5),1/0.174)</f>
        <v>0.42917548157313351</v>
      </c>
      <c r="TJ5" s="133">
        <f t="shared" ref="TJ5:TJ68" si="199">POWER((0.868068478-0.184215521*LOG(TB5)+0.041481198*TB5^0.5)+1.281552*(0.013978394+0.00563513*LOG(TB5)-0.000125613*TB5^0.5),1/0.174)</f>
        <v>0.45845629567070245</v>
      </c>
      <c r="TK5" s="133">
        <f t="shared" ref="TK5:TK68" si="200">POWER((0.868068478-0.184215521*LOG(TB5)+0.041481198*TB5^0.5)+1.644854*(0.013978394+0.00563513*LOG(TB5)-0.000125613*TB5^0.5),1/0.174)</f>
        <v>0.47678623637926337</v>
      </c>
      <c r="TL5" s="133">
        <f t="shared" ref="TL5:TL68" si="201">POWER((0.868068478-0.184215521*LOG(TB5)+0.041481198*TB5^0.5)+1.959964*(0.013978394+0.00563513*LOG(TB5)-0.000125613*TB5^0.5),1/0.174)</f>
        <v>0.49317101037658012</v>
      </c>
      <c r="TM5" s="133">
        <f t="shared" ref="TM5:TM68" si="202">POWER((0.868068478-0.184215521*LOG(TB5)+0.041481198*TB5^0.5)+2.326348*(0.013978394+0.00563513*LOG(TB5)-0.000125613*TB5^0.5),1/0.174)</f>
        <v>0.51280387499938351</v>
      </c>
      <c r="TN5" s="81"/>
      <c r="TO5" s="81">
        <v>5</v>
      </c>
      <c r="TP5" s="133">
        <f t="shared" ref="TP5:TP68" si="203">POWER((0.705534664-0.344299489*LOG(TO5)+0.072311009*TO5^0.5)-2.326348*(0.015512097+0.052366074*LOG(TO5)-0.009130225*TO5^0.5),1/0.437)</f>
        <v>0.25761120034389384</v>
      </c>
      <c r="TQ5" s="133">
        <f t="shared" ref="TQ5:TQ68" si="204">POWER((0.705534664-0.344299489*LOG(TO5)+0.072311009*TO5^0.5)-1.959964*(0.015512097+0.052366074*LOG(TO5)-0.009130225*TO5^0.5),1/0.437)</f>
        <v>0.27016334119211333</v>
      </c>
      <c r="TR5" s="133">
        <f t="shared" ref="TR5:TR68" si="205">POWER((0.705534664-0.344299489*LOG(TO5)+0.072311009*TO5^0.5)-1.644854*(0.015512097+0.052366074*LOG(TO5)-0.009130225*TO5^0.5),1/0.437)</f>
        <v>0.28122849790371751</v>
      </c>
      <c r="TS5" s="133">
        <f>POWER((0.705534664-0.344299489*LOG(TO5)+0.072311009*TO5^0.5)-1.281552*(0.015512097+0.052366074*LOG(TO5)-0.009130225*TO5^0.5),1/0.437)</f>
        <v>0.29429713260424223</v>
      </c>
      <c r="TT5" s="133">
        <f>POWER((0.705534664-0.344299489*LOG(TO5)+0.072311009*TO5^0.5)-0.6755*(0.015512097+0.052366074*LOG(TO5)-0.009130225*TO5^0.5),1/0.437)</f>
        <v>0.31684471446699486</v>
      </c>
      <c r="TU5" s="134">
        <f>POWER((0.705534664-0.344299489*LOG(TO5)+0.072311009*TO5^0.5)-0*(0.015512097+0.052366074*LOG(TO5)-0.009130225*TO5^0.5),1/0.437)</f>
        <v>0.34308574740252351</v>
      </c>
      <c r="TV5" s="133">
        <f>POWER((0.705534664-0.344299489*LOG(TO5)+0.072311009*TO5^0.5)+0.6755*(0.015512097+0.052366074*LOG(TO5)-0.009130225*TO5^0.5),1/0.437)</f>
        <v>0.37050799459158545</v>
      </c>
      <c r="TW5" s="133">
        <f t="shared" ref="TW5:TW68" si="206">POWER((0.705534664-0.344299489*LOG(TO5)+0.072311009*TO5^0.5)+1.281552*(0.015512097+0.052366074*LOG(TO5)-0.009130225*TO5^0.5),1/0.437)</f>
        <v>0.39612572212491493</v>
      </c>
      <c r="TX5" s="133">
        <f t="shared" ref="TX5:TX68" si="207">POWER((0.705534664-0.344299489*LOG(TO5)+0.072311009*TO5^0.5)+1.644854*(0.015512097+0.052366074*LOG(TO5)-0.009130225*TO5^0.5),1/0.437)</f>
        <v>0.41194608960139656</v>
      </c>
      <c r="TY5" s="133">
        <f t="shared" ref="TY5:TY68" si="208">POWER((0.705534664-0.344299489*LOG(TO5)+0.072311009*TO5^0.5)+1.959964*(0.015512097+0.052366074*LOG(TO5)-0.009130225*TO5^0.5),1/0.437)</f>
        <v>0.42595097651613656</v>
      </c>
      <c r="TZ5" s="133">
        <f t="shared" ref="TZ5:TZ68" si="209">POWER((0.705534664-0.344299489*LOG(TO5)+0.072311009*TO5^0.5)+2.326348*(0.015512097+0.052366074*LOG(TO5)-0.009130225*TO5^0.5),1/0.437)</f>
        <v>0.44256690049668246</v>
      </c>
      <c r="UA5" s="81"/>
      <c r="UB5" s="81">
        <v>3</v>
      </c>
      <c r="UC5" s="133">
        <f t="shared" ref="UC5:UC68" si="210">POWER((393.280932419-388.023615051*LOG(UB5)+92.619116582*UB5^0.5)-2.326348*(-2.592294254+102.927221003*LOG(UB5)-15.104818027*UB5^0.5),1/1.42)-64.001</f>
        <v>-5.7436318747288979</v>
      </c>
      <c r="UD5" s="133">
        <f t="shared" ref="UD5:UD68" si="211">POWER((393.280932419-388.023615051*LOG(UB5)+92.619116582*UB5^0.5)-1.959964*(-2.592294254+102.927221003*LOG(UB5)-15.104818027*UB5^0.5),1/1.42)-64.001</f>
        <v>-4.7943939455332014</v>
      </c>
      <c r="UE5" s="133">
        <f t="shared" ref="UE5:UE68" si="212">POWER((393.280932419-388.023615051*LOG(UB5)+92.619116582*UB5^0.5)-1.644854*(-2.592294254+102.927221003*LOG(UB5)-15.104818027*UB5^0.5),1/1.42)-64.001</f>
        <v>-3.9830838949029115</v>
      </c>
      <c r="UF5" s="133">
        <f>POWER((393.280932419-388.023615051*LOG(UB5)+92.619116582*UB5^0.5)-1.281552*(-2.592294254+102.927221003*LOG(UB5)-15.104818027*UB5^0.5),1/1.42)-64.001</f>
        <v>-3.0533721327723953</v>
      </c>
      <c r="UG5" s="133">
        <f>POWER((393.280932419-388.023615051*LOG(UB5)+92.619116582*UB5^0.5)-0.6755*(-2.592294254+102.927221003*LOG(UB5)-15.104818027*UB5^0.5),1/1.42)-64.001</f>
        <v>-1.5155406087401389</v>
      </c>
      <c r="UH5" s="134">
        <f>POWER((393.280932419-388.023615051*LOG(UB5)+92.619116582*UB5^0.5)-0*(-2.592294254+102.927221003*LOG(UB5)-15.104818027*UB5^0.5),1/1.42)-64.001</f>
        <v>0.17999935533291023</v>
      </c>
      <c r="UI5" s="133">
        <f>POWER((393.280932419-388.023615051*LOG(UB5)+92.619116582*UB5^0.5)+0.6755*(-2.592294254+102.927221003*LOG(UB5)-15.104818027*UB5^0.5),1/1.42)-64.001</f>
        <v>1.8569290959441958</v>
      </c>
      <c r="UJ5" s="133">
        <f t="shared" ref="UJ5:UJ68" si="213">POWER((393.280932419-388.023615051*LOG(UB5)+92.619116582*UB5^0.5)+1.281552*(-2.592294254+102.927221003*LOG(UB5)-15.104818027*UB5^0.5),1/1.42)-64.001</f>
        <v>3.3463262654641426</v>
      </c>
      <c r="UK5" s="133">
        <f t="shared" ref="UK5:UK68" si="214">POWER((393.280932419-388.023615051*LOG(UB5)+92.619116582*UB5^0.5)+1.644854*(-2.592294254+102.927221003*LOG(UB5)-15.104818027*UB5^0.5),1/1.42)-64.001</f>
        <v>4.2325484201793415</v>
      </c>
      <c r="UL5" s="133">
        <f t="shared" ref="UL5:UL68" si="215">POWER((393.280932419-388.023615051*LOG(UB5)+92.619116582*UB5^0.5)+1.959964*(-2.592294254+102.927221003*LOG(UB5)-15.104818027*UB5^0.5),1/1.42)-64.001</f>
        <v>4.9973152648029213</v>
      </c>
      <c r="UM5" s="133">
        <f t="shared" ref="UM5:UM68" si="216">POWER((393.280932419-388.023615051*LOG(UB5)+92.619116582*UB5^0.5)+2.326348*(-2.592294254+102.927221003*LOG(UB5)-15.104818027*UB5^0.5),1/1.42)-64.001</f>
        <v>5.8820724888449405</v>
      </c>
      <c r="UN5" s="81"/>
      <c r="UO5" s="81">
        <v>3</v>
      </c>
      <c r="UP5" s="133">
        <f t="shared" ref="UP5:UP68" si="217">POWER((40.011256922-52.660905785*LOG(UO5)+12.876141776*UO5^0.5)-2.326348*(0.561474595+13.203470309*LOG(UO5)-2.086768211*UO5^0.5),1/1.02)-34.001</f>
        <v>-6.2715227808342284</v>
      </c>
      <c r="UQ5" s="133">
        <f t="shared" ref="UQ5:UQ68" si="218">POWER((40.011256922-52.660905785*LOG(UO5)+12.876141776*UO5^0.5)-1.959964*(0.561474595+13.203470309*LOG(UO5)-2.086768211*UO5^0.5),1/1.02)-34.001</f>
        <v>-5.1806938118703876</v>
      </c>
      <c r="UR5" s="133">
        <f t="shared" ref="UR5:UR68" si="219">POWER((40.011256922-52.660905785*LOG(UO5)+12.876141776*UO5^0.5)-1.644854*(0.561474595+13.203470309*LOG(UO5)-2.086768211*UO5^0.5),1/1.02)-34.001</f>
        <v>-4.24318341165311</v>
      </c>
      <c r="US5" s="133">
        <f>POWER((40.011256922-52.660905785*LOG(UO5)+12.876141776*UO5^0.5)-1.281552*(0.561474595+13.203470309*LOG(UO5)-2.086768211*UO5^0.5),1/1.02)-34.001</f>
        <v>-3.1630245217417645</v>
      </c>
      <c r="UT5" s="133">
        <f>POWER((40.011256922-52.660905785*LOG(UO5)+12.876141776*UO5^0.5)-0.6755*(0.561474595+13.203470309*LOG(UO5)-2.086768211*UO5^0.5),1/1.02)-34.001</f>
        <v>-1.3627983591634134</v>
      </c>
      <c r="UU5" s="134">
        <f>POWER((40.011256922-52.660905785*LOG(UO5)+12.876141776*UO5^0.5)-0*(0.561474595+13.203470309*LOG(UO5)-2.086768211*UO5^0.5),1/1.02)-34.001</f>
        <v>0.64138324493058718</v>
      </c>
      <c r="UV5" s="133">
        <f>POWER((40.011256922-52.660905785*LOG(UO5)+12.876141776*UO5^0.5)+0.6755*(0.561474595+13.203470309*LOG(UO5)-2.086768211*UO5^0.5),1/1.02)-34.001</f>
        <v>2.6432472225932315</v>
      </c>
      <c r="UW5" s="133">
        <f t="shared" ref="UW5:UW68" si="220">POWER((40.011256922-52.660905785*LOG(UO5)+12.876141776*UO5^0.5)+1.281552*(0.561474595+13.203470309*LOG(UO5)-2.086768211*UO5^0.5),1/1.02)-34.001</f>
        <v>4.4374360891699993</v>
      </c>
      <c r="UX5" s="133">
        <f t="shared" ref="UX5:UX68" si="221">POWER((40.011256922-52.660905785*LOG(UO5)+12.876141776*UO5^0.5)+1.644854*(0.561474595+13.203470309*LOG(UO5)-2.086768211*UO5^0.5),1/1.02)-34.001</f>
        <v>5.5121671768436258</v>
      </c>
      <c r="UY5" s="133">
        <f t="shared" ref="UY5:UY68" si="222">POWER((40.011256922-52.660905785*LOG(UO5)+12.876141776*UO5^0.5)+1.959964*(0.561474595+13.203470309*LOG(UO5)-2.086768211*UO5^0.5),1/1.02)-34.001</f>
        <v>6.4438613746808855</v>
      </c>
      <c r="UZ5" s="133">
        <f t="shared" ref="UZ5:UZ68" si="223">POWER((40.011256922-52.660905785*LOG(UO5)+12.876141776*UO5^0.5)+2.326348*(0.561474595+13.203470309*LOG(UO5)-2.086768211*UO5^0.5),1/1.02)-34.001</f>
        <v>7.5266199694719802</v>
      </c>
      <c r="VA5" s="81"/>
      <c r="VB5" s="81">
        <v>6</v>
      </c>
      <c r="VC5" s="133">
        <f t="shared" ref="VC5:VC68" si="224">POWER((976.440515069-1061.792000139*LOG(VB5)+249.187708508*VB5^0.5)-2.326348*(-14.996736867+318.908323561*LOG(VB5)-49.251736285*VB5^0.5),1/1.64)-64.001</f>
        <v>-19.834683587094148</v>
      </c>
      <c r="VD5" s="133">
        <f t="shared" ref="VD5:VD68" si="225">POWER((976.440515069-1061.792000139*LOG(VB5)+249.187708508*VB5^0.5)-1.959964*(-14.996736867+318.908323561*LOG(VB5)-49.251736285*VB5^0.5),1/1.64)-64.001</f>
        <v>-17.643567185266186</v>
      </c>
      <c r="VE5" s="133">
        <f t="shared" ref="VE5:VE68" si="226">POWER((976.440515069-1061.792000139*LOG(VB5)+249.187708508*VB5^0.5)-1.644854*(-14.996736867+318.908323561*LOG(VB5)-49.251736285*VB5^0.5),1/1.64)-64.001</f>
        <v>-15.810833642150804</v>
      </c>
      <c r="VF5" s="133">
        <f>POWER((976.440515069-1061.792000139*LOG(VB5)+249.187708508*VB5^0.5)-1.281552*(-14.996736867+318.908323561*LOG(VB5)-49.251736285*VB5^0.5),1/1.64)-64.001</f>
        <v>-13.751655872740145</v>
      </c>
      <c r="VG5" s="133">
        <f>POWER((976.440515069-1061.792000139*LOG(VB5)+249.187708508*VB5^0.5)-0.6755*(-14.996736867+318.908323561*LOG(VB5)-49.251736285*VB5^0.5),1/1.64)-64.001</f>
        <v>-10.431508143100082</v>
      </c>
      <c r="VH5" s="134">
        <f>POWER((976.440515069-1061.792000139*LOG(VB5)+249.187708508*VB5^0.5)-0*(-14.996736867+318.908323561*LOG(VB5)-49.251736285*VB5^0.5),1/1.64)-64.001</f>
        <v>-6.8796288966623607</v>
      </c>
      <c r="VI5" s="133">
        <f>POWER((976.440515069-1061.792000139*LOG(VB5)+249.187708508*VB5^0.5)+0.6755*(-14.996736867+318.908323561*LOG(VB5)-49.251736285*VB5^0.5),1/1.64)-64.001</f>
        <v>-3.4638662713016046</v>
      </c>
      <c r="VJ5" s="133">
        <f t="shared" ref="VJ5:VJ68" si="227">POWER((976.440515069-1061.792000139*LOG(VB5)+249.187708508*VB5^0.5)+1.281552*(-14.996736867+318.908323561*LOG(VB5)-49.251736285*VB5^0.5),1/1.64)-64.001</f>
        <v>-0.50112463184346723</v>
      </c>
      <c r="VK5" s="133">
        <f t="shared" ref="VK5:VK68" si="228">POWER((976.440515069-1061.792000139*LOG(VB5)+249.187708508*VB5^0.5)+1.644854*(-14.996736867+318.908323561*LOG(VB5)-49.251736285*VB5^0.5),1/1.64)-64.001</f>
        <v>1.2331357461739003</v>
      </c>
      <c r="VL5" s="133">
        <f t="shared" ref="VL5:VL68" si="229">POWER((976.440515069-1061.792000139*LOG(VB5)+249.187708508*VB5^0.5)+1.959964*(-14.996736867+318.908323561*LOG(VB5)-49.251736285*VB5^0.5),1/1.64)-64.001</f>
        <v>2.713783490168538</v>
      </c>
      <c r="VM5" s="133">
        <f t="shared" ref="VM5:VM68" si="230">POWER((976.440515069-1061.792000139*LOG(VB5)+249.187708508*VB5^0.5)+2.326348*(-14.996736867+318.908323561*LOG(VB5)-49.251736285*VB5^0.5),1/1.64)-64.001</f>
        <v>4.4093514259165545</v>
      </c>
      <c r="VN5" s="81"/>
      <c r="VO5" s="81">
        <v>3</v>
      </c>
      <c r="VP5" s="133">
        <f t="shared" ref="VP5:VP68" si="231">POWER((9.722274426-9.910874656*LOG(VO5)+2.548855962*VO5^0.5)-2.326348*(0.511298926+3.210935833*LOG(VO5)-0.578840114*VO5^0.5),1/0.585)-55.001</f>
        <v>-27.251301208451597</v>
      </c>
      <c r="VQ5" s="133">
        <f t="shared" ref="VQ5:VQ68" si="232">POWER((9.722274426-9.910874656*LOG(VO5)+2.548855962*VO5^0.5)-1.959964*(0.511298926+3.210935833*LOG(VO5)-0.578840114*VO5^0.5),1/0.585)-55.001</f>
        <v>-24.61283378558733</v>
      </c>
      <c r="VR5" s="133">
        <f t="shared" ref="VR5:VR68" si="233">POWER((9.722274426-9.910874656*LOG(VO5)+2.548855962*VO5^0.5)-1.644854*(0.511298926+3.210935833*LOG(VO5)-0.578840114*VO5^0.5),1/0.585)-55.001</f>
        <v>-22.264618280166872</v>
      </c>
      <c r="VS5" s="133">
        <f>POWER((9.722274426-9.910874656*LOG(VO5)+2.548855962*VO5^0.5)-1.281552*(0.511298926+3.210935833*LOG(VO5)-0.578840114*VO5^0.5),1/0.585)-55.001</f>
        <v>-19.467873401284656</v>
      </c>
      <c r="VT5" s="133">
        <f>POWER((9.722274426-9.910874656*LOG(VO5)+2.548855962*VO5^0.5)-0.6755*(0.511298926+3.210935833*LOG(VO5)-0.578840114*VO5^0.5),1/0.585)-55.001</f>
        <v>-14.592753036489455</v>
      </c>
      <c r="VU5" s="134">
        <f>POWER((9.722274426-9.910874656*LOG(VO5)+2.548855962*VO5^0.5)-0*(0.511298926+3.210935833*LOG(VO5)-0.578840114*VO5^0.5),1/0.585)-55.001</f>
        <v>-8.8560393716974843</v>
      </c>
      <c r="VV5" s="133">
        <f>POWER((9.722274426-9.910874656*LOG(VO5)+2.548855962*VO5^0.5)+0.6755*(0.511298926+3.210935833*LOG(VO5)-0.578840114*VO5^0.5),1/0.585)-55.001</f>
        <v>-2.8068378737969937</v>
      </c>
      <c r="VW5" s="133">
        <f t="shared" ref="VW5:VW68" si="234">POWER((9.722274426-9.910874656*LOG(VO5)+2.548855962*VO5^0.5)+1.281552*(0.511298926+3.210935833*LOG(VO5)-0.578840114*VO5^0.5),1/0.585)-55.001</f>
        <v>2.8810551316229933</v>
      </c>
      <c r="VX5" s="133">
        <f t="shared" ref="VX5:VX68" si="235">POWER((9.722274426-9.910874656*LOG(VO5)+2.548855962*VO5^0.5)+1.644854*(0.511298926+3.210935833*LOG(VO5)-0.578840114*VO5^0.5),1/0.585)-55.001</f>
        <v>6.4069853033449178</v>
      </c>
      <c r="VY5" s="133">
        <f t="shared" ref="VY5:VY68" si="236">POWER((9.722274426-9.910874656*LOG(VO5)+2.548855962*VO5^0.5)+1.959964*(0.511298926+3.210935833*LOG(VO5)-0.578840114*VO5^0.5),1/0.585)-55.001</f>
        <v>9.5349500641935734</v>
      </c>
      <c r="VZ5" s="133">
        <f t="shared" ref="VZ5:VZ68" si="237">POWER((9.722274426-9.910874656*LOG(VO5)+2.548855962*VO5^0.5)+2.326348*(0.511298926+3.210935833*LOG(VO5)-0.578840114*VO5^0.5),1/0.585)-55.001</f>
        <v>13.252600238879786</v>
      </c>
      <c r="WA5" s="81"/>
      <c r="WB5" s="81">
        <v>3</v>
      </c>
      <c r="WC5" s="133">
        <f t="shared" ref="WC5:WC68" si="238">POWER((9.30040261-10.980219851*LOG(WB5)+2.831460991*WB5^0.5)-2.326348*(0.614635641+3.423352285*LOG(WB5)-0.64630167*WB5^0.5),1/0.583)-49.001</f>
        <v>-25.241738296992239</v>
      </c>
      <c r="WD5" s="133">
        <f t="shared" ref="WD5:WD68" si="239">POWER((9.30040261-10.980219851*LOG(WB5)+2.831460991*WB5^0.5)-1.959964*(0.614635641+3.423352285*LOG(WB5)-0.64630167*WB5^0.5),1/0.583)-49.001</f>
        <v>-22.522365856765514</v>
      </c>
      <c r="WE5" s="133">
        <f t="shared" ref="WE5:WE68" si="240">POWER((9.30040261-10.980219851*LOG(WB5)+2.831460991*WB5^0.5)-1.644854*(0.614635641+3.423352285*LOG(WB5)-0.64630167*WB5^0.5),1/0.583)-49.001</f>
        <v>-20.086073242340806</v>
      </c>
      <c r="WF5" s="133">
        <f>POWER((9.30040261-10.980219851*LOG(WB5)+2.831460991*WB5^0.5)-1.281552*(0.614635641+3.423352285*LOG(WB5)-0.64630167*WB5^0.5),1/0.583)-49.001</f>
        <v>-17.167088483572922</v>
      </c>
      <c r="WG5" s="133">
        <f>POWER((9.30040261-10.980219851*LOG(WB5)+2.831460991*WB5^0.5)-0.6755*(0.614635641+3.423352285*LOG(WB5)-0.64630167*WB5^0.5),1/0.583)-49.001</f>
        <v>-12.040127134559143</v>
      </c>
      <c r="WH5" s="134">
        <f>POWER((9.30040261-10.980219851*LOG(WB5)+2.831460991*WB5^0.5)-0*(0.614635641+3.423352285*LOG(WB5)-0.64630167*WB5^0.5),1/0.583)-49.001</f>
        <v>-5.9544307969152968</v>
      </c>
      <c r="WI5" s="133">
        <f>POWER((9.30040261-10.980219851*LOG(WB5)+2.831460991*WB5^0.5)+0.6755*(0.614635641+3.423352285*LOG(WB5)-0.64630167*WB5^0.5),1/0.583)-49.001</f>
        <v>0.51317720674698819</v>
      </c>
      <c r="WJ5" s="133">
        <f t="shared" ref="WJ5:WJ68" si="241">POWER((9.30040261-10.980219851*LOG(WB5)+2.831460991*WB5^0.5)+1.281552*(0.614635641+3.423352285*LOG(WB5)-0.64630167*WB5^0.5),1/0.583)-49.001</f>
        <v>6.6336472430456581</v>
      </c>
      <c r="WK5" s="133">
        <f t="shared" ref="WK5:WK68" si="242">POWER((9.30040261-10.980219851*LOG(WB5)+2.831460991*WB5^0.5)+1.644854*(0.614635641+3.423352285*LOG(WB5)-0.64630167*WB5^0.5),1/0.583)-49.001</f>
        <v>10.444174458143827</v>
      </c>
      <c r="WL5" s="133">
        <f t="shared" ref="WL5:WL68" si="243">POWER((9.30040261-10.980219851*LOG(WB5)+2.831460991*WB5^0.5)+1.959964*(0.614635641+3.423352285*LOG(WB5)-0.64630167*WB5^0.5),1/0.583)-49.001</f>
        <v>13.83405499824363</v>
      </c>
      <c r="WM5" s="133">
        <f t="shared" ref="WM5:WM68" si="244">POWER((9.30040261-10.980219851*LOG(WB5)+2.831460991*WB5^0.5)+2.326348*(0.614635641+3.423352285*LOG(WB5)-0.64630167*WB5^0.5),1/0.583)-49.001</f>
        <v>17.873595630035162</v>
      </c>
      <c r="WN5" s="81"/>
      <c r="WO5" s="81">
        <v>6</v>
      </c>
      <c r="WP5" s="133">
        <f t="shared" ref="WP5:WP68" si="245">POWER((12.412739128-13.399209991*LOG(WO5)+3.506121515*WO5^0.5)-2.326348*(0.677349889+4.866554189*LOG(WO5)-0.859879165*WO5^0.5),1/0.665)-55.001</f>
        <v>-43.451040188372026</v>
      </c>
      <c r="WQ5" s="133">
        <f t="shared" ref="WQ5:WQ68" si="246">POWER((12.412739128-13.399209991*LOG(WO5)+3.506121515*WO5^0.5)-1.959964*(0.677349889+4.866554189*LOG(WO5)-0.859879165*WO5^0.5),1/0.665)-55.001</f>
        <v>-40.379634488146067</v>
      </c>
      <c r="WR5" s="133">
        <f t="shared" ref="WR5:WR68" si="247">POWER((12.412739128-13.399209991*LOG(WO5)+3.506121515*WO5^0.5)-1.644854*(0.677349889+4.866554189*LOG(WO5)-0.859879165*WO5^0.5),1/0.665)-55.001</f>
        <v>-37.550602505392561</v>
      </c>
      <c r="WS5" s="133">
        <f>POWER((12.412739128-13.399209991*LOG(WO5)+3.506121515*WO5^0.5)-1.281552*(0.677349889+4.866554189*LOG(WO5)-0.859879165*WO5^0.5),1/0.665)-55.001</f>
        <v>-34.087260944095959</v>
      </c>
      <c r="WT5" s="133">
        <f>POWER((12.412739128-13.399209991*LOG(WO5)+3.506121515*WO5^0.5)-0.6755*(0.677349889+4.866554189*LOG(WO5)-0.859879165*WO5^0.5),1/0.665)-55.001</f>
        <v>-27.861125910055208</v>
      </c>
      <c r="WU5" s="134">
        <f>POWER((12.412739128-13.399209991*LOG(WO5)+3.506121515*WO5^0.5)-0*(0.677349889+4.866554189*LOG(WO5)-0.859879165*WO5^0.5),1/0.665)-55.001</f>
        <v>-20.30892930586392</v>
      </c>
      <c r="WV5" s="133">
        <f>POWER((12.412739128-13.399209991*LOG(WO5)+3.506121515*WO5^0.5)+0.6755*(0.677349889+4.866554189*LOG(WO5)-0.859879165*WO5^0.5),1/0.665)-55.001</f>
        <v>-12.159591315146585</v>
      </c>
      <c r="WW5" s="133">
        <f t="shared" ref="WW5:WW68" si="248">POWER((12.412739128-13.399209991*LOG(WO5)+3.506121515*WO5^0.5)+1.281552*(0.677349889+4.866554189*LOG(WO5)-0.859879165*WO5^0.5),1/0.665)-55.001</f>
        <v>-4.3732086578778606</v>
      </c>
      <c r="WX5" s="133">
        <f t="shared" ref="WX5:WX68" si="249">POWER((12.412739128-13.399209991*LOG(WO5)+3.506121515*WO5^0.5)+1.644854*(0.677349889+4.866554189*LOG(WO5)-0.859879165*WO5^0.5),1/0.665)-55.001</f>
        <v>0.49903966267615374</v>
      </c>
      <c r="WY5" s="133">
        <f t="shared" ref="WY5:WY68" si="250">POWER((12.412739128-13.399209991*LOG(WO5)+3.506121515*WO5^0.5)+1.959964*(0.677349889+4.866554189*LOG(WO5)-0.859879165*WO5^0.5),1/0.665)-55.001</f>
        <v>4.8447815725284897</v>
      </c>
      <c r="WZ5" s="133">
        <f t="shared" ref="WZ5:WZ68" si="251">POWER((12.412739128-13.399209991*LOG(WO5)+3.506121515*WO5^0.5)+2.326348*(0.677349889+4.866554189*LOG(WO5)-0.859879165*WO5^0.5),1/0.665)-55.001</f>
        <v>10.033778803496169</v>
      </c>
      <c r="XA5" s="81"/>
      <c r="XB5" s="81">
        <v>3</v>
      </c>
      <c r="XC5" s="133">
        <f t="shared" ref="XC5:XC68" si="252">POWER((26.793158755-35.742038196*LOG(XB5)+7.850198164*XB5^0.5)-2.326348*(0.43477349+8.667512998*LOG(XB5)-1.437705021*XB5^0.5),1/0.763)-56.001</f>
        <v>-10.217315021418251</v>
      </c>
      <c r="XD5" s="133">
        <f t="shared" ref="XD5:XD68" si="253">POWER((26.793158755-35.742038196*LOG(XB5)+7.850198164*XB5^0.5)-1.959964*(0.43477349+8.667512998*LOG(XB5)-1.437705021*XB5^0.5),1/0.763)-56.001</f>
        <v>-7.7294976560809872</v>
      </c>
      <c r="XE5" s="133">
        <f t="shared" ref="XE5:XE68" si="254">POWER((26.793158755-35.742038196*LOG(XB5)+7.850198164*XB5^0.5)-1.644854*(0.43477349+8.667512998*LOG(XB5)-1.437705021*XB5^0.5),1/0.763)-56.001</f>
        <v>-5.5651954631150176</v>
      </c>
      <c r="XF5" s="133">
        <f>POWER((26.793158755-35.742038196*LOG(XB5)+7.850198164*XB5^0.5)-1.281552*(0.43477349+8.667512998*LOG(XB5)-1.437705021*XB5^0.5),1/0.763)-56.001</f>
        <v>-3.0423179608832953</v>
      </c>
      <c r="XG5" s="133">
        <f>POWER((26.793158755-35.742038196*LOG(XB5)+7.850198164*XB5^0.5)-0.6755*(0.43477349+8.667512998*LOG(XB5)-1.437705021*XB5^0.5),1/0.763)-56.001</f>
        <v>1.2300688785985585</v>
      </c>
      <c r="XH5" s="134">
        <f>POWER((26.793158755-35.742038196*LOG(XB5)+7.850198164*XB5^0.5)-0*(0.43477349+8.667512998*LOG(XB5)-1.437705021*XB5^0.5),1/0.763)-56.001</f>
        <v>6.0826392311438298</v>
      </c>
      <c r="XI5" s="133">
        <f>POWER((26.793158755-35.742038196*LOG(XB5)+7.850198164*XB5^0.5)+0.6755*(0.43477349+8.667512998*LOG(XB5)-1.437705021*XB5^0.5),1/0.763)-56.001</f>
        <v>11.026862122086662</v>
      </c>
      <c r="XJ5" s="133">
        <f t="shared" ref="XJ5:XJ68" si="255">POWER((26.793158755-35.742038196*LOG(XB5)+7.850198164*XB5^0.5)+1.281552*(0.43477349+8.667512998*LOG(XB5)-1.437705021*XB5^0.5),1/0.763)-56.001</f>
        <v>15.53778747558659</v>
      </c>
      <c r="XK5" s="133">
        <f t="shared" ref="XK5:XK68" si="256">POWER((26.793158755-35.742038196*LOG(XB5)+7.850198164*XB5^0.5)+1.644854*(0.43477349+8.667512998*LOG(XB5)-1.437705021*XB5^0.5),1/0.763)-56.001</f>
        <v>18.27486007358538</v>
      </c>
      <c r="XL5" s="133">
        <f t="shared" ref="XL5:XL68" si="257">POWER((26.793158755-35.742038196*LOG(XB5)+7.850198164*XB5^0.5)+1.959964*(0.43477349+8.667512998*LOG(XB5)-1.437705021*XB5^0.5),1/0.763)-56.001</f>
        <v>20.668408423735109</v>
      </c>
      <c r="XM5" s="133">
        <f t="shared" ref="XM5:XM68" si="258">POWER((26.793158755-35.742038196*LOG(XB5)+7.850198164*XB5^0.5)+2.326348*(0.43477349+8.667512998*LOG(XB5)-1.437705021*XB5^0.5),1/0.763)-56.001</f>
        <v>23.473844935435075</v>
      </c>
      <c r="XN5" s="81"/>
      <c r="XO5" s="81">
        <v>3</v>
      </c>
      <c r="XP5" s="133">
        <f t="shared" ref="XP5:XP68" si="259">POWER((28.801648634-41.785320688*LOG(XO5)+9.349000216*XO5^0.5)-2.326348*(0.989290395+10.389877577*LOG(XO5)-1.933748291*XO5^0.5),1/0.783)-52.001</f>
        <v>-8.9866546738877986</v>
      </c>
      <c r="XQ5" s="133">
        <f t="shared" ref="XQ5:XQ68" si="260">POWER((28.801648634-41.785320688*LOG(XO5)+9.349000216*XO5^0.5)-1.959964*(0.989290395+10.389877577*LOG(XO5)-1.933748291*XO5^0.5),1/0.783)-52.001</f>
        <v>-6.2188516684884974</v>
      </c>
      <c r="XR5" s="133">
        <f t="shared" ref="XR5:XR68" si="261">POWER((28.801648634-41.785320688*LOG(XO5)+9.349000216*XO5^0.5)-1.644854*(0.989290395+10.389877577*LOG(XO5)-1.933748291*XO5^0.5),1/0.783)-52.001</f>
        <v>-3.8089024319720011</v>
      </c>
      <c r="XS5" s="133">
        <f>POWER((28.801648634-41.785320688*LOG(XO5)+9.349000216*XO5^0.5)-1.281552*(0.989290395+10.389877577*LOG(XO5)-1.933748291*XO5^0.5),1/0.783)-52.001</f>
        <v>-0.99760663926404192</v>
      </c>
      <c r="XT5" s="133">
        <f>POWER((28.801648634-41.785320688*LOG(XO5)+9.349000216*XO5^0.5)-0.6755*(0.989290395+10.389877577*LOG(XO5)-1.933748291*XO5^0.5),1/0.783)-52.001</f>
        <v>3.767385747056025</v>
      </c>
      <c r="XU5" s="134">
        <f>POWER((28.801648634-41.785320688*LOG(XO5)+9.349000216*XO5^0.5)-0*(0.989290395+10.389877577*LOG(XO5)-1.933748291*XO5^0.5),1/0.783)-52.001</f>
        <v>9.1843848759757094</v>
      </c>
      <c r="XV5" s="133">
        <f>POWER((28.801648634-41.785320688*LOG(XO5)+9.349000216*XO5^0.5)+0.6755*(0.989290395+10.389877577*LOG(XO5)-1.933748291*XO5^0.5),1/0.783)-52.001</f>
        <v>14.707594353937999</v>
      </c>
      <c r="XW5" s="133">
        <f t="shared" ref="XW5:XW68" si="262">POWER((28.801648634-41.785320688*LOG(XO5)+9.349000216*XO5^0.5)+1.281552*(0.989290395+10.389877577*LOG(XO5)-1.933748291*XO5^0.5),1/0.783)-52.001</f>
        <v>19.74917171157427</v>
      </c>
      <c r="XX5" s="133">
        <f t="shared" ref="XX5:XX68" si="263">POWER((28.801648634-41.785320688*LOG(XO5)+9.349000216*XO5^0.5)+1.644854*(0.989290395+10.389877577*LOG(XO5)-1.933748291*XO5^0.5),1/0.783)-52.001</f>
        <v>22.809022840613373</v>
      </c>
      <c r="XY5" s="133">
        <f t="shared" ref="XY5:XY68" si="264">POWER((28.801648634-41.785320688*LOG(XO5)+9.349000216*XO5^0.5)+1.959964*(0.989290395+10.389877577*LOG(XO5)-1.933748291*XO5^0.5),1/0.783)-52.001</f>
        <v>25.48520202443067</v>
      </c>
      <c r="XZ5" s="133">
        <f t="shared" ref="XZ5:XZ68" si="265">POWER((28.801648634-41.785320688*LOG(XO5)+9.349000216*XO5^0.5)+2.326348*(0.989290395+10.389877577*LOG(XO5)-1.933748291*XO5^0.5),1/0.783)-52.001</f>
        <v>28.622228424172384</v>
      </c>
      <c r="YA5" s="81"/>
      <c r="YB5" s="81">
        <v>6</v>
      </c>
      <c r="YC5" s="133">
        <f t="shared" ref="YC5:YC68" si="266">POWER((30.610323495-40.543468317*LOG(YB5)+8.823628947*YB5^0.5)-2.326348*(-0.168060802+11.404693559*LOG(YB5)-1.833111617*YB5^0.5),1/0.809)-56.001</f>
        <v>-36.916305189411624</v>
      </c>
      <c r="YD5" s="133">
        <f t="shared" ref="YD5:YD68" si="267">POWER((30.610323495-40.543468317*LOG(YB5)+8.823628947*YB5^0.5)-1.959964*(-0.168060802+11.404693559*LOG(YB5)-1.833111617*YB5^0.5),1/0.809)-56.001</f>
        <v>-33.508170763189838</v>
      </c>
      <c r="YE5" s="133">
        <f t="shared" ref="YE5:YE68" si="268">POWER((30.610323495-40.543468317*LOG(YB5)+8.823628947*YB5^0.5)-1.644854*(-0.168060802+11.404693559*LOG(YB5)-1.833111617*YB5^0.5),1/0.809)-56.001</f>
        <v>-30.49515709076983</v>
      </c>
      <c r="YF5" s="133">
        <f>POWER((30.610323495-40.543468317*LOG(YB5)+8.823628947*YB5^0.5)-1.281552*(-0.168060802+11.404693559*LOG(YB5)-1.833111617*YB5^0.5),1/0.809)-56.001</f>
        <v>-26.93517792521709</v>
      </c>
      <c r="YG5" s="133">
        <f>POWER((30.610323495-40.543468317*LOG(YB5)+8.823628947*YB5^0.5)-0.6755*(-0.168060802+11.404693559*LOG(YB5)-1.833111617*YB5^0.5),1/0.809)-56.001</f>
        <v>-20.809385674517394</v>
      </c>
      <c r="YH5" s="134">
        <f>POWER((30.610323495-40.543468317*LOG(YB5)+8.823628947*YB5^0.5)-0*(-0.168060802+11.404693559*LOG(YB5)-1.833111617*YB5^0.5),1/0.809)-56.001</f>
        <v>-13.73335553944932</v>
      </c>
      <c r="YI5" s="133">
        <f>POWER((30.610323495-40.543468317*LOG(YB5)+8.823628947*YB5^0.5)+0.6755*(-0.168060802+11.404693559*LOG(YB5)-1.833111617*YB5^0.5),1/0.809)-56.001</f>
        <v>-6.4227333107615792</v>
      </c>
      <c r="YJ5" s="133">
        <f t="shared" ref="YJ5:YJ68" si="269">POWER((30.610323495-40.543468317*LOG(YB5)+8.823628947*YB5^0.5)+1.281552*(-0.168060802+11.404693559*LOG(YB5)-1.833111617*YB5^0.5),1/0.809)-56.001</f>
        <v>0.31765488266810848</v>
      </c>
      <c r="YK5" s="133">
        <f t="shared" ref="YK5:YK68" si="270">POWER((30.610323495-40.543468317*LOG(YB5)+8.823628947*YB5^0.5)+1.644854*(-0.168060802+11.404693559*LOG(YB5)-1.833111617*YB5^0.5),1/0.809)-56.001</f>
        <v>4.4346994397562511</v>
      </c>
      <c r="YL5" s="133">
        <f t="shared" ref="YL5:YL68" si="271">POWER((30.610323495-40.543468317*LOG(YB5)+8.823628947*YB5^0.5)+1.959964*(-0.168060802+11.404693559*LOG(YB5)-1.833111617*YB5^0.5),1/0.809)-56.001</f>
        <v>8.0496775123478486</v>
      </c>
      <c r="YM5" s="133">
        <f t="shared" ref="YM5:YM68" si="272">POWER((30.610323495-40.543468317*LOG(YB5)+8.823628947*YB5^0.5)+2.326348*(-0.168060802+11.404693559*LOG(YB5)-1.833111617*YB5^0.5),1/0.809)-56.001</f>
        <v>12.302334793789704</v>
      </c>
      <c r="YN5" s="81"/>
      <c r="YO5" s="81">
        <v>3</v>
      </c>
      <c r="YP5" s="133">
        <v>8.5988326631895777</v>
      </c>
      <c r="YQ5" s="133">
        <v>9.6127647326409775</v>
      </c>
      <c r="YR5" s="133">
        <v>10.579922970574362</v>
      </c>
      <c r="YS5" s="133">
        <v>11.816370766782585</v>
      </c>
      <c r="YT5" s="133">
        <v>14.20886132368018</v>
      </c>
      <c r="YU5" s="134">
        <v>17.450598289725139</v>
      </c>
      <c r="YV5" s="133">
        <v>21.431934180527609</v>
      </c>
      <c r="YW5" s="133">
        <v>25.771312248039347</v>
      </c>
      <c r="YX5" s="133">
        <v>28.783137789974493</v>
      </c>
      <c r="YY5" s="133">
        <v>31.679063114415207</v>
      </c>
      <c r="YZ5" s="133">
        <v>35.414502479270332</v>
      </c>
      <c r="ZA5" s="81"/>
      <c r="ZB5" s="81">
        <v>3</v>
      </c>
      <c r="ZC5" s="133">
        <v>6.7040851004502278</v>
      </c>
      <c r="ZD5" s="133">
        <v>7.6130179895092107</v>
      </c>
      <c r="ZE5" s="133">
        <v>8.4927187956980266</v>
      </c>
      <c r="ZF5" s="133">
        <v>9.6338437200322016</v>
      </c>
      <c r="ZG5" s="133">
        <v>11.888773147302365</v>
      </c>
      <c r="ZH5" s="134">
        <v>15.029374862794533</v>
      </c>
      <c r="ZI5" s="133">
        <v>18.99961467577117</v>
      </c>
      <c r="ZJ5" s="133">
        <v>23.446727529605916</v>
      </c>
      <c r="ZK5" s="133">
        <v>26.597149181581322</v>
      </c>
      <c r="ZL5" s="133">
        <v>29.670507685344646</v>
      </c>
      <c r="ZM5" s="133">
        <v>33.693204274992063</v>
      </c>
      <c r="ZN5" s="81"/>
      <c r="ZO5" s="81">
        <v>6</v>
      </c>
      <c r="ZP5" s="133">
        <v>15.883601204545801</v>
      </c>
      <c r="ZQ5" s="133">
        <v>17.7039712000227</v>
      </c>
      <c r="ZR5" s="133">
        <v>19.435598324967131</v>
      </c>
      <c r="ZS5" s="133">
        <v>21.643288562032936</v>
      </c>
      <c r="ZT5" s="133">
        <v>25.898187659978113</v>
      </c>
      <c r="ZU5" s="134">
        <v>31.633511806391741</v>
      </c>
      <c r="ZV5" s="133">
        <v>38.638961240964761</v>
      </c>
      <c r="ZW5" s="133">
        <v>46.235074967328956</v>
      </c>
      <c r="ZX5" s="133">
        <v>51.486918615705541</v>
      </c>
      <c r="ZY5" s="133">
        <v>56.522859074908766</v>
      </c>
      <c r="ZZ5" s="133">
        <v>63.000767667141922</v>
      </c>
      <c r="AAA5" s="81"/>
      <c r="AAB5" s="81">
        <v>3</v>
      </c>
      <c r="AAC5" s="133">
        <v>4.2047303794659188</v>
      </c>
      <c r="AAD5" s="133">
        <v>4.6683191530353643</v>
      </c>
      <c r="AAE5" s="133">
        <v>5.1077101179369135</v>
      </c>
      <c r="AAF5" s="133">
        <v>5.6658691119940743</v>
      </c>
      <c r="AAG5" s="133">
        <v>6.7359944204738236</v>
      </c>
      <c r="AAH5" s="134">
        <v>8.1685825533428851</v>
      </c>
      <c r="AAI5" s="133">
        <v>9.9058486046198588</v>
      </c>
      <c r="AAJ5" s="133">
        <v>11.776788275875647</v>
      </c>
      <c r="AAK5" s="133">
        <v>13.06372902731006</v>
      </c>
      <c r="AAL5" s="133">
        <v>14.293311734565611</v>
      </c>
      <c r="AAM5" s="133">
        <v>15.869207989324916</v>
      </c>
      <c r="AAN5" s="81"/>
      <c r="AAO5" s="81">
        <v>3</v>
      </c>
      <c r="AAP5" s="133">
        <v>3.8341552465386899</v>
      </c>
      <c r="AAQ5" s="133">
        <v>4.3279543304702601</v>
      </c>
      <c r="AAR5" s="133">
        <v>4.8032220690575862</v>
      </c>
      <c r="AAS5" s="133">
        <v>5.4163044063714691</v>
      </c>
      <c r="AAT5" s="133">
        <v>6.6180876949997849</v>
      </c>
      <c r="AAU5" s="134">
        <v>8.2743663924386546</v>
      </c>
      <c r="AAV5" s="133">
        <v>10.345154423995663</v>
      </c>
      <c r="AAW5" s="133">
        <v>12.640563391485038</v>
      </c>
      <c r="AAX5" s="133">
        <v>14.254002461674949</v>
      </c>
      <c r="AAY5" s="133">
        <v>15.819284116355062</v>
      </c>
      <c r="AAZ5" s="133">
        <v>17.856642413769144</v>
      </c>
      <c r="ABA5" s="81"/>
      <c r="ABB5" s="81">
        <v>6</v>
      </c>
      <c r="ABC5" s="133">
        <v>5.9868587969441904</v>
      </c>
      <c r="ABD5" s="133">
        <v>6.602538591307308</v>
      </c>
      <c r="ABE5" s="133">
        <v>7.1824647547678842</v>
      </c>
      <c r="ABF5" s="133">
        <v>7.9145791898934137</v>
      </c>
      <c r="ABG5" s="133">
        <v>9.3056925542435884</v>
      </c>
      <c r="ABH5" s="134">
        <v>11.146222239489298</v>
      </c>
      <c r="ABI5" s="133">
        <v>13.350781737940677</v>
      </c>
      <c r="ABJ5" s="133">
        <v>15.697394293651506</v>
      </c>
      <c r="ABK5" s="133">
        <v>17.297442375838127</v>
      </c>
      <c r="ABL5" s="133">
        <v>18.816742756438249</v>
      </c>
      <c r="ABM5" s="133">
        <v>20.75182903520281</v>
      </c>
      <c r="ABN5" s="81"/>
      <c r="ABO5" s="81">
        <v>3</v>
      </c>
      <c r="ABP5" s="133">
        <f t="shared" ref="ABP5:ABP68" si="273">POWER((0.795277361-0.258772706*LOG(ABO5)+0.068717406*ABO5^0.5)-2.326348*(0.044677223+0.01641939*LOG(ABO5)-0.001290493*ABO5^0.5),1/0.271)</f>
        <v>0.2330497570422411</v>
      </c>
      <c r="ABQ5" s="133">
        <f t="shared" ref="ABQ5:ABQ68" si="274">POWER((0.795277361-0.258772706*LOG(ABO5)+0.068717406*ABO5^0.5)-1.959964*(0.044677223+0.01641939*LOG(ABO5)-0.001290493*ABO5^0.5),1/0.271)</f>
        <v>0.25743446398577402</v>
      </c>
      <c r="ABR5" s="133">
        <f t="shared" ref="ABR5:ABR68" si="275">POWER((0.795277361-0.258772706*LOG(ABO5)+0.068717406*ABO5^0.5)-1.644854*(0.044677223+0.01641939*LOG(ABO5)-0.001290493*ABO5^0.5),1/0.271)</f>
        <v>0.27985075420585043</v>
      </c>
      <c r="ABS5" s="133">
        <f>POWER((0.795277361-0.258772706*LOG(ABO5)+0.068717406*ABO5^0.5)-1.281552*(0.044677223+0.01641939*LOG(ABO5)-0.001290493*ABO5^0.5),1/0.271)</f>
        <v>0.30742433100210592</v>
      </c>
      <c r="ABT5" s="133">
        <f>POWER((0.795277361-0.258772706*LOG(ABO5)+0.068717406*ABO5^0.5)-0.6755*(0.044677223+0.01641939*LOG(ABO5)-0.001290493*ABO5^0.5),1/0.271)</f>
        <v>0.35775709255075649</v>
      </c>
      <c r="ABU5" s="134">
        <f>POWER((0.795277361-0.258772706*LOG(ABO5)+0.068717406*ABO5^0.5)-0*(0.044677223+0.01641939*LOG(ABO5)-0.001290493*ABO5^0.5),1/0.271)</f>
        <v>0.42065880541691891</v>
      </c>
      <c r="ABV5" s="133">
        <f>POWER((0.795277361-0.258772706*LOG(ABO5)+0.068717406*ABO5^0.5)+0.6755*(0.044677223+0.01641939*LOG(ABO5)-0.001290493*ABO5^0.5),1/0.271)</f>
        <v>0.49126245504459659</v>
      </c>
      <c r="ABW5" s="133">
        <f t="shared" ref="ABW5:ABW68" si="276">POWER((0.795277361-0.258772706*LOG(ABO5)+0.068717406*ABO5^0.5)+1.281552*(0.044677223+0.01641939*LOG(ABO5)-0.001290493*ABO5^0.5),1/0.271)</f>
        <v>0.56162801133473417</v>
      </c>
      <c r="ABX5" s="133">
        <f t="shared" ref="ABX5:ABX68" si="277">POWER((0.795277361-0.258772706*LOG(ABO5)+0.068717406*ABO5^0.5)+1.644854*(0.044677223+0.01641939*LOG(ABO5)-0.001290493*ABO5^0.5),1/0.271)</f>
        <v>0.60717435507143569</v>
      </c>
      <c r="ABY5" s="133">
        <f t="shared" ref="ABY5:ABY68" si="278">POWER((0.795277361-0.258772706*LOG(ABO5)+0.068717406*ABO5^0.5)+1.959964*(0.044677223+0.01641939*LOG(ABO5)-0.001290493*ABO5^0.5),1/0.271)</f>
        <v>0.64880972497436451</v>
      </c>
      <c r="ABZ5" s="133">
        <f t="shared" ref="ABZ5:ABZ68" si="279">POWER((0.795277361-0.258772706*LOG(ABO5)+0.068717406*ABO5^0.5)+2.326348*(0.044677223+0.01641939*LOG(ABO5)-0.001290493*ABO5^0.5),1/0.271)</f>
        <v>0.69979358797225377</v>
      </c>
      <c r="ACA5" s="81"/>
      <c r="ACB5" s="81">
        <v>3</v>
      </c>
      <c r="ACC5" s="133">
        <f t="shared" ref="ACC5:ACC68" si="280">POWER((0.896736818-0.180537368*LOG(ACB5)+0.047247095*ACB5^0.5)-2.326348*(0.021397984+0.028348619*LOG(ACB5)-0.005092552*ACB5^0.5),1/0.141)</f>
        <v>0.2706558396995194</v>
      </c>
      <c r="ACD5" s="133">
        <f t="shared" ref="ACD5:ACD68" si="281">POWER((0.896736818-0.180537368*LOG(ACB5)+0.047247095*ACB5^0.5)-1.959964*(0.021397984+0.028348619*LOG(ACB5)-0.005092552*ACB5^0.5),1/0.141)</f>
        <v>0.29351702564743803</v>
      </c>
      <c r="ACE5" s="133">
        <f t="shared" ref="ACE5:ACE68" si="282">POWER((0.896736818-0.180537368*LOG(ACB5)+0.047247095*ACB5^0.5)-1.644854*(0.021397984+0.028348619*LOG(ACB5)-0.005092552*ACB5^0.5),1/0.141)</f>
        <v>0.31448657589480139</v>
      </c>
      <c r="ACF5" s="133">
        <f>POWER((0.896736818-0.180537368*LOG(ACB5)+0.047247095*ACB5^0.5)-1.281552*(0.021397984+0.028348619*LOG(ACB5)-0.005092552*ACB5^0.5),1/0.141)</f>
        <v>0.34024849312662714</v>
      </c>
      <c r="ACG5" s="133">
        <f>POWER((0.896736818-0.180537368*LOG(ACB5)+0.047247095*ACB5^0.5)-0.6755*(0.021397984+0.028348619*LOG(ACB5)-0.005092552*ACB5^0.5),1/0.141)</f>
        <v>0.38726345595084283</v>
      </c>
      <c r="ACH5" s="134">
        <f>POWER((0.896736818-0.180537368*LOG(ACB5)+0.047247095*ACB5^0.5)-0*(0.021397984+0.028348619*LOG(ACB5)-0.005092552*ACB5^0.5),1/0.141)</f>
        <v>0.44614126202288851</v>
      </c>
      <c r="ACI5" s="133">
        <f>POWER((0.896736818-0.180537368*LOG(ACB5)+0.047247095*ACB5^0.5)+0.6755*(0.021397984+0.028348619*LOG(ACB5)-0.005092552*ACB5^0.5),1/0.141)</f>
        <v>0.51254927869699141</v>
      </c>
      <c r="ACJ5" s="133">
        <f t="shared" ref="ACJ5:ACJ68" si="283">POWER((0.896736818-0.180537368*LOG(ACB5)+0.047247095*ACB5^0.5)+1.281552*(0.021397984+0.028348619*LOG(ACB5)-0.005092552*ACB5^0.5),1/0.141)</f>
        <v>0.57918549490145221</v>
      </c>
      <c r="ACK5" s="133">
        <f t="shared" ref="ACK5:ACK68" si="284">POWER((0.896736818-0.180537368*LOG(ACB5)+0.047247095*ACB5^0.5)+1.644854*(0.021397984+0.028348619*LOG(ACB5)-0.005092552*ACB5^0.5),1/0.141)</f>
        <v>0.6225940694346096</v>
      </c>
      <c r="ACL5" s="133">
        <f t="shared" ref="ACL5:ACL68" si="285">POWER((0.896736818-0.180537368*LOG(ACB5)+0.047247095*ACB5^0.5)+1.959964*(0.021397984+0.028348619*LOG(ACB5)-0.005092552*ACB5^0.5),1/0.141)</f>
        <v>0.66247900566321083</v>
      </c>
      <c r="ACM5" s="133">
        <f t="shared" ref="ACM5:ACM68" si="286">POWER((0.896736818-0.180537368*LOG(ACB5)+0.047247095*ACB5^0.5)+2.326348*(0.021397984+0.028348619*LOG(ACB5)-0.005092552*ACB5^0.5),1/0.141)</f>
        <v>0.71159565266722691</v>
      </c>
      <c r="ACN5" s="81"/>
      <c r="ACO5" s="81">
        <v>6</v>
      </c>
      <c r="ACP5" s="133">
        <f t="shared" ref="ACP5:ACP68" si="287">POWER((0.634309641-0.284809327*LOG(ACO5)+0.07950734*ACO5^0.5)-2.326348*(0.066594553+0.01428763*LOG(ACO5)+0.000152332*ACO5^0.5),1/0.484)</f>
        <v>0.17134053602087598</v>
      </c>
      <c r="ACQ5" s="133">
        <f t="shared" ref="ACQ5:ACQ68" si="288">POWER((0.634309641-0.284809327*LOG(ACO5)+0.07950734*ACO5^0.5)-1.959964*(0.066594553+0.01428763*LOG(ACO5)+0.000152332*ACO5^0.5),1/0.484)</f>
        <v>0.19598044738351189</v>
      </c>
      <c r="ACR5" s="133">
        <f t="shared" ref="ACR5:ACR68" si="289">POWER((0.634309641-0.284809327*LOG(ACO5)+0.07950734*ACO5^0.5)-1.644854*(0.066594553+0.01428763*LOG(ACO5)+0.000152332*ACO5^0.5),1/0.484)</f>
        <v>0.21854062906079796</v>
      </c>
      <c r="ACS5" s="133">
        <f>POWER((0.634309641-0.284809327*LOG(ACO5)+0.07950734*ACO5^0.5)-1.281552*(0.066594553+0.01428763*LOG(ACO5)+0.000152332*ACO5^0.5),1/0.484)</f>
        <v>0.24612785957116715</v>
      </c>
      <c r="ACT5" s="133">
        <f>POWER((0.634309641-0.284809327*LOG(ACO5)+0.07950734*ACO5^0.5)-0.675*(0.066594553+0.01428763*LOG(ACO5)+0.000152332*ACO5^0.5),1/0.484)</f>
        <v>0.29596633495645353</v>
      </c>
      <c r="ACU5" s="134">
        <f>POWER((0.634309641-0.284809327*LOG(ACO5)+0.07950734*ACO5^0.5)-0*(0.066594553+0.01428763*LOG(ACO5)+0.000152332*ACO5^0.5),1/0.484)</f>
        <v>0.35701707743665095</v>
      </c>
      <c r="ACV5" s="133">
        <f>POWER((0.634309641-0.284809327*LOG(ACO5)+0.07950734*ACO5^0.5)+0.675*(0.066594553+0.01428763*LOG(ACO5)+0.000152332*ACO5^0.5),1/0.484)</f>
        <v>0.4239885861351515</v>
      </c>
      <c r="ACW5" s="133">
        <f t="shared" ref="ACW5:ACW68" si="290">POWER((0.634309641-0.284809327*LOG(ACO5)+0.07950734*ACO5^0.5)+1.281552*(0.066594553+0.01428763*LOG(ACO5)+0.000152332*ACO5^0.5),1/0.484)</f>
        <v>0.48924650664499436</v>
      </c>
      <c r="ACX5" s="133">
        <f t="shared" ref="ACX5:ACX68" si="291">POWER((0.634309641-0.284809327*LOG(ACO5)+0.07950734*ACO5^0.5)+1.644854*(0.066594553+0.01428763*LOG(ACO5)+0.000152332*ACO5^0.5),1/0.484)</f>
        <v>0.53064480635044464</v>
      </c>
      <c r="ACY5" s="133">
        <f t="shared" ref="ACY5:ACY68" si="292">POWER((0.634309641-0.284809327*LOG(ACO5)+0.07950734*ACO5^0.5)+1.959964*(0.066594553+0.01428763*LOG(ACO5)+0.000152332*ACO5^0.5),1/0.484)</f>
        <v>0.56795821659821943</v>
      </c>
      <c r="ACZ5" s="133">
        <f t="shared" ref="ACZ5:ACZ68" si="293">POWER((0.634309641-0.284809327*LOG(ACO5)+0.07950734*ACO5^0.5)+2.326348*(0.066594553+0.01428763*LOG(ACO5)+0.000152332*ACO5^0.5),1/0.484)</f>
        <v>0.61299003749886749</v>
      </c>
      <c r="ADA5" s="81"/>
      <c r="ADB5" s="81">
        <v>3</v>
      </c>
      <c r="ADC5" s="133">
        <f t="shared" ref="ADC5:ADC68" si="294">POWER((0.39286799-0.249383226*LOG(ADB5)+0.066340191*ADB5^0.5)-2.326348*(0.0430367+0.019716206*LOG(ADB5)-0.002174746*ADB5^0.5),1/0.775)</f>
        <v>0.1895273409633117</v>
      </c>
      <c r="ADD5" s="133">
        <f t="shared" ref="ADD5:ADD68" si="295">POWER((0.39286799-0.249383226*LOG(ADB5)+0.066340191*ADB5^0.5)-1.959964*(0.0430367+0.019716206*LOG(ADB5)-0.002174746*ADB5^0.5),1/0.775)</f>
        <v>0.20550214007414427</v>
      </c>
      <c r="ADE5" s="133">
        <f t="shared" ref="ADE5:ADE68" si="296">POWER((0.39286799-0.249383226*LOG(ADB5)+0.066340191*ADB5^0.5)-1.644854*(0.0430367+0.019716206*LOG(ADB5)-0.002174746*ADB5^0.5),1/0.775)</f>
        <v>0.21946940933052436</v>
      </c>
      <c r="ADF5" s="133">
        <f>POWER((0.39286799-0.249383226*LOG(ADB5)+0.066340191*ADB5^0.5)-1.281552*(0.0430367+0.019716206*LOG(ADB5)-0.002174746*ADB5^0.5),1/0.775)</f>
        <v>0.23582429698017848</v>
      </c>
      <c r="ADG5" s="133">
        <f>POWER((0.39286799-0.249383226*LOG(ADB5)+0.066340191*ADB5^0.5)-0.6755*(0.0430367+0.019716206*LOG(ADB5)-0.002174746*ADB5^0.5),1/0.775)</f>
        <v>0.26367966834605466</v>
      </c>
      <c r="ADH5" s="134">
        <f>POWER((0.39286799-0.249383226*LOG(ADB5)+0.066340191*ADB5^0.5)-0*(0.0430367+0.019716206*LOG(ADB5)-0.002174746*ADB5^0.5),1/0.775)</f>
        <v>0.29552560479870266</v>
      </c>
      <c r="ADI5" s="133">
        <f>POWER((0.39286799-0.249383226*LOG(ADB5)+0.066340191*ADB5^0.5)+0.6755*(0.0430367+0.019716206*LOG(ADB5)-0.002174746*ADB5^0.5),1/0.775)</f>
        <v>0.32816397682032034</v>
      </c>
      <c r="ADJ5" s="133">
        <f t="shared" ref="ADJ5:ADJ68" si="297">POWER((0.39286799-0.249383226*LOG(ADB5)+0.066340191*ADB5^0.5)+1.281552*(0.0430367+0.019716206*LOG(ADB5)-0.002174746*ADB5^0.5),1/0.775)</f>
        <v>0.3580845681732967</v>
      </c>
      <c r="ADK5" s="133">
        <f t="shared" ref="ADK5:ADK68" si="298">POWER((0.39286799-0.249383226*LOG(ADB5)+0.066340191*ADB5^0.5)+1.644854*(0.0430367+0.019716206*LOG(ADB5)-0.002174746*ADB5^0.5),1/0.775)</f>
        <v>0.37629741684796936</v>
      </c>
      <c r="ADL5" s="133">
        <f t="shared" ref="ADL5:ADL68" si="299">POWER((0.39286799-0.249383226*LOG(ADB5)+0.066340191*ADB5^0.5)+1.959964*(0.0430367+0.019716206*LOG(ADB5)-0.002174746*ADB5^0.5),1/0.775)</f>
        <v>0.3922569534108612</v>
      </c>
      <c r="ADM5" s="133">
        <f t="shared" ref="ADM5:ADM68" si="300">POWER((0.39286799-0.249383226*LOG(ADB5)+0.066340191*ADB5^0.5)+2.326348*(0.0430367+0.019716206*LOG(ADB5)-0.002174746*ADB5^0.5),1/0.775)</f>
        <v>0.41099859539774974</v>
      </c>
      <c r="ADN5" s="81"/>
      <c r="ADO5" s="81">
        <v>3</v>
      </c>
      <c r="ADP5" s="133">
        <f t="shared" ref="ADP5:ADP68" si="301">POWER((0.494777077-0.286339292*LOG(ADO5)+0.075102847*ADO5^0.5)-2.326348*(0.034277543+0.048480902*LOG(ADO5)-0.008952374*ADO5^0.5),1/0.608)</f>
        <v>0.21320591776848657</v>
      </c>
      <c r="ADQ5" s="133">
        <f t="shared" ref="ADQ5:ADQ68" si="302">POWER((0.494777077-0.286339292*LOG(ADO5)+0.075102847*ADO5^0.5)-1.959964*(0.034277543+0.048480902*LOG(ADO5)-0.008952374*ADO5^0.5),1/0.608)</f>
        <v>0.22715696520627662</v>
      </c>
      <c r="ADR5" s="133">
        <f t="shared" ref="ADR5:ADR68" si="303">POWER((0.494777077-0.286339292*LOG(ADO5)+0.075102847*ADO5^0.5)-1.644854*(0.034277543+0.048480902*LOG(ADO5)-0.008952374*ADO5^0.5),1/0.608)</f>
        <v>0.23943116037487489</v>
      </c>
      <c r="ADS5" s="133">
        <f>POWER((0.494777077-0.286339292*LOG(ADO5)+0.075102847*ADO5^0.5)-1.281552*(0.034277543+0.048480902*LOG(ADO5)-0.008952374*ADO5^0.5),1/0.608)</f>
        <v>0.25389483120138845</v>
      </c>
      <c r="ADT5" s="133">
        <f>POWER((0.494777077-0.286339292*LOG(ADO5)+0.075102847*ADO5^0.5)-0.6755*(0.034277543+0.048480902*LOG(ADO5)-0.008952374*ADO5^0.5),1/0.608)</f>
        <v>0.27875622809957351</v>
      </c>
      <c r="ADU5" s="134">
        <f>POWER((0.494777077-0.286339292*LOG(ADO5)+0.075102847*ADO5^0.5)-0*(0.034277543+0.048480902*LOG(ADO5)-0.008952374*ADO5^0.5),1/0.608)</f>
        <v>0.30752787406811616</v>
      </c>
      <c r="ADV5" s="133">
        <f>POWER((0.494777077-0.286339292*LOG(ADO5)+0.075102847*ADO5^0.5)+0.6755*(0.034277543+0.048480902*LOG(ADO5)-0.008952374*ADO5^0.5),1/0.608)</f>
        <v>0.33739572611270546</v>
      </c>
      <c r="ADW5" s="133">
        <f t="shared" ref="ADW5:ADW68" si="304">POWER((0.494777077-0.286339292*LOG(ADO5)+0.075102847*ADO5^0.5)+1.281552*(0.034277543+0.048480902*LOG(ADO5)-0.008952374*ADO5^0.5),1/0.608)</f>
        <v>0.36510791371696716</v>
      </c>
      <c r="ADX5" s="133">
        <f t="shared" ref="ADX5:ADX68" si="305">POWER((0.494777077-0.286339292*LOG(ADO5)+0.075102847*ADO5^0.5)+1.644854*(0.034277543+0.048480902*LOG(ADO5)-0.008952374*ADO5^0.5),1/0.608)</f>
        <v>0.38212867787404531</v>
      </c>
      <c r="ADY5" s="133">
        <f t="shared" ref="ADY5:ADY68" si="306">POWER((0.494777077-0.286339292*LOG(ADO5)+0.075102847*ADO5^0.5)+1.959964*(0.034277543+0.048480902*LOG(ADO5)-0.008952374*ADO5^0.5),1/0.608)</f>
        <v>0.397136731918587</v>
      </c>
      <c r="ADZ5" s="133">
        <f t="shared" ref="ADZ5:ADZ68" si="307">POWER((0.494777077-0.286339292*LOG(ADO5)+0.075102847*ADO5^0.5)+2.326348*(0.034277543+0.048480902*LOG(ADO5)-0.008952374*ADO5^0.5),1/0.608)</f>
        <v>0.41487051186541563</v>
      </c>
      <c r="AEA5" s="81"/>
      <c r="AEB5" s="81">
        <v>6</v>
      </c>
      <c r="AEC5" s="133">
        <f t="shared" ref="AEC5:AEC68" si="308">POWER((0.266376663-0.179934033*LOG(AEB5)+0.050334408*AEB5^0.5)-2.326348*(0.042052117+0.012920455*LOG(AEB5)-0.000834771*AEB5^0.5),1/1.04)</f>
        <v>0.14393242159166844</v>
      </c>
      <c r="AED5" s="133">
        <f t="shared" ref="AED5:AED68" si="309">POWER((0.266376663-0.179934033*LOG(AEB5)+0.050334408*AEB5^0.5)-1.959964*(0.042052117+0.012920455*LOG(AEB5)-0.000834771*AEB5^0.5),1/1.04)</f>
        <v>0.16294231913045726</v>
      </c>
      <c r="AEE5" s="133">
        <f t="shared" ref="AEE5:AEE68" si="310">POWER((0.266376663-0.179934033*LOG(AEB5)+0.050334408*AEB5^0.5)-1.644854*(0.042052117+0.012920455*LOG(AEB5)-0.000834771*AEB5^0.5),1/1.04)</f>
        <v>0.17922066245887455</v>
      </c>
      <c r="AEF5" s="133">
        <f>POWER((0.266376663-0.179934033*LOG(AEB5)+0.050334408*AEB5^0.5)-1.281552*(0.042052117+0.012920455*LOG(AEB5)-0.000834771*AEB5^0.5),1/1.04)</f>
        <v>0.19791567377941285</v>
      </c>
      <c r="AEG5" s="133">
        <f>POWER((0.266376663-0.179934033*LOG(AEB5)+0.050334408*AEB5^0.5)-0.6755*(0.042052117+0.012920455*LOG(AEB5)-0.000834771*AEB5^0.5),1/1.04)</f>
        <v>0.22894869438419346</v>
      </c>
      <c r="AEH5" s="134">
        <f>POWER((0.266376663-0.179934033*LOG(AEB5)+0.050334408*AEB5^0.5)-0*(0.042052117+0.012920455*LOG(AEB5)-0.000834771*AEB5^0.5),1/1.04)</f>
        <v>0.26334098906191022</v>
      </c>
      <c r="AEI5" s="133">
        <f>POWER((0.266376663-0.179934033*LOG(AEB5)+0.050334408*AEB5^0.5)+0.6755*(0.042052117+0.012920455*LOG(AEB5)-0.000834771*AEB5^0.5),1/1.04)</f>
        <v>0.29755401505179774</v>
      </c>
      <c r="AEJ5" s="133">
        <f t="shared" ref="AEJ5:AEJ68" si="311">POWER((0.266376663-0.179934033*LOG(AEB5)+0.050334408*AEB5^0.5)+1.281552*(0.042052117+0.012920455*LOG(AEB5)-0.000834771*AEB5^0.5),1/1.04)</f>
        <v>0.32811545202757403</v>
      </c>
      <c r="AEK5" s="133">
        <f t="shared" ref="AEK5:AEK68" si="312">POWER((0.266376663-0.179934033*LOG(AEB5)+0.050334408*AEB5^0.5)+1.644854*(0.042052117+0.012920455*LOG(AEB5)-0.000834771*AEB5^0.5),1/1.04)</f>
        <v>0.34638053697913385</v>
      </c>
      <c r="AEL5" s="133">
        <f t="shared" ref="AEL5:AEL68" si="313">POWER((0.266376663-0.179934033*LOG(AEB5)+0.050334408*AEB5^0.5)+1.959964*(0.042052117+0.012920455*LOG(AEB5)-0.000834771*AEB5^0.5),1/1.04)</f>
        <v>0.36219153384666436</v>
      </c>
      <c r="AEM5" s="133">
        <f t="shared" ref="AEM5:AEM68" si="314">POWER((0.266376663-0.179934033*LOG(AEB5)+0.050334408*AEB5^0.5)+2.326348*(0.042052117+0.012920455*LOG(AEB5)-0.000834771*AEB5^0.5),1/1.04)</f>
        <v>0.38054068380506412</v>
      </c>
      <c r="AEN5" s="81"/>
    </row>
    <row r="6" spans="1:820">
      <c r="A6" s="81"/>
      <c r="B6" s="81">
        <v>5</v>
      </c>
      <c r="C6" s="133">
        <f t="shared" si="0"/>
        <v>1.7985090655218039</v>
      </c>
      <c r="D6" s="133">
        <f t="shared" si="1"/>
        <v>2.0521176880496488</v>
      </c>
      <c r="E6" s="133">
        <f t="shared" si="2"/>
        <v>2.3046860374847142</v>
      </c>
      <c r="F6" s="133">
        <f t="shared" ref="F6:F68" si="315">POWER((0.773354184+0.088990524*LOG(B6)-0.033362978*B6^0.5)+1.281552*(0.039580158+0.040295897*LOG(B6)-0.004022959*B6^0.5),1/-0.184)</f>
        <v>2.6430125049253359</v>
      </c>
      <c r="G6" s="133">
        <f t="shared" ref="G6:G69" si="316">POWER((0.773354184+0.088990524*LOG(B6)-0.033362978*B6^0.5)+0.6755*(0.039580158+0.040295897*LOG(B6)-0.004022959*B6^0.5),1/-0.184)</f>
        <v>3.3480977026555978</v>
      </c>
      <c r="H6" s="134">
        <f t="shared" ref="H6:H69" si="317">POWER((0.773354184+0.088990524*LOG(B6)-0.033362978*B6^0.5)+0*(0.039580158+0.040295897*LOG(B6)-0.004022959*B6^0.5),1/-0.184)</f>
        <v>4.4135826942291301</v>
      </c>
      <c r="I6" s="133">
        <f t="shared" ref="I6:I69" si="318">POWER((0.773354184+0.088990524*LOG(B6)-0.033362978*B6^0.5)-0.6755*(0.039580158+0.040295897*LOG(B6)-0.004022959*B6^0.5),1/-0.184)</f>
        <v>5.9049050373580432</v>
      </c>
      <c r="J6" s="133">
        <f t="shared" si="3"/>
        <v>7.7750644931824091</v>
      </c>
      <c r="K6" s="133">
        <f t="shared" si="4"/>
        <v>9.2330622714316686</v>
      </c>
      <c r="L6" s="133">
        <f t="shared" si="5"/>
        <v>10.766008783309296</v>
      </c>
      <c r="M6" s="133">
        <f t="shared" si="6"/>
        <v>12.943921311581699</v>
      </c>
      <c r="N6" s="81"/>
      <c r="O6" s="75">
        <v>5</v>
      </c>
      <c r="P6" s="151">
        <f t="shared" si="7"/>
        <v>2.398675076837022</v>
      </c>
      <c r="Q6" s="151">
        <f t="shared" si="8"/>
        <v>2.660321408856051</v>
      </c>
      <c r="R6" s="151">
        <f t="shared" si="9"/>
        <v>2.9185299755861775</v>
      </c>
      <c r="S6" s="151">
        <f t="shared" ref="S6:S68" si="319">POWER((0.505808068+0.226937134*LOG(O6)-0.064370273*O6^0.5)+1.281552*(0.071640457-0.007414736*LOG(O6)+0.005337774*O6^0.5),1/-0.403)</f>
        <v>3.262053577288778</v>
      </c>
      <c r="T6" s="151">
        <f t="shared" ref="T6:T69" si="320">POWER((0.505808068+0.226937134*LOG(O6)-0.064370273*O6^0.5)+0.6755*(0.071640457-0.007414736*LOG(O6)+0.005337774*O6^0.5),1/-0.403)</f>
        <v>3.9743759429924879</v>
      </c>
      <c r="U6" s="134">
        <f t="shared" ref="U6:U69" si="321">POWER((0.505808068+0.226937134*LOG(O6)-0.064370273*O6^0.5)+0*(0.071640457-0.007414736*LOG(O6)+0.005337774*O6^0.5),1/-0.403)</f>
        <v>5.0545562577747853</v>
      </c>
      <c r="V6" s="151">
        <f t="shared" ref="V6:V69" si="322">POWER((0.505808068+0.226937134*LOG(O6)-0.064370273*O6^0.5)-0.6755*(0.071640457-0.007414736*LOG(O6)+0.005337774*O6^0.5),1/-0.403)</f>
        <v>6.5964450210907613</v>
      </c>
      <c r="W6" s="151">
        <f t="shared" si="10"/>
        <v>8.6058034662374396</v>
      </c>
      <c r="X6" s="151">
        <f t="shared" si="11"/>
        <v>10.243731552816357</v>
      </c>
      <c r="Y6" s="151">
        <f t="shared" si="12"/>
        <v>12.041652559751013</v>
      </c>
      <c r="Z6" s="151">
        <f t="shared" si="13"/>
        <v>14.741679228361692</v>
      </c>
      <c r="AA6" s="81"/>
      <c r="AB6" s="75">
        <v>7</v>
      </c>
      <c r="AC6" s="151">
        <f t="shared" si="14"/>
        <v>1.3744614577402123</v>
      </c>
      <c r="AD6" s="151">
        <f t="shared" si="15"/>
        <v>1.5965734136899326</v>
      </c>
      <c r="AE6" s="151">
        <f t="shared" si="16"/>
        <v>1.8236863158000656</v>
      </c>
      <c r="AF6" s="151">
        <f t="shared" ref="AF6:AF68" si="323">POWER((0.787318871+0.000048337*LOG(AB6)-0.019778508*AB6^0.5)+1.281552*(0.033225354+0.124933628*LOG(AB6)-0.02063485*AB6^0.5),1/-0.225)</f>
        <v>2.1367999317352258</v>
      </c>
      <c r="AG6" s="151">
        <f t="shared" ref="AG6:AG69" si="324">POWER((0.787318871+0.000048337*LOG(AB6)-0.019778508*AB6^0.5)+0.6755*(0.033225354+0.124933628*LOG(AB6)-0.02063485*AB6^0.5),1/-0.225)</f>
        <v>2.820431222083652</v>
      </c>
      <c r="AH6" s="134">
        <f t="shared" ref="AH6:AH69" si="325">POWER((0.787318871+0.000048337*LOG(AB6)-0.019778508*AB6^0.5)+0*(0.033225354+0.124933628*LOG(AB6)-0.02063485*AB6^0.5),1/-0.225)</f>
        <v>3.9282385591588458</v>
      </c>
      <c r="AI6" s="151">
        <f t="shared" ref="AI6:AI69" si="326">POWER((0.787318871+0.000048337*LOG(AB6)-0.019778508*AB6^0.5)-0.6755*(0.033225354+0.124933628*LOG(AB6)-0.02063485*AB6^0.5),1/-0.225)</f>
        <v>5.6192163455268931</v>
      </c>
      <c r="AJ6" s="151">
        <f t="shared" si="17"/>
        <v>7.9560602164949286</v>
      </c>
      <c r="AK6" s="151">
        <f t="shared" si="18"/>
        <v>9.9366474006774528</v>
      </c>
      <c r="AL6" s="151">
        <f t="shared" si="19"/>
        <v>12.163913341709621</v>
      </c>
      <c r="AM6" s="151">
        <f t="shared" si="20"/>
        <v>15.577308607816148</v>
      </c>
      <c r="AN6" s="81"/>
      <c r="AO6" s="81">
        <v>5</v>
      </c>
      <c r="AP6" s="133">
        <f t="shared" si="21"/>
        <v>6.0011582930685714</v>
      </c>
      <c r="AQ6" s="133">
        <f t="shared" si="22"/>
        <v>7.9161082671821061</v>
      </c>
      <c r="AR6" s="133">
        <f t="shared" si="23"/>
        <v>9.6738485165551715</v>
      </c>
      <c r="AS6" s="133">
        <f t="shared" ref="AS6:AS68" si="327">POWER((5.836498591-4.49569107*LOG(AO6)+0.955178651*AO6^0.5)-1.281552*(0.668523278-0.817930407*LOG(AO6)+0.235086956*AO6^0.5),1/0.475)-7.001</f>
        <v>11.828342761019968</v>
      </c>
      <c r="AT6" s="133">
        <f t="shared" ref="AT6:AT69" si="328">POWER((5.836498591-4.49569107*LOG(AO6)+0.955178651*AO6^0.5)-0.6755*(0.668523278-0.817930407*LOG(AO6)+0.235086956*AO6^0.5),1/0.475)-7.001</f>
        <v>15.729522043270755</v>
      </c>
      <c r="AU6" s="134">
        <f t="shared" ref="AU6:AU69" si="329">POWER((5.836498591-4.49569107*LOG(AO6)+0.955178651*AO6^0.5)-0*(0.668523278-0.817930407*LOG(AO6)+0.235086956*AO6^0.5),1/0.475)-7.001</f>
        <v>20.534106554352377</v>
      </c>
      <c r="AV6" s="133">
        <f t="shared" ref="AV6:AV69" si="330">POWER((5.836498591-4.49569107*LOG(AO6)+0.955178651*AO6^0.5)+0.6755*(0.668523278-0.817930407*LOG(AO6)+0.235086956*AO6^0.5),1/0.475)-7.001</f>
        <v>25.824257727423156</v>
      </c>
      <c r="AW6" s="133">
        <f t="shared" si="24"/>
        <v>30.987313384821409</v>
      </c>
      <c r="AX6" s="133">
        <f t="shared" si="25"/>
        <v>34.272586355800193</v>
      </c>
      <c r="AY6" s="133">
        <f t="shared" si="26"/>
        <v>37.23812096524837</v>
      </c>
      <c r="AZ6" s="133">
        <f t="shared" si="27"/>
        <v>40.822271508854882</v>
      </c>
      <c r="BA6" s="81"/>
      <c r="BB6" s="81">
        <v>5</v>
      </c>
      <c r="BC6" s="133">
        <f t="shared" si="28"/>
        <v>8.1569996846535417</v>
      </c>
      <c r="BD6" s="133">
        <f t="shared" si="29"/>
        <v>10.20137506253014</v>
      </c>
      <c r="BE6" s="133">
        <f t="shared" si="30"/>
        <v>12.04423644726959</v>
      </c>
      <c r="BF6" s="133">
        <f t="shared" ref="BF6:BF68" si="331">POWER((9.129564718-8.28652525*LOG(BB6)+1.792855923*BB6^0.5)-1.281552*(1.324763978-2.174364147*LOG(BB6)+0.551355577*BB6^0.5),1/0.587)-7.001</f>
        <v>14.26413988376402</v>
      </c>
      <c r="BG6" s="133">
        <f t="shared" ref="BG6:BG69" si="332">POWER((9.129564718-8.28652525*LOG(BB6)+1.792855923*BB6^0.5)-0.6755*(1.324763978-2.174364147*LOG(BB6)+0.551355577*BB6^0.5),1/0.587)-7.001</f>
        <v>18.189240675028341</v>
      </c>
      <c r="BH6" s="134">
        <f t="shared" ref="BH6:BH69" si="333">POWER((9.129564718-8.28652525*LOG(BB6)+1.792855923*BB6^0.5)-0*(1.324763978-2.174364147*LOG(BB6)+0.551355577*BB6^0.5),1/0.587)-7.001</f>
        <v>22.882619999340712</v>
      </c>
      <c r="BI6" s="133">
        <f t="shared" ref="BI6:BI69" si="334">POWER((9.129564718-8.28652525*LOG(BB6)+1.792855923*BB6^0.5)+0.6755*(1.324763978-2.174364147*LOG(BB6)+0.551355577*BB6^0.5),1/0.587)-7.001</f>
        <v>27.902262331554592</v>
      </c>
      <c r="BJ6" s="133">
        <f t="shared" si="31"/>
        <v>32.676328023287226</v>
      </c>
      <c r="BK6" s="133">
        <f t="shared" si="32"/>
        <v>35.658342647470285</v>
      </c>
      <c r="BL6" s="133">
        <f t="shared" si="33"/>
        <v>38.316651472008076</v>
      </c>
      <c r="BM6" s="133">
        <f t="shared" si="34"/>
        <v>41.49047467362827</v>
      </c>
      <c r="BN6" s="81"/>
      <c r="BO6" s="75">
        <v>7</v>
      </c>
      <c r="BP6" s="151">
        <f t="shared" si="35"/>
        <v>4.7946729666073375</v>
      </c>
      <c r="BQ6" s="151">
        <f t="shared" si="36"/>
        <v>5.782206506917567</v>
      </c>
      <c r="BR6" s="151">
        <f t="shared" si="37"/>
        <v>6.7652936617176209</v>
      </c>
      <c r="BS6" s="151">
        <f t="shared" ref="BS6:BS68" si="335">POWER((1.701585669-0.715178046*LOG(BO6)+0.147015501*BO6^0.5)-1.281552*(0.063416169+0.043129977*LOG(BO6)-0.00118163*BO6^0.5),1/0.148)</f>
        <v>8.0721855154186262</v>
      </c>
      <c r="BT6" s="151">
        <f t="shared" ref="BT6:BT69" si="336">POWER((1.701585669-0.715178046*LOG(BO6)+0.147015501*BO6^0.5)-0.6755*(0.063416169+0.043129977*LOG(BO6)-0.00118163*BO6^0.5),1/0.148)</f>
        <v>10.731179738570896</v>
      </c>
      <c r="BU6" s="134">
        <f t="shared" ref="BU6:BU69" si="337">POWER((1.701585669-0.715178046*LOG(BO6)+0.147015501*BO6^0.5)-0*(0.063416169+0.043129977*LOG(BO6)-0.00118163*BO6^0.5),1/0.148)</f>
        <v>14.541137954970043</v>
      </c>
      <c r="BV6" s="151">
        <f t="shared" ref="BV6:BV69" si="338">POWER((1.701585669-0.715178046*LOG(BO6)+0.147015501*BO6^0.5)+0.6755*(0.063416169+0.043129977*LOG(BO6)-0.00118163*BO6^0.5),1/0.148)</f>
        <v>19.44779578059379</v>
      </c>
      <c r="BW6" s="151">
        <f t="shared" si="38"/>
        <v>24.986974351033965</v>
      </c>
      <c r="BX6" s="151">
        <f t="shared" si="39"/>
        <v>28.911873749983787</v>
      </c>
      <c r="BY6" s="151">
        <f t="shared" si="40"/>
        <v>32.730085389065145</v>
      </c>
      <c r="BZ6" s="151">
        <f t="shared" si="41"/>
        <v>37.702060967614393</v>
      </c>
      <c r="CA6" s="81"/>
      <c r="CB6" s="81">
        <v>5</v>
      </c>
      <c r="CC6" s="133">
        <f t="shared" si="42"/>
        <v>11.599501690362501</v>
      </c>
      <c r="CD6" s="133">
        <f t="shared" si="43"/>
        <v>14.565924261975759</v>
      </c>
      <c r="CE6" s="133">
        <f t="shared" si="44"/>
        <v>17.216607753962162</v>
      </c>
      <c r="CF6" s="133">
        <f t="shared" ref="CF6:CF68" si="339">POWER((21.898574356-26.903936553*LOG(CB6)+4.665112065*CB6^0.5)-1.281552*(1.88745203+0.51223873*LOG(CB6)+0.068486778*CB6^0.5),1/0.709)-7.001</f>
        <v>20.380799431897998</v>
      </c>
      <c r="CG6" s="133">
        <f t="shared" ref="CG6:CG69" si="340">POWER((21.898574356-26.903936553*LOG(CB6)+4.665112065*CB6^0.5)-0.6755*(1.88745203+0.51223873*LOG(CB6)+0.068486778*CB6^0.5),1/0.709)-7.001</f>
        <v>25.902076472547432</v>
      </c>
      <c r="CH6" s="134">
        <f t="shared" ref="CH6:CH69" si="341">POWER((21.898574356-26.903936553*LOG(CB6)+4.665112065*CB6^0.5)-0*(1.88745203+0.51223873*LOG(CB6)+0.068486778*CB6^0.5),1/0.709)-7.001</f>
        <v>32.390255544687861</v>
      </c>
      <c r="CI6" s="133">
        <f t="shared" ref="CI6:CI69" si="342">POWER((21.898574356-26.903936553*LOG(CB6)+4.665112065*CB6^0.5)+0.6755*(1.88745203+0.51223873*LOG(CB6)+0.068486778*CB6^0.5),1/0.709)-7.001</f>
        <v>39.206069574778304</v>
      </c>
      <c r="CJ6" s="133">
        <f t="shared" si="45"/>
        <v>45.582481968838231</v>
      </c>
      <c r="CK6" s="133">
        <f t="shared" si="46"/>
        <v>49.517616675611329</v>
      </c>
      <c r="CL6" s="133">
        <f t="shared" si="47"/>
        <v>52.996776119104574</v>
      </c>
      <c r="CM6" s="133">
        <f t="shared" si="48"/>
        <v>57.117068324101673</v>
      </c>
      <c r="CN6" s="81"/>
      <c r="CO6" s="81">
        <v>5</v>
      </c>
      <c r="CP6" s="133">
        <f t="shared" si="49"/>
        <v>13.937989120540479</v>
      </c>
      <c r="CQ6" s="133">
        <f t="shared" si="50"/>
        <v>16.926640200028469</v>
      </c>
      <c r="CR6" s="133">
        <f t="shared" si="51"/>
        <v>19.595754988806366</v>
      </c>
      <c r="CS6" s="133">
        <f t="shared" ref="CS6:CS68" si="343">POWER((20.182143031-22.173706696*LOG(CO6)+3.844054992*CO6^0.5)-1.281552*(2.292087929-0.758787886*LOG(CO6)+0.216995794*CO6^0.5),1/0.697)-6.001</f>
        <v>22.781056308240647</v>
      </c>
      <c r="CT6" s="133">
        <f t="shared" ref="CT6:CT69" si="344">POWER((20.182143031-22.173706696*LOG(CO6)+3.844054992*CO6^0.5)-0.6755*(2.292087929-0.758787886*LOG(CO6)+0.216995794*CO6^0.5),1/0.697)-6.001</f>
        <v>28.338660785665009</v>
      </c>
      <c r="CU6" s="134">
        <f t="shared" ref="CU6:CU69" si="345">POWER((20.182143031-22.173706696*LOG(CO6)+3.844054992*CO6^0.5)-0*(2.292087929-0.758787886*LOG(CO6)+0.216995794*CO6^0.5),1/0.697)-6.001</f>
        <v>34.871009228258139</v>
      </c>
      <c r="CV6" s="133">
        <f t="shared" ref="CV6:CV69" si="346">POWER((20.182143031-22.173706696*LOG(CO6)+3.844054992*CO6^0.5)+0.6755*(2.292087929-0.758787886*LOG(CO6)+0.216995794*CO6^0.5),1/0.697)-6.001</f>
        <v>41.736727982235621</v>
      </c>
      <c r="CW6" s="133">
        <f t="shared" si="52"/>
        <v>48.163930142276804</v>
      </c>
      <c r="CX6" s="133">
        <f t="shared" si="53"/>
        <v>52.132564480324838</v>
      </c>
      <c r="CY6" s="133">
        <f t="shared" si="54"/>
        <v>55.642756205822671</v>
      </c>
      <c r="CZ6" s="133">
        <f t="shared" si="55"/>
        <v>59.801535784559768</v>
      </c>
      <c r="DA6" s="81"/>
      <c r="DB6" s="81">
        <v>7</v>
      </c>
      <c r="DC6" s="133">
        <f t="shared" si="56"/>
        <v>3.363322841735223</v>
      </c>
      <c r="DD6" s="133">
        <f t="shared" si="57"/>
        <v>5.6448669472945641</v>
      </c>
      <c r="DE6" s="133">
        <f t="shared" si="58"/>
        <v>7.7466927277330173</v>
      </c>
      <c r="DF6" s="133">
        <f t="shared" ref="DF6:DF68" si="347">POWER((15.057371662-19.456694991*LOG(DB6)+3.368955099*DB6^0.5)-1.281552*(1.038994015+0.341963836*LOG(DB6)+0.047821163*DB6^0.5),1/0.608)-7.001</f>
        <v>10.324369551574257</v>
      </c>
      <c r="DG6" s="133">
        <f t="shared" ref="DG6:DG69" si="348">POWER((15.057371662-19.456694991*LOG(DB6)+3.368955099*DB6^0.5)-0.6755*(1.038994015+0.341963836*LOG(DB6)+0.047821163*DB6^0.5),1/0.608)-7.001</f>
        <v>14.977906332684285</v>
      </c>
      <c r="DH6" s="134">
        <f t="shared" ref="DH6:DH69" si="349">POWER((15.057371662-19.456694991*LOG(DB6)+3.368955099*DB6^0.5)-0*(1.038994015+0.341963836*LOG(DB6)+0.047821163*DB6^0.5),1/0.608)-7.001</f>
        <v>20.662352372751368</v>
      </c>
      <c r="DI6" s="133">
        <f t="shared" ref="DI6:DI69" si="350">POWER((15.057371662-19.456694991*LOG(DB6)+3.368955099*DB6^0.5)+0.6755*(1.038994015+0.341963836*LOG(DB6)+0.047821163*DB6^0.5),1/0.608)-7.001</f>
        <v>26.846844000022212</v>
      </c>
      <c r="DJ6" s="133">
        <f t="shared" si="59"/>
        <v>32.803427777769684</v>
      </c>
      <c r="DK6" s="133">
        <f t="shared" si="60"/>
        <v>36.553242868547215</v>
      </c>
      <c r="DL6" s="133">
        <f t="shared" si="61"/>
        <v>39.911867140468388</v>
      </c>
      <c r="DM6" s="133">
        <f t="shared" si="62"/>
        <v>43.938884851288371</v>
      </c>
      <c r="DN6" s="81"/>
      <c r="DO6" s="81">
        <v>5</v>
      </c>
      <c r="DP6" s="133">
        <v>9.9076853626108257</v>
      </c>
      <c r="DQ6" s="133">
        <v>10.574767053628166</v>
      </c>
      <c r="DR6" s="133">
        <v>11.18430840354049</v>
      </c>
      <c r="DS6" s="133">
        <v>11.930803445528635</v>
      </c>
      <c r="DT6" s="133">
        <v>13.288613294760669</v>
      </c>
      <c r="DU6" s="134">
        <v>14.984892418332665</v>
      </c>
      <c r="DV6" s="133">
        <v>16.897699993838817</v>
      </c>
      <c r="DW6" s="133">
        <v>18.820777813849432</v>
      </c>
      <c r="DX6" s="133">
        <v>20.076967898875303</v>
      </c>
      <c r="DY6" s="133">
        <v>21.234226687949818</v>
      </c>
      <c r="DZ6" s="133">
        <v>22.663921246065101</v>
      </c>
      <c r="EA6" s="81"/>
      <c r="EB6" s="81">
        <v>5</v>
      </c>
      <c r="EC6" s="133">
        <v>9.7099349820609753</v>
      </c>
      <c r="ED6" s="133">
        <v>10.399482752342827</v>
      </c>
      <c r="EE6" s="133">
        <v>11.031572019496171</v>
      </c>
      <c r="EF6" s="133">
        <v>11.808158784366242</v>
      </c>
      <c r="EG6" s="133">
        <v>13.22720557765796</v>
      </c>
      <c r="EH6" s="134">
        <v>15.010727347709446</v>
      </c>
      <c r="EI6" s="133">
        <v>17.034734523810759</v>
      </c>
      <c r="EJ6" s="133">
        <v>19.081885637038841</v>
      </c>
      <c r="EK6" s="133">
        <v>20.425188278611547</v>
      </c>
      <c r="EL6" s="133">
        <v>21.666648320226404</v>
      </c>
      <c r="EM6" s="133">
        <v>23.205298070847302</v>
      </c>
      <c r="EN6" s="81"/>
      <c r="EO6" s="81">
        <v>7</v>
      </c>
      <c r="EP6" s="133">
        <v>11.295034959938404</v>
      </c>
      <c r="EQ6" s="133">
        <v>12.289563655990582</v>
      </c>
      <c r="ER6" s="133">
        <v>13.214674804610244</v>
      </c>
      <c r="ES6" s="133">
        <v>14.368025032334812</v>
      </c>
      <c r="ET6" s="133">
        <v>16.520364222973082</v>
      </c>
      <c r="EU6" s="134">
        <v>19.301406046890989</v>
      </c>
      <c r="EV6" s="133">
        <v>22.550609076094297</v>
      </c>
      <c r="EW6" s="133">
        <v>25.928704505216302</v>
      </c>
      <c r="EX6" s="133">
        <v>28.191709663335008</v>
      </c>
      <c r="EY6" s="133">
        <v>30.313873284293731</v>
      </c>
      <c r="EZ6" s="133">
        <v>32.983012156076754</v>
      </c>
      <c r="FA6" s="81"/>
      <c r="FB6" s="81">
        <v>5</v>
      </c>
      <c r="FC6" s="133">
        <v>4.9135088257377255</v>
      </c>
      <c r="FD6" s="133">
        <v>5.3043834799632954</v>
      </c>
      <c r="FE6" s="133">
        <v>5.6653381348477367</v>
      </c>
      <c r="FF6" s="133">
        <v>6.1120847785394918</v>
      </c>
      <c r="FG6" s="133">
        <v>6.9371067050256547</v>
      </c>
      <c r="FH6" s="134">
        <v>7.98856210008723</v>
      </c>
      <c r="FI6" s="133">
        <v>9.1993863062128174</v>
      </c>
      <c r="FJ6" s="133">
        <v>10.441138619513628</v>
      </c>
      <c r="FK6" s="133">
        <v>11.264486409806377</v>
      </c>
      <c r="FL6" s="133">
        <v>12.031016359961912</v>
      </c>
      <c r="FM6" s="133">
        <v>12.988096020641313</v>
      </c>
      <c r="FN6" s="81"/>
      <c r="FO6" s="81">
        <v>5</v>
      </c>
      <c r="FP6" s="133">
        <v>4.9729662937896437</v>
      </c>
      <c r="FQ6" s="133">
        <v>5.385035422715057</v>
      </c>
      <c r="FR6" s="133">
        <v>5.7666454558565423</v>
      </c>
      <c r="FS6" s="133">
        <v>6.2403000670629893</v>
      </c>
      <c r="FT6" s="133">
        <v>7.1185949879641992</v>
      </c>
      <c r="FU6" s="134">
        <v>8.2439701146379551</v>
      </c>
      <c r="FV6" s="133">
        <v>9.5472552330835772</v>
      </c>
      <c r="FW6" s="133">
        <v>10.89098961919481</v>
      </c>
      <c r="FX6" s="133">
        <v>11.785542178949322</v>
      </c>
      <c r="FY6" s="133">
        <v>12.620723526601749</v>
      </c>
      <c r="FZ6" s="133">
        <v>13.666499878737882</v>
      </c>
      <c r="GA6" s="81"/>
      <c r="GB6" s="81">
        <v>7</v>
      </c>
      <c r="GC6" s="133">
        <v>5.6161240859523929</v>
      </c>
      <c r="GD6" s="133">
        <v>6.1745014944851793</v>
      </c>
      <c r="GE6" s="133">
        <v>6.6989416780156859</v>
      </c>
      <c r="GF6" s="133">
        <v>7.3591070902746374</v>
      </c>
      <c r="GG6" s="133">
        <v>8.6083181996161677</v>
      </c>
      <c r="GH6" s="134">
        <v>10.252135935049587</v>
      </c>
      <c r="GI6" s="133">
        <v>12.209852005171184</v>
      </c>
      <c r="GJ6" s="133">
        <v>14.282478830840409</v>
      </c>
      <c r="GK6" s="133">
        <v>15.689984520341268</v>
      </c>
      <c r="GL6" s="133">
        <v>17.022635969010917</v>
      </c>
      <c r="GM6" s="133">
        <v>18.715094186333481</v>
      </c>
      <c r="GN6" s="81"/>
      <c r="GO6" s="81">
        <v>5</v>
      </c>
      <c r="GP6" s="133">
        <f t="shared" si="63"/>
        <v>0.29581298458371746</v>
      </c>
      <c r="GQ6" s="133">
        <f t="shared" si="64"/>
        <v>0.34705609504445961</v>
      </c>
      <c r="GR6" s="133">
        <f t="shared" si="65"/>
        <v>0.38543538633878438</v>
      </c>
      <c r="GS6" s="133">
        <f t="shared" ref="GS6:GS68" si="351">POWER((0.233620187-0.086725664*LOG(GO6)+0.04901957*GO6^0.5)-1.281552*(0.086429948-0.007000796*LOG(GO6)+0.002228381*GO6^0.5),1/2.06)</f>
        <v>0.42517763791702728</v>
      </c>
      <c r="GT6" s="133">
        <f t="shared" ref="GT6:GT69" si="352">POWER((0.233620187-0.086725664*LOG(GO6)+0.04901957*GO6^0.5)-0.6577*(0.086429948-0.007000796*LOG(GO6)+0.002228381*GO6^0.5),1/2.06)</f>
        <v>0.48549930090778654</v>
      </c>
      <c r="GU6" s="134">
        <f t="shared" ref="GU6:GU69" si="353">POWER((0.233620187-0.086725664*LOG(GO6)+0.04901957*GO6^0.5)-0*(0.086429948-0.007000796*LOG(GO6)+0.002228381*GO6^0.5),1/2.06)</f>
        <v>0.54148713969933526</v>
      </c>
      <c r="GV6" s="133">
        <f t="shared" ref="GV6:GV69" si="354">POWER((0.233620187-0.086725664*LOG(GO6)+0.04901957*GO6^0.5)+0.6577*(0.086429948-0.007000796*LOG(GO6)+0.002228381*GO6^0.5),1/2.06)</f>
        <v>0.5919193528616582</v>
      </c>
      <c r="GW6" s="133">
        <f t="shared" si="66"/>
        <v>0.6358677812466339</v>
      </c>
      <c r="GX6" s="133">
        <f t="shared" si="67"/>
        <v>0.66003777692470877</v>
      </c>
      <c r="GY6" s="133">
        <f t="shared" si="68"/>
        <v>0.68026627992642885</v>
      </c>
      <c r="GZ6" s="133">
        <f t="shared" si="69"/>
        <v>0.70301249278594802</v>
      </c>
      <c r="HA6" s="81"/>
      <c r="HB6" s="81">
        <v>5</v>
      </c>
      <c r="HC6" s="133">
        <f t="shared" si="70"/>
        <v>0.33269183561433319</v>
      </c>
      <c r="HD6" s="133">
        <f t="shared" si="71"/>
        <v>0.37472708448177589</v>
      </c>
      <c r="HE6" s="133">
        <f t="shared" si="72"/>
        <v>0.40730008323080841</v>
      </c>
      <c r="HF6" s="133">
        <f t="shared" ref="HF6:HF68" si="355">POWER((0.260159768-0.151356012*LOG(HB6)+0.060955623*HB6^0.5)-1.281552*(0.063209008+0.037954229*LOG(HB6)-0.004615882*HB6^0.5),1/2.04)</f>
        <v>0.44177554482729298</v>
      </c>
      <c r="HG6" s="133">
        <f t="shared" ref="HG6:HG69" si="356">POWER((0.260159768-0.151356012*LOG(HB6)+0.060955623*HB6^0.5)-0.6755*(0.063209008+0.037954229*LOG(HB6)-0.004615882*HB6^0.5),1/2.04)</f>
        <v>0.4937685873022617</v>
      </c>
      <c r="HH6" s="134">
        <f t="shared" ref="HH6:HH69" si="357">POWER((0.260159768-0.151356012*LOG(HB6)+0.060955623*HB6^0.5)-0*(0.063209008+0.037954229*LOG(HB6)-0.004615882*HB6^0.5),1/2.04)</f>
        <v>0.5457062941985853</v>
      </c>
      <c r="HI6" s="133">
        <f t="shared" ref="HI6:HI69" si="358">POWER((0.260159768-0.151356012*LOG(HB6)+0.060955623*HB6^0.5)+0.6755*(0.063209008+0.037954229*LOG(HB6)-0.004615882*HB6^0.5),1/2.04)</f>
        <v>0.59294784680509816</v>
      </c>
      <c r="HJ6" s="133">
        <f t="shared" si="73"/>
        <v>0.63222438996044128</v>
      </c>
      <c r="HK6" s="133">
        <f t="shared" si="74"/>
        <v>0.65459713761071348</v>
      </c>
      <c r="HL6" s="133">
        <f t="shared" si="75"/>
        <v>0.67337714796339454</v>
      </c>
      <c r="HM6" s="133">
        <f t="shared" si="76"/>
        <v>0.69455011632650587</v>
      </c>
      <c r="HN6" s="81"/>
      <c r="HO6" s="81">
        <v>7</v>
      </c>
      <c r="HP6" s="83">
        <f t="shared" si="77"/>
        <v>0.29239585545485264</v>
      </c>
      <c r="HQ6" s="83">
        <f t="shared" si="78"/>
        <v>0.3467489642302638</v>
      </c>
      <c r="HR6" s="83">
        <f t="shared" si="79"/>
        <v>0.38702234734929641</v>
      </c>
      <c r="HS6" s="83">
        <f t="shared" ref="HS6:HS68" si="359">POWER((0.207481579-0.01891618*LOG(HO6)+0.03605933*HO6^0.5)-1.281552*(0.110751963-0.054950947*LOG(HO6)+0.009715719*HO6^0.5),1/2.08)</f>
        <v>0.42845178127615496</v>
      </c>
      <c r="HT6" s="83">
        <f t="shared" ref="HT6:HT69" si="360">POWER((0.207481579-0.01891618*LOG(HO6)+0.03605933*HO6^0.5)-0.6755*(0.110751963-0.054950947*LOG(HO6)+0.009715719*HO6^0.5),1/2.08)</f>
        <v>0.4892832190484262</v>
      </c>
      <c r="HU6" s="84">
        <f t="shared" ref="HU6:HU69" si="361">POWER((0.207481579-0.01891618*LOG(HO6)+0.03605933*HO6^0.5)-0*(0.110751963-0.054950947*LOG(HO6)+0.009715719*HO6^0.5),1/2.08)</f>
        <v>0.54864726844286638</v>
      </c>
      <c r="HV6" s="83">
        <f t="shared" ref="HV6:HV69" si="362">POWER((0.207481579-0.01891618*LOG(HO6)+0.03605933*HO6^0.5)+0.6755*(0.110751963-0.054950947*LOG(HO6)+0.009715719*HO6^0.5),1/2.08)</f>
        <v>0.60176861970665108</v>
      </c>
      <c r="HW6" s="83">
        <f t="shared" si="80"/>
        <v>0.64544692113551405</v>
      </c>
      <c r="HX6" s="83">
        <f t="shared" si="81"/>
        <v>0.67016350513052914</v>
      </c>
      <c r="HY6" s="83">
        <f t="shared" si="82"/>
        <v>0.69083045601883752</v>
      </c>
      <c r="HZ6" s="83">
        <f t="shared" si="83"/>
        <v>0.71405057478625356</v>
      </c>
      <c r="IA6" s="81"/>
      <c r="IB6" s="81">
        <v>5</v>
      </c>
      <c r="IC6" s="83">
        <f t="shared" si="84"/>
        <v>0.22342488763670912</v>
      </c>
      <c r="ID6" s="83">
        <f t="shared" si="85"/>
        <v>0.25659411611786875</v>
      </c>
      <c r="IE6" s="83">
        <f t="shared" si="86"/>
        <v>0.27816230478276527</v>
      </c>
      <c r="IF6" s="83">
        <f t="shared" ref="IF6:IF68" si="363">POWER((0.018347209-0.007282911*LOG(IB6)+0.004299644*IB6^0.5)-1.281552*(0.007950591-0.000478586*LOG(IB6)+0.000131249*IB6^0.5),1/3.61)</f>
        <v>0.29858217819483945</v>
      </c>
      <c r="IG6" s="83">
        <f t="shared" ref="IG6:IG69" si="364">POWER((0.018347209-0.007282911*LOG(IB6)+0.004299644*IB6^0.5)-0.6755*(0.007950591-0.000478586*LOG(IB6)+0.000131249*IB6^0.5),1/3.61)</f>
        <v>0.32621183321130859</v>
      </c>
      <c r="IH6" s="84">
        <f t="shared" ref="IH6:IH69" si="365">POWER((0.018347209-0.007282911*LOG(IB6)+0.004299644*IB6^0.5)-0*(0.007950591-0.000478586*LOG(IB6)+0.000131249*IB6^0.5),1/3.61)</f>
        <v>0.35116254629068488</v>
      </c>
      <c r="II6" s="83">
        <f t="shared" ref="II6:II69" si="366">POWER((0.018347209-0.007282911*LOG(IB6)+0.004299644*IB6^0.5)+0.6755*(0.007950591-0.000478586*LOG(IB6)+0.000131249*IB6^0.5),1/3.61)</f>
        <v>0.37219051004123505</v>
      </c>
      <c r="IJ6" s="83">
        <f t="shared" si="87"/>
        <v>0.38872574009278121</v>
      </c>
      <c r="IK6" s="83">
        <f t="shared" si="88"/>
        <v>0.39781905158771813</v>
      </c>
      <c r="IL6" s="83">
        <f t="shared" si="89"/>
        <v>0.40528885464261044</v>
      </c>
      <c r="IM6" s="83">
        <f t="shared" si="90"/>
        <v>0.41354537776616229</v>
      </c>
      <c r="IN6" s="81"/>
      <c r="IO6" s="81">
        <v>5</v>
      </c>
      <c r="IP6" s="133">
        <f t="shared" si="91"/>
        <v>0.24785246486043455</v>
      </c>
      <c r="IQ6" s="133">
        <f t="shared" si="92"/>
        <v>0.27226547182543082</v>
      </c>
      <c r="IR6" s="133">
        <f t="shared" si="93"/>
        <v>0.28950517964903971</v>
      </c>
      <c r="IS6" s="133">
        <f t="shared" ref="IS6:IS68" si="367">POWER((0.021322342-0.013400605*LOG(IO6)+0.005506749*IO6^0.5)-1.281552*(0.006004732+0.003720707*LOG(IO6)-0.000504609*IO6^0.5),1/3.57)</f>
        <v>0.3065741146939932</v>
      </c>
      <c r="IT6" s="133">
        <f t="shared" ref="IT6:IT69" si="368">POWER((0.021322342-0.013400605*LOG(IO6)+0.005506749*IO6^0.5)-0.6755*(0.006004732+0.003720707*LOG(IO6)-0.000504609*IO6^0.5),1/3.57)</f>
        <v>0.33055882034334877</v>
      </c>
      <c r="IU6" s="134">
        <f t="shared" ref="IU6:IU69" si="369">POWER((0.021322342-0.013400605*LOG(IO6)+0.005506749*IO6^0.5)-0*(0.006004732+0.003720707*LOG(IO6)-0.000504609*IO6^0.5),1/3.57)</f>
        <v>0.35288606863704386</v>
      </c>
      <c r="IV6" s="133">
        <f t="shared" ref="IV6:IV69" si="370">POWER((0.021322342-0.013400605*LOG(IO6)+0.005506749*IO6^0.5)+0.6755*(0.006004732+0.003720707*LOG(IO6)-0.000504609*IO6^0.5),1/3.57)</f>
        <v>0.37207792175625048</v>
      </c>
      <c r="IW6" s="133">
        <f t="shared" si="94"/>
        <v>0.38736178881870093</v>
      </c>
      <c r="IX6" s="133">
        <f t="shared" si="95"/>
        <v>0.39582829878685144</v>
      </c>
      <c r="IY6" s="133">
        <f t="shared" si="96"/>
        <v>0.40281233007316558</v>
      </c>
      <c r="IZ6" s="133">
        <f t="shared" si="97"/>
        <v>0.410560079586612</v>
      </c>
      <c r="JA6" s="81"/>
      <c r="JB6" s="81">
        <v>7</v>
      </c>
      <c r="JC6" s="133">
        <f t="shared" si="98"/>
        <v>0.2212398165861203</v>
      </c>
      <c r="JD6" s="133">
        <f t="shared" si="99"/>
        <v>0.2566917265443906</v>
      </c>
      <c r="JE6" s="133">
        <f t="shared" si="100"/>
        <v>0.27925907112166481</v>
      </c>
      <c r="JF6" s="133">
        <f t="shared" ref="JF6:JF68" si="371">POWER((0.015562404-0.001236024*LOG(JB6)+0.003069913*JB6^0.5)-1.281552*(0.009868481-0.004683869*LOG(JB6)+0.000784556*JB6^0.5),1/3.65)</f>
        <v>0.3004033480871412</v>
      </c>
      <c r="JG6" s="133">
        <f t="shared" ref="JG6:JG69" si="372">POWER((0.015562404-0.001236024*LOG(JB6)+0.003069913*JB6^0.5)-0.6755*(0.009868481-0.004683869*LOG(JB6)+0.000784556*JB6^0.5),1/3.65)</f>
        <v>0.32877452287245679</v>
      </c>
      <c r="JH6" s="134">
        <f t="shared" ref="JH6:JH69" si="373">POWER((0.015562404-0.001236024*LOG(JB6)+0.003069913*JB6^0.5)-0*(0.009868481-0.004683869*LOG(JB6)+0.000784556*JB6^0.5),1/3.65)</f>
        <v>0.3542269287365038</v>
      </c>
      <c r="JI6" s="133">
        <f t="shared" ref="JI6:JI69" si="374">POWER((0.015562404-0.001236024*LOG(JB6)+0.003069913*JB6^0.5)+0.6755*(0.009868481-0.004683869*LOG(JB6)+0.000784556*JB6^0.5),1/3.65)</f>
        <v>0.3755869785465652</v>
      </c>
      <c r="JJ6" s="133">
        <f t="shared" si="101"/>
        <v>0.39233739178832694</v>
      </c>
      <c r="JK6" s="133">
        <f t="shared" si="102"/>
        <v>0.40153440706463278</v>
      </c>
      <c r="JL6" s="133">
        <f t="shared" si="103"/>
        <v>0.40908243386814208</v>
      </c>
      <c r="JM6" s="133">
        <f t="shared" si="104"/>
        <v>0.41741865639542558</v>
      </c>
      <c r="JN6" s="81"/>
      <c r="JO6" s="81">
        <v>4</v>
      </c>
      <c r="JP6" s="133">
        <f t="shared" si="105"/>
        <v>-0.57153130469013291</v>
      </c>
      <c r="JQ6" s="133">
        <f t="shared" si="106"/>
        <v>0.14366631233370342</v>
      </c>
      <c r="JR6" s="133">
        <f t="shared" si="107"/>
        <v>0.76220473765869556</v>
      </c>
      <c r="JS6" s="133">
        <f t="shared" ref="JS6:JS68" si="375">POWER((16.097260769-14.149592527*LOG(JO6)+3.314143516*JO6^0.5)-1.281552*(0.064536512+2.84968079*LOG(JO6)-0.41863164*JO6^0.5),1/0.824)-21.001</f>
        <v>1.4791967168270546</v>
      </c>
      <c r="JT6" s="133">
        <f t="shared" ref="JT6:JT69" si="376">POWER((16.097260769-14.149592527*LOG(JO6)+3.314143516*JO6^0.5)-0.6755*(0.064536512+2.84968079*LOG(JO6)-0.41863164*JO6^0.5),1/0.824)-21.001</f>
        <v>2.6842342061199709</v>
      </c>
      <c r="JU6" s="134">
        <f t="shared" ref="JU6:JU69" si="377">POWER((16.097260769-14.149592527*LOG(JO6)+3.314143516*JO6^0.5)-0*(0.064536512+2.84968079*LOG(JO6)-0.41863164*JO6^0.5),1/0.824)-21.001</f>
        <v>4.0401770836180972</v>
      </c>
      <c r="JV6" s="133">
        <f t="shared" ref="JV6:JV69" si="378">POWER((16.097260769-14.149592527*LOG(JO6)+3.314143516*JO6^0.5)+0.6755*(0.064536512+2.84968079*LOG(JO6)-0.41863164*JO6^0.5),1/0.824)-21.001</f>
        <v>5.4091715125908486</v>
      </c>
      <c r="JW6" s="133">
        <f t="shared" si="108"/>
        <v>6.6481631250647482</v>
      </c>
      <c r="JX6" s="133">
        <f t="shared" si="109"/>
        <v>7.3956262912558621</v>
      </c>
      <c r="JY6" s="133">
        <f t="shared" si="110"/>
        <v>8.0467581435416129</v>
      </c>
      <c r="JZ6" s="133">
        <f t="shared" si="111"/>
        <v>8.8070810369524928</v>
      </c>
      <c r="KA6" s="81"/>
      <c r="KB6" s="81">
        <v>4</v>
      </c>
      <c r="KC6" s="133">
        <f t="shared" si="112"/>
        <v>-0.65825617124941083</v>
      </c>
      <c r="KD6" s="133">
        <f t="shared" si="113"/>
        <v>6.7680839659432834E-2</v>
      </c>
      <c r="KE6" s="133">
        <f t="shared" si="114"/>
        <v>0.70336474962732787</v>
      </c>
      <c r="KF6" s="133">
        <f t="shared" ref="KF6:KF68" si="379">POWER((7.752880982-8.781963673*LOG(KB6)+2.106015174*KB6^0.5)-1.281552*(0.191693137+1.304116932*LOG(KB6)-0.179398555*KB6^0.5),1/0.682)-12.001</f>
        <v>1.4490161201345018</v>
      </c>
      <c r="KG6" s="133">
        <f t="shared" ref="KG6:KG69" si="380">POWER((7.752880982-8.781963673*LOG(KB6)+2.106015174*KB6^0.5)-0.6755*(0.191693137+1.304116932*LOG(KB6)-0.179398555*KB6^0.5),1/0.682)-12.001</f>
        <v>2.7225518314143287</v>
      </c>
      <c r="KH6" s="134">
        <f t="shared" ref="KH6:KH69" si="381">POWER((7.752880982-8.781963673*LOG(KB6)+2.106015174*KB6^0.5)-0*(0.191693137+1.304116932*LOG(KB6)-0.179398555*KB6^0.5),1/0.682)-12.001</f>
        <v>4.1844530799809139</v>
      </c>
      <c r="KI6" s="133">
        <f t="shared" ref="KI6:KI69" si="382">POWER((7.752880982-8.781963673*LOG(KB6)+2.106015174*KB6^0.5)+0.6755*(0.191693137+1.304116932*LOG(KB6)-0.179398555*KB6^0.5),1/0.682)-12.001</f>
        <v>5.689621101582981</v>
      </c>
      <c r="KJ6" s="133">
        <f t="shared" si="115"/>
        <v>7.0757299597528114</v>
      </c>
      <c r="KK6" s="133">
        <f t="shared" si="116"/>
        <v>7.9224232907309524</v>
      </c>
      <c r="KL6" s="133">
        <f t="shared" si="117"/>
        <v>8.6662040762487624</v>
      </c>
      <c r="KM6" s="133">
        <f t="shared" si="118"/>
        <v>9.5418311953405972</v>
      </c>
      <c r="KN6" s="81"/>
      <c r="KO6" s="81">
        <v>6</v>
      </c>
      <c r="KP6" s="133">
        <f t="shared" si="119"/>
        <v>-4.5638756929832347</v>
      </c>
      <c r="KQ6" s="133">
        <f t="shared" si="120"/>
        <v>-3.5595487555634158</v>
      </c>
      <c r="KR6" s="133">
        <f t="shared" si="121"/>
        <v>-2.6985491183074259</v>
      </c>
      <c r="KS6" s="133">
        <f t="shared" ref="KS6:KS68" si="383">POWER((36.417866766-39.889386591*LOG(KO6)+9.012473251*KO6^0.5)-1.281552*(-0.523248174+11.074385215*LOG(KO6)-1.898763058*KO6^0.5),1/1.06)-21.001</f>
        <v>-1.7088717566628091</v>
      </c>
      <c r="KT6" s="133">
        <f t="shared" ref="KT6:KT69" si="384">POWER((36.417866766-39.889386591*LOG(KO6)+9.012473251*KO6^0.5)-0.6755*(-0.523248174+11.074385215*LOG(KO6)-1.898763058*KO6^0.5),1/1.06)-21.001</f>
        <v>-6.4593965049390079E-2</v>
      </c>
      <c r="KU6" s="134">
        <f t="shared" ref="KU6:KU69" si="385">POWER((36.417866766-39.889386591*LOG(KO6)+9.012473251*KO6^0.5)-0*(-0.523248174+11.074385215*LOG(KO6)-1.898763058*KO6^0.5),1/1.06)-21.001</f>
        <v>1.7590339661624483</v>
      </c>
      <c r="KV6" s="133">
        <f t="shared" ref="KV6:KV69" si="386">POWER((36.417866766-39.889386591*LOG(KO6)+9.012473251*KO6^0.5)+0.6755*(-0.523248174+11.074385215*LOG(KO6)-1.898763058*KO6^0.5),1/1.06)-21.001</f>
        <v>3.5739267231347114</v>
      </c>
      <c r="KW6" s="133">
        <f t="shared" si="122"/>
        <v>5.1953913505583387</v>
      </c>
      <c r="KX6" s="133">
        <f t="shared" si="123"/>
        <v>6.1644851192322463</v>
      </c>
      <c r="KY6" s="133">
        <f t="shared" si="124"/>
        <v>7.0033491255436431</v>
      </c>
      <c r="KZ6" s="133">
        <f t="shared" si="125"/>
        <v>7.9768220640963747</v>
      </c>
      <c r="LA6" s="81"/>
      <c r="LB6" s="81">
        <v>4</v>
      </c>
      <c r="LC6" s="133">
        <f t="shared" si="126"/>
        <v>-5.6778378393377835</v>
      </c>
      <c r="LD6" s="133">
        <f t="shared" si="127"/>
        <v>-2.3735535988962582</v>
      </c>
      <c r="LE6" s="133">
        <f t="shared" si="128"/>
        <v>0.52285299677439667</v>
      </c>
      <c r="LF6" s="133">
        <f t="shared" ref="LF6:LF68" si="387">POWER((28.797128085-34.675255936*LOG(LB6)+7.672285014*LB6^0.5)-1.281552*(2.788835808+3.337133322*LOG(LB6)-0.636861667*LB6^0.5),1/0.795)-36.001</f>
        <v>3.9215396479098033</v>
      </c>
      <c r="LG6" s="133">
        <f t="shared" ref="LG6:LG69" si="388">POWER((28.797128085-34.675255936*LOG(LB6)+7.672285014*LB6^0.5)-0.6755*(2.788835808+3.337133322*LOG(LB6)-0.636861667*LB6^0.5),1/0.795)-36.001</f>
        <v>9.724170447936558</v>
      </c>
      <c r="LH6" s="134">
        <f t="shared" ref="LH6:LH69" si="389">POWER((28.797128085-34.675255936*LOG(LB6)+7.672285014*LB6^0.5)-0*(2.788835808+3.337133322*LOG(LB6)-0.636861667*LB6^0.5),1/0.795)-36.001</f>
        <v>16.374238627577007</v>
      </c>
      <c r="LI6" s="133">
        <f t="shared" ref="LI6:LI69" si="390">POWER((28.797128085-34.675255936*LOG(LB6)+7.672285014*LB6^0.5)+0.6755*(2.788835808+3.337133322*LOG(LB6)-0.636861667*LB6^0.5),1/0.795)-36.001</f>
        <v>23.202386740323348</v>
      </c>
      <c r="LJ6" s="133">
        <f t="shared" si="129"/>
        <v>29.469815192280755</v>
      </c>
      <c r="LK6" s="133">
        <f t="shared" si="130"/>
        <v>33.28753037301103</v>
      </c>
      <c r="LL6" s="133">
        <f t="shared" si="131"/>
        <v>36.634209254462242</v>
      </c>
      <c r="LM6" s="133">
        <f t="shared" si="132"/>
        <v>40.565527896420967</v>
      </c>
      <c r="LN6" s="81"/>
      <c r="LO6" s="81">
        <v>4</v>
      </c>
      <c r="LP6" s="133">
        <f t="shared" si="133"/>
        <v>-5.0711720818445691</v>
      </c>
      <c r="LQ6" s="133">
        <f t="shared" si="134"/>
        <v>-1.7072661309060955</v>
      </c>
      <c r="LR6" s="133">
        <f t="shared" si="135"/>
        <v>1.2588655272438594</v>
      </c>
      <c r="LS6" s="133">
        <f t="shared" ref="LS6:LS68" si="391">POWER((24.915203177-32.956211783*LOG(LO6)+7.466978987*LO6^0.5)-1.281552*(2.872407826+2.073965202*LOG(LO6)-0.404771925*LO6^0.5),1/0.771)-31.001</f>
        <v>4.7576891554128871</v>
      </c>
      <c r="LT6" s="133">
        <f t="shared" ref="LT6:LT69" si="392">POWER((24.915203177-32.956211783*LOG(LO6)+7.466978987*LO6^0.5)-0.6755*(2.872407826+2.073965202*LOG(LO6)-0.404771925*LO6^0.5),1/0.771)-31.001</f>
        <v>10.770992139609394</v>
      </c>
      <c r="LU6" s="134">
        <f t="shared" ref="LU6:LU69" si="393">POWER((24.915203177-32.956211783*LOG(LO6)+7.466978987*LO6^0.5)-0*(2.872407826+2.073965202*LOG(LO6)-0.404771925*LO6^0.5),1/0.771)-31.001</f>
        <v>17.714850529055756</v>
      </c>
      <c r="LV6" s="133">
        <f t="shared" ref="LV6:LV69" si="394">POWER((24.915203177-32.956211783*LOG(LO6)+7.466978987*LO6^0.5)+0.6755*(2.872407826+2.073965202*LOG(LO6)-0.404771925*LO6^0.5),1/0.771)-31.001</f>
        <v>24.893594973747451</v>
      </c>
      <c r="LW6" s="133">
        <f t="shared" si="136"/>
        <v>31.520235323162691</v>
      </c>
      <c r="LX6" s="133">
        <f t="shared" si="137"/>
        <v>35.572354321159594</v>
      </c>
      <c r="LY6" s="133">
        <f t="shared" si="138"/>
        <v>39.133432868040686</v>
      </c>
      <c r="LZ6" s="133">
        <f t="shared" si="139"/>
        <v>43.326573752491001</v>
      </c>
      <c r="MA6" s="81"/>
      <c r="MB6" s="81">
        <v>6</v>
      </c>
      <c r="MC6" s="133">
        <f t="shared" si="140"/>
        <v>-15.181280523681572</v>
      </c>
      <c r="MD6" s="133">
        <f t="shared" si="141"/>
        <v>-11.702218969216439</v>
      </c>
      <c r="ME6" s="133">
        <f t="shared" si="142"/>
        <v>-8.6597628838565406</v>
      </c>
      <c r="MF6" s="133">
        <f t="shared" ref="MF6:MF68" si="395">POWER((40.468060889-51.352291932*LOG(MB6)+11.03516964*MB6^0.5)-1.281552*(3.984757467+6.833305805*LOG(MB6)-1.479905038*MB6^0.5),1/0.877)-36.001</f>
        <v>-5.0997262169108772</v>
      </c>
      <c r="MG6" s="133">
        <f t="shared" ref="MG6:MG69" si="396">POWER((40.468060889-51.352291932*LOG(MB6)+11.03516964*MB6^0.5)-0.6755*(3.984757467+6.833305805*LOG(MB6)-1.479905038*MB6^0.5),1/0.877)-36.001</f>
        <v>0.95107659103285869</v>
      </c>
      <c r="MH6" s="134">
        <f t="shared" ref="MH6:MH69" si="397">POWER((40.468060889-51.352291932*LOG(MB6)+11.03516964*MB6^0.5)-0*(3.984757467+6.833305805*LOG(MB6)-1.479905038*MB6^0.5),1/0.877)-36.001</f>
        <v>7.8417263001259769</v>
      </c>
      <c r="MI6" s="133">
        <f t="shared" ref="MI6:MI69" si="398">POWER((40.468060889-51.352291932*LOG(MB6)+11.03516964*MB6^0.5)+0.6755*(3.984757467+6.833305805*LOG(MB6)-1.479905038*MB6^0.5),1/0.877)-36.001</f>
        <v>14.86869183932329</v>
      </c>
      <c r="MJ6" s="133">
        <f t="shared" si="143"/>
        <v>21.277223369990146</v>
      </c>
      <c r="MK6" s="133">
        <f t="shared" si="144"/>
        <v>25.162281850325314</v>
      </c>
      <c r="ML6" s="133">
        <f t="shared" si="145"/>
        <v>28.556827513378103</v>
      </c>
      <c r="MM6" s="133">
        <f t="shared" si="146"/>
        <v>32.531461431753108</v>
      </c>
      <c r="MN6" s="81"/>
      <c r="MO6" s="81">
        <v>4</v>
      </c>
      <c r="MP6" s="133">
        <f t="shared" si="147"/>
        <v>3.4219435557947264</v>
      </c>
      <c r="MQ6" s="133">
        <f t="shared" si="148"/>
        <v>7.0539168948662834</v>
      </c>
      <c r="MR6" s="133">
        <f t="shared" si="149"/>
        <v>10.185329445131124</v>
      </c>
      <c r="MS6" s="133">
        <f t="shared" ref="MS6:MS68" si="399">POWER((77.659264896-105.885619813*LOG(MO6)+20.90178855*MO6^0.5)-1.281552*(6.576928972+7.878443533*LOG(MO6)-1.403803582*MO6^0.5),1/0.968)-37.001</f>
        <v>13.803902280854842</v>
      </c>
      <c r="MT6" s="133">
        <f t="shared" ref="MT6:MT69" si="400">POWER((77.659264896-105.885619813*LOG(MO6)+20.90178855*MO6^0.5)-0.6755*(6.576928972+7.878443533*LOG(MO6)-1.403803582*MO6^0.5),1/0.968)-37.001</f>
        <v>19.858473986234351</v>
      </c>
      <c r="MU6" s="134">
        <f t="shared" ref="MU6:MU69" si="401">POWER((77.659264896-105.885619813*LOG(MO6)+20.90178855*MO6^0.5)-0*(6.576928972+7.878443533*LOG(MO6)-1.403803582*MO6^0.5),1/0.968)-37.001</f>
        <v>26.631195503390856</v>
      </c>
      <c r="MV6" s="133">
        <f t="shared" ref="MV6:MV69" si="402">POWER((77.659264896-105.885619813*LOG(MO6)+20.90178855*MO6^0.5)+0.6755*(6.576928972+7.878443533*LOG(MO6)-1.403803582*MO6^0.5),1/0.968)-37.001</f>
        <v>33.427105396330454</v>
      </c>
      <c r="MW6" s="133">
        <f t="shared" si="150"/>
        <v>39.54232421234672</v>
      </c>
      <c r="MX6" s="133">
        <f t="shared" si="151"/>
        <v>43.2157291781648</v>
      </c>
      <c r="MY6" s="133">
        <f t="shared" si="152"/>
        <v>46.406232327500369</v>
      </c>
      <c r="MZ6" s="133">
        <f t="shared" si="153"/>
        <v>50.120795182038229</v>
      </c>
      <c r="NA6" s="81"/>
      <c r="NB6" s="81">
        <v>4</v>
      </c>
      <c r="NC6" s="133">
        <f t="shared" si="154"/>
        <v>5.2068965771145734</v>
      </c>
      <c r="ND6" s="133">
        <f t="shared" si="155"/>
        <v>8.8339329708793706</v>
      </c>
      <c r="NE6" s="133">
        <f t="shared" si="156"/>
        <v>11.966074521166451</v>
      </c>
      <c r="NF6" s="133">
        <f t="shared" ref="NF6:NF68" si="403">POWER((67.537332483-103.170173987*LOG(NB6)+20.93504946*NB6^0.5)-1.281552*(6.1706867+10.232980765*LOG(NB6)-2.119072457*NB6^0.5),1/0.956)-28.001</f>
        <v>15.590652966812566</v>
      </c>
      <c r="NG6" s="133">
        <f t="shared" ref="NG6:NG69" si="404">POWER((67.537332483-103.170173987*LOG(NB6)+20.93504946*NB6^0.5)-0.6755*(6.1706867+10.232980765*LOG(NB6)-2.119072457*NB6^0.5),1/0.956)-28.001</f>
        <v>21.666271116158921</v>
      </c>
      <c r="NH6" s="134">
        <f t="shared" ref="NH6:NH69" si="405">POWER((67.537332483-103.170173987*LOG(NB6)+20.93504946*NB6^0.5)-0*(6.1706867+10.232980765*LOG(NB6)-2.119072457*NB6^0.5),1/0.956)-28.001</f>
        <v>28.476780123083561</v>
      </c>
      <c r="NI6" s="133">
        <f t="shared" ref="NI6:NI69" si="406">POWER((67.537332483-103.170173987*LOG(NB6)+20.93504946*NB6^0.5)+0.6755*(6.1706867+10.232980765*LOG(NB6)-2.119072457*NB6^0.5),1/0.956)-28.001</f>
        <v>35.323701053326857</v>
      </c>
      <c r="NJ6" s="133">
        <f t="shared" si="157"/>
        <v>41.49468889015381</v>
      </c>
      <c r="NK6" s="133">
        <f t="shared" si="158"/>
        <v>45.205670868095254</v>
      </c>
      <c r="NL6" s="133">
        <f t="shared" si="159"/>
        <v>48.431125372503629</v>
      </c>
      <c r="NM6" s="133">
        <f t="shared" si="160"/>
        <v>52.188949503577703</v>
      </c>
      <c r="NN6" s="81"/>
      <c r="NO6" s="81">
        <v>6</v>
      </c>
      <c r="NP6" s="133">
        <f t="shared" si="161"/>
        <v>-10.252451901716011</v>
      </c>
      <c r="NQ6" s="133">
        <f t="shared" si="162"/>
        <v>-6.4424469326233513</v>
      </c>
      <c r="NR6" s="133">
        <f t="shared" si="163"/>
        <v>-3.1637208100667067</v>
      </c>
      <c r="NS6" s="133">
        <f t="shared" ref="NS6:NS68" si="407">POWER((87.23276439-120.066112028*LOG(NO6)+22.93525021*NO6^0.5)-1.281552*(8.646422283+5.271086215*LOG(NO6)-1.050536633*NO6^0.5),1/0.995)-37.001</f>
        <v>0.61841041692505883</v>
      </c>
      <c r="NT6" s="133">
        <f t="shared" ref="NT6:NT69" si="408">POWER((87.23276439-120.066112028*LOG(NO6)+22.93525021*NO6^0.5)-0.6755*(8.646422283+5.271086215*LOG(NO6)-1.050536633*NO6^0.5),1/0.995)-37.001</f>
        <v>6.9318276933814076</v>
      </c>
      <c r="NU6" s="134">
        <f t="shared" ref="NU6:NU69" si="409">POWER((87.23276439-120.066112028*LOG(NO6)+22.93525021*NO6^0.5)-0*(8.646422283+5.271086215*LOG(NO6)-1.050536633*NO6^0.5),1/0.995)-37.001</f>
        <v>13.974045752281</v>
      </c>
      <c r="NV6" s="133">
        <f t="shared" ref="NV6:NV69" si="410">POWER((87.23276439-120.066112028*LOG(NO6)+22.93525021*NO6^0.5)+0.6755*(8.646422283+5.271086215*LOG(NO6)-1.050536633*NO6^0.5),1/0.995)-37.001</f>
        <v>21.021147103776997</v>
      </c>
      <c r="NW6" s="133">
        <f t="shared" si="164"/>
        <v>27.347405263128856</v>
      </c>
      <c r="NX6" s="133">
        <f t="shared" si="165"/>
        <v>31.141236660338926</v>
      </c>
      <c r="NY6" s="133">
        <f t="shared" si="166"/>
        <v>34.432674409672224</v>
      </c>
      <c r="NZ6" s="133">
        <f t="shared" si="167"/>
        <v>38.260639276943429</v>
      </c>
      <c r="OA6" s="81"/>
      <c r="OB6" s="81">
        <v>4</v>
      </c>
      <c r="OC6" s="133">
        <v>7.3387434987147007</v>
      </c>
      <c r="OD6" s="133">
        <v>8.0608392982166208</v>
      </c>
      <c r="OE6" s="133">
        <v>8.7384583002107359</v>
      </c>
      <c r="OF6" s="133">
        <v>9.5907045877146224</v>
      </c>
      <c r="OG6" s="133">
        <v>11.201367448531498</v>
      </c>
      <c r="OH6" s="134">
        <v>13.317335723860456</v>
      </c>
      <c r="OI6" s="133">
        <v>15.83301606673573</v>
      </c>
      <c r="OJ6" s="133">
        <v>18.49201267331194</v>
      </c>
      <c r="OK6" s="133">
        <v>20.295505761895416</v>
      </c>
      <c r="OL6" s="133">
        <v>22.001608544813323</v>
      </c>
      <c r="OM6" s="133">
        <v>24.166457216153006</v>
      </c>
      <c r="ON6" s="81"/>
      <c r="OO6" s="81">
        <v>4</v>
      </c>
      <c r="OP6" s="133">
        <v>5.7439883505035452</v>
      </c>
      <c r="OQ6" s="133">
        <v>6.4419421184100827</v>
      </c>
      <c r="OR6" s="133">
        <v>7.1096842682116579</v>
      </c>
      <c r="OS6" s="133">
        <v>7.9658961542122952</v>
      </c>
      <c r="OT6" s="133">
        <v>15.36153321084632</v>
      </c>
      <c r="OU6" s="134">
        <v>11.897026256074618</v>
      </c>
      <c r="OV6" s="133">
        <v>14.6980732900745</v>
      </c>
      <c r="OW6" s="133">
        <v>17.768149496009201</v>
      </c>
      <c r="OX6" s="133">
        <v>19.907949270063874</v>
      </c>
      <c r="OY6" s="133">
        <v>21.971515908724399</v>
      </c>
      <c r="OZ6" s="133">
        <v>24.641281475670283</v>
      </c>
      <c r="PA6" s="81"/>
      <c r="PB6" s="81">
        <v>6</v>
      </c>
      <c r="PC6" s="133">
        <v>11.521682799429101</v>
      </c>
      <c r="PD6" s="133">
        <v>12.61643275161814</v>
      </c>
      <c r="PE6" s="133">
        <v>13.640819838246871</v>
      </c>
      <c r="PF6" s="133">
        <v>14.925522082244294</v>
      </c>
      <c r="PG6" s="133">
        <v>17.343509998276389</v>
      </c>
      <c r="PH6" s="134">
        <v>20.502963375874341</v>
      </c>
      <c r="PI6" s="133">
        <v>24.237971854268327</v>
      </c>
      <c r="PJ6" s="133">
        <v>28.164609912877154</v>
      </c>
      <c r="PK6" s="133">
        <v>30.817173174136048</v>
      </c>
      <c r="PL6" s="133">
        <v>33.3193633627167</v>
      </c>
      <c r="PM6" s="133">
        <v>36.485252589428505</v>
      </c>
      <c r="PN6" s="81"/>
      <c r="PO6" s="81">
        <v>4</v>
      </c>
      <c r="PP6" s="133">
        <v>4.9634745517352563</v>
      </c>
      <c r="PQ6" s="133">
        <v>5.3771966289382549</v>
      </c>
      <c r="PR6" s="133">
        <v>5.7604988536942496</v>
      </c>
      <c r="PS6" s="133">
        <v>6.2364540749277717</v>
      </c>
      <c r="PT6" s="133">
        <v>7.11954961352777</v>
      </c>
      <c r="PU6" s="134">
        <v>8.2519764649791245</v>
      </c>
      <c r="PV6" s="133">
        <v>9.5645257460082416</v>
      </c>
      <c r="PW6" s="133">
        <v>10.918883513041511</v>
      </c>
      <c r="PX6" s="133">
        <v>11.821044896988305</v>
      </c>
      <c r="PY6" s="133">
        <v>12.663683379570777</v>
      </c>
      <c r="PZ6" s="133">
        <v>13.719243418859273</v>
      </c>
      <c r="QA6" s="81"/>
      <c r="QB6" s="81">
        <v>4</v>
      </c>
      <c r="QC6" s="133">
        <v>5.3527376867298901</v>
      </c>
      <c r="QD6" s="133">
        <v>5.7330453303822573</v>
      </c>
      <c r="QE6" s="133">
        <v>6.0816732056057745</v>
      </c>
      <c r="QF6" s="133">
        <v>6.5100112566772284</v>
      </c>
      <c r="QG6" s="133">
        <v>7.2927413752101913</v>
      </c>
      <c r="QH6" s="134">
        <v>8.276567332849277</v>
      </c>
      <c r="QI6" s="133">
        <v>9.3931161535552796</v>
      </c>
      <c r="QJ6" s="133">
        <v>10.522495908885979</v>
      </c>
      <c r="QK6" s="133">
        <v>11.263605343352971</v>
      </c>
      <c r="QL6" s="133">
        <v>11.948547912601343</v>
      </c>
      <c r="QM6" s="133">
        <v>12.797482489196472</v>
      </c>
      <c r="QN6" s="81"/>
      <c r="QO6" s="81">
        <v>6</v>
      </c>
      <c r="QP6" s="133">
        <v>5.6535408067531687</v>
      </c>
      <c r="QQ6" s="133">
        <v>6.1890746704404682</v>
      </c>
      <c r="QR6" s="133">
        <v>6.6900645280182349</v>
      </c>
      <c r="QS6" s="133">
        <v>7.3182099561762382</v>
      </c>
      <c r="QT6" s="133">
        <v>8.5000469099825402</v>
      </c>
      <c r="QU6" s="134">
        <v>10.043569047454636</v>
      </c>
      <c r="QV6" s="133">
        <v>11.867379119110778</v>
      </c>
      <c r="QW6" s="133">
        <v>13.783873353600132</v>
      </c>
      <c r="QX6" s="133">
        <v>15.078072683533598</v>
      </c>
      <c r="QY6" s="133">
        <v>16.298604328166856</v>
      </c>
      <c r="QZ6" s="133">
        <v>17.842495996578897</v>
      </c>
      <c r="RA6" s="81"/>
      <c r="RB6" s="81">
        <v>4</v>
      </c>
      <c r="RC6" s="133">
        <f t="shared" si="168"/>
        <v>0.3897373817344571</v>
      </c>
      <c r="RD6" s="133">
        <f t="shared" si="169"/>
        <v>0.4135451544816463</v>
      </c>
      <c r="RE6" s="133">
        <f t="shared" si="170"/>
        <v>0.43537123030660607</v>
      </c>
      <c r="RF6" s="133">
        <f t="shared" ref="RF6:RF68" si="411">POWER((1.036025856+0.321880899*LOG(RB6)-0.070188389*RB6^0.5)+1.281552*(0.017885138+0.031961819*LOG(RB6)-0.004222301*RB6^0.5),1/-0.154)</f>
        <v>0.46220448134241582</v>
      </c>
      <c r="RG6" s="133">
        <f t="shared" ref="RG6:RG69" si="412">POWER((1.036025856+0.321880899*LOG(RB6)-0.070188389*RB6^0.5)+0.6755*(0.017885138+0.031961819*LOG(RB6)-0.004222301*RB6^0.5),1/-0.154)</f>
        <v>0.51133285903324177</v>
      </c>
      <c r="RH6" s="134">
        <f t="shared" ref="RH6:RH69" si="413">POWER((1.036025856+0.321880899*LOG(RB6)-0.070188389*RB6^0.5)+0*(0.017885138+0.031961819*LOG(RB6)-0.004222301*RB6^0.5),1/-0.154)</f>
        <v>0.57334791346456404</v>
      </c>
      <c r="RI6" s="133">
        <f t="shared" ref="RI6:RI69" si="414">POWER((1.036025856+0.321880899*LOG(RB6)-0.070188389*RB6^0.5)-0.6755*(0.017885138+0.031961819*LOG(RB6)-0.004222301*RB6^0.5),1/-0.154)</f>
        <v>0.64420623409906863</v>
      </c>
      <c r="RJ6" s="133">
        <f t="shared" si="171"/>
        <v>0.71649768943660896</v>
      </c>
      <c r="RK6" s="133">
        <f t="shared" si="172"/>
        <v>0.76431207748602803</v>
      </c>
      <c r="RL6" s="133">
        <f t="shared" si="173"/>
        <v>0.80878509177663338</v>
      </c>
      <c r="RM6" s="133">
        <f t="shared" si="174"/>
        <v>0.86429878089478407</v>
      </c>
      <c r="RN6" s="81"/>
      <c r="RO6" s="81">
        <v>4</v>
      </c>
      <c r="RP6" s="133">
        <f t="shared" si="175"/>
        <v>0.38530563926163258</v>
      </c>
      <c r="RQ6" s="133">
        <f t="shared" si="176"/>
        <v>0.41017691452688859</v>
      </c>
      <c r="RR6" s="133">
        <f t="shared" si="177"/>
        <v>0.43314284777574735</v>
      </c>
      <c r="RS6" s="133">
        <f t="shared" ref="RS6:RS68" si="415">POWER((1.049872003+0.485309559*LOG(RO6)-0.109297796*RO6^0.5)+1.281552*(0.036472468+0.013628555*LOG(RO6)+0.000040422*RO6^0.5),1/-0.215)</f>
        <v>0.46159171938451377</v>
      </c>
      <c r="RT6" s="133">
        <f t="shared" ref="RT6:RT69" si="416">POWER((1.049872003+0.485309559*LOG(RO6)-0.109297796*RO6^0.5)+0.6755*(0.036472468+0.013628555*LOG(RO6)+0.000040422*RO6^0.5),1/-0.215)</f>
        <v>0.51428326992604467</v>
      </c>
      <c r="RU6" s="134">
        <f t="shared" ref="RU6:RU69" si="417">POWER((1.049872003+0.485309559*LOG(RO6)-0.109297796*RO6^0.5)+0*(0.036472468+0.013628555*LOG(RO6)+0.000040422*RO6^0.5),1/-0.215)</f>
        <v>0.58189540218081759</v>
      </c>
      <c r="RV6" s="133">
        <f t="shared" ref="RV6:RV69" si="418">POWER((1.049872003+0.485309559*LOG(RO6)-0.109297796*RO6^0.5)-0.6755*(0.036472468+0.013628555*LOG(RO6)+0.000040422*RO6^0.5),1/-0.215)</f>
        <v>0.66061881844544046</v>
      </c>
      <c r="RW6" s="133">
        <f t="shared" si="178"/>
        <v>0.74251354457455121</v>
      </c>
      <c r="RX6" s="133">
        <f t="shared" si="179"/>
        <v>0.79753857788586147</v>
      </c>
      <c r="RY6" s="133">
        <f t="shared" si="180"/>
        <v>0.84932232417188958</v>
      </c>
      <c r="RZ6" s="133">
        <f t="shared" si="181"/>
        <v>0.91476734990812592</v>
      </c>
      <c r="SA6" s="81"/>
      <c r="SB6" s="81">
        <v>6</v>
      </c>
      <c r="SC6" s="133">
        <f t="shared" si="182"/>
        <v>0.3156491980543214</v>
      </c>
      <c r="SD6" s="133">
        <f t="shared" si="183"/>
        <v>0.33815216701065248</v>
      </c>
      <c r="SE6" s="133">
        <f t="shared" si="184"/>
        <v>0.35880266337552763</v>
      </c>
      <c r="SF6" s="133">
        <f t="shared" ref="SF6:SF68" si="419">POWER((1.002674562+0.025284351*LOG(SB6)-0.005312801*SB6^0.5)+1.281552*(0.001148719+0.003738786*LOG(SB6)-0.000644551*SB6^0.5),1/-0.013)</f>
        <v>0.3842031452775278</v>
      </c>
      <c r="SG6" s="133">
        <f t="shared" ref="SG6:SG69" si="420">POWER((1.002674562+0.025284351*LOG(SB6)-0.005312801*SB6^0.5)+0.6755*(0.001148719+0.003738786*LOG(SB6)-0.000644551*SB6^0.5),1/-0.013)</f>
        <v>0.43069853953298148</v>
      </c>
      <c r="SH6" s="134">
        <f t="shared" ref="SH6:SH69" si="421">POWER((1.002674562+0.025284351*LOG(SB6)-0.005312801*SB6^0.5)+0*(0.001148719+0.003738786*LOG(SB6)-0.000644551*SB6^0.5),1/-0.013)</f>
        <v>0.4892805855123093</v>
      </c>
      <c r="SI6" s="133">
        <f t="shared" ref="SI6:SI69" si="422">POWER((1.002674562+0.025284351*LOG(SB6)-0.005312801*SB6^0.5)-0.6755*(0.001148719+0.003738786*LOG(SB6)-0.000644551*SB6^0.5),1/-0.013)</f>
        <v>0.5559484710512228</v>
      </c>
      <c r="SJ6" s="133">
        <f t="shared" si="185"/>
        <v>0.62357126095184745</v>
      </c>
      <c r="SK6" s="133">
        <f t="shared" si="186"/>
        <v>0.668044888178841</v>
      </c>
      <c r="SL6" s="133">
        <f t="shared" si="187"/>
        <v>0.70921528799853251</v>
      </c>
      <c r="SM6" s="133">
        <f t="shared" si="188"/>
        <v>0.76032998970268628</v>
      </c>
      <c r="SN6" s="81"/>
      <c r="SO6" s="81">
        <v>4</v>
      </c>
      <c r="SP6" s="133">
        <f t="shared" si="189"/>
        <v>0.28043632680261843</v>
      </c>
      <c r="SQ6" s="133">
        <f t="shared" si="190"/>
        <v>0.29254583918102972</v>
      </c>
      <c r="SR6" s="133">
        <f t="shared" si="191"/>
        <v>0.30326944712554793</v>
      </c>
      <c r="SS6" s="133">
        <f t="shared" ref="SS6:SS68" si="423">POWER((0.813888038-0.237514159*LOG(SO6)+0.051772614*SO6^0.5)-1.281552*(0.01328571+0.024229934*LOG(SO6)-0.00329877*SO6^0.5),1/0.253)</f>
        <v>0.31599451397713224</v>
      </c>
      <c r="ST6" s="133">
        <f t="shared" ref="ST6:ST69" si="424">POWER((0.813888038-0.237514159*LOG(SO6)+0.051772614*SO6^0.5)-0.6755*(0.01328571+0.024229934*LOG(SO6)-0.00329877*SO6^0.5),1/0.253)</f>
        <v>0.33810450424299038</v>
      </c>
      <c r="SU6" s="134">
        <f t="shared" ref="SU6:SU69" si="425">POWER((0.813888038-0.237514159*LOG(SO6)+0.051772614*SO6^0.5)-0*(0.01328571+0.024229934*LOG(SO6)-0.00329877*SO6^0.5),1/0.253)</f>
        <v>0.36408812821649977</v>
      </c>
      <c r="SV6" s="133">
        <f t="shared" ref="SV6:SV69" si="426">POWER((0.813888038-0.237514159*LOG(SO6)+0.051772614*SO6^0.5)+0.6755*(0.01328571+0.024229934*LOG(SO6)-0.00329877*SO6^0.5),1/0.253)</f>
        <v>0.3915351797246025</v>
      </c>
      <c r="SW6" s="133">
        <f t="shared" si="192"/>
        <v>0.41744983303568506</v>
      </c>
      <c r="SX6" s="133">
        <f t="shared" si="193"/>
        <v>0.43358620485471688</v>
      </c>
      <c r="SY6" s="133">
        <f t="shared" si="194"/>
        <v>0.44795546610088838</v>
      </c>
      <c r="SZ6" s="133">
        <f t="shared" si="195"/>
        <v>0.46510680027173512</v>
      </c>
      <c r="TA6" s="81"/>
      <c r="TB6" s="81">
        <v>4</v>
      </c>
      <c r="TC6" s="133">
        <f t="shared" si="196"/>
        <v>0.27795031678039955</v>
      </c>
      <c r="TD6" s="133">
        <f t="shared" si="197"/>
        <v>0.29070551720314763</v>
      </c>
      <c r="TE6" s="133">
        <f t="shared" si="198"/>
        <v>0.30205883426138225</v>
      </c>
      <c r="TF6" s="133">
        <f t="shared" ref="TF6:TF68" si="427">POWER((0.868068478-0.184215521*LOG(TB6)+0.041481198*TB6^0.5)-1.281552*(0.013978394+0.00563513*LOG(TB6)-0.000125613*TB6^0.5),1/0.174)</f>
        <v>0.31560056140974019</v>
      </c>
      <c r="TG6" s="133">
        <f t="shared" ref="TG6:TG69" si="428">POWER((0.868068478-0.184215521*LOG(TB6)+0.041481198*TB6^0.5)-0.6755*(0.013978394+0.00563513*LOG(TB6)-0.000125613*TB6^0.5),1/0.174)</f>
        <v>0.33930504155336583</v>
      </c>
      <c r="TH6" s="134">
        <f t="shared" ref="TH6:TH69" si="429">POWER((0.868068478-0.184215521*LOG(TB6)+0.041481198*TB6^0.5)-0*(0.013978394+0.00563513*LOG(TB6)-0.000125613*TB6^0.5),1/0.174)</f>
        <v>0.36743980159746426</v>
      </c>
      <c r="TI6" s="133">
        <f t="shared" ref="TI6:TI69" si="430">POWER((0.868068478-0.184215521*LOG(TB6)+0.041481198*TB6^0.5)+0.6755*(0.013978394+0.00563513*LOG(TB6)-0.000125613*TB6^0.5),1/0.174)</f>
        <v>0.39747434628713707</v>
      </c>
      <c r="TJ6" s="133">
        <f t="shared" si="199"/>
        <v>0.42611988376305449</v>
      </c>
      <c r="TK6" s="133">
        <f t="shared" si="200"/>
        <v>0.44409420129220734</v>
      </c>
      <c r="TL6" s="133">
        <f t="shared" si="201"/>
        <v>0.46018710376774058</v>
      </c>
      <c r="TM6" s="133">
        <f t="shared" si="202"/>
        <v>0.47950122969474418</v>
      </c>
      <c r="TN6" s="81"/>
      <c r="TO6" s="81">
        <v>6</v>
      </c>
      <c r="TP6" s="133">
        <f t="shared" si="203"/>
        <v>0.23990079067289796</v>
      </c>
      <c r="TQ6" s="133">
        <f t="shared" si="204"/>
        <v>0.25281347233058732</v>
      </c>
      <c r="TR6" s="133">
        <f t="shared" si="205"/>
        <v>0.2642248238115974</v>
      </c>
      <c r="TS6" s="133">
        <f t="shared" ref="TS6:TS68" si="431">POWER((0.705534664-0.344299489*LOG(TO6)+0.072311009*TO6^0.5)-1.281552*(0.015512097+0.052366074*LOG(TO6)-0.009130225*TO6^0.5),1/0.437)</f>
        <v>0.27773447321930728</v>
      </c>
      <c r="TT6" s="133">
        <f t="shared" ref="TT6:TT69" si="432">POWER((0.705534664-0.344299489*LOG(TO6)+0.072311009*TO6^0.5)-0.6755*(0.015512097+0.052366074*LOG(TO6)-0.009130225*TO6^0.5),1/0.437)</f>
        <v>0.3011187839584229</v>
      </c>
      <c r="TU6" s="134">
        <f t="shared" ref="TU6:TU69" si="433">POWER((0.705534664-0.344299489*LOG(TO6)+0.072311009*TO6^0.5)-0*(0.015512097+0.052366074*LOG(TO6)-0.009130225*TO6^0.5),1/0.437)</f>
        <v>0.32844356790139162</v>
      </c>
      <c r="TV6" s="133">
        <f t="shared" ref="TV6:TV69" si="434">POWER((0.705534664-0.344299489*LOG(TO6)+0.072311009*TO6^0.5)+0.6755*(0.015512097+0.052366074*LOG(TO6)-0.009130225*TO6^0.5),1/0.437)</f>
        <v>0.35711163605997137</v>
      </c>
      <c r="TW6" s="133">
        <f t="shared" si="206"/>
        <v>0.3839872883543976</v>
      </c>
      <c r="TX6" s="133">
        <f t="shared" si="207"/>
        <v>0.40062612494625949</v>
      </c>
      <c r="TY6" s="133">
        <f t="shared" si="208"/>
        <v>0.41538038767249258</v>
      </c>
      <c r="TZ6" s="133">
        <f t="shared" si="209"/>
        <v>0.43291409222959393</v>
      </c>
      <c r="UA6" s="81"/>
      <c r="UB6" s="81">
        <v>4</v>
      </c>
      <c r="UC6" s="133">
        <f t="shared" si="210"/>
        <v>-11.506206032235205</v>
      </c>
      <c r="UD6" s="133">
        <f t="shared" si="211"/>
        <v>-10.088327920575331</v>
      </c>
      <c r="UE6" s="133">
        <f t="shared" si="212"/>
        <v>-8.8812964392283646</v>
      </c>
      <c r="UF6" s="133">
        <f t="shared" ref="UF6:UF68" si="435">POWER((393.280932419-388.023615051*LOG(UB6)+92.619116582*UB6^0.5)-1.281552*(-2.592294254+102.927221003*LOG(UB6)-15.104818027*UB6^0.5),1/1.42)-64.001</f>
        <v>-7.5032920252140798</v>
      </c>
      <c r="UG6" s="133">
        <f t="shared" ref="UG6:UG69" si="436">POWER((393.280932419-388.023615051*LOG(UB6)+92.619116582*UB6^0.5)-0.6755*(-2.592294254+102.927221003*LOG(UB6)-15.104818027*UB6^0.5),1/1.42)-64.001</f>
        <v>-5.2353397199254701</v>
      </c>
      <c r="UH6" s="134">
        <f t="shared" ref="UH6:UH69" si="437">POWER((393.280932419-388.023615051*LOG(UB6)+92.619116582*UB6^0.5)-0*(-2.592294254+102.927221003*LOG(UB6)-15.104818027*UB6^0.5),1/1.42)-64.001</f>
        <v>-2.750038244290316</v>
      </c>
      <c r="UI6" s="133">
        <f t="shared" ref="UI6:UI69" si="438">POWER((393.280932419-388.023615051*LOG(UB6)+92.619116582*UB6^0.5)+0.6755*(-2.592294254+102.927221003*LOG(UB6)-15.104818027*UB6^0.5),1/1.42)-64.001</f>
        <v>-0.30640008555375431</v>
      </c>
      <c r="UJ6" s="133">
        <f t="shared" si="213"/>
        <v>1.8529381801832017</v>
      </c>
      <c r="UK6" s="133">
        <f t="shared" si="214"/>
        <v>3.1331904822598773</v>
      </c>
      <c r="UL6" s="133">
        <f t="shared" si="215"/>
        <v>4.2353659361054099</v>
      </c>
      <c r="UM6" s="133">
        <f t="shared" si="216"/>
        <v>5.5075612634433213</v>
      </c>
      <c r="UN6" s="81"/>
      <c r="UO6" s="81">
        <v>4</v>
      </c>
      <c r="UP6" s="133">
        <f t="shared" si="217"/>
        <v>-11.479803460411315</v>
      </c>
      <c r="UQ6" s="133">
        <f t="shared" si="218"/>
        <v>-10.01688650915554</v>
      </c>
      <c r="UR6" s="133">
        <f t="shared" si="219"/>
        <v>-8.7601297834401883</v>
      </c>
      <c r="US6" s="133">
        <f t="shared" ref="US6:US68" si="439">POWER((40.011256922-52.660905785*LOG(UO6)+12.876141776*UO6^0.5)-1.281552*(0.561474595+13.203470309*LOG(UO6)-2.086768211*UO6^0.5),1/1.02)-34.001</f>
        <v>-7.3127167287609787</v>
      </c>
      <c r="UT6" s="133">
        <f t="shared" ref="UT6:UT69" si="440">POWER((40.011256922-52.660905785*LOG(UO6)+12.876141776*UO6^0.5)-0.6755*(0.561474595+13.203470309*LOG(UO6)-2.086768211*UO6^0.5),1/1.02)-34.001</f>
        <v>-4.9016257574823783</v>
      </c>
      <c r="UU6" s="134">
        <f t="shared" ref="UU6:UU69" si="441">POWER((40.011256922-52.660905785*LOG(UO6)+12.876141776*UO6^0.5)-0*(0.561474595+13.203470309*LOG(UO6)-2.086768211*UO6^0.5),1/1.02)-34.001</f>
        <v>-2.2189373611812542</v>
      </c>
      <c r="UV6" s="133">
        <f t="shared" ref="UV6:UV69" si="442">POWER((40.011256922-52.660905785*LOG(UO6)+12.876141776*UO6^0.5)+0.6755*(0.561474595+13.203470309*LOG(UO6)-2.086768211*UO6^0.5),1/1.02)-34.001</f>
        <v>0.45922428461822307</v>
      </c>
      <c r="UW6" s="133">
        <f t="shared" si="220"/>
        <v>2.8584942726302174</v>
      </c>
      <c r="UX6" s="133">
        <f t="shared" si="221"/>
        <v>4.295243206342235</v>
      </c>
      <c r="UY6" s="133">
        <f t="shared" si="222"/>
        <v>5.5405333752029051</v>
      </c>
      <c r="UZ6" s="133">
        <f t="shared" si="223"/>
        <v>6.987470376112924</v>
      </c>
      <c r="VA6" s="81"/>
      <c r="VB6" s="81">
        <v>7</v>
      </c>
      <c r="VC6" s="133">
        <f t="shared" si="224"/>
        <v>-22.553376036442707</v>
      </c>
      <c r="VD6" s="133">
        <f t="shared" si="225"/>
        <v>-20.042929199903398</v>
      </c>
      <c r="VE6" s="133">
        <f t="shared" si="226"/>
        <v>-17.955098043287251</v>
      </c>
      <c r="VF6" s="133">
        <f t="shared" ref="VF6:VF68" si="443">POWER((976.440515069-1061.792000139*LOG(VB6)+249.187708508*VB6^0.5)-1.281552*(-14.996736867+318.908323561*LOG(VB6)-49.251736285*VB6^0.5),1/1.64)-64.001</f>
        <v>-15.620723566115537</v>
      </c>
      <c r="VG6" s="133">
        <f t="shared" ref="VG6:VG69" si="444">POWER((976.440515069-1061.792000139*LOG(VB6)+249.187708508*VB6^0.5)-0.6755*(-14.996736867+318.908323561*LOG(VB6)-49.251736285*VB6^0.5),1/1.64)-64.001</f>
        <v>-11.878828105241908</v>
      </c>
      <c r="VH6" s="134">
        <f t="shared" ref="VH6:VH69" si="445">POWER((976.440515069-1061.792000139*LOG(VB6)+249.187708508*VB6^0.5)-0*(-14.996736867+318.908323561*LOG(VB6)-49.251736285*VB6^0.5),1/1.64)-64.001</f>
        <v>-7.9010790321642048</v>
      </c>
      <c r="VI6" s="133">
        <f t="shared" ref="VI6:VI69" si="446">POWER((976.440515069-1061.792000139*LOG(VB6)+249.187708508*VB6^0.5)+0.6755*(-14.996736867+318.908323561*LOG(VB6)-49.251736285*VB6^0.5),1/1.64)-64.001</f>
        <v>-4.0962883230513967</v>
      </c>
      <c r="VJ6" s="133">
        <f t="shared" si="227"/>
        <v>-0.80990825818881262</v>
      </c>
      <c r="VK6" s="133">
        <f t="shared" si="228"/>
        <v>1.1085692599144892</v>
      </c>
      <c r="VL6" s="133">
        <f t="shared" si="229"/>
        <v>2.7437137100665154</v>
      </c>
      <c r="VM6" s="133">
        <f t="shared" si="230"/>
        <v>4.6132746503258204</v>
      </c>
      <c r="VN6" s="81"/>
      <c r="VO6" s="81">
        <v>4</v>
      </c>
      <c r="VP6" s="133">
        <f t="shared" si="231"/>
        <v>-34.461787196816644</v>
      </c>
      <c r="VQ6" s="133">
        <f t="shared" si="232"/>
        <v>-31.556817742006693</v>
      </c>
      <c r="VR6" s="133">
        <f t="shared" si="233"/>
        <v>-28.932132450325884</v>
      </c>
      <c r="VS6" s="133">
        <f t="shared" ref="VS6:VS68" si="447">POWER((9.722274426-9.910874656*LOG(VO6)+2.548855962*VO6^0.5)-1.281552*(0.511298926+3.210935833*LOG(VO6)-0.578840114*VO6^0.5),1/0.585)-55.001</f>
        <v>-25.763993908451443</v>
      </c>
      <c r="VT6" s="133">
        <f t="shared" ref="VT6:VT69" si="448">POWER((9.722274426-9.910874656*LOG(VO6)+2.548855962*VO6^0.5)-0.6755*(0.511298926+3.210935833*LOG(VO6)-0.578840114*VO6^0.5),1/0.585)-55.001</f>
        <v>-20.148001280741731</v>
      </c>
      <c r="VU6" s="134">
        <f t="shared" ref="VU6:VU69" si="449">POWER((9.722274426-9.910874656*LOG(VO6)+2.548855962*VO6^0.5)-0*(0.511298926+3.210935833*LOG(VO6)-0.578840114*VO6^0.5),1/0.585)-55.001</f>
        <v>-13.413592087828491</v>
      </c>
      <c r="VV6" s="133">
        <f t="shared" ref="VV6:VV69" si="450">POWER((9.722274426-9.910874656*LOG(VO6)+2.548855962*VO6^0.5)+0.6755*(0.511298926+3.210935833*LOG(VO6)-0.578840114*VO6^0.5),1/0.585)-55.001</f>
        <v>-6.1928728620589411</v>
      </c>
      <c r="VW6" s="133">
        <f t="shared" si="234"/>
        <v>0.68858630952125566</v>
      </c>
      <c r="VX6" s="133">
        <f t="shared" si="235"/>
        <v>4.9927849408179981</v>
      </c>
      <c r="VY6" s="133">
        <f t="shared" si="236"/>
        <v>8.8331003683604692</v>
      </c>
      <c r="VZ6" s="133">
        <f t="shared" si="237"/>
        <v>13.421909758243878</v>
      </c>
      <c r="WA6" s="81"/>
      <c r="WB6" s="81">
        <v>4</v>
      </c>
      <c r="WC6" s="133">
        <f t="shared" si="238"/>
        <v>-32.452164282235536</v>
      </c>
      <c r="WD6" s="133">
        <f t="shared" si="239"/>
        <v>-29.552986250114046</v>
      </c>
      <c r="WE6" s="133">
        <f t="shared" si="240"/>
        <v>-26.905346408073612</v>
      </c>
      <c r="WF6" s="133">
        <f t="shared" ref="WF6:WF68" si="451">POWER((9.30040261-10.980219851*LOG(WB6)+2.831460991*WB6^0.5)-1.281552*(0.614635641+3.423352285*LOG(WB6)-0.64630167*WB6^0.5),1/0.583)-49.001</f>
        <v>-23.679919313951949</v>
      </c>
      <c r="WG6" s="133">
        <f t="shared" ref="WG6:WG69" si="452">POWER((9.30040261-10.980219851*LOG(WB6)+2.831460991*WB6^0.5)-0.6755*(0.614635641+3.423352285*LOG(WB6)-0.64630167*WB6^0.5),1/0.583)-49.001</f>
        <v>-17.897973601320718</v>
      </c>
      <c r="WH6" s="134">
        <f t="shared" ref="WH6:WH69" si="453">POWER((9.30040261-10.980219851*LOG(WB6)+2.831460991*WB6^0.5)-0*(0.614635641+3.423352285*LOG(WB6)-0.64630167*WB6^0.5),1/0.583)-49.001</f>
        <v>-10.879769751686837</v>
      </c>
      <c r="WI6" s="133">
        <f t="shared" ref="WI6:WI69" si="454">POWER((9.30040261-10.980219851*LOG(WB6)+2.831460991*WB6^0.5)+0.6755*(0.614635641+3.423352285*LOG(WB6)-0.64630167*WB6^0.5),1/0.583)-49.001</f>
        <v>-3.2761741903365049</v>
      </c>
      <c r="WJ6" s="133">
        <f t="shared" si="241"/>
        <v>4.0295169556006698</v>
      </c>
      <c r="WK6" s="133">
        <f t="shared" si="242"/>
        <v>8.623443741275068</v>
      </c>
      <c r="WL6" s="133">
        <f t="shared" si="243"/>
        <v>12.736057979493673</v>
      </c>
      <c r="WM6" s="133">
        <f t="shared" si="244"/>
        <v>17.66557478088334</v>
      </c>
      <c r="WN6" s="81"/>
      <c r="WO6" s="81">
        <v>7</v>
      </c>
      <c r="WP6" s="133">
        <f t="shared" si="245"/>
        <v>-45.354171990912874</v>
      </c>
      <c r="WQ6" s="133">
        <f t="shared" si="246"/>
        <v>-42.245797933384353</v>
      </c>
      <c r="WR6" s="133">
        <f t="shared" si="247"/>
        <v>-39.349119527092213</v>
      </c>
      <c r="WS6" s="133">
        <f t="shared" ref="WS6:WS68" si="455">POWER((12.412739128-13.399209991*LOG(WO6)+3.506121515*WO6^0.5)-1.281552*(0.677349889+4.866554189*LOG(WO6)-0.859879165*WO6^0.5),1/0.665)-55.001</f>
        <v>-35.771681274711113</v>
      </c>
      <c r="WT6" s="133">
        <f t="shared" ref="WT6:WT69" si="456">POWER((12.412739128-13.399209991*LOG(WO6)+3.506121515*WO6^0.5)-0.6755*(0.677349889+4.866554189*LOG(WO6)-0.859879165*WO6^0.5),1/0.665)-55.001</f>
        <v>-29.279749210822104</v>
      </c>
      <c r="WU6" s="134">
        <f t="shared" ref="WU6:WU69" si="457">POWER((12.412739128-13.399209991*LOG(WO6)+3.506121515*WO6^0.5)-0*(0.677349889+4.866554189*LOG(WO6)-0.859879165*WO6^0.5),1/0.665)-55.001</f>
        <v>-21.334477043274745</v>
      </c>
      <c r="WV6" s="133">
        <f t="shared" ref="WV6:WV69" si="458">POWER((12.412739128-13.399209991*LOG(WO6)+3.506121515*WO6^0.5)+0.6755*(0.677349889+4.866554189*LOG(WO6)-0.859879165*WO6^0.5),1/0.665)-55.001</f>
        <v>-12.702937781631569</v>
      </c>
      <c r="WW6" s="133">
        <f t="shared" si="248"/>
        <v>-4.4161148910185659</v>
      </c>
      <c r="WX6" s="133">
        <f t="shared" si="249"/>
        <v>0.78448297286902147</v>
      </c>
      <c r="WY6" s="133">
        <f t="shared" si="250"/>
        <v>5.4312908531492141</v>
      </c>
      <c r="WZ6" s="133">
        <f t="shared" si="251"/>
        <v>10.988571690079148</v>
      </c>
      <c r="XA6" s="81"/>
      <c r="XB6" s="81">
        <v>4</v>
      </c>
      <c r="XC6" s="133">
        <f t="shared" si="252"/>
        <v>-22.688471864116039</v>
      </c>
      <c r="XD6" s="133">
        <f t="shared" si="253"/>
        <v>-19.593971721256544</v>
      </c>
      <c r="XE6" s="133">
        <f t="shared" si="254"/>
        <v>-16.88150021000358</v>
      </c>
      <c r="XF6" s="133">
        <f t="shared" ref="XF6:XF68" si="459">POWER((26.793158755-35.742038196*LOG(XB6)+7.850198164*XB6^0.5)-1.281552*(0.43477349+8.667512998*LOG(XB6)-1.437705021*XB6^0.5),1/0.763)-56.001</f>
        <v>-13.698017193245036</v>
      </c>
      <c r="XG6" s="133">
        <f t="shared" ref="XG6:XG69" si="460">POWER((26.793158755-35.742038196*LOG(XB6)+7.850198164*XB6^0.5)-0.6755*(0.43477349+8.667512998*LOG(XB6)-1.437705021*XB6^0.5),1/0.763)-56.001</f>
        <v>-8.2597666000027132</v>
      </c>
      <c r="XH6" s="134">
        <f t="shared" ref="XH6:XH69" si="461">POWER((26.793158755-35.742038196*LOG(XB6)+7.850198164*XB6^0.5)-0*(0.43477349+8.667512998*LOG(XB6)-1.437705021*XB6^0.5),1/0.763)-56.001</f>
        <v>-2.0206496775298106</v>
      </c>
      <c r="XI6" s="133">
        <f t="shared" ref="XI6:XI69" si="462">POWER((26.793158755-35.742038196*LOG(XB6)+7.850198164*XB6^0.5)+0.6755*(0.43477349+8.667512998*LOG(XB6)-1.437705021*XB6^0.5),1/0.763)-56.001</f>
        <v>4.3944665530184537</v>
      </c>
      <c r="XJ6" s="133">
        <f t="shared" si="255"/>
        <v>10.291491266123693</v>
      </c>
      <c r="XK6" s="133">
        <f t="shared" si="256"/>
        <v>13.887822076801278</v>
      </c>
      <c r="XL6" s="133">
        <f t="shared" si="257"/>
        <v>17.043109995156563</v>
      </c>
      <c r="XM6" s="133">
        <f t="shared" si="258"/>
        <v>20.752813081586943</v>
      </c>
      <c r="XN6" s="81"/>
      <c r="XO6" s="81">
        <v>4</v>
      </c>
      <c r="XP6" s="133">
        <f t="shared" si="259"/>
        <v>-21.61361026628396</v>
      </c>
      <c r="XQ6" s="133">
        <f t="shared" si="260"/>
        <v>-18.260287597513425</v>
      </c>
      <c r="XR6" s="133">
        <f t="shared" si="261"/>
        <v>-15.316903709645075</v>
      </c>
      <c r="XS6" s="133">
        <f t="shared" ref="XS6:XS68" si="463">POWER((28.801648634-41.785320688*LOG(XO6)+9.349000216*XO6^0.5)-1.281552*(0.989290395+10.389877577*LOG(XO6)-1.933748291*XO6^0.5),1/0.783)-52.001</f>
        <v>-11.858733044026302</v>
      </c>
      <c r="XT6" s="133">
        <f t="shared" ref="XT6:XT69" si="464">POWER((28.801648634-41.785320688*LOG(XO6)+9.349000216*XO6^0.5)-0.6755*(0.989290395+10.389877577*LOG(XO6)-1.933748291*XO6^0.5),1/0.783)-52.001</f>
        <v>-5.9446835572300785</v>
      </c>
      <c r="XU6" s="134">
        <f t="shared" ref="XU6:XU69" si="465">POWER((28.801648634-41.785320688*LOG(XO6)+9.349000216*XO6^0.5)-0*(0.989290395+10.389877577*LOG(XO6)-1.933748291*XO6^0.5),1/0.783)-52.001</f>
        <v>0.84669849258060736</v>
      </c>
      <c r="XV6" s="133">
        <f t="shared" ref="XV6:XV69" si="466">POWER((28.801648634-41.785320688*LOG(XO6)+9.349000216*XO6^0.5)+0.6755*(0.989290395+10.389877577*LOG(XO6)-1.933748291*XO6^0.5),1/0.783)-52.001</f>
        <v>7.8332982979874473</v>
      </c>
      <c r="XW6" s="133">
        <f t="shared" si="262"/>
        <v>14.256789883452946</v>
      </c>
      <c r="XX6" s="133">
        <f t="shared" si="263"/>
        <v>18.174128793885238</v>
      </c>
      <c r="XY6" s="133">
        <f t="shared" si="264"/>
        <v>21.610800413450441</v>
      </c>
      <c r="XZ6" s="133">
        <f t="shared" si="265"/>
        <v>25.650852144457183</v>
      </c>
      <c r="YA6" s="81"/>
      <c r="YB6" s="81">
        <v>7</v>
      </c>
      <c r="YC6" s="133">
        <f t="shared" si="266"/>
        <v>-40.997085882475083</v>
      </c>
      <c r="YD6" s="133">
        <f t="shared" si="267"/>
        <v>-37.412295381379757</v>
      </c>
      <c r="YE6" s="133">
        <f t="shared" si="268"/>
        <v>-34.218392153776705</v>
      </c>
      <c r="YF6" s="133">
        <f t="shared" ref="YF6:YF68" si="467">POWER((30.610323495-40.543468317*LOG(YB6)+8.823628947*YB6^0.5)-1.281552*(-0.168060802+11.404693559*LOG(YB6)-1.833111617*YB6^0.5),1/0.809)-56.001</f>
        <v>-30.421999375979592</v>
      </c>
      <c r="YG6" s="133">
        <f t="shared" ref="YG6:YG69" si="468">POWER((30.610323495-40.543468317*LOG(YB6)+8.823628947*YB6^0.5)-0.6755*(-0.168060802+11.404693559*LOG(YB6)-1.833111617*YB6^0.5),1/0.809)-56.001</f>
        <v>-23.846464685006055</v>
      </c>
      <c r="YH6" s="134">
        <f t="shared" ref="YH6:YH69" si="469">POWER((30.610323495-40.543468317*LOG(YB6)+8.823628947*YB6^0.5)-0*(-0.168060802+11.404693559*LOG(YB6)-1.833111617*YB6^0.5),1/0.809)-56.001</f>
        <v>-16.202150742353297</v>
      </c>
      <c r="YI6" s="133">
        <f t="shared" ref="YI6:YI69" si="470">POWER((30.610323495-40.543468317*LOG(YB6)+8.823628947*YB6^0.5)+0.6755*(-0.168060802+11.404693559*LOG(YB6)-1.833111617*YB6^0.5),1/0.809)-56.001</f>
        <v>-8.2652887084297433</v>
      </c>
      <c r="YJ6" s="133">
        <f t="shared" si="269"/>
        <v>-0.92130382221144913</v>
      </c>
      <c r="YK6" s="133">
        <f t="shared" si="270"/>
        <v>3.5743147022724671</v>
      </c>
      <c r="YL6" s="133">
        <f t="shared" si="271"/>
        <v>7.526976265244798</v>
      </c>
      <c r="YM6" s="133">
        <f t="shared" si="272"/>
        <v>12.182482795462924</v>
      </c>
      <c r="YN6" s="81"/>
      <c r="YO6" s="81">
        <v>4</v>
      </c>
      <c r="YP6" s="133">
        <v>11.473421602039739</v>
      </c>
      <c r="YQ6" s="133">
        <v>12.793319179205287</v>
      </c>
      <c r="YR6" s="133">
        <v>14.049324022063397</v>
      </c>
      <c r="YS6" s="133">
        <v>15.651209637852396</v>
      </c>
      <c r="YT6" s="133">
        <v>18.740141231462434</v>
      </c>
      <c r="YU6" s="134">
        <v>22.906654864585281</v>
      </c>
      <c r="YV6" s="133">
        <v>27.999513483083881</v>
      </c>
      <c r="YW6" s="133">
        <v>33.525513313437934</v>
      </c>
      <c r="YX6" s="133">
        <v>37.348048650682678</v>
      </c>
      <c r="YY6" s="133">
        <v>41.014753852004148</v>
      </c>
      <c r="YZ6" s="133">
        <v>45.733073819229766</v>
      </c>
      <c r="ZA6" s="81"/>
      <c r="ZB6" s="81">
        <v>4</v>
      </c>
      <c r="ZC6" s="133">
        <v>10.216003926989144</v>
      </c>
      <c r="ZD6" s="133">
        <v>11.441335367537791</v>
      </c>
      <c r="ZE6" s="133">
        <v>12.612106825381337</v>
      </c>
      <c r="ZF6" s="133">
        <v>14.111379586503451</v>
      </c>
      <c r="ZG6" s="133">
        <v>17.019476663907462</v>
      </c>
      <c r="ZH6" s="134">
        <v>20.972391473771093</v>
      </c>
      <c r="ZI6" s="133">
        <v>25.843403579021935</v>
      </c>
      <c r="ZJ6" s="133">
        <v>31.169256091005007</v>
      </c>
      <c r="ZK6" s="133">
        <v>34.874522569373141</v>
      </c>
      <c r="ZL6" s="133">
        <v>38.443170311837612</v>
      </c>
      <c r="ZM6" s="133">
        <v>43.054134206733444</v>
      </c>
      <c r="ZN6" s="81"/>
      <c r="ZO6" s="81">
        <v>7</v>
      </c>
      <c r="ZP6" s="133">
        <v>17.166915454010262</v>
      </c>
      <c r="ZQ6" s="133">
        <v>19.175324298650995</v>
      </c>
      <c r="ZR6" s="133">
        <v>21.089617132615565</v>
      </c>
      <c r="ZS6" s="133">
        <v>23.535040356822638</v>
      </c>
      <c r="ZT6" s="133">
        <v>28.261637626674446</v>
      </c>
      <c r="ZU6" s="134">
        <v>34.656735429269588</v>
      </c>
      <c r="ZV6" s="133">
        <v>42.498928281521593</v>
      </c>
      <c r="ZW6" s="133">
        <v>51.034087573434</v>
      </c>
      <c r="ZX6" s="133">
        <v>56.95168874151242</v>
      </c>
      <c r="ZY6" s="133">
        <v>62.637235851019604</v>
      </c>
      <c r="ZZ6" s="133">
        <v>69.965353638053301</v>
      </c>
      <c r="AAA6" s="81"/>
      <c r="AAB6" s="81">
        <v>4</v>
      </c>
      <c r="AAC6" s="133">
        <v>4.9605288858986789</v>
      </c>
      <c r="AAD6" s="133">
        <v>5.4921250472988392</v>
      </c>
      <c r="AAE6" s="133">
        <v>5.9946729529789815</v>
      </c>
      <c r="AAF6" s="133">
        <v>6.6314120825003551</v>
      </c>
      <c r="AAG6" s="133">
        <v>7.8476524516995978</v>
      </c>
      <c r="AAH6" s="134">
        <v>9.4679065468781705</v>
      </c>
      <c r="AAI6" s="133">
        <v>11.422684036039923</v>
      </c>
      <c r="AAJ6" s="133">
        <v>13.517672143610708</v>
      </c>
      <c r="AAK6" s="133">
        <v>14.953485383363974</v>
      </c>
      <c r="AAL6" s="133">
        <v>16.321779567729671</v>
      </c>
      <c r="AAM6" s="133">
        <v>18.070906639661391</v>
      </c>
      <c r="AAN6" s="81"/>
      <c r="AAO6" s="81">
        <v>4</v>
      </c>
      <c r="AAP6" s="133">
        <v>4.7820792032930308</v>
      </c>
      <c r="AAQ6" s="133">
        <v>5.3392137352910805</v>
      </c>
      <c r="AAR6" s="133">
        <v>5.8700250373823009</v>
      </c>
      <c r="AAS6" s="133">
        <v>6.5478375381799276</v>
      </c>
      <c r="AAT6" s="133">
        <v>7.8571697677104879</v>
      </c>
      <c r="AAU6" s="134">
        <v>9.6273405122679474</v>
      </c>
      <c r="AAV6" s="133">
        <v>11.796319550081892</v>
      </c>
      <c r="AAW6" s="133">
        <v>14.155159592569712</v>
      </c>
      <c r="AAX6" s="133">
        <v>15.789657582191207</v>
      </c>
      <c r="AAY6" s="133">
        <v>17.359425925679417</v>
      </c>
      <c r="AAZ6" s="133">
        <v>19.381880014728839</v>
      </c>
      <c r="ABA6" s="81"/>
      <c r="ABB6" s="81">
        <v>7</v>
      </c>
      <c r="ABC6" s="133">
        <v>6.3383448290974096</v>
      </c>
      <c r="ABD6" s="133">
        <v>7.0006512373645613</v>
      </c>
      <c r="ABE6" s="133">
        <v>7.6253641541125594</v>
      </c>
      <c r="ABF6" s="133">
        <v>8.4151156141412642</v>
      </c>
      <c r="ABG6" s="133">
        <v>9.9187563327998927</v>
      </c>
      <c r="ABH6" s="134">
        <v>11.91340243140109</v>
      </c>
      <c r="ABI6" s="133">
        <v>14.309168683091267</v>
      </c>
      <c r="ABJ6" s="133">
        <v>16.865978318112134</v>
      </c>
      <c r="ABK6" s="133">
        <v>18.612771091852363</v>
      </c>
      <c r="ABL6" s="133">
        <v>20.273707785212224</v>
      </c>
      <c r="ABM6" s="133">
        <v>22.392148316222862</v>
      </c>
      <c r="ABN6" s="81"/>
      <c r="ABO6" s="81">
        <v>4</v>
      </c>
      <c r="ABP6" s="133">
        <f t="shared" si="273"/>
        <v>0.21102748237113397</v>
      </c>
      <c r="ABQ6" s="133">
        <f t="shared" si="274"/>
        <v>0.23453275934857765</v>
      </c>
      <c r="ABR6" s="133">
        <f t="shared" si="275"/>
        <v>0.25622767294911647</v>
      </c>
      <c r="ABS6" s="133">
        <f t="shared" ref="ABS6:ABS68" si="471">POWER((0.795277361-0.258772706*LOG(ABO6)+0.068717406*ABO6^0.5)-1.281552*(0.044677223+0.01641939*LOG(ABO6)-0.001290493*ABO6^0.5),1/0.271)</f>
        <v>0.28301589794861426</v>
      </c>
      <c r="ABT6" s="133">
        <f t="shared" ref="ABT6:ABT69" si="472">POWER((0.795277361-0.258772706*LOG(ABO6)+0.068717406*ABO6^0.5)-0.6755*(0.044677223+0.01641939*LOG(ABO6)-0.001290493*ABO6^0.5),1/0.271)</f>
        <v>0.33216785228747847</v>
      </c>
      <c r="ABU6" s="134">
        <f t="shared" ref="ABU6:ABU69" si="473">POWER((0.795277361-0.258772706*LOG(ABO6)+0.068717406*ABO6^0.5)-0*(0.044677223+0.01641939*LOG(ABO6)-0.001290493*ABO6^0.5),1/0.271)</f>
        <v>0.39398091419621045</v>
      </c>
      <c r="ABV6" s="133">
        <f t="shared" ref="ABV6:ABV69" si="474">POWER((0.795277361-0.258772706*LOG(ABO6)+0.068717406*ABO6^0.5)+0.6755*(0.044677223+0.01641939*LOG(ABO6)-0.001290493*ABO6^0.5),1/0.271)</f>
        <v>0.46378411566246069</v>
      </c>
      <c r="ABW6" s="133">
        <f t="shared" si="276"/>
        <v>0.53371992435810178</v>
      </c>
      <c r="ABX6" s="133">
        <f t="shared" si="277"/>
        <v>0.57915651197540385</v>
      </c>
      <c r="ABY6" s="133">
        <f t="shared" si="278"/>
        <v>0.62079479740448251</v>
      </c>
      <c r="ABZ6" s="133">
        <f t="shared" si="279"/>
        <v>0.67190479115676538</v>
      </c>
      <c r="ACA6" s="81"/>
      <c r="ACB6" s="81">
        <v>4</v>
      </c>
      <c r="ACC6" s="133">
        <f t="shared" si="280"/>
        <v>0.23796090039760739</v>
      </c>
      <c r="ACD6" s="133">
        <f t="shared" si="281"/>
        <v>0.26021658651866714</v>
      </c>
      <c r="ACE6" s="133">
        <f t="shared" si="282"/>
        <v>0.28076515668450774</v>
      </c>
      <c r="ACF6" s="133">
        <f t="shared" ref="ACF6:ACF68" si="475">POWER((0.896736818-0.180537368*LOG(ACB6)+0.047247095*ACB6^0.5)-1.281552*(0.021397984+0.028348619*LOG(ACB6)-0.005092552*ACB6^0.5),1/0.141)</f>
        <v>0.30617217848923461</v>
      </c>
      <c r="ACG6" s="133">
        <f t="shared" ref="ACG6:ACG69" si="476">POWER((0.896736818-0.180537368*LOG(ACB6)+0.047247095*ACB6^0.5)-0.6755*(0.021397984+0.028348619*LOG(ACB6)-0.005092552*ACB6^0.5),1/0.141)</f>
        <v>0.35295693830808983</v>
      </c>
      <c r="ACH6" s="134">
        <f t="shared" ref="ACH6:ACH69" si="477">POWER((0.896736818-0.180537368*LOG(ACB6)+0.047247095*ACB6^0.5)-0*(0.021397984+0.028348619*LOG(ACB6)-0.005092552*ACB6^0.5),1/0.141)</f>
        <v>0.4122170929452128</v>
      </c>
      <c r="ACI6" s="133">
        <f t="shared" ref="ACI6:ACI69" si="478">POWER((0.896736818-0.180537368*LOG(ACB6)+0.047247095*ACB6^0.5)+0.6755*(0.021397984+0.028348619*LOG(ACB6)-0.005092552*ACB6^0.5),1/0.141)</f>
        <v>0.47982927626594191</v>
      </c>
      <c r="ACJ6" s="133">
        <f t="shared" si="283"/>
        <v>0.54838727805955834</v>
      </c>
      <c r="ACK6" s="133">
        <f t="shared" si="284"/>
        <v>0.5933893752658238</v>
      </c>
      <c r="ACL6" s="133">
        <f t="shared" si="285"/>
        <v>0.63495538268000695</v>
      </c>
      <c r="ACM6" s="133">
        <f t="shared" si="286"/>
        <v>0.68640729130961553</v>
      </c>
      <c r="ACN6" s="81"/>
      <c r="ACO6" s="81">
        <v>7</v>
      </c>
      <c r="ACP6" s="133">
        <f t="shared" si="287"/>
        <v>0.16658801235770809</v>
      </c>
      <c r="ACQ6" s="133">
        <f t="shared" si="288"/>
        <v>0.19120225221816731</v>
      </c>
      <c r="ACR6" s="133">
        <f t="shared" si="289"/>
        <v>0.21377403295842004</v>
      </c>
      <c r="ACS6" s="133">
        <f t="shared" ref="ACS6:ACS68" si="479">POWER((0.634309641-0.284809327*LOG(ACO6)+0.07950734*ACO6^0.5)-1.281552*(0.066594553+0.01428763*LOG(ACO6)+0.000152332*ACO6^0.5),1/0.484)</f>
        <v>0.24141358936387142</v>
      </c>
      <c r="ACT6" s="133">
        <f t="shared" ref="ACT6:ACT69" si="480">POWER((0.634309641-0.284809327*LOG(ACO6)+0.07950734*ACO6^0.5)-0.675*(0.066594553+0.01428763*LOG(ACO6)+0.000152332*ACO6^0.5),1/0.484)</f>
        <v>0.29143319984570393</v>
      </c>
      <c r="ACU6" s="134">
        <f t="shared" ref="ACU6:ACU69" si="481">POWER((0.634309641-0.284809327*LOG(ACO6)+0.07950734*ACO6^0.5)-0*(0.066594553+0.01428763*LOG(ACO6)+0.000152332*ACO6^0.5),1/0.484)</f>
        <v>0.35282477742860435</v>
      </c>
      <c r="ACV6" s="133">
        <f t="shared" ref="ACV6:ACV69" si="482">POWER((0.634309641-0.284809327*LOG(ACO6)+0.07950734*ACO6^0.5)+0.675*(0.066594553+0.01428763*LOG(ACO6)+0.000152332*ACO6^0.5),1/0.484)</f>
        <v>0.42028534966631559</v>
      </c>
      <c r="ACW6" s="133">
        <f t="shared" si="290"/>
        <v>0.48611035315574053</v>
      </c>
      <c r="ACX6" s="133">
        <f t="shared" si="291"/>
        <v>0.52790656504819555</v>
      </c>
      <c r="ACY6" s="133">
        <f t="shared" si="292"/>
        <v>0.56560062464436067</v>
      </c>
      <c r="ACZ6" s="133">
        <f t="shared" si="293"/>
        <v>0.61111668132847818</v>
      </c>
      <c r="ADA6" s="81"/>
      <c r="ADB6" s="81">
        <v>4</v>
      </c>
      <c r="ADC6" s="133">
        <f t="shared" si="294"/>
        <v>0.17391773845928502</v>
      </c>
      <c r="ADD6" s="133">
        <f t="shared" si="295"/>
        <v>0.1902080979943522</v>
      </c>
      <c r="ADE6" s="133">
        <f t="shared" si="296"/>
        <v>0.20447549303304238</v>
      </c>
      <c r="ADF6" s="133">
        <f t="shared" ref="ADF6:ADF68" si="483">POWER((0.39286799-0.249383226*LOG(ADB6)+0.066340191*ADB6^0.5)-1.281552*(0.0430367+0.019716206*LOG(ADB6)-0.002174746*ADB6^0.5),1/0.775)</f>
        <v>0.22120695089875966</v>
      </c>
      <c r="ADG6" s="133">
        <f t="shared" ref="ADG6:ADG69" si="484">POWER((0.39286799-0.249383226*LOG(ADB6)+0.066340191*ADB6^0.5)-0.6755*(0.0430367+0.019716206*LOG(ADB6)-0.002174746*ADB6^0.5),1/0.775)</f>
        <v>0.24975729249805839</v>
      </c>
      <c r="ADH6" s="134">
        <f t="shared" ref="ADH6:ADH69" si="485">POWER((0.39286799-0.249383226*LOG(ADB6)+0.066340191*ADB6^0.5)-0*(0.0430367+0.019716206*LOG(ADB6)-0.002174746*ADB6^0.5),1/0.775)</f>
        <v>0.28246677771670209</v>
      </c>
      <c r="ADI6" s="133">
        <f t="shared" ref="ADI6:ADI69" si="486">POWER((0.39286799-0.249383226*LOG(ADB6)+0.066340191*ADB6^0.5)+0.6755*(0.0430367+0.019716206*LOG(ADB6)-0.002174746*ADB6^0.5),1/0.775)</f>
        <v>0.31605272681187335</v>
      </c>
      <c r="ADJ6" s="133">
        <f t="shared" si="297"/>
        <v>0.34688823271421915</v>
      </c>
      <c r="ADK6" s="133">
        <f t="shared" si="298"/>
        <v>0.36567672626908276</v>
      </c>
      <c r="ADL6" s="133">
        <f t="shared" si="299"/>
        <v>0.38215115695154278</v>
      </c>
      <c r="ADM6" s="133">
        <f t="shared" si="300"/>
        <v>0.40150893941550425</v>
      </c>
      <c r="ADN6" s="81"/>
      <c r="ADO6" s="81">
        <v>4</v>
      </c>
      <c r="ADP6" s="133">
        <f t="shared" si="301"/>
        <v>0.19195861892853189</v>
      </c>
      <c r="ADQ6" s="133">
        <f t="shared" si="302"/>
        <v>0.20654477278013333</v>
      </c>
      <c r="ADR6" s="133">
        <f t="shared" si="303"/>
        <v>0.2194222064441079</v>
      </c>
      <c r="ADS6" s="133">
        <f t="shared" ref="ADS6:ADS68" si="487">POWER((0.494777077-0.286339292*LOG(ADO6)+0.075102847*ADO6^0.5)-1.281552*(0.034277543+0.048480902*LOG(ADO6)-0.008952374*ADO6^0.5),1/0.608)</f>
        <v>0.23464528382951216</v>
      </c>
      <c r="ADT6" s="133">
        <f t="shared" ref="ADT6:ADT69" si="488">POWER((0.494777077-0.286339292*LOG(ADO6)+0.075102847*ADO6^0.5)-0.6755*(0.034277543+0.048480902*LOG(ADO6)-0.008952374*ADO6^0.5),1/0.608)</f>
        <v>0.26092173752604109</v>
      </c>
      <c r="ADU6" s="134">
        <f t="shared" ref="ADU6:ADU69" si="489">POWER((0.494777077-0.286339292*LOG(ADO6)+0.075102847*ADO6^0.5)-0*(0.034277543+0.048480902*LOG(ADO6)-0.008952374*ADO6^0.5),1/0.608)</f>
        <v>0.29148198036779427</v>
      </c>
      <c r="ADV6" s="133">
        <f t="shared" ref="ADV6:ADV69" si="490">POWER((0.494777077-0.286339292*LOG(ADO6)+0.075102847*ADO6^0.5)+0.6755*(0.034277543+0.048480902*LOG(ADO6)-0.008952374*ADO6^0.5),1/0.608)</f>
        <v>0.32335332947807094</v>
      </c>
      <c r="ADW6" s="133">
        <f t="shared" si="304"/>
        <v>0.35303987978794066</v>
      </c>
      <c r="ADX6" s="133">
        <f t="shared" si="305"/>
        <v>0.37132227765884879</v>
      </c>
      <c r="ADY6" s="133">
        <f t="shared" si="306"/>
        <v>0.38747109022053622</v>
      </c>
      <c r="ADZ6" s="133">
        <f t="shared" si="307"/>
        <v>0.40658471651372913</v>
      </c>
      <c r="AEA6" s="81"/>
      <c r="AEB6" s="81">
        <v>7</v>
      </c>
      <c r="AEC6" s="133">
        <f t="shared" si="308"/>
        <v>0.13998345841880949</v>
      </c>
      <c r="AED6" s="133">
        <f t="shared" si="309"/>
        <v>0.15927902142217343</v>
      </c>
      <c r="AEE6" s="133">
        <f t="shared" si="310"/>
        <v>0.17579919384013759</v>
      </c>
      <c r="AEF6" s="133">
        <f t="shared" ref="AEF6:AEF68" si="491">POWER((0.266376663-0.179934033*LOG(AEB6)+0.050334408*AEB6^0.5)-1.281552*(0.042052117+0.012920455*LOG(AEB6)-0.000834771*AEB6^0.5),1/1.04)</f>
        <v>0.19476938953743525</v>
      </c>
      <c r="AEG6" s="133">
        <f t="shared" ref="AEG6:AEG69" si="492">POWER((0.266376663-0.179934033*LOG(AEB6)+0.050334408*AEB6^0.5)-0.6755*(0.042052117+0.012920455*LOG(AEB6)-0.000834771*AEB6^0.5),1/1.04)</f>
        <v>0.22625445981481715</v>
      </c>
      <c r="AEH6" s="134">
        <f t="shared" ref="AEH6:AEH69" si="493">POWER((0.266376663-0.179934033*LOG(AEB6)+0.050334408*AEB6^0.5)-0*(0.042052117+0.012920455*LOG(AEB6)-0.000834771*AEB6^0.5),1/1.04)</f>
        <v>0.26114243642145718</v>
      </c>
      <c r="AEI6" s="133">
        <f t="shared" ref="AEI6:AEI69" si="494">POWER((0.266376663-0.179934033*LOG(AEB6)+0.050334408*AEB6^0.5)+0.6755*(0.042052117+0.012920455*LOG(AEB6)-0.000834771*AEB6^0.5),1/1.04)</f>
        <v>0.29584438282258191</v>
      </c>
      <c r="AEJ6" s="133">
        <f t="shared" si="311"/>
        <v>0.32683980412870794</v>
      </c>
      <c r="AEK6" s="133">
        <f t="shared" si="312"/>
        <v>0.34536323196111707</v>
      </c>
      <c r="AEL6" s="133">
        <f t="shared" si="313"/>
        <v>0.36139731768622263</v>
      </c>
      <c r="AEM6" s="133">
        <f t="shared" si="314"/>
        <v>0.38000479827930239</v>
      </c>
      <c r="AEN6" s="81"/>
    </row>
    <row r="7" spans="1:820">
      <c r="A7" s="81"/>
      <c r="B7" s="81">
        <v>6</v>
      </c>
      <c r="C7" s="133">
        <f t="shared" si="0"/>
        <v>1.7413392013341644</v>
      </c>
      <c r="D7" s="133">
        <f t="shared" si="1"/>
        <v>1.9958065513890011</v>
      </c>
      <c r="E7" s="133">
        <f t="shared" si="2"/>
        <v>2.2505082885800549</v>
      </c>
      <c r="F7" s="133">
        <f t="shared" si="315"/>
        <v>2.5935034188979857</v>
      </c>
      <c r="G7" s="133">
        <f t="shared" si="316"/>
        <v>3.3141819472080738</v>
      </c>
      <c r="H7" s="134">
        <f t="shared" si="317"/>
        <v>4.4159162194107937</v>
      </c>
      <c r="I7" s="133">
        <f t="shared" si="318"/>
        <v>5.9788329282603829</v>
      </c>
      <c r="J7" s="133">
        <f t="shared" si="3"/>
        <v>7.9665545763843211</v>
      </c>
      <c r="K7" s="133">
        <f t="shared" si="4"/>
        <v>9.5340784153588061</v>
      </c>
      <c r="L7" s="133">
        <f t="shared" si="5"/>
        <v>11.1967505970432</v>
      </c>
      <c r="M7" s="133">
        <f t="shared" si="6"/>
        <v>13.581562495987301</v>
      </c>
      <c r="N7" s="81"/>
      <c r="O7" s="75">
        <v>6</v>
      </c>
      <c r="P7" s="151">
        <f t="shared" si="7"/>
        <v>2.3525989168053214</v>
      </c>
      <c r="Q7" s="151">
        <f t="shared" si="8"/>
        <v>2.6089990691142888</v>
      </c>
      <c r="R7" s="151">
        <f t="shared" si="9"/>
        <v>2.862001487142348</v>
      </c>
      <c r="S7" s="151">
        <f t="shared" si="319"/>
        <v>3.1985569191718257</v>
      </c>
      <c r="T7" s="151">
        <f t="shared" si="320"/>
        <v>3.8962899415630723</v>
      </c>
      <c r="U7" s="134">
        <f t="shared" si="321"/>
        <v>4.9540238662005036</v>
      </c>
      <c r="V7" s="151">
        <f t="shared" si="322"/>
        <v>6.4632873087184839</v>
      </c>
      <c r="W7" s="151">
        <f t="shared" si="10"/>
        <v>8.4292455861365259</v>
      </c>
      <c r="X7" s="151">
        <f t="shared" si="11"/>
        <v>10.031152027599948</v>
      </c>
      <c r="Y7" s="151">
        <f t="shared" si="12"/>
        <v>11.788940857453115</v>
      </c>
      <c r="Z7" s="151">
        <f t="shared" si="13"/>
        <v>14.427654676696395</v>
      </c>
      <c r="AA7" s="81"/>
      <c r="AB7" s="75">
        <v>8</v>
      </c>
      <c r="AC7" s="151">
        <f t="shared" si="14"/>
        <v>1.3454751226511292</v>
      </c>
      <c r="AD7" s="151">
        <f t="shared" si="15"/>
        <v>1.5715734722954466</v>
      </c>
      <c r="AE7" s="151">
        <f t="shared" si="16"/>
        <v>1.8042668463531126</v>
      </c>
      <c r="AF7" s="151">
        <f t="shared" si="323"/>
        <v>2.1273173006936634</v>
      </c>
      <c r="AG7" s="151">
        <f t="shared" si="324"/>
        <v>2.8405015226828119</v>
      </c>
      <c r="AH7" s="134">
        <f t="shared" si="325"/>
        <v>4.0151499564506343</v>
      </c>
      <c r="AI7" s="151">
        <f t="shared" si="326"/>
        <v>5.8439842510596502</v>
      </c>
      <c r="AJ7" s="151">
        <f t="shared" si="17"/>
        <v>8.4271548891735701</v>
      </c>
      <c r="AK7" s="151">
        <f t="shared" si="18"/>
        <v>10.657595003138537</v>
      </c>
      <c r="AL7" s="151">
        <f t="shared" si="19"/>
        <v>13.203676320452592</v>
      </c>
      <c r="AM7" s="151">
        <f t="shared" si="20"/>
        <v>17.17225233323364</v>
      </c>
      <c r="AN7" s="81"/>
      <c r="AO7" s="81">
        <v>6</v>
      </c>
      <c r="AP7" s="133">
        <f t="shared" si="21"/>
        <v>5.0631166229670397</v>
      </c>
      <c r="AQ7" s="133">
        <f t="shared" si="22"/>
        <v>6.8618609709177081</v>
      </c>
      <c r="AR7" s="133">
        <f t="shared" si="23"/>
        <v>8.5141383626034646</v>
      </c>
      <c r="AS7" s="133">
        <f t="shared" si="327"/>
        <v>10.540674423260405</v>
      </c>
      <c r="AT7" s="133">
        <f t="shared" si="328"/>
        <v>14.213135681929799</v>
      </c>
      <c r="AU7" s="134">
        <f t="shared" si="329"/>
        <v>18.740149056259348</v>
      </c>
      <c r="AV7" s="133">
        <f t="shared" si="330"/>
        <v>23.7286732407408</v>
      </c>
      <c r="AW7" s="133">
        <f t="shared" si="24"/>
        <v>28.600490888098019</v>
      </c>
      <c r="AX7" s="133">
        <f t="shared" si="25"/>
        <v>31.701775528619709</v>
      </c>
      <c r="AY7" s="133">
        <f t="shared" si="26"/>
        <v>34.501995211662773</v>
      </c>
      <c r="AZ7" s="133">
        <f t="shared" si="27"/>
        <v>37.887213041213386</v>
      </c>
      <c r="BA7" s="81"/>
      <c r="BB7" s="81">
        <v>6</v>
      </c>
      <c r="BC7" s="133">
        <f t="shared" si="28"/>
        <v>7.3968809328035592</v>
      </c>
      <c r="BD7" s="133">
        <f t="shared" si="29"/>
        <v>9.2920214808295363</v>
      </c>
      <c r="BE7" s="133">
        <f t="shared" si="30"/>
        <v>10.998601235716109</v>
      </c>
      <c r="BF7" s="133">
        <f t="shared" si="331"/>
        <v>13.05248975549015</v>
      </c>
      <c r="BG7" s="133">
        <f t="shared" si="332"/>
        <v>16.680012703558731</v>
      </c>
      <c r="BH7" s="134">
        <f t="shared" si="333"/>
        <v>21.012235558013852</v>
      </c>
      <c r="BI7" s="133">
        <f t="shared" si="334"/>
        <v>25.640665658295969</v>
      </c>
      <c r="BJ7" s="133">
        <f t="shared" si="31"/>
        <v>30.038919804894572</v>
      </c>
      <c r="BK7" s="133">
        <f t="shared" si="32"/>
        <v>32.784656797324267</v>
      </c>
      <c r="BL7" s="133">
        <f t="shared" si="33"/>
        <v>35.231468579015711</v>
      </c>
      <c r="BM7" s="133">
        <f t="shared" si="34"/>
        <v>38.151816158858118</v>
      </c>
      <c r="BN7" s="81"/>
      <c r="BO7" s="75">
        <v>8</v>
      </c>
      <c r="BP7" s="151">
        <f t="shared" si="35"/>
        <v>4.3052937574274646</v>
      </c>
      <c r="BQ7" s="151">
        <f t="shared" si="36"/>
        <v>5.2305760686280447</v>
      </c>
      <c r="BR7" s="151">
        <f t="shared" si="37"/>
        <v>6.156945700704326</v>
      </c>
      <c r="BS7" s="151">
        <f t="shared" si="335"/>
        <v>7.3951209915988505</v>
      </c>
      <c r="BT7" s="151">
        <f t="shared" si="336"/>
        <v>9.9329037258833903</v>
      </c>
      <c r="BU7" s="134">
        <f t="shared" si="337"/>
        <v>13.601644676353846</v>
      </c>
      <c r="BV7" s="151">
        <f t="shared" si="338"/>
        <v>18.366947711014586</v>
      </c>
      <c r="BW7" s="151">
        <f t="shared" si="38"/>
        <v>23.786577646660486</v>
      </c>
      <c r="BX7" s="151">
        <f t="shared" si="39"/>
        <v>27.646740652719899</v>
      </c>
      <c r="BY7" s="151">
        <f t="shared" si="40"/>
        <v>31.415100328711429</v>
      </c>
      <c r="BZ7" s="151">
        <f t="shared" si="41"/>
        <v>36.338785978151371</v>
      </c>
      <c r="CA7" s="81"/>
      <c r="CB7" s="81">
        <v>6</v>
      </c>
      <c r="CC7" s="133">
        <f t="shared" si="42"/>
        <v>7.5695634896498509</v>
      </c>
      <c r="CD7" s="133">
        <f t="shared" si="43"/>
        <v>10.409040380284619</v>
      </c>
      <c r="CE7" s="133">
        <f t="shared" si="44"/>
        <v>12.965001470971277</v>
      </c>
      <c r="CF7" s="133">
        <f t="shared" si="339"/>
        <v>16.034500480944974</v>
      </c>
      <c r="CG7" s="133">
        <f t="shared" si="340"/>
        <v>21.427782199919886</v>
      </c>
      <c r="CH7" s="134">
        <f t="shared" si="341"/>
        <v>27.810888692941422</v>
      </c>
      <c r="CI7" s="133">
        <f t="shared" si="342"/>
        <v>34.555155907436294</v>
      </c>
      <c r="CJ7" s="133">
        <f t="shared" si="45"/>
        <v>40.892053860925891</v>
      </c>
      <c r="CK7" s="133">
        <f t="shared" si="46"/>
        <v>44.81353734242191</v>
      </c>
      <c r="CL7" s="133">
        <f t="shared" si="47"/>
        <v>48.286495011848629</v>
      </c>
      <c r="CM7" s="133">
        <f t="shared" si="48"/>
        <v>52.405789472136924</v>
      </c>
      <c r="CN7" s="81"/>
      <c r="CO7" s="81">
        <v>6</v>
      </c>
      <c r="CP7" s="133">
        <f t="shared" si="49"/>
        <v>10.808677335727573</v>
      </c>
      <c r="CQ7" s="133">
        <f t="shared" si="50"/>
        <v>13.63631396830273</v>
      </c>
      <c r="CR7" s="133">
        <f t="shared" si="51"/>
        <v>16.171918661793711</v>
      </c>
      <c r="CS7" s="133">
        <f t="shared" si="343"/>
        <v>19.208167402856038</v>
      </c>
      <c r="CT7" s="133">
        <f t="shared" si="344"/>
        <v>24.526878886005253</v>
      </c>
      <c r="CU7" s="134">
        <f t="shared" si="345"/>
        <v>30.804661832340013</v>
      </c>
      <c r="CV7" s="133">
        <f t="shared" si="346"/>
        <v>37.425670076025256</v>
      </c>
      <c r="CW7" s="133">
        <f t="shared" si="52"/>
        <v>43.640145932257226</v>
      </c>
      <c r="CX7" s="133">
        <f t="shared" si="53"/>
        <v>47.483891658862866</v>
      </c>
      <c r="CY7" s="133">
        <f t="shared" si="54"/>
        <v>50.887178144515431</v>
      </c>
      <c r="CZ7" s="133">
        <f t="shared" si="55"/>
        <v>54.923164924595461</v>
      </c>
      <c r="DA7" s="81"/>
      <c r="DB7" s="81">
        <v>8</v>
      </c>
      <c r="DC7" s="133">
        <f t="shared" si="56"/>
        <v>1.0895103165226017</v>
      </c>
      <c r="DD7" s="133">
        <f t="shared" si="57"/>
        <v>3.2157170858399384</v>
      </c>
      <c r="DE7" s="133">
        <f t="shared" si="58"/>
        <v>5.1963939808728812</v>
      </c>
      <c r="DF7" s="133">
        <f t="shared" si="347"/>
        <v>7.6472187504975073</v>
      </c>
      <c r="DG7" s="133">
        <f t="shared" si="348"/>
        <v>12.116442971866686</v>
      </c>
      <c r="DH7" s="134">
        <f t="shared" si="349"/>
        <v>17.631014715867639</v>
      </c>
      <c r="DI7" s="133">
        <f t="shared" si="350"/>
        <v>23.678737268186637</v>
      </c>
      <c r="DJ7" s="133">
        <f t="shared" si="59"/>
        <v>29.537979294035171</v>
      </c>
      <c r="DK7" s="133">
        <f t="shared" si="60"/>
        <v>33.240091759264651</v>
      </c>
      <c r="DL7" s="133">
        <f t="shared" si="61"/>
        <v>36.563466317468084</v>
      </c>
      <c r="DM7" s="133">
        <f t="shared" si="62"/>
        <v>40.55637079695947</v>
      </c>
      <c r="DN7" s="81"/>
      <c r="DO7" s="81">
        <v>6</v>
      </c>
      <c r="DP7" s="133">
        <v>10.697947472966479</v>
      </c>
      <c r="DQ7" s="133">
        <v>11.520652545005388</v>
      </c>
      <c r="DR7" s="133">
        <v>12.278652409945103</v>
      </c>
      <c r="DS7" s="133">
        <v>13.214680129233768</v>
      </c>
      <c r="DT7" s="133">
        <v>14.937620557016388</v>
      </c>
      <c r="DU7" s="134">
        <v>17.124001679489904</v>
      </c>
      <c r="DV7" s="133">
        <v>19.63039778657642</v>
      </c>
      <c r="DW7" s="133">
        <v>22.189824547510678</v>
      </c>
      <c r="DX7" s="133">
        <v>23.881401942909463</v>
      </c>
      <c r="DY7" s="133">
        <v>25.452675738085613</v>
      </c>
      <c r="DZ7" s="133">
        <v>27.410064805437067</v>
      </c>
      <c r="EA7" s="81"/>
      <c r="EB7" s="81">
        <v>6</v>
      </c>
      <c r="EC7" s="133">
        <v>10.678596078165551</v>
      </c>
      <c r="ED7" s="133">
        <v>11.483712467565475</v>
      </c>
      <c r="EE7" s="133">
        <v>12.224542702611785</v>
      </c>
      <c r="EF7" s="133">
        <v>13.138180467280197</v>
      </c>
      <c r="EG7" s="133">
        <v>14.816768616310267</v>
      </c>
      <c r="EH7" s="134">
        <v>16.941642380427712</v>
      </c>
      <c r="EI7" s="133">
        <v>19.371244431147705</v>
      </c>
      <c r="EJ7" s="133">
        <v>21.846194551909797</v>
      </c>
      <c r="EK7" s="133">
        <v>23.47893524761318</v>
      </c>
      <c r="EL7" s="133">
        <v>24.993593958135026</v>
      </c>
      <c r="EM7" s="133">
        <v>26.877994489666158</v>
      </c>
      <c r="EN7" s="81"/>
      <c r="EO7" s="81">
        <v>8</v>
      </c>
      <c r="EP7" s="133">
        <v>11.913938071697437</v>
      </c>
      <c r="EQ7" s="133">
        <v>13.038713770096482</v>
      </c>
      <c r="ER7" s="133">
        <v>14.09065430416436</v>
      </c>
      <c r="ES7" s="133">
        <v>15.409232169188412</v>
      </c>
      <c r="ET7" s="133">
        <v>17.889137467902721</v>
      </c>
      <c r="EU7" s="134">
        <v>21.126339400262459</v>
      </c>
      <c r="EV7" s="133">
        <v>24.949342429498799</v>
      </c>
      <c r="EW7" s="133">
        <v>28.96459807695852</v>
      </c>
      <c r="EX7" s="133">
        <v>31.675052614354161</v>
      </c>
      <c r="EY7" s="133">
        <v>34.230540245364956</v>
      </c>
      <c r="EZ7" s="133">
        <v>37.462190399944923</v>
      </c>
      <c r="FA7" s="81"/>
      <c r="FB7" s="81">
        <v>6</v>
      </c>
      <c r="FC7" s="133">
        <v>5.2138912365690597</v>
      </c>
      <c r="FD7" s="133">
        <v>5.6921191016604666</v>
      </c>
      <c r="FE7" s="133">
        <v>6.1383601224136326</v>
      </c>
      <c r="FF7" s="133">
        <v>6.6964368736588522</v>
      </c>
      <c r="FG7" s="133">
        <v>7.7425950364334781</v>
      </c>
      <c r="FH7" s="134">
        <v>9.1023479524034094</v>
      </c>
      <c r="FI7" s="133">
        <v>10.70090039021175</v>
      </c>
      <c r="FJ7" s="133">
        <v>12.372660238541577</v>
      </c>
      <c r="FK7" s="133">
        <v>13.497536246544698</v>
      </c>
      <c r="FL7" s="133">
        <v>14.555693014654828</v>
      </c>
      <c r="FM7" s="133">
        <v>15.89076842752532</v>
      </c>
      <c r="FN7" s="81"/>
      <c r="FO7" s="81">
        <v>6</v>
      </c>
      <c r="FP7" s="133">
        <v>5.2078339639040241</v>
      </c>
      <c r="FQ7" s="133">
        <v>5.6846594035513736</v>
      </c>
      <c r="FR7" s="133">
        <v>6.1295302931791449</v>
      </c>
      <c r="FS7" s="133">
        <v>6.6858166651470317</v>
      </c>
      <c r="FT7" s="133">
        <v>7.7284111687826575</v>
      </c>
      <c r="FU7" s="134">
        <v>9.0831782266967185</v>
      </c>
      <c r="FV7" s="133">
        <v>10.675431844412721</v>
      </c>
      <c r="FW7" s="133">
        <v>12.340171863824649</v>
      </c>
      <c r="FX7" s="133">
        <v>13.4601058729976</v>
      </c>
      <c r="FY7" s="133">
        <v>14.513468765849824</v>
      </c>
      <c r="FZ7" s="133">
        <v>15.842311269864023</v>
      </c>
      <c r="GA7" s="81"/>
      <c r="GB7" s="81">
        <v>8</v>
      </c>
      <c r="GC7" s="133">
        <v>5.9149266283048441</v>
      </c>
      <c r="GD7" s="133">
        <v>6.5515323763016022</v>
      </c>
      <c r="GE7" s="133">
        <v>7.1535846628143345</v>
      </c>
      <c r="GF7" s="133">
        <v>7.9166932122757121</v>
      </c>
      <c r="GG7" s="133">
        <v>9.3751261249420264</v>
      </c>
      <c r="GH7" s="134">
        <v>11.319446877255684</v>
      </c>
      <c r="GI7" s="133">
        <v>13.667003078084546</v>
      </c>
      <c r="GJ7" s="133">
        <v>16.184772375457712</v>
      </c>
      <c r="GK7" s="133">
        <v>17.911282754932149</v>
      </c>
      <c r="GL7" s="133">
        <v>19.557237947947673</v>
      </c>
      <c r="GM7" s="133">
        <v>21.662124597432953</v>
      </c>
      <c r="GN7" s="81"/>
      <c r="GO7" s="81">
        <v>6</v>
      </c>
      <c r="GP7" s="133">
        <f t="shared" si="63"/>
        <v>0.30240493245670641</v>
      </c>
      <c r="GQ7" s="133">
        <f t="shared" si="64"/>
        <v>0.35259699069270067</v>
      </c>
      <c r="GR7" s="133">
        <f t="shared" si="65"/>
        <v>0.39036865396145776</v>
      </c>
      <c r="GS7" s="133">
        <f t="shared" si="351"/>
        <v>0.4295949826583601</v>
      </c>
      <c r="GT7" s="133">
        <f t="shared" si="352"/>
        <v>0.48929127440278797</v>
      </c>
      <c r="GU7" s="134">
        <f t="shared" si="353"/>
        <v>0.54481978584772706</v>
      </c>
      <c r="GV7" s="133">
        <f t="shared" si="354"/>
        <v>0.59490985987547318</v>
      </c>
      <c r="GW7" s="133">
        <f t="shared" si="66"/>
        <v>0.63860231307828741</v>
      </c>
      <c r="GX7" s="133">
        <f t="shared" si="67"/>
        <v>0.66264524216155996</v>
      </c>
      <c r="GY7" s="133">
        <f t="shared" si="68"/>
        <v>0.68277389816928757</v>
      </c>
      <c r="GZ7" s="133">
        <f t="shared" si="69"/>
        <v>0.70541422704930357</v>
      </c>
      <c r="HA7" s="81"/>
      <c r="HB7" s="81">
        <v>6</v>
      </c>
      <c r="HC7" s="133">
        <f t="shared" si="70"/>
        <v>0.32698262959863778</v>
      </c>
      <c r="HD7" s="133">
        <f t="shared" si="71"/>
        <v>0.37071200174462476</v>
      </c>
      <c r="HE7" s="133">
        <f t="shared" si="72"/>
        <v>0.40442248060547348</v>
      </c>
      <c r="HF7" s="133">
        <f t="shared" si="355"/>
        <v>0.43997843787554064</v>
      </c>
      <c r="HG7" s="133">
        <f t="shared" si="356"/>
        <v>0.49342135760276773</v>
      </c>
      <c r="HH7" s="134">
        <f t="shared" si="357"/>
        <v>0.54664848550417622</v>
      </c>
      <c r="HI7" s="133">
        <f t="shared" si="358"/>
        <v>0.59496127899588502</v>
      </c>
      <c r="HJ7" s="133">
        <f t="shared" si="73"/>
        <v>0.63507139734856932</v>
      </c>
      <c r="HK7" s="133">
        <f t="shared" si="74"/>
        <v>0.65789977383080456</v>
      </c>
      <c r="HL7" s="133">
        <f t="shared" si="75"/>
        <v>0.67705281151212593</v>
      </c>
      <c r="HM7" s="133">
        <f t="shared" si="76"/>
        <v>0.69863696398514108</v>
      </c>
      <c r="HN7" s="81"/>
      <c r="HO7" s="81">
        <v>8</v>
      </c>
      <c r="HP7" s="83">
        <f t="shared" si="77"/>
        <v>0.30787209084835609</v>
      </c>
      <c r="HQ7" s="83">
        <f t="shared" si="78"/>
        <v>0.35897722656598313</v>
      </c>
      <c r="HR7" s="83">
        <f t="shared" si="79"/>
        <v>0.39734422953069815</v>
      </c>
      <c r="HS7" s="83">
        <f t="shared" si="359"/>
        <v>0.43712255682491186</v>
      </c>
      <c r="HT7" s="83">
        <f t="shared" si="360"/>
        <v>0.49593873053188442</v>
      </c>
      <c r="HU7" s="84">
        <f t="shared" si="361"/>
        <v>0.55367005193290708</v>
      </c>
      <c r="HV7" s="83">
        <f t="shared" si="362"/>
        <v>0.60553050290771326</v>
      </c>
      <c r="HW7" s="83">
        <f t="shared" si="80"/>
        <v>0.64827960826143172</v>
      </c>
      <c r="HX7" s="83">
        <f t="shared" si="81"/>
        <v>0.67250560378127977</v>
      </c>
      <c r="HY7" s="83">
        <f t="shared" si="82"/>
        <v>0.69277936626396908</v>
      </c>
      <c r="HZ7" s="83">
        <f t="shared" si="83"/>
        <v>0.71557443318775327</v>
      </c>
      <c r="IA7" s="81"/>
      <c r="IB7" s="81">
        <v>6</v>
      </c>
      <c r="IC7" s="83">
        <f t="shared" si="84"/>
        <v>0.22832181430234227</v>
      </c>
      <c r="ID7" s="83">
        <f t="shared" si="85"/>
        <v>0.26001026453233494</v>
      </c>
      <c r="IE7" s="83">
        <f t="shared" si="86"/>
        <v>0.2809178525684321</v>
      </c>
      <c r="IF7" s="83">
        <f t="shared" si="363"/>
        <v>0.30085631870193158</v>
      </c>
      <c r="IG7" s="83">
        <f t="shared" si="364"/>
        <v>0.32799135617279784</v>
      </c>
      <c r="IH7" s="84">
        <f t="shared" si="365"/>
        <v>0.35260500260472993</v>
      </c>
      <c r="II7" s="83">
        <f t="shared" si="366"/>
        <v>0.37340688882359985</v>
      </c>
      <c r="IJ7" s="83">
        <f t="shared" si="87"/>
        <v>0.38979292794084619</v>
      </c>
      <c r="IK7" s="83">
        <f t="shared" si="88"/>
        <v>0.39881306912543468</v>
      </c>
      <c r="IL7" s="83">
        <f t="shared" si="89"/>
        <v>0.40622690540280121</v>
      </c>
      <c r="IM7" s="83">
        <f t="shared" si="90"/>
        <v>0.41442552266457</v>
      </c>
      <c r="IN7" s="81"/>
      <c r="IO7" s="81">
        <v>6</v>
      </c>
      <c r="IP7" s="133">
        <f t="shared" si="91"/>
        <v>0.24455855902082199</v>
      </c>
      <c r="IQ7" s="133">
        <f t="shared" si="92"/>
        <v>0.27024604679927061</v>
      </c>
      <c r="IR7" s="133">
        <f t="shared" si="93"/>
        <v>0.28818822948142475</v>
      </c>
      <c r="IS7" s="133">
        <f t="shared" si="367"/>
        <v>0.30583887539473159</v>
      </c>
      <c r="IT7" s="133">
        <f t="shared" si="368"/>
        <v>0.33050061572467654</v>
      </c>
      <c r="IU7" s="134">
        <f t="shared" si="369"/>
        <v>0.35335034896646428</v>
      </c>
      <c r="IV7" s="133">
        <f t="shared" si="370"/>
        <v>0.37293011997604802</v>
      </c>
      <c r="IW7" s="133">
        <f t="shared" si="94"/>
        <v>0.38849135433277387</v>
      </c>
      <c r="IX7" s="133">
        <f t="shared" si="95"/>
        <v>0.39710144703458078</v>
      </c>
      <c r="IY7" s="133">
        <f t="shared" si="96"/>
        <v>0.40419914656552391</v>
      </c>
      <c r="IZ7" s="133">
        <f t="shared" si="97"/>
        <v>0.41206838063571072</v>
      </c>
      <c r="JA7" s="81"/>
      <c r="JB7" s="81">
        <v>8</v>
      </c>
      <c r="JC7" s="133">
        <f t="shared" si="98"/>
        <v>0.23224669283215663</v>
      </c>
      <c r="JD7" s="133">
        <f t="shared" si="99"/>
        <v>0.26387457686907095</v>
      </c>
      <c r="JE7" s="133">
        <f t="shared" si="100"/>
        <v>0.28475066289759748</v>
      </c>
      <c r="JF7" s="133">
        <f t="shared" si="371"/>
        <v>0.3046586593786425</v>
      </c>
      <c r="JG7" s="133">
        <f t="shared" si="372"/>
        <v>0.33174616192913786</v>
      </c>
      <c r="JH7" s="134">
        <f t="shared" si="373"/>
        <v>0.35630733663605524</v>
      </c>
      <c r="JI7" s="133">
        <f t="shared" si="374"/>
        <v>0.37705652506899157</v>
      </c>
      <c r="JJ7" s="133">
        <f t="shared" si="101"/>
        <v>0.39339523844768964</v>
      </c>
      <c r="JK7" s="133">
        <f t="shared" si="102"/>
        <v>0.40238707211767166</v>
      </c>
      <c r="JL7" s="133">
        <f t="shared" si="103"/>
        <v>0.40977642702885364</v>
      </c>
      <c r="JM7" s="133">
        <f t="shared" si="104"/>
        <v>0.41794668784316458</v>
      </c>
      <c r="JN7" s="81"/>
      <c r="JO7" s="81">
        <v>5</v>
      </c>
      <c r="JP7" s="133">
        <f t="shared" si="105"/>
        <v>-2.6194975261190585</v>
      </c>
      <c r="JQ7" s="133">
        <f t="shared" si="106"/>
        <v>-1.7847035256205643</v>
      </c>
      <c r="JR7" s="133">
        <f t="shared" si="107"/>
        <v>-1.0615830808302746</v>
      </c>
      <c r="JS7" s="133">
        <f t="shared" si="375"/>
        <v>-0.22211144500758095</v>
      </c>
      <c r="JT7" s="133">
        <f t="shared" si="376"/>
        <v>1.1915812222480575</v>
      </c>
      <c r="JU7" s="134">
        <f t="shared" si="377"/>
        <v>2.7861403351897884</v>
      </c>
      <c r="JV7" s="133">
        <f t="shared" si="378"/>
        <v>4.399747762880871</v>
      </c>
      <c r="JW7" s="133">
        <f t="shared" si="108"/>
        <v>5.8630180306879396</v>
      </c>
      <c r="JX7" s="133">
        <f t="shared" si="109"/>
        <v>6.7470098063343755</v>
      </c>
      <c r="JY7" s="133">
        <f t="shared" si="110"/>
        <v>7.5177808164853204</v>
      </c>
      <c r="JZ7" s="133">
        <f t="shared" si="111"/>
        <v>8.418597816489843</v>
      </c>
      <c r="KA7" s="81"/>
      <c r="KB7" s="81">
        <v>5</v>
      </c>
      <c r="KC7" s="133">
        <f t="shared" si="112"/>
        <v>-2.3585852564589338</v>
      </c>
      <c r="KD7" s="133">
        <f t="shared" si="113"/>
        <v>-1.573389976850855</v>
      </c>
      <c r="KE7" s="133">
        <f t="shared" si="114"/>
        <v>-0.8826433365343771</v>
      </c>
      <c r="KF7" s="133">
        <f t="shared" si="379"/>
        <v>-6.8990911895644658E-2</v>
      </c>
      <c r="KG7" s="133">
        <f t="shared" si="380"/>
        <v>1.3282623575004848</v>
      </c>
      <c r="KH7" s="134">
        <f t="shared" si="381"/>
        <v>2.9423917076712804</v>
      </c>
      <c r="KI7" s="133">
        <f t="shared" si="382"/>
        <v>4.6140061308091571</v>
      </c>
      <c r="KJ7" s="133">
        <f t="shared" si="115"/>
        <v>6.1608899966057198</v>
      </c>
      <c r="KK7" s="133">
        <f t="shared" si="116"/>
        <v>7.1089254415015279</v>
      </c>
      <c r="KL7" s="133">
        <f t="shared" si="117"/>
        <v>7.9435227003617914</v>
      </c>
      <c r="KM7" s="133">
        <f t="shared" si="118"/>
        <v>8.9280666363374994</v>
      </c>
      <c r="KN7" s="81"/>
      <c r="KO7" s="81">
        <v>7</v>
      </c>
      <c r="KP7" s="133">
        <f t="shared" si="119"/>
        <v>-5.9708219000860883</v>
      </c>
      <c r="KQ7" s="133">
        <f t="shared" si="120"/>
        <v>-4.8533819312801114</v>
      </c>
      <c r="KR7" s="133">
        <f t="shared" si="121"/>
        <v>-3.896035268954126</v>
      </c>
      <c r="KS7" s="133">
        <f t="shared" si="383"/>
        <v>-2.7962414572669836</v>
      </c>
      <c r="KT7" s="133">
        <f t="shared" si="384"/>
        <v>-0.970310238791388</v>
      </c>
      <c r="KU7" s="134">
        <f t="shared" si="385"/>
        <v>1.0531767690342662</v>
      </c>
      <c r="KV7" s="133">
        <f t="shared" si="386"/>
        <v>3.0655685323363286</v>
      </c>
      <c r="KW7" s="133">
        <f t="shared" si="122"/>
        <v>4.8624798298132745</v>
      </c>
      <c r="KX7" s="133">
        <f t="shared" si="123"/>
        <v>5.9360349988768242</v>
      </c>
      <c r="KY7" s="133">
        <f t="shared" si="124"/>
        <v>6.8651045201308136</v>
      </c>
      <c r="KZ7" s="133">
        <f t="shared" si="125"/>
        <v>7.9430222226948004</v>
      </c>
      <c r="LA7" s="81"/>
      <c r="LB7" s="81">
        <v>5</v>
      </c>
      <c r="LC7" s="133">
        <f t="shared" si="126"/>
        <v>-10.533682166863688</v>
      </c>
      <c r="LD7" s="133">
        <f t="shared" si="127"/>
        <v>-7.1817936003082679</v>
      </c>
      <c r="LE7" s="133">
        <f t="shared" si="128"/>
        <v>-4.2331853362590266</v>
      </c>
      <c r="LF7" s="133">
        <f t="shared" si="387"/>
        <v>-0.7627606911981033</v>
      </c>
      <c r="LG7" s="133">
        <f t="shared" si="388"/>
        <v>5.183883411067292</v>
      </c>
      <c r="LH7" s="134">
        <f t="shared" si="389"/>
        <v>12.025609882017363</v>
      </c>
      <c r="LI7" s="133">
        <f t="shared" si="390"/>
        <v>19.07368078010569</v>
      </c>
      <c r="LJ7" s="133">
        <f t="shared" si="129"/>
        <v>25.559488244475126</v>
      </c>
      <c r="LK7" s="133">
        <f t="shared" si="130"/>
        <v>29.516747405360427</v>
      </c>
      <c r="LL7" s="133">
        <f t="shared" si="131"/>
        <v>32.989334453830814</v>
      </c>
      <c r="LM7" s="133">
        <f t="shared" si="132"/>
        <v>37.072436816657081</v>
      </c>
      <c r="LN7" s="81"/>
      <c r="LO7" s="81">
        <v>5</v>
      </c>
      <c r="LP7" s="133">
        <f t="shared" si="133"/>
        <v>-9.5574720395241677</v>
      </c>
      <c r="LQ7" s="133">
        <f t="shared" si="134"/>
        <v>-6.2253331017950764</v>
      </c>
      <c r="LR7" s="133">
        <f t="shared" si="135"/>
        <v>-3.2743482647908202</v>
      </c>
      <c r="LS7" s="133">
        <f t="shared" si="391"/>
        <v>0.21930784661426728</v>
      </c>
      <c r="LT7" s="133">
        <f t="shared" si="392"/>
        <v>6.2494916735022734</v>
      </c>
      <c r="LU7" s="134">
        <f t="shared" si="393"/>
        <v>13.244257167735345</v>
      </c>
      <c r="LV7" s="133">
        <f t="shared" si="394"/>
        <v>20.502574896265333</v>
      </c>
      <c r="LW7" s="133">
        <f t="shared" si="136"/>
        <v>27.221702476312384</v>
      </c>
      <c r="LX7" s="133">
        <f t="shared" si="137"/>
        <v>31.337833475212417</v>
      </c>
      <c r="LY7" s="133">
        <f t="shared" si="138"/>
        <v>34.959241701103124</v>
      </c>
      <c r="LZ7" s="133">
        <f t="shared" si="139"/>
        <v>39.227821424885789</v>
      </c>
      <c r="MA7" s="81"/>
      <c r="MB7" s="81">
        <v>7</v>
      </c>
      <c r="MC7" s="133">
        <f t="shared" si="140"/>
        <v>-17.908871203591044</v>
      </c>
      <c r="MD7" s="133">
        <f t="shared" si="141"/>
        <v>-14.383426652518803</v>
      </c>
      <c r="ME7" s="133">
        <f t="shared" si="142"/>
        <v>-11.293091440988118</v>
      </c>
      <c r="MF7" s="133">
        <f t="shared" si="395"/>
        <v>-7.6703447640009941</v>
      </c>
      <c r="MG7" s="133">
        <f t="shared" si="396"/>
        <v>-1.5004053864895397</v>
      </c>
      <c r="MH7" s="134">
        <f t="shared" si="397"/>
        <v>5.5400516645182236</v>
      </c>
      <c r="MI7" s="133">
        <f t="shared" si="398"/>
        <v>12.731022915745818</v>
      </c>
      <c r="MJ7" s="133">
        <f t="shared" si="143"/>
        <v>19.296592845591611</v>
      </c>
      <c r="MK7" s="133">
        <f t="shared" si="144"/>
        <v>23.279657703323302</v>
      </c>
      <c r="ML7" s="133">
        <f t="shared" si="145"/>
        <v>26.761324693375755</v>
      </c>
      <c r="MM7" s="133">
        <f t="shared" si="146"/>
        <v>30.839541412811023</v>
      </c>
      <c r="MN7" s="81"/>
      <c r="MO7" s="81">
        <v>5</v>
      </c>
      <c r="MP7" s="133">
        <f t="shared" si="147"/>
        <v>-3.9190666923819037</v>
      </c>
      <c r="MQ7" s="133">
        <f t="shared" si="148"/>
        <v>-0.12571809759087671</v>
      </c>
      <c r="MR7" s="133">
        <f t="shared" si="149"/>
        <v>3.1468477534657282</v>
      </c>
      <c r="MS7" s="133">
        <f t="shared" si="399"/>
        <v>6.9305038286570664</v>
      </c>
      <c r="MT7" s="133">
        <f t="shared" si="400"/>
        <v>13.265217728114465</v>
      </c>
      <c r="MU7" s="134">
        <f t="shared" si="401"/>
        <v>20.356007414522189</v>
      </c>
      <c r="MV7" s="133">
        <f t="shared" si="402"/>
        <v>27.475029075996879</v>
      </c>
      <c r="MW7" s="133">
        <f t="shared" si="150"/>
        <v>33.883743893057932</v>
      </c>
      <c r="MX7" s="133">
        <f t="shared" si="151"/>
        <v>37.734516408570023</v>
      </c>
      <c r="MY7" s="133">
        <f t="shared" si="152"/>
        <v>41.079647227082809</v>
      </c>
      <c r="MZ7" s="133">
        <f t="shared" si="153"/>
        <v>44.974853661070988</v>
      </c>
      <c r="NA7" s="81"/>
      <c r="NB7" s="81">
        <v>5</v>
      </c>
      <c r="NC7" s="133">
        <f t="shared" si="154"/>
        <v>-2.3175100265069801</v>
      </c>
      <c r="ND7" s="133">
        <f t="shared" si="155"/>
        <v>1.4895184330858768</v>
      </c>
      <c r="NE7" s="133">
        <f t="shared" si="156"/>
        <v>4.7813012954313443</v>
      </c>
      <c r="NF7" s="133">
        <f t="shared" si="403"/>
        <v>8.5945982139067105</v>
      </c>
      <c r="NG7" s="133">
        <f t="shared" si="404"/>
        <v>14.994237291320399</v>
      </c>
      <c r="NH7" s="134">
        <f t="shared" si="405"/>
        <v>22.176867377891885</v>
      </c>
      <c r="NI7" s="133">
        <f t="shared" si="406"/>
        <v>29.405170984540536</v>
      </c>
      <c r="NJ7" s="133">
        <f t="shared" si="157"/>
        <v>35.924822040442649</v>
      </c>
      <c r="NK7" s="133">
        <f t="shared" si="158"/>
        <v>39.847354380856629</v>
      </c>
      <c r="NL7" s="133">
        <f t="shared" si="159"/>
        <v>43.257686736780428</v>
      </c>
      <c r="NM7" s="133">
        <f t="shared" si="160"/>
        <v>47.231971455892605</v>
      </c>
      <c r="NN7" s="81"/>
      <c r="NO7" s="81">
        <v>7</v>
      </c>
      <c r="NP7" s="133">
        <f t="shared" si="161"/>
        <v>-14.212982359773978</v>
      </c>
      <c r="NQ7" s="133">
        <f t="shared" si="162"/>
        <v>-10.350902931010829</v>
      </c>
      <c r="NR7" s="133">
        <f t="shared" si="163"/>
        <v>-7.0270442428952897</v>
      </c>
      <c r="NS7" s="133">
        <f t="shared" si="407"/>
        <v>-3.1925632214744155</v>
      </c>
      <c r="NT7" s="133">
        <f t="shared" si="408"/>
        <v>3.2087705292563626</v>
      </c>
      <c r="NU7" s="134">
        <f t="shared" si="409"/>
        <v>10.349639829007565</v>
      </c>
      <c r="NV7" s="133">
        <f t="shared" si="410"/>
        <v>17.495918192715095</v>
      </c>
      <c r="NW7" s="133">
        <f t="shared" si="164"/>
        <v>23.911507959684563</v>
      </c>
      <c r="NX7" s="133">
        <f t="shared" si="165"/>
        <v>27.759022460759518</v>
      </c>
      <c r="NY7" s="133">
        <f t="shared" si="166"/>
        <v>31.097093019400027</v>
      </c>
      <c r="NZ7" s="133">
        <f t="shared" si="167"/>
        <v>34.979353694072692</v>
      </c>
      <c r="OA7" s="81"/>
      <c r="OB7" s="81">
        <v>5</v>
      </c>
      <c r="OC7" s="133">
        <v>9.1983508383987918</v>
      </c>
      <c r="OD7" s="133">
        <v>10.132035928571012</v>
      </c>
      <c r="OE7" s="133">
        <v>11.010513948479597</v>
      </c>
      <c r="OF7" s="133">
        <v>12.118284729421616</v>
      </c>
      <c r="OG7" s="133">
        <v>14.219793728794594</v>
      </c>
      <c r="OH7" s="134">
        <v>16.994328912813238</v>
      </c>
      <c r="OI7" s="133">
        <v>20.310225359461807</v>
      </c>
      <c r="OJ7" s="133">
        <v>23.832351000607662</v>
      </c>
      <c r="OK7" s="133">
        <v>26.230130268965343</v>
      </c>
      <c r="OL7" s="133">
        <v>28.504361535323962</v>
      </c>
      <c r="OM7" s="133">
        <v>31.397716859335851</v>
      </c>
      <c r="ON7" s="81"/>
      <c r="OO7" s="81">
        <v>5</v>
      </c>
      <c r="OP7" s="133">
        <v>7.9366058468535616</v>
      </c>
      <c r="OQ7" s="133">
        <v>8.8663101937425708</v>
      </c>
      <c r="OR7" s="133">
        <v>9.752556822637402</v>
      </c>
      <c r="OS7" s="133">
        <v>10.884836641596733</v>
      </c>
      <c r="OT7" s="133">
        <v>20.486583534624305</v>
      </c>
      <c r="OU7" s="134">
        <v>16.036009406941524</v>
      </c>
      <c r="OV7" s="133">
        <v>19.669482596274225</v>
      </c>
      <c r="OW7" s="133">
        <v>23.624938634062421</v>
      </c>
      <c r="OX7" s="133">
        <v>26.367813320771248</v>
      </c>
      <c r="OY7" s="133">
        <v>29.003451501279969</v>
      </c>
      <c r="OZ7" s="133">
        <v>32.400953589179998</v>
      </c>
      <c r="PA7" s="81"/>
      <c r="PB7" s="81">
        <v>7</v>
      </c>
      <c r="PC7" s="133">
        <v>12.597346971292916</v>
      </c>
      <c r="PD7" s="133">
        <v>13.843379014581721</v>
      </c>
      <c r="PE7" s="133">
        <v>15.013173872181587</v>
      </c>
      <c r="PF7" s="133">
        <v>16.485076012913442</v>
      </c>
      <c r="PG7" s="133">
        <v>19.26857937516305</v>
      </c>
      <c r="PH7" s="134">
        <v>22.928358789122171</v>
      </c>
      <c r="PI7" s="133">
        <v>27.283258746119529</v>
      </c>
      <c r="PJ7" s="133">
        <v>31.89003413456544</v>
      </c>
      <c r="PK7" s="133">
        <v>35.016555542384069</v>
      </c>
      <c r="PL7" s="133">
        <v>37.97552867756977</v>
      </c>
      <c r="PM7" s="133">
        <v>41.731773996597333</v>
      </c>
      <c r="PN7" s="81"/>
      <c r="PO7" s="81">
        <v>5</v>
      </c>
      <c r="PP7" s="133">
        <v>5.4912215211689066</v>
      </c>
      <c r="PQ7" s="133">
        <v>5.9613208978459253</v>
      </c>
      <c r="PR7" s="133">
        <v>6.3976969744495031</v>
      </c>
      <c r="PS7" s="133">
        <v>6.9406016467588358</v>
      </c>
      <c r="PT7" s="133">
        <v>7.9507170062548438</v>
      </c>
      <c r="PU7" s="134">
        <v>9.25075933826934</v>
      </c>
      <c r="PV7" s="133">
        <v>10.763374959422418</v>
      </c>
      <c r="PW7" s="133">
        <v>12.329845839018931</v>
      </c>
      <c r="PX7" s="133">
        <v>13.376149054315109</v>
      </c>
      <c r="PY7" s="133">
        <v>14.355299739945183</v>
      </c>
      <c r="PZ7" s="133">
        <v>15.584246238232403</v>
      </c>
      <c r="QA7" s="81"/>
      <c r="QB7" s="81">
        <v>5</v>
      </c>
      <c r="QC7" s="133">
        <v>5.8349534763476294</v>
      </c>
      <c r="QD7" s="133">
        <v>6.2741357909180824</v>
      </c>
      <c r="QE7" s="133">
        <v>6.6782060949651374</v>
      </c>
      <c r="QF7" s="133">
        <v>7.1764757030085686</v>
      </c>
      <c r="QG7" s="133">
        <v>8.0917803249427038</v>
      </c>
      <c r="QH7" s="134">
        <v>9.2501952005530956</v>
      </c>
      <c r="QI7" s="133">
        <v>10.574448120468643</v>
      </c>
      <c r="QJ7" s="133">
        <v>11.923138151567064</v>
      </c>
      <c r="QK7" s="133">
        <v>12.812738934913362</v>
      </c>
      <c r="QL7" s="133">
        <v>13.637911913254081</v>
      </c>
      <c r="QM7" s="133">
        <v>14.664403340178021</v>
      </c>
      <c r="QN7" s="81"/>
      <c r="QO7" s="81">
        <v>7</v>
      </c>
      <c r="QP7" s="133">
        <v>6.0081105348608403</v>
      </c>
      <c r="QQ7" s="133">
        <v>6.5827938377631225</v>
      </c>
      <c r="QR7" s="133">
        <v>7.120829805262451</v>
      </c>
      <c r="QS7" s="133">
        <v>7.795953218885165</v>
      </c>
      <c r="QT7" s="133">
        <v>9.0676134645374429</v>
      </c>
      <c r="QU7" s="134">
        <v>10.730912547526017</v>
      </c>
      <c r="QV7" s="133">
        <v>12.699315487255991</v>
      </c>
      <c r="QW7" s="133">
        <v>14.770802347005144</v>
      </c>
      <c r="QX7" s="133">
        <v>16.171217014279861</v>
      </c>
      <c r="QY7" s="133">
        <v>17.492950096972947</v>
      </c>
      <c r="QZ7" s="133">
        <v>19.166172698471918</v>
      </c>
      <c r="RA7" s="81"/>
      <c r="RB7" s="81">
        <v>5</v>
      </c>
      <c r="RC7" s="133">
        <f t="shared" si="168"/>
        <v>0.3496053997651975</v>
      </c>
      <c r="RD7" s="133">
        <f t="shared" si="169"/>
        <v>0.37218867498224373</v>
      </c>
      <c r="RE7" s="133">
        <f t="shared" si="170"/>
        <v>0.39296620387603443</v>
      </c>
      <c r="RF7" s="133">
        <f t="shared" si="411"/>
        <v>0.41860323169383701</v>
      </c>
      <c r="RG7" s="133">
        <f t="shared" si="412"/>
        <v>0.46579268913197591</v>
      </c>
      <c r="RH7" s="134">
        <f t="shared" si="413"/>
        <v>0.52579222770238987</v>
      </c>
      <c r="RI7" s="133">
        <f t="shared" si="414"/>
        <v>0.59488942148757462</v>
      </c>
      <c r="RJ7" s="133">
        <f t="shared" si="171"/>
        <v>0.66593043398237473</v>
      </c>
      <c r="RK7" s="133">
        <f t="shared" si="172"/>
        <v>0.71319965264303453</v>
      </c>
      <c r="RL7" s="133">
        <f t="shared" si="173"/>
        <v>0.75735579367996508</v>
      </c>
      <c r="RM7" s="133">
        <f t="shared" si="174"/>
        <v>0.81271915609766443</v>
      </c>
      <c r="RN7" s="81"/>
      <c r="RO7" s="81">
        <v>5</v>
      </c>
      <c r="RP7" s="133">
        <f t="shared" si="175"/>
        <v>0.35169920325121862</v>
      </c>
      <c r="RQ7" s="133">
        <f t="shared" si="176"/>
        <v>0.37463032185089018</v>
      </c>
      <c r="RR7" s="133">
        <f t="shared" si="177"/>
        <v>0.3958195315866892</v>
      </c>
      <c r="RS7" s="133">
        <f t="shared" si="415"/>
        <v>0.42208631308085032</v>
      </c>
      <c r="RT7" s="133">
        <f t="shared" si="416"/>
        <v>0.47078816162033627</v>
      </c>
      <c r="RU7" s="134">
        <f t="shared" si="417"/>
        <v>0.53337220793100992</v>
      </c>
      <c r="RV7" s="133">
        <f t="shared" si="418"/>
        <v>0.60635922666889308</v>
      </c>
      <c r="RW7" s="133">
        <f t="shared" si="178"/>
        <v>0.68240910054207693</v>
      </c>
      <c r="RX7" s="133">
        <f t="shared" si="179"/>
        <v>0.7335718189027185</v>
      </c>
      <c r="RY7" s="133">
        <f t="shared" si="180"/>
        <v>0.78176542278105654</v>
      </c>
      <c r="RZ7" s="133">
        <f t="shared" si="181"/>
        <v>0.8427318987944441</v>
      </c>
      <c r="SA7" s="81"/>
      <c r="SB7" s="81">
        <v>7</v>
      </c>
      <c r="SC7" s="133">
        <f t="shared" si="182"/>
        <v>0.29400108180830231</v>
      </c>
      <c r="SD7" s="133">
        <f t="shared" si="183"/>
        <v>0.31602505951448856</v>
      </c>
      <c r="SE7" s="133">
        <f t="shared" si="184"/>
        <v>0.33630028076110069</v>
      </c>
      <c r="SF7" s="133">
        <f t="shared" si="419"/>
        <v>0.36131852632851968</v>
      </c>
      <c r="SG7" s="133">
        <f t="shared" si="420"/>
        <v>0.40732438329788151</v>
      </c>
      <c r="SH7" s="134">
        <f t="shared" si="421"/>
        <v>0.46564054538014421</v>
      </c>
      <c r="SI7" s="133">
        <f t="shared" si="422"/>
        <v>0.53242988751817311</v>
      </c>
      <c r="SJ7" s="133">
        <f t="shared" si="185"/>
        <v>0.60058683078127495</v>
      </c>
      <c r="SK7" s="133">
        <f t="shared" si="186"/>
        <v>0.6456166673888597</v>
      </c>
      <c r="SL7" s="133">
        <f t="shared" si="187"/>
        <v>0.68743638468632928</v>
      </c>
      <c r="SM7" s="133">
        <f t="shared" si="188"/>
        <v>0.73952627667383297</v>
      </c>
      <c r="SN7" s="81"/>
      <c r="SO7" s="81">
        <v>5</v>
      </c>
      <c r="SP7" s="133">
        <f t="shared" si="189"/>
        <v>0.25898873536328365</v>
      </c>
      <c r="SQ7" s="133">
        <f t="shared" si="190"/>
        <v>0.27125977971396337</v>
      </c>
      <c r="SR7" s="133">
        <f t="shared" si="191"/>
        <v>0.28215647494219809</v>
      </c>
      <c r="SS7" s="133">
        <f t="shared" si="423"/>
        <v>0.29512182866358905</v>
      </c>
      <c r="ST7" s="133">
        <f t="shared" si="424"/>
        <v>0.31773427246190555</v>
      </c>
      <c r="SU7" s="134">
        <f t="shared" si="425"/>
        <v>0.3444363872084748</v>
      </c>
      <c r="SV7" s="133">
        <f t="shared" si="426"/>
        <v>0.3727801815717337</v>
      </c>
      <c r="SW7" s="133">
        <f t="shared" si="192"/>
        <v>0.39966086587103505</v>
      </c>
      <c r="SX7" s="133">
        <f t="shared" si="193"/>
        <v>0.41645336042544751</v>
      </c>
      <c r="SY7" s="133">
        <f t="shared" si="194"/>
        <v>0.43144030696622437</v>
      </c>
      <c r="SZ7" s="133">
        <f t="shared" si="195"/>
        <v>0.44936837002293539</v>
      </c>
      <c r="TA7" s="81"/>
      <c r="TB7" s="81">
        <v>5</v>
      </c>
      <c r="TC7" s="133">
        <f t="shared" si="196"/>
        <v>0.25996478738914913</v>
      </c>
      <c r="TD7" s="133">
        <f t="shared" si="197"/>
        <v>0.27240817837058162</v>
      </c>
      <c r="TE7" s="133">
        <f t="shared" si="198"/>
        <v>0.28349989258622066</v>
      </c>
      <c r="TF7" s="133">
        <f t="shared" si="427"/>
        <v>0.29674828996299135</v>
      </c>
      <c r="TG7" s="133">
        <f t="shared" si="428"/>
        <v>0.31998544809299057</v>
      </c>
      <c r="TH7" s="134">
        <f t="shared" si="429"/>
        <v>0.3476362406571693</v>
      </c>
      <c r="TI7" s="133">
        <f t="shared" si="430"/>
        <v>0.37723166414920301</v>
      </c>
      <c r="TJ7" s="133">
        <f t="shared" si="199"/>
        <v>0.40552676026288775</v>
      </c>
      <c r="TK7" s="133">
        <f t="shared" si="200"/>
        <v>0.42331289799876398</v>
      </c>
      <c r="TL7" s="133">
        <f t="shared" si="201"/>
        <v>0.43925694029843121</v>
      </c>
      <c r="TM7" s="133">
        <f t="shared" si="202"/>
        <v>0.45841580427821649</v>
      </c>
      <c r="TN7" s="81"/>
      <c r="TO7" s="81">
        <v>7</v>
      </c>
      <c r="TP7" s="133">
        <f t="shared" si="203"/>
        <v>0.2269450339626812</v>
      </c>
      <c r="TQ7" s="133">
        <f t="shared" si="204"/>
        <v>0.24010797248039459</v>
      </c>
      <c r="TR7" s="133">
        <f t="shared" si="205"/>
        <v>0.25176406444250593</v>
      </c>
      <c r="TS7" s="133">
        <f t="shared" si="431"/>
        <v>0.26559013349348382</v>
      </c>
      <c r="TT7" s="133">
        <f t="shared" si="432"/>
        <v>0.28958502164034328</v>
      </c>
      <c r="TU7" s="134">
        <f t="shared" si="433"/>
        <v>0.31771427196411794</v>
      </c>
      <c r="TV7" s="133">
        <f t="shared" si="434"/>
        <v>0.34731987934599712</v>
      </c>
      <c r="TW7" s="133">
        <f t="shared" si="206"/>
        <v>0.37515193509742178</v>
      </c>
      <c r="TX7" s="133">
        <f t="shared" si="207"/>
        <v>0.39241709003961511</v>
      </c>
      <c r="TY7" s="133">
        <f t="shared" si="208"/>
        <v>0.40774710038110168</v>
      </c>
      <c r="TZ7" s="133">
        <f t="shared" si="209"/>
        <v>0.42598852593269376</v>
      </c>
      <c r="UA7" s="81"/>
      <c r="UB7" s="81">
        <v>5</v>
      </c>
      <c r="UC7" s="133">
        <f t="shared" si="210"/>
        <v>-15.666019120126144</v>
      </c>
      <c r="UD7" s="133">
        <f t="shared" si="211"/>
        <v>-13.87923292321662</v>
      </c>
      <c r="UE7" s="133">
        <f t="shared" si="212"/>
        <v>-12.363653532955553</v>
      </c>
      <c r="UF7" s="133">
        <f t="shared" si="435"/>
        <v>-10.639135277895733</v>
      </c>
      <c r="UG7" s="133">
        <f t="shared" si="436"/>
        <v>-7.8130959904656478</v>
      </c>
      <c r="UH7" s="134">
        <f t="shared" si="437"/>
        <v>-4.7319318845140401</v>
      </c>
      <c r="UI7" s="133">
        <f t="shared" si="438"/>
        <v>-1.7166537209761259</v>
      </c>
      <c r="UJ7" s="133">
        <f t="shared" si="213"/>
        <v>0.9373032994556354</v>
      </c>
      <c r="UK7" s="133">
        <f t="shared" si="214"/>
        <v>2.5065455769093319</v>
      </c>
      <c r="UL7" s="133">
        <f t="shared" si="215"/>
        <v>3.8551325392252949</v>
      </c>
      <c r="UM7" s="133">
        <f t="shared" si="216"/>
        <v>5.4091479529414528</v>
      </c>
      <c r="UN7" s="81"/>
      <c r="UO7" s="81">
        <v>5</v>
      </c>
      <c r="UP7" s="133">
        <f t="shared" si="217"/>
        <v>-15.073330766975545</v>
      </c>
      <c r="UQ7" s="133">
        <f t="shared" si="218"/>
        <v>-13.33940768135967</v>
      </c>
      <c r="UR7" s="133">
        <f t="shared" si="219"/>
        <v>-11.850476165735255</v>
      </c>
      <c r="US7" s="133">
        <f t="shared" si="439"/>
        <v>-10.136306194675356</v>
      </c>
      <c r="UT7" s="133">
        <f t="shared" si="440"/>
        <v>-7.2821589109935836</v>
      </c>
      <c r="UU7" s="134">
        <f t="shared" si="441"/>
        <v>-4.1081083363546789</v>
      </c>
      <c r="UV7" s="133">
        <f t="shared" si="442"/>
        <v>-0.94079696698753423</v>
      </c>
      <c r="UW7" s="133">
        <f t="shared" si="220"/>
        <v>1.8957036946304555</v>
      </c>
      <c r="UX7" s="133">
        <f t="shared" si="221"/>
        <v>3.5938923954454509</v>
      </c>
      <c r="UY7" s="133">
        <f t="shared" si="222"/>
        <v>5.0655721671949436</v>
      </c>
      <c r="UZ7" s="133">
        <f t="shared" si="223"/>
        <v>6.7753299066483166</v>
      </c>
      <c r="VA7" s="81"/>
      <c r="VB7" s="81">
        <v>8</v>
      </c>
      <c r="VC7" s="133">
        <f t="shared" si="224"/>
        <v>-24.73538569519345</v>
      </c>
      <c r="VD7" s="133">
        <f t="shared" si="225"/>
        <v>-21.946817661845607</v>
      </c>
      <c r="VE7" s="133">
        <f t="shared" si="226"/>
        <v>-19.640031738543918</v>
      </c>
      <c r="VF7" s="133">
        <f t="shared" si="443"/>
        <v>-17.072228879416734</v>
      </c>
      <c r="VG7" s="133">
        <f t="shared" si="444"/>
        <v>-12.977358976592832</v>
      </c>
      <c r="VH7" s="134">
        <f t="shared" si="445"/>
        <v>-8.648014338813816</v>
      </c>
      <c r="VI7" s="133">
        <f t="shared" si="446"/>
        <v>-4.5254660101546023</v>
      </c>
      <c r="VJ7" s="133">
        <f t="shared" si="227"/>
        <v>-0.97677578708267276</v>
      </c>
      <c r="VK7" s="133">
        <f t="shared" si="228"/>
        <v>1.0903063943467686</v>
      </c>
      <c r="VL7" s="133">
        <f t="shared" si="229"/>
        <v>2.8497310116496095</v>
      </c>
      <c r="VM7" s="133">
        <f t="shared" si="230"/>
        <v>4.8589071691314416</v>
      </c>
      <c r="VN7" s="81"/>
      <c r="VO7" s="81">
        <v>5</v>
      </c>
      <c r="VP7" s="133">
        <f t="shared" si="231"/>
        <v>-38.829278285241557</v>
      </c>
      <c r="VQ7" s="133">
        <f t="shared" si="232"/>
        <v>-35.816963248037624</v>
      </c>
      <c r="VR7" s="133">
        <f t="shared" si="233"/>
        <v>-33.05767457001275</v>
      </c>
      <c r="VS7" s="133">
        <f t="shared" si="447"/>
        <v>-29.687788526242617</v>
      </c>
      <c r="VT7" s="133">
        <f t="shared" si="448"/>
        <v>-23.629164364747723</v>
      </c>
      <c r="VU7" s="134">
        <f t="shared" si="449"/>
        <v>-16.252844484499867</v>
      </c>
      <c r="VV7" s="133">
        <f t="shared" si="450"/>
        <v>-8.2416916129375437</v>
      </c>
      <c r="VW7" s="133">
        <f t="shared" si="234"/>
        <v>-0.53038076115393551</v>
      </c>
      <c r="VX7" s="133">
        <f t="shared" si="235"/>
        <v>4.3241244154635723</v>
      </c>
      <c r="VY7" s="133">
        <f t="shared" si="236"/>
        <v>8.6730372568123002</v>
      </c>
      <c r="VZ7" s="133">
        <f t="shared" si="237"/>
        <v>13.889062720538256</v>
      </c>
      <c r="WA7" s="81"/>
      <c r="WB7" s="81">
        <v>5</v>
      </c>
      <c r="WC7" s="133">
        <f t="shared" si="238"/>
        <v>-36.685494799645959</v>
      </c>
      <c r="WD7" s="133">
        <f t="shared" si="239"/>
        <v>-33.75727043956131</v>
      </c>
      <c r="WE7" s="133">
        <f t="shared" si="240"/>
        <v>-31.033886415109539</v>
      </c>
      <c r="WF7" s="133">
        <f t="shared" si="451"/>
        <v>-27.665773763944518</v>
      </c>
      <c r="WG7" s="133">
        <f t="shared" si="452"/>
        <v>-21.520833204754915</v>
      </c>
      <c r="WH7" s="134">
        <f t="shared" si="453"/>
        <v>-13.924598221370729</v>
      </c>
      <c r="WI7" s="133">
        <f t="shared" si="454"/>
        <v>-5.5709555331625467</v>
      </c>
      <c r="WJ7" s="133">
        <f t="shared" si="241"/>
        <v>2.5466150024255256</v>
      </c>
      <c r="WK7" s="133">
        <f t="shared" si="242"/>
        <v>7.6878359682049719</v>
      </c>
      <c r="WL7" s="133">
        <f t="shared" si="243"/>
        <v>12.310941218720394</v>
      </c>
      <c r="WM7" s="133">
        <f t="shared" si="244"/>
        <v>17.874970236849059</v>
      </c>
      <c r="WN7" s="81"/>
      <c r="WO7" s="81">
        <v>8</v>
      </c>
      <c r="WP7" s="133">
        <f t="shared" si="245"/>
        <v>-46.695117277634026</v>
      </c>
      <c r="WQ7" s="133">
        <f t="shared" si="246"/>
        <v>-43.56896525205169</v>
      </c>
      <c r="WR7" s="133">
        <f t="shared" si="247"/>
        <v>-40.624921220015196</v>
      </c>
      <c r="WS7" s="133">
        <f t="shared" si="455"/>
        <v>-36.961192963069131</v>
      </c>
      <c r="WT7" s="133">
        <f t="shared" si="456"/>
        <v>-30.260131297927259</v>
      </c>
      <c r="WU7" s="134">
        <f t="shared" si="457"/>
        <v>-21.999252580561972</v>
      </c>
      <c r="WV7" s="133">
        <f t="shared" si="458"/>
        <v>-12.976951264337636</v>
      </c>
      <c r="WW7" s="133">
        <f t="shared" si="248"/>
        <v>-4.2827527555624272</v>
      </c>
      <c r="WX7" s="133">
        <f t="shared" si="249"/>
        <v>1.1856969996590507</v>
      </c>
      <c r="WY7" s="133">
        <f t="shared" si="250"/>
        <v>6.0783620751273943</v>
      </c>
      <c r="WZ7" s="133">
        <f t="shared" si="251"/>
        <v>11.936644237325901</v>
      </c>
      <c r="XA7" s="81"/>
      <c r="XB7" s="81">
        <v>5</v>
      </c>
      <c r="XC7" s="133">
        <f t="shared" si="252"/>
        <v>-30.777195720699495</v>
      </c>
      <c r="XD7" s="133">
        <f t="shared" si="253"/>
        <v>-27.341741113787524</v>
      </c>
      <c r="XE7" s="133">
        <f t="shared" si="254"/>
        <v>-24.306343690851779</v>
      </c>
      <c r="XF7" s="133">
        <f t="shared" si="459"/>
        <v>-20.719354355808534</v>
      </c>
      <c r="XG7" s="133">
        <f t="shared" si="460"/>
        <v>-14.540543280803632</v>
      </c>
      <c r="XH7" s="134">
        <f t="shared" si="461"/>
        <v>-7.3871591648449311</v>
      </c>
      <c r="XI7" s="133">
        <f t="shared" si="462"/>
        <v>2.5382967294838465E-2</v>
      </c>
      <c r="XJ7" s="133">
        <f t="shared" si="255"/>
        <v>6.8809677463439129</v>
      </c>
      <c r="XK7" s="133">
        <f t="shared" si="256"/>
        <v>11.078554238622765</v>
      </c>
      <c r="XL7" s="133">
        <f t="shared" si="257"/>
        <v>14.770600481973709</v>
      </c>
      <c r="XM7" s="133">
        <f t="shared" si="258"/>
        <v>19.121453742447109</v>
      </c>
      <c r="XN7" s="81"/>
      <c r="XO7" s="81">
        <v>5</v>
      </c>
      <c r="XP7" s="133">
        <f t="shared" si="259"/>
        <v>-29.715540883645343</v>
      </c>
      <c r="XQ7" s="133">
        <f t="shared" si="260"/>
        <v>-26.049893741696415</v>
      </c>
      <c r="XR7" s="133">
        <f t="shared" si="261"/>
        <v>-22.803955958245712</v>
      </c>
      <c r="XS7" s="133">
        <f t="shared" si="463"/>
        <v>-18.962164341657676</v>
      </c>
      <c r="XT7" s="133">
        <f t="shared" si="464"/>
        <v>-12.334778996678764</v>
      </c>
      <c r="XU7" s="134">
        <f t="shared" si="465"/>
        <v>-4.6541290799337318</v>
      </c>
      <c r="XV7" s="133">
        <f t="shared" si="466"/>
        <v>3.3076884597806426</v>
      </c>
      <c r="XW7" s="133">
        <f t="shared" si="262"/>
        <v>10.670608564149624</v>
      </c>
      <c r="XX7" s="133">
        <f t="shared" si="263"/>
        <v>15.177674874135313</v>
      </c>
      <c r="XY7" s="133">
        <f t="shared" si="264"/>
        <v>19.140920809074551</v>
      </c>
      <c r="XZ7" s="133">
        <f t="shared" si="265"/>
        <v>23.809953656320921</v>
      </c>
      <c r="YA7" s="81"/>
      <c r="YB7" s="81">
        <v>8</v>
      </c>
      <c r="YC7" s="133">
        <f t="shared" si="266"/>
        <v>-44.0407900688109</v>
      </c>
      <c r="YD7" s="133">
        <f t="shared" si="267"/>
        <v>-40.344522197937096</v>
      </c>
      <c r="YE7" s="133">
        <f t="shared" si="268"/>
        <v>-37.023940673893009</v>
      </c>
      <c r="YF7" s="133">
        <f t="shared" si="467"/>
        <v>-33.053199168276848</v>
      </c>
      <c r="YG7" s="133">
        <f t="shared" si="468"/>
        <v>-26.13275862239631</v>
      </c>
      <c r="YH7" s="134">
        <f t="shared" si="469"/>
        <v>-18.040880230471487</v>
      </c>
      <c r="YI7" s="133">
        <f t="shared" si="470"/>
        <v>-9.603458514159918</v>
      </c>
      <c r="YJ7" s="133">
        <f t="shared" si="269"/>
        <v>-1.7730010197782988</v>
      </c>
      <c r="YK7" s="133">
        <f t="shared" si="270"/>
        <v>3.0290330657936337</v>
      </c>
      <c r="YL7" s="133">
        <f t="shared" si="271"/>
        <v>7.2556394776733626</v>
      </c>
      <c r="YM7" s="133">
        <f t="shared" si="272"/>
        <v>12.238573773639025</v>
      </c>
      <c r="YN7" s="81"/>
      <c r="YO7" s="81">
        <v>5</v>
      </c>
      <c r="YP7" s="133">
        <v>13.825894857380861</v>
      </c>
      <c r="YQ7" s="133">
        <v>15.400511199505933</v>
      </c>
      <c r="YR7" s="133">
        <v>16.897470077933832</v>
      </c>
      <c r="YS7" s="133">
        <v>18.804835644072842</v>
      </c>
      <c r="YT7" s="133">
        <v>22.47774716203315</v>
      </c>
      <c r="YU7" s="134">
        <v>27.422995357800097</v>
      </c>
      <c r="YV7" s="133">
        <v>33.456229797982282</v>
      </c>
      <c r="YW7" s="133">
        <v>39.990813460311074</v>
      </c>
      <c r="YX7" s="133">
        <v>44.504927123734248</v>
      </c>
      <c r="YY7" s="133">
        <v>48.830890393953375</v>
      </c>
      <c r="YZ7" s="133">
        <v>54.392188147768536</v>
      </c>
      <c r="ZA7" s="81"/>
      <c r="ZB7" s="81">
        <v>5</v>
      </c>
      <c r="ZC7" s="133">
        <v>13.275087210438139</v>
      </c>
      <c r="ZD7" s="133">
        <v>14.759321811399097</v>
      </c>
      <c r="ZE7" s="133">
        <v>16.167908446955366</v>
      </c>
      <c r="ZF7" s="133">
        <v>17.959558957812604</v>
      </c>
      <c r="ZG7" s="133">
        <v>21.401011804877829</v>
      </c>
      <c r="ZH7" s="134">
        <v>26.019427433306269</v>
      </c>
      <c r="ZI7" s="133">
        <v>31.634513831854566</v>
      </c>
      <c r="ZJ7" s="133">
        <v>37.696393633463003</v>
      </c>
      <c r="ZK7" s="133">
        <v>41.873728205368501</v>
      </c>
      <c r="ZL7" s="133">
        <v>45.870034721664076</v>
      </c>
      <c r="ZM7" s="133">
        <v>50.998580515897523</v>
      </c>
      <c r="ZN7" s="81"/>
      <c r="ZO7" s="81">
        <v>8</v>
      </c>
      <c r="ZP7" s="133">
        <v>18.227938770894077</v>
      </c>
      <c r="ZQ7" s="133">
        <v>20.388057474876831</v>
      </c>
      <c r="ZR7" s="133">
        <v>22.449537602928256</v>
      </c>
      <c r="ZS7" s="133">
        <v>25.086296211950856</v>
      </c>
      <c r="ZT7" s="133">
        <v>30.191958952425612</v>
      </c>
      <c r="ZU7" s="134">
        <v>37.116363102773036</v>
      </c>
      <c r="ZV7" s="133">
        <v>45.628851448415666</v>
      </c>
      <c r="ZW7" s="133">
        <v>54.915416701513976</v>
      </c>
      <c r="ZX7" s="133">
        <v>61.365380184810498</v>
      </c>
      <c r="ZY7" s="133">
        <v>67.570165116243587</v>
      </c>
      <c r="ZZ7" s="133">
        <v>75.57762988411227</v>
      </c>
      <c r="AAA7" s="81"/>
      <c r="AAB7" s="81">
        <v>5</v>
      </c>
      <c r="AAC7" s="133">
        <v>5.5520937446162195</v>
      </c>
      <c r="AAD7" s="133">
        <v>6.1378954198866724</v>
      </c>
      <c r="AAE7" s="133">
        <v>6.6909186681488126</v>
      </c>
      <c r="AAF7" s="133">
        <v>7.3906391485512692</v>
      </c>
      <c r="AAG7" s="133">
        <v>8.7245086919720407</v>
      </c>
      <c r="AAH7" s="134">
        <v>10.496808144340187</v>
      </c>
      <c r="AAI7" s="133">
        <v>12.629133067455438</v>
      </c>
      <c r="AAJ7" s="133">
        <v>14.908450947802635</v>
      </c>
      <c r="AAK7" s="133">
        <v>16.467541556527539</v>
      </c>
      <c r="AAL7" s="133">
        <v>17.951264021556245</v>
      </c>
      <c r="AAM7" s="133">
        <v>19.845302742938959</v>
      </c>
      <c r="AAN7" s="81"/>
      <c r="AAO7" s="81">
        <v>5</v>
      </c>
      <c r="AAP7" s="133">
        <v>5.5133117627755279</v>
      </c>
      <c r="AAQ7" s="133">
        <v>6.1174786412209974</v>
      </c>
      <c r="AAR7" s="133">
        <v>6.6897890022809312</v>
      </c>
      <c r="AAS7" s="133">
        <v>7.4163880961999542</v>
      </c>
      <c r="AAT7" s="133">
        <v>8.8083275446520375</v>
      </c>
      <c r="AAU7" s="134">
        <v>10.669756635566596</v>
      </c>
      <c r="AAV7" s="133">
        <v>12.924554188648152</v>
      </c>
      <c r="AAW7" s="133">
        <v>15.350289815678501</v>
      </c>
      <c r="AAX7" s="133">
        <v>17.017533232124602</v>
      </c>
      <c r="AAY7" s="133">
        <v>18.609579753186548</v>
      </c>
      <c r="AAZ7" s="133">
        <v>20.648878851883737</v>
      </c>
      <c r="ABA7" s="81"/>
      <c r="ABB7" s="81">
        <v>8</v>
      </c>
      <c r="ABC7" s="133">
        <v>6.6522076292598493</v>
      </c>
      <c r="ABD7" s="133">
        <v>7.3536511808203899</v>
      </c>
      <c r="ABE7" s="133">
        <v>8.0158095597619106</v>
      </c>
      <c r="ABF7" s="133">
        <v>8.853569227400051</v>
      </c>
      <c r="ABG7" s="133">
        <v>10.450456132868174</v>
      </c>
      <c r="ABH7" s="134">
        <v>12.572005929654344</v>
      </c>
      <c r="ABI7" s="133">
        <v>15.124252098256019</v>
      </c>
      <c r="ABJ7" s="133">
        <v>17.852159850528292</v>
      </c>
      <c r="ABK7" s="133">
        <v>19.717950123051398</v>
      </c>
      <c r="ABL7" s="133">
        <v>21.493449880720469</v>
      </c>
      <c r="ABM7" s="133">
        <v>23.759831608390403</v>
      </c>
      <c r="ABN7" s="81"/>
      <c r="ABO7" s="81">
        <v>5</v>
      </c>
      <c r="ABP7" s="133">
        <f t="shared" si="273"/>
        <v>0.19730059420385412</v>
      </c>
      <c r="ABQ7" s="133">
        <f t="shared" si="274"/>
        <v>0.22027389387971558</v>
      </c>
      <c r="ABR7" s="133">
        <f t="shared" si="275"/>
        <v>0.24154128201930281</v>
      </c>
      <c r="ABS7" s="133">
        <f t="shared" si="471"/>
        <v>0.26787600305098164</v>
      </c>
      <c r="ABT7" s="133">
        <f t="shared" si="472"/>
        <v>0.31638045531785131</v>
      </c>
      <c r="ABU7" s="134">
        <f t="shared" si="473"/>
        <v>0.3776621266134802</v>
      </c>
      <c r="ABV7" s="133">
        <f t="shared" si="474"/>
        <v>0.44717347086979997</v>
      </c>
      <c r="ABW7" s="133">
        <f t="shared" si="276"/>
        <v>0.51708598693991148</v>
      </c>
      <c r="ABX7" s="133">
        <f t="shared" si="277"/>
        <v>0.5626305405444546</v>
      </c>
      <c r="ABY7" s="133">
        <f t="shared" si="278"/>
        <v>0.60444321898476927</v>
      </c>
      <c r="ABZ7" s="133">
        <f t="shared" si="279"/>
        <v>0.65585686343994665</v>
      </c>
      <c r="ACA7" s="81"/>
      <c r="ACB7" s="81">
        <v>5</v>
      </c>
      <c r="ACC7" s="133">
        <f t="shared" si="280"/>
        <v>0.2181737509576453</v>
      </c>
      <c r="ACD7" s="133">
        <f t="shared" si="281"/>
        <v>0.2400159177587412</v>
      </c>
      <c r="ACE7" s="133">
        <f t="shared" si="282"/>
        <v>0.26027834221582502</v>
      </c>
      <c r="ACF7" s="133">
        <f t="shared" si="475"/>
        <v>0.28544740152854775</v>
      </c>
      <c r="ACG7" s="133">
        <f t="shared" si="476"/>
        <v>0.33209345302793458</v>
      </c>
      <c r="ACH7" s="134">
        <f t="shared" si="477"/>
        <v>0.39166152310157643</v>
      </c>
      <c r="ACI7" s="133">
        <f t="shared" si="478"/>
        <v>0.46018510684909081</v>
      </c>
      <c r="ACJ7" s="133">
        <f t="shared" si="283"/>
        <v>0.5301863976319201</v>
      </c>
      <c r="ACK7" s="133">
        <f t="shared" si="284"/>
        <v>0.57638498981930131</v>
      </c>
      <c r="ACL7" s="133">
        <f t="shared" si="285"/>
        <v>0.61921460542124174</v>
      </c>
      <c r="ACM7" s="133">
        <f t="shared" si="286"/>
        <v>0.67242479340158945</v>
      </c>
      <c r="ACN7" s="81"/>
      <c r="ACO7" s="81">
        <v>8</v>
      </c>
      <c r="ACP7" s="133">
        <f t="shared" si="287"/>
        <v>0.16333913318869397</v>
      </c>
      <c r="ACQ7" s="133">
        <f t="shared" si="288"/>
        <v>0.18798635212140088</v>
      </c>
      <c r="ACR7" s="133">
        <f t="shared" si="289"/>
        <v>0.21061625051403232</v>
      </c>
      <c r="ACS7" s="133">
        <f t="shared" si="479"/>
        <v>0.23835721892693415</v>
      </c>
      <c r="ACT7" s="133">
        <f t="shared" si="480"/>
        <v>0.2886289484235694</v>
      </c>
      <c r="ACU7" s="134">
        <f t="shared" si="481"/>
        <v>0.35042403053843069</v>
      </c>
      <c r="ACV7" s="133">
        <f t="shared" si="482"/>
        <v>0.41841891865732722</v>
      </c>
      <c r="ACW7" s="133">
        <f t="shared" si="290"/>
        <v>0.48483664349464212</v>
      </c>
      <c r="ACX7" s="133">
        <f t="shared" si="291"/>
        <v>0.52703925518219585</v>
      </c>
      <c r="ACY7" s="133">
        <f t="shared" si="292"/>
        <v>0.56511713290144638</v>
      </c>
      <c r="ACZ7" s="133">
        <f t="shared" si="293"/>
        <v>0.61111618951318003</v>
      </c>
      <c r="ADA7" s="81"/>
      <c r="ADB7" s="81">
        <v>5</v>
      </c>
      <c r="ADC7" s="133">
        <f t="shared" si="294"/>
        <v>0.16375112381421367</v>
      </c>
      <c r="ADD7" s="133">
        <f t="shared" si="295"/>
        <v>0.18027901050428566</v>
      </c>
      <c r="ADE7" s="133">
        <f t="shared" si="296"/>
        <v>0.19477325988109326</v>
      </c>
      <c r="ADF7" s="133">
        <f t="shared" si="483"/>
        <v>0.21179011788549021</v>
      </c>
      <c r="ADG7" s="133">
        <f t="shared" si="484"/>
        <v>0.24086838691521598</v>
      </c>
      <c r="ADH7" s="134">
        <f t="shared" si="485"/>
        <v>0.27423487054277518</v>
      </c>
      <c r="ADI7" s="133">
        <f t="shared" si="486"/>
        <v>0.30854219787439102</v>
      </c>
      <c r="ADJ7" s="133">
        <f t="shared" si="297"/>
        <v>0.34007428345759888</v>
      </c>
      <c r="ADK7" s="133">
        <f t="shared" si="298"/>
        <v>0.35930100428202821</v>
      </c>
      <c r="ADL7" s="133">
        <f t="shared" si="299"/>
        <v>0.37616736137264428</v>
      </c>
      <c r="ADM7" s="133">
        <f t="shared" si="300"/>
        <v>0.39599405818683198</v>
      </c>
      <c r="ADN7" s="81"/>
      <c r="ADO7" s="81">
        <v>5</v>
      </c>
      <c r="ADP7" s="133">
        <f t="shared" si="301"/>
        <v>0.17834623277892822</v>
      </c>
      <c r="ADQ7" s="133">
        <f t="shared" si="302"/>
        <v>0.19334436961190643</v>
      </c>
      <c r="ADR7" s="133">
        <f t="shared" si="303"/>
        <v>0.20662030445413634</v>
      </c>
      <c r="ADS7" s="133">
        <f t="shared" si="487"/>
        <v>0.22235219683145907</v>
      </c>
      <c r="ADT7" s="133">
        <f t="shared" si="488"/>
        <v>0.24959157031520468</v>
      </c>
      <c r="ADU7" s="134">
        <f t="shared" si="489"/>
        <v>0.28138722543018752</v>
      </c>
      <c r="ADV7" s="133">
        <f t="shared" si="490"/>
        <v>0.31465820908573405</v>
      </c>
      <c r="ADW7" s="133">
        <f t="shared" si="304"/>
        <v>0.34573520310259759</v>
      </c>
      <c r="ADX7" s="133">
        <f t="shared" si="305"/>
        <v>0.36491045247463322</v>
      </c>
      <c r="ADY7" s="133">
        <f t="shared" si="306"/>
        <v>0.38186894266310945</v>
      </c>
      <c r="ADZ7" s="133">
        <f t="shared" si="307"/>
        <v>0.40196450848128112</v>
      </c>
      <c r="AEA7" s="81"/>
      <c r="AEB7" s="81">
        <v>8</v>
      </c>
      <c r="AEC7" s="133">
        <f t="shared" si="308"/>
        <v>0.13724850053591417</v>
      </c>
      <c r="AED7" s="133">
        <f t="shared" si="309"/>
        <v>0.15678471469721822</v>
      </c>
      <c r="AEE7" s="133">
        <f t="shared" si="310"/>
        <v>0.17350873922084023</v>
      </c>
      <c r="AEF7" s="133">
        <f t="shared" si="491"/>
        <v>0.1927110388475908</v>
      </c>
      <c r="AEG7" s="133">
        <f t="shared" si="492"/>
        <v>0.22457766884664448</v>
      </c>
      <c r="AEH7" s="134">
        <f t="shared" si="493"/>
        <v>0.25988437684988219</v>
      </c>
      <c r="AEI7" s="133">
        <f t="shared" si="494"/>
        <v>0.29499963671509427</v>
      </c>
      <c r="AEJ7" s="133">
        <f t="shared" si="311"/>
        <v>0.32636213648469731</v>
      </c>
      <c r="AEK7" s="133">
        <f t="shared" si="312"/>
        <v>0.34510415934253302</v>
      </c>
      <c r="AEL7" s="133">
        <f t="shared" si="313"/>
        <v>0.36132705346741373</v>
      </c>
      <c r="AEM7" s="133">
        <f t="shared" si="314"/>
        <v>0.38015321519683026</v>
      </c>
      <c r="AEN7" s="81"/>
    </row>
    <row r="8" spans="1:820">
      <c r="A8" s="81"/>
      <c r="B8" s="81">
        <v>7</v>
      </c>
      <c r="C8" s="133">
        <f t="shared" si="0"/>
        <v>1.7015493790089138</v>
      </c>
      <c r="D8" s="133">
        <f t="shared" si="1"/>
        <v>1.9574535979610388</v>
      </c>
      <c r="E8" s="133">
        <f t="shared" si="2"/>
        <v>2.2146641135390426</v>
      </c>
      <c r="F8" s="133">
        <f t="shared" si="315"/>
        <v>2.5625638367192751</v>
      </c>
      <c r="G8" s="133">
        <f t="shared" si="316"/>
        <v>3.2985366937366525</v>
      </c>
      <c r="H8" s="134">
        <f t="shared" si="317"/>
        <v>4.4345800377019771</v>
      </c>
      <c r="I8" s="133">
        <f t="shared" si="318"/>
        <v>6.0644029942101412</v>
      </c>
      <c r="J8" s="133">
        <f t="shared" si="3"/>
        <v>8.1618850702598404</v>
      </c>
      <c r="K8" s="133">
        <f t="shared" si="4"/>
        <v>9.8320326629872437</v>
      </c>
      <c r="L8" s="133">
        <f t="shared" si="5"/>
        <v>11.616797560805505</v>
      </c>
      <c r="M8" s="133">
        <f t="shared" si="6"/>
        <v>14.197493487951125</v>
      </c>
      <c r="N8" s="81"/>
      <c r="O8" s="75">
        <v>7</v>
      </c>
      <c r="P8" s="151">
        <f t="shared" si="7"/>
        <v>2.3212369674436095</v>
      </c>
      <c r="Q8" s="151">
        <f t="shared" si="8"/>
        <v>2.5746408074025044</v>
      </c>
      <c r="R8" s="151">
        <f t="shared" si="9"/>
        <v>2.8247420520745767</v>
      </c>
      <c r="S8" s="151">
        <f t="shared" si="319"/>
        <v>3.1575185085111195</v>
      </c>
      <c r="T8" s="151">
        <f t="shared" si="320"/>
        <v>3.8476864188603521</v>
      </c>
      <c r="U8" s="134">
        <f t="shared" si="321"/>
        <v>4.8945718424539262</v>
      </c>
      <c r="V8" s="151">
        <f t="shared" si="322"/>
        <v>6.3894790106108772</v>
      </c>
      <c r="W8" s="151">
        <f t="shared" si="10"/>
        <v>8.3384362212357086</v>
      </c>
      <c r="X8" s="151">
        <f t="shared" si="11"/>
        <v>9.9277296768322287</v>
      </c>
      <c r="Y8" s="151">
        <f t="shared" si="12"/>
        <v>11.672818737208575</v>
      </c>
      <c r="Z8" s="151">
        <f t="shared" si="13"/>
        <v>14.294482228931644</v>
      </c>
      <c r="AA8" s="81"/>
      <c r="AB8" s="75">
        <v>9</v>
      </c>
      <c r="AC8" s="151">
        <f t="shared" si="14"/>
        <v>1.324957713893153</v>
      </c>
      <c r="AD8" s="151">
        <f t="shared" si="15"/>
        <v>1.554708354762399</v>
      </c>
      <c r="AE8" s="151">
        <f t="shared" si="16"/>
        <v>1.792434087754349</v>
      </c>
      <c r="AF8" s="151">
        <f t="shared" si="323"/>
        <v>2.1243861780459339</v>
      </c>
      <c r="AG8" s="151">
        <f t="shared" si="324"/>
        <v>2.8640216775171496</v>
      </c>
      <c r="AH8" s="134">
        <f t="shared" si="325"/>
        <v>4.0989373940550493</v>
      </c>
      <c r="AI8" s="151">
        <f t="shared" si="326"/>
        <v>6.0539067089368039</v>
      </c>
      <c r="AJ8" s="151">
        <f t="shared" si="17"/>
        <v>8.866854423379813</v>
      </c>
      <c r="AK8" s="151">
        <f t="shared" si="18"/>
        <v>11.33448542530954</v>
      </c>
      <c r="AL8" s="151">
        <f t="shared" si="19"/>
        <v>14.18775988816464</v>
      </c>
      <c r="AM8" s="151">
        <f t="shared" si="20"/>
        <v>18.700625652604764</v>
      </c>
      <c r="AN8" s="81"/>
      <c r="AO8" s="81">
        <v>7</v>
      </c>
      <c r="AP8" s="133">
        <f t="shared" si="21"/>
        <v>4.347340361938147</v>
      </c>
      <c r="AQ8" s="133">
        <f t="shared" si="22"/>
        <v>6.06547730322196</v>
      </c>
      <c r="AR8" s="133">
        <f t="shared" si="23"/>
        <v>7.6451614904416951</v>
      </c>
      <c r="AS8" s="133">
        <f t="shared" si="327"/>
        <v>9.5842396644642278</v>
      </c>
      <c r="AT8" s="133">
        <f t="shared" si="328"/>
        <v>13.101798710791044</v>
      </c>
      <c r="AU8" s="134">
        <f t="shared" si="329"/>
        <v>17.442815768528217</v>
      </c>
      <c r="AV8" s="133">
        <f t="shared" si="330"/>
        <v>22.23119015958067</v>
      </c>
      <c r="AW8" s="133">
        <f t="shared" si="24"/>
        <v>26.911318757545235</v>
      </c>
      <c r="AX8" s="133">
        <f t="shared" si="25"/>
        <v>29.892174004657921</v>
      </c>
      <c r="AY8" s="133">
        <f t="shared" si="26"/>
        <v>32.584576402695433</v>
      </c>
      <c r="AZ8" s="133">
        <f t="shared" si="27"/>
        <v>35.840494208148591</v>
      </c>
      <c r="BA8" s="81"/>
      <c r="BB8" s="81">
        <v>7</v>
      </c>
      <c r="BC8" s="133">
        <f t="shared" si="28"/>
        <v>6.8074885683046178</v>
      </c>
      <c r="BD8" s="133">
        <f t="shared" si="29"/>
        <v>8.5987875845398065</v>
      </c>
      <c r="BE8" s="133">
        <f t="shared" si="30"/>
        <v>10.210881791960777</v>
      </c>
      <c r="BF8" s="133">
        <f t="shared" si="331"/>
        <v>12.150026110048675</v>
      </c>
      <c r="BG8" s="133">
        <f t="shared" si="332"/>
        <v>15.572639225912337</v>
      </c>
      <c r="BH8" s="134">
        <f t="shared" si="333"/>
        <v>19.657168085431021</v>
      </c>
      <c r="BI8" s="133">
        <f t="shared" si="334"/>
        <v>24.018199279270323</v>
      </c>
      <c r="BJ8" s="133">
        <f t="shared" si="31"/>
        <v>28.160257204871673</v>
      </c>
      <c r="BK8" s="133">
        <f t="shared" si="32"/>
        <v>30.745194759038863</v>
      </c>
      <c r="BL8" s="133">
        <f t="shared" si="33"/>
        <v>33.048225620444391</v>
      </c>
      <c r="BM8" s="133">
        <f t="shared" si="34"/>
        <v>35.796424401723769</v>
      </c>
      <c r="BN8" s="81"/>
      <c r="BO8" s="75">
        <v>9</v>
      </c>
      <c r="BP8" s="151">
        <f t="shared" si="35"/>
        <v>3.9434931123872436</v>
      </c>
      <c r="BQ8" s="151">
        <f t="shared" si="36"/>
        <v>4.821969323442139</v>
      </c>
      <c r="BR8" s="151">
        <f t="shared" si="37"/>
        <v>5.7058386447848752</v>
      </c>
      <c r="BS8" s="151">
        <f t="shared" si="335"/>
        <v>6.8927725930287806</v>
      </c>
      <c r="BT8" s="151">
        <f t="shared" si="336"/>
        <v>9.3410907857645924</v>
      </c>
      <c r="BU8" s="134">
        <f t="shared" si="337"/>
        <v>12.907786434134293</v>
      </c>
      <c r="BV8" s="151">
        <f t="shared" si="338"/>
        <v>17.574750525754911</v>
      </c>
      <c r="BW8" s="151">
        <f t="shared" si="38"/>
        <v>22.916460415795026</v>
      </c>
      <c r="BX8" s="151">
        <f t="shared" si="39"/>
        <v>26.738084784275667</v>
      </c>
      <c r="BY8" s="151">
        <f t="shared" si="40"/>
        <v>30.479987600866075</v>
      </c>
      <c r="BZ8" s="151">
        <f t="shared" si="41"/>
        <v>35.383275888697121</v>
      </c>
      <c r="CA8" s="81"/>
      <c r="CB8" s="81">
        <v>7</v>
      </c>
      <c r="CC8" s="133">
        <f t="shared" si="42"/>
        <v>4.6012066951157946</v>
      </c>
      <c r="CD8" s="133">
        <f t="shared" si="43"/>
        <v>7.3239076348741916</v>
      </c>
      <c r="CE8" s="133">
        <f t="shared" si="44"/>
        <v>9.7940782328656724</v>
      </c>
      <c r="CF8" s="133">
        <f t="shared" si="339"/>
        <v>12.779015605410812</v>
      </c>
      <c r="CG8" s="133">
        <f t="shared" si="340"/>
        <v>18.060195775314483</v>
      </c>
      <c r="CH8" s="134">
        <f t="shared" si="341"/>
        <v>24.353891311932614</v>
      </c>
      <c r="CI8" s="133">
        <f t="shared" si="342"/>
        <v>31.03982291850993</v>
      </c>
      <c r="CJ8" s="133">
        <f t="shared" si="45"/>
        <v>37.346923622551373</v>
      </c>
      <c r="CK8" s="133">
        <f t="shared" si="46"/>
        <v>41.259624820342623</v>
      </c>
      <c r="CL8" s="133">
        <f t="shared" si="47"/>
        <v>44.730035554214489</v>
      </c>
      <c r="CM8" s="133">
        <f t="shared" si="48"/>
        <v>48.851932256911113</v>
      </c>
      <c r="CN8" s="81"/>
      <c r="CO8" s="81">
        <v>7</v>
      </c>
      <c r="CP8" s="133">
        <f t="shared" si="49"/>
        <v>8.463082419280596</v>
      </c>
      <c r="CQ8" s="133">
        <f t="shared" si="50"/>
        <v>11.161569580106761</v>
      </c>
      <c r="CR8" s="133">
        <f t="shared" si="51"/>
        <v>13.590990383383829</v>
      </c>
      <c r="CS8" s="133">
        <f t="shared" si="343"/>
        <v>16.509573225522622</v>
      </c>
      <c r="CT8" s="133">
        <f t="shared" si="344"/>
        <v>21.641446251411136</v>
      </c>
      <c r="CU8" s="134">
        <f t="shared" si="345"/>
        <v>27.722258379603932</v>
      </c>
      <c r="CV8" s="133">
        <f t="shared" si="346"/>
        <v>34.155769826041642</v>
      </c>
      <c r="CW8" s="133">
        <f t="shared" si="52"/>
        <v>40.208593374967208</v>
      </c>
      <c r="CX8" s="133">
        <f t="shared" si="53"/>
        <v>43.957975244615895</v>
      </c>
      <c r="CY8" s="133">
        <f t="shared" si="54"/>
        <v>47.280787394873222</v>
      </c>
      <c r="CZ8" s="133">
        <f t="shared" si="55"/>
        <v>51.224670543259393</v>
      </c>
      <c r="DA8" s="81"/>
      <c r="DB8" s="81">
        <v>9</v>
      </c>
      <c r="DC8" s="133">
        <f t="shared" si="56"/>
        <v>-0.61297284658942264</v>
      </c>
      <c r="DD8" s="133">
        <f t="shared" si="57"/>
        <v>1.3742792198208997</v>
      </c>
      <c r="DE8" s="133">
        <f t="shared" si="58"/>
        <v>3.247749224383397</v>
      </c>
      <c r="DF8" s="133">
        <f t="shared" si="347"/>
        <v>5.5874284618549099</v>
      </c>
      <c r="DG8" s="133">
        <f t="shared" si="348"/>
        <v>9.8973594023299185</v>
      </c>
      <c r="DH8" s="134">
        <f t="shared" si="349"/>
        <v>15.267931309003849</v>
      </c>
      <c r="DI8" s="133">
        <f t="shared" si="350"/>
        <v>21.202521420817895</v>
      </c>
      <c r="DJ8" s="133">
        <f t="shared" si="59"/>
        <v>26.983721106704589</v>
      </c>
      <c r="DK8" s="133">
        <f t="shared" si="60"/>
        <v>30.648849698419109</v>
      </c>
      <c r="DL8" s="133">
        <f t="shared" si="61"/>
        <v>33.945764957716968</v>
      </c>
      <c r="DM8" s="133">
        <f t="shared" si="62"/>
        <v>37.914195764625688</v>
      </c>
      <c r="DN8" s="81"/>
      <c r="DO8" s="81">
        <v>7</v>
      </c>
      <c r="DP8" s="133">
        <v>11.306409626277242</v>
      </c>
      <c r="DQ8" s="133">
        <v>12.256278798010809</v>
      </c>
      <c r="DR8" s="133">
        <v>13.136803036261496</v>
      </c>
      <c r="DS8" s="133">
        <v>14.230786431690301</v>
      </c>
      <c r="DT8" s="133">
        <v>16.262228258321855</v>
      </c>
      <c r="DU8" s="134">
        <v>18.869998885102767</v>
      </c>
      <c r="DV8" s="133">
        <v>21.895945147711526</v>
      </c>
      <c r="DW8" s="133">
        <v>25.021586799366052</v>
      </c>
      <c r="DX8" s="133">
        <v>27.105290148668683</v>
      </c>
      <c r="DY8" s="133">
        <v>29.052607548513887</v>
      </c>
      <c r="DZ8" s="133">
        <v>31.493362587555719</v>
      </c>
      <c r="EA8" s="81"/>
      <c r="EB8" s="81">
        <v>7</v>
      </c>
      <c r="EC8" s="133">
        <v>11.434889468159806</v>
      </c>
      <c r="ED8" s="133">
        <v>12.328454024745744</v>
      </c>
      <c r="EE8" s="133">
        <v>13.152620833488161</v>
      </c>
      <c r="EF8" s="133">
        <v>14.171443032784879</v>
      </c>
      <c r="EG8" s="133">
        <v>16.049664834435351</v>
      </c>
      <c r="EH8" s="134">
        <v>18.437910843601806</v>
      </c>
      <c r="EI8" s="133">
        <v>21.181536174339016</v>
      </c>
      <c r="EJ8" s="133">
        <v>23.988845418927191</v>
      </c>
      <c r="EK8" s="133">
        <v>25.847058208432401</v>
      </c>
      <c r="EL8" s="133">
        <v>27.574954296316992</v>
      </c>
      <c r="EM8" s="133">
        <v>29.729763214870644</v>
      </c>
      <c r="EN8" s="81"/>
      <c r="EO8" s="81">
        <v>9</v>
      </c>
      <c r="EP8" s="133">
        <v>12.46765842437188</v>
      </c>
      <c r="EQ8" s="133">
        <v>13.701337305443523</v>
      </c>
      <c r="ER8" s="133">
        <v>14.859572048956311</v>
      </c>
      <c r="ES8" s="133">
        <v>16.316975436747658</v>
      </c>
      <c r="ET8" s="133">
        <v>19.073187931471423</v>
      </c>
      <c r="EU8" s="134">
        <v>22.697305240667568</v>
      </c>
      <c r="EV8" s="133">
        <v>27.010045045379691</v>
      </c>
      <c r="EW8" s="133">
        <v>31.572497438944467</v>
      </c>
      <c r="EX8" s="133">
        <v>34.669078186825658</v>
      </c>
      <c r="EY8" s="133">
        <v>37.599808960499061</v>
      </c>
      <c r="EZ8" s="133">
        <v>41.320322361493417</v>
      </c>
      <c r="FA8" s="81"/>
      <c r="FB8" s="81">
        <v>7</v>
      </c>
      <c r="FC8" s="133">
        <v>5.4601341344989285</v>
      </c>
      <c r="FD8" s="133">
        <v>6.0098167633825677</v>
      </c>
      <c r="FE8" s="133">
        <v>6.5266344320076808</v>
      </c>
      <c r="FF8" s="133">
        <v>7.1778897410527778</v>
      </c>
      <c r="FG8" s="133">
        <v>8.4121109388778752</v>
      </c>
      <c r="FH8" s="134">
        <v>10.039439081203678</v>
      </c>
      <c r="FI8" s="133">
        <v>11.981574874313845</v>
      </c>
      <c r="FJ8" s="133">
        <v>14.041778391878296</v>
      </c>
      <c r="FK8" s="133">
        <v>15.442926689888971</v>
      </c>
      <c r="FL8" s="133">
        <v>16.770950102723408</v>
      </c>
      <c r="FM8" s="133">
        <v>18.459315207729642</v>
      </c>
      <c r="FN8" s="81"/>
      <c r="FO8" s="81">
        <v>7</v>
      </c>
      <c r="FP8" s="133">
        <v>5.4026818185449192</v>
      </c>
      <c r="FQ8" s="133">
        <v>5.9298154462546711</v>
      </c>
      <c r="FR8" s="133">
        <v>6.424135510225125</v>
      </c>
      <c r="FS8" s="133">
        <v>7.0454115877440495</v>
      </c>
      <c r="FT8" s="133">
        <v>8.2183829988301209</v>
      </c>
      <c r="FU8" s="134">
        <v>9.7573126106224439</v>
      </c>
      <c r="FV8" s="133">
        <v>11.584413794655736</v>
      </c>
      <c r="FW8" s="133">
        <v>13.513071336673557</v>
      </c>
      <c r="FX8" s="133">
        <v>14.819916116320451</v>
      </c>
      <c r="FY8" s="133">
        <v>16.055330936402804</v>
      </c>
      <c r="FZ8" s="133">
        <v>17.621831634544229</v>
      </c>
      <c r="GA8" s="81"/>
      <c r="GB8" s="81">
        <v>9</v>
      </c>
      <c r="GC8" s="133">
        <v>6.1927558252491668</v>
      </c>
      <c r="GD8" s="133">
        <v>6.8965870899407333</v>
      </c>
      <c r="GE8" s="133">
        <v>7.5655756276848045</v>
      </c>
      <c r="GF8" s="133">
        <v>8.4178074005719807</v>
      </c>
      <c r="GG8" s="133">
        <v>10.058441029511027</v>
      </c>
      <c r="GH8" s="134">
        <v>12.266590450007655</v>
      </c>
      <c r="GI8" s="133">
        <v>14.959499272973691</v>
      </c>
      <c r="GJ8" s="133">
        <v>17.87511095323881</v>
      </c>
      <c r="GK8" s="133">
        <v>19.888670561643053</v>
      </c>
      <c r="GL8" s="133">
        <v>21.817928100653045</v>
      </c>
      <c r="GM8" s="133">
        <v>24.297622175691842</v>
      </c>
      <c r="GN8" s="81"/>
      <c r="GO8" s="81">
        <v>7</v>
      </c>
      <c r="GP8" s="133">
        <f t="shared" si="63"/>
        <v>0.30903269122864874</v>
      </c>
      <c r="GQ8" s="133">
        <f t="shared" si="64"/>
        <v>0.35823007152302161</v>
      </c>
      <c r="GR8" s="133">
        <f t="shared" si="65"/>
        <v>0.3954208884855388</v>
      </c>
      <c r="GS8" s="133">
        <f t="shared" si="351"/>
        <v>0.4341517608756979</v>
      </c>
      <c r="GT8" s="133">
        <f t="shared" si="352"/>
        <v>0.49324611985319827</v>
      </c>
      <c r="GU8" s="134">
        <f t="shared" si="353"/>
        <v>0.54833278405224295</v>
      </c>
      <c r="GV8" s="133">
        <f t="shared" si="354"/>
        <v>0.5980946897960927</v>
      </c>
      <c r="GW8" s="133">
        <f t="shared" si="66"/>
        <v>0.64154259341284625</v>
      </c>
      <c r="GX8" s="133">
        <f t="shared" si="67"/>
        <v>0.66546455688130934</v>
      </c>
      <c r="GY8" s="133">
        <f t="shared" si="68"/>
        <v>0.68549840340774615</v>
      </c>
      <c r="GZ8" s="133">
        <f t="shared" si="69"/>
        <v>0.70803845701710821</v>
      </c>
      <c r="HA8" s="81"/>
      <c r="HB8" s="81">
        <v>7</v>
      </c>
      <c r="HC8" s="133">
        <f t="shared" si="70"/>
        <v>0.32387399964285618</v>
      </c>
      <c r="HD8" s="133">
        <f t="shared" si="71"/>
        <v>0.3688164292242439</v>
      </c>
      <c r="HE8" s="133">
        <f t="shared" si="72"/>
        <v>0.40334155224238455</v>
      </c>
      <c r="HF8" s="133">
        <f t="shared" si="355"/>
        <v>0.43967336012463054</v>
      </c>
      <c r="HG8" s="133">
        <f t="shared" si="356"/>
        <v>0.49416271214209861</v>
      </c>
      <c r="HH8" s="134">
        <f t="shared" si="357"/>
        <v>0.54832735708245295</v>
      </c>
      <c r="HI8" s="133">
        <f t="shared" si="358"/>
        <v>0.59742481297633421</v>
      </c>
      <c r="HJ8" s="133">
        <f t="shared" si="73"/>
        <v>0.63814938373082297</v>
      </c>
      <c r="HK8" s="133">
        <f t="shared" si="74"/>
        <v>0.66131507850967541</v>
      </c>
      <c r="HL8" s="133">
        <f t="shared" si="75"/>
        <v>0.68074505086624981</v>
      </c>
      <c r="HM8" s="133">
        <f t="shared" si="76"/>
        <v>0.70263526310708568</v>
      </c>
      <c r="HN8" s="81"/>
      <c r="HO8" s="81">
        <v>9</v>
      </c>
      <c r="HP8" s="83">
        <f t="shared" si="77"/>
        <v>0.32108747869648935</v>
      </c>
      <c r="HQ8" s="83">
        <f t="shared" si="78"/>
        <v>0.36965183752680131</v>
      </c>
      <c r="HR8" s="83">
        <f t="shared" si="79"/>
        <v>0.4064807347634028</v>
      </c>
      <c r="HS8" s="83">
        <f t="shared" si="359"/>
        <v>0.44490368357262927</v>
      </c>
      <c r="HT8" s="83">
        <f t="shared" si="360"/>
        <v>0.50204199937134864</v>
      </c>
      <c r="HU8" s="84">
        <f t="shared" si="361"/>
        <v>0.55839970926613836</v>
      </c>
      <c r="HV8" s="83">
        <f t="shared" si="362"/>
        <v>0.60919343317434915</v>
      </c>
      <c r="HW8" s="83">
        <f t="shared" si="80"/>
        <v>0.65115432666466699</v>
      </c>
      <c r="HX8" s="83">
        <f t="shared" si="81"/>
        <v>0.67496372426262496</v>
      </c>
      <c r="HY8" s="83">
        <f t="shared" si="82"/>
        <v>0.69490346540848191</v>
      </c>
      <c r="HZ8" s="83">
        <f t="shared" si="83"/>
        <v>0.71733736914148072</v>
      </c>
      <c r="IA8" s="81"/>
      <c r="IB8" s="81">
        <v>7</v>
      </c>
      <c r="IC8" s="83">
        <f t="shared" si="84"/>
        <v>0.23304508613080946</v>
      </c>
      <c r="ID8" s="83">
        <f t="shared" si="85"/>
        <v>0.26338756110854594</v>
      </c>
      <c r="IE8" s="83">
        <f t="shared" si="86"/>
        <v>0.2836743635534143</v>
      </c>
      <c r="IF8" s="83">
        <f t="shared" si="363"/>
        <v>0.30315328576239237</v>
      </c>
      <c r="IG8" s="83">
        <f t="shared" si="364"/>
        <v>0.32981060345347868</v>
      </c>
      <c r="IH8" s="84">
        <f t="shared" si="365"/>
        <v>0.35409599341575626</v>
      </c>
      <c r="II8" s="83">
        <f t="shared" si="366"/>
        <v>0.37467678482128941</v>
      </c>
      <c r="IJ8" s="83">
        <f t="shared" si="87"/>
        <v>0.39091665143432486</v>
      </c>
      <c r="IK8" s="83">
        <f t="shared" si="88"/>
        <v>0.39986505956610841</v>
      </c>
      <c r="IL8" s="83">
        <f t="shared" si="89"/>
        <v>0.40722402169225752</v>
      </c>
      <c r="IM8" s="83">
        <f t="shared" si="90"/>
        <v>0.41536586661632768</v>
      </c>
      <c r="IN8" s="81"/>
      <c r="IO8" s="81">
        <v>7</v>
      </c>
      <c r="IP8" s="133">
        <f t="shared" si="91"/>
        <v>0.24281346157470887</v>
      </c>
      <c r="IQ8" s="133">
        <f t="shared" si="92"/>
        <v>0.26934905763280526</v>
      </c>
      <c r="IR8" s="133">
        <f t="shared" si="93"/>
        <v>0.28775432654940886</v>
      </c>
      <c r="IS8" s="133">
        <f t="shared" si="367"/>
        <v>0.30578787843989103</v>
      </c>
      <c r="IT8" s="133">
        <f t="shared" si="368"/>
        <v>0.33089657840536923</v>
      </c>
      <c r="IU8" s="134">
        <f t="shared" si="369"/>
        <v>0.35409375642006857</v>
      </c>
      <c r="IV8" s="133">
        <f t="shared" si="370"/>
        <v>0.37393378404633487</v>
      </c>
      <c r="IW8" s="133">
        <f t="shared" si="94"/>
        <v>0.38968267024156567</v>
      </c>
      <c r="IX8" s="133">
        <f t="shared" si="95"/>
        <v>0.39839049644308816</v>
      </c>
      <c r="IY8" s="133">
        <f t="shared" si="96"/>
        <v>0.40556587911754344</v>
      </c>
      <c r="IZ8" s="133">
        <f t="shared" si="97"/>
        <v>0.41351845899690748</v>
      </c>
      <c r="JA8" s="81"/>
      <c r="JB8" s="81">
        <v>9</v>
      </c>
      <c r="JC8" s="133">
        <f t="shared" si="98"/>
        <v>0.24107777505800204</v>
      </c>
      <c r="JD8" s="133">
        <f t="shared" si="99"/>
        <v>0.26994731422095419</v>
      </c>
      <c r="JE8" s="133">
        <f t="shared" si="100"/>
        <v>0.28950788410633904</v>
      </c>
      <c r="JF8" s="133">
        <f t="shared" si="371"/>
        <v>0.30841903462527021</v>
      </c>
      <c r="JG8" s="133">
        <f t="shared" si="372"/>
        <v>0.33444246484951201</v>
      </c>
      <c r="JH8" s="134">
        <f t="shared" si="373"/>
        <v>0.35824945387155349</v>
      </c>
      <c r="JI8" s="133">
        <f t="shared" si="374"/>
        <v>0.37847553213189106</v>
      </c>
      <c r="JJ8" s="133">
        <f t="shared" si="101"/>
        <v>0.39445933111782305</v>
      </c>
      <c r="JK8" s="133">
        <f t="shared" si="102"/>
        <v>0.40327368962599286</v>
      </c>
      <c r="JL8" s="133">
        <f t="shared" si="103"/>
        <v>0.41052556545567653</v>
      </c>
      <c r="JM8" s="133">
        <f t="shared" si="104"/>
        <v>0.41855183972670151</v>
      </c>
      <c r="JN8" s="81"/>
      <c r="JO8" s="81">
        <v>6</v>
      </c>
      <c r="JP8" s="133">
        <f t="shared" si="105"/>
        <v>-4.087986709533773</v>
      </c>
      <c r="JQ8" s="133">
        <f t="shared" si="106"/>
        <v>-3.1645305109772544</v>
      </c>
      <c r="JR8" s="133">
        <f t="shared" si="107"/>
        <v>-2.3635029837890436</v>
      </c>
      <c r="JS8" s="133">
        <f t="shared" si="375"/>
        <v>-1.4324000080160246</v>
      </c>
      <c r="JT8" s="133">
        <f t="shared" si="376"/>
        <v>0.13823174589891352</v>
      </c>
      <c r="JU8" s="134">
        <f t="shared" si="377"/>
        <v>1.9133413402525505</v>
      </c>
      <c r="JV8" s="133">
        <f t="shared" si="378"/>
        <v>3.7130067097807853</v>
      </c>
      <c r="JW8" s="133">
        <f t="shared" si="108"/>
        <v>5.3475788778947582</v>
      </c>
      <c r="JX8" s="133">
        <f t="shared" si="109"/>
        <v>6.336134977550838</v>
      </c>
      <c r="JY8" s="133">
        <f t="shared" si="110"/>
        <v>7.1986929923816376</v>
      </c>
      <c r="JZ8" s="133">
        <f t="shared" si="111"/>
        <v>8.2074689179105249</v>
      </c>
      <c r="KA8" s="81"/>
      <c r="KB8" s="81">
        <v>6</v>
      </c>
      <c r="KC8" s="133">
        <f t="shared" si="112"/>
        <v>-3.5314250356636254</v>
      </c>
      <c r="KD8" s="133">
        <f t="shared" si="113"/>
        <v>-2.7062539744997913</v>
      </c>
      <c r="KE8" s="133">
        <f t="shared" si="114"/>
        <v>-1.9773432167936651</v>
      </c>
      <c r="KF8" s="133">
        <f t="shared" si="379"/>
        <v>-1.1155572933806415</v>
      </c>
      <c r="KG8" s="133">
        <f t="shared" si="380"/>
        <v>0.37130509570516423</v>
      </c>
      <c r="KH8" s="134">
        <f t="shared" si="381"/>
        <v>2.0981605948967914</v>
      </c>
      <c r="KI8" s="133">
        <f t="shared" si="382"/>
        <v>3.8951092098636142</v>
      </c>
      <c r="KJ8" s="133">
        <f t="shared" si="115"/>
        <v>5.5644950372442228</v>
      </c>
      <c r="KK8" s="133">
        <f t="shared" si="116"/>
        <v>6.5902988142556058</v>
      </c>
      <c r="KL8" s="133">
        <f t="shared" si="117"/>
        <v>7.4948836043917151</v>
      </c>
      <c r="KM8" s="133">
        <f t="shared" si="118"/>
        <v>8.5636811958744321</v>
      </c>
      <c r="KN8" s="81"/>
      <c r="KO8" s="81">
        <v>8</v>
      </c>
      <c r="KP8" s="133">
        <f t="shared" si="119"/>
        <v>-7.0589266270529851</v>
      </c>
      <c r="KQ8" s="133">
        <f t="shared" si="120"/>
        <v>-5.8498896843214681</v>
      </c>
      <c r="KR8" s="133">
        <f t="shared" si="121"/>
        <v>-4.8146847448279928</v>
      </c>
      <c r="KS8" s="133">
        <f t="shared" si="383"/>
        <v>-3.6260563272367783</v>
      </c>
      <c r="KT8" s="133">
        <f t="shared" si="384"/>
        <v>-1.653862800388378</v>
      </c>
      <c r="KU8" s="134">
        <f t="shared" si="385"/>
        <v>0.53022904548748073</v>
      </c>
      <c r="KV8" s="133">
        <f t="shared" si="386"/>
        <v>2.7010837206475742</v>
      </c>
      <c r="KW8" s="133">
        <f t="shared" si="122"/>
        <v>4.638606590222274</v>
      </c>
      <c r="KX8" s="133">
        <f t="shared" si="123"/>
        <v>5.7958248613433625</v>
      </c>
      <c r="KY8" s="133">
        <f t="shared" si="124"/>
        <v>6.7971103225618172</v>
      </c>
      <c r="KZ8" s="133">
        <f t="shared" si="125"/>
        <v>7.9586129701604911</v>
      </c>
      <c r="LA8" s="81"/>
      <c r="LB8" s="81">
        <v>6</v>
      </c>
      <c r="LC8" s="133">
        <f t="shared" si="126"/>
        <v>-13.920925867221932</v>
      </c>
      <c r="LD8" s="133">
        <f t="shared" si="127"/>
        <v>-10.546030119514707</v>
      </c>
      <c r="LE8" s="133">
        <f t="shared" si="128"/>
        <v>-7.567580081257482</v>
      </c>
      <c r="LF8" s="133">
        <f t="shared" si="387"/>
        <v>-4.0526300924729668</v>
      </c>
      <c r="LG8" s="133">
        <f t="shared" si="388"/>
        <v>1.9892118557359879</v>
      </c>
      <c r="LH8" s="134">
        <f t="shared" si="389"/>
        <v>8.9632957827194559</v>
      </c>
      <c r="LI8" s="133">
        <f t="shared" si="390"/>
        <v>16.167114427229386</v>
      </c>
      <c r="LJ8" s="133">
        <f t="shared" si="129"/>
        <v>22.80984098878104</v>
      </c>
      <c r="LK8" s="133">
        <f t="shared" si="130"/>
        <v>26.86814061535096</v>
      </c>
      <c r="LL8" s="133">
        <f t="shared" si="131"/>
        <v>30.432276491717182</v>
      </c>
      <c r="LM8" s="133">
        <f t="shared" si="132"/>
        <v>34.626127609443209</v>
      </c>
      <c r="LN8" s="81"/>
      <c r="LO8" s="81">
        <v>6</v>
      </c>
      <c r="LP8" s="133">
        <f t="shared" si="133"/>
        <v>-12.636136583941816</v>
      </c>
      <c r="LQ8" s="133">
        <f t="shared" si="134"/>
        <v>-9.3387731038454085</v>
      </c>
      <c r="LR8" s="133">
        <f t="shared" si="135"/>
        <v>-6.4069748431723355</v>
      </c>
      <c r="LS8" s="133">
        <f t="shared" si="391"/>
        <v>-2.9248302632088503</v>
      </c>
      <c r="LT8" s="133">
        <f t="shared" si="392"/>
        <v>3.10772375876277</v>
      </c>
      <c r="LU8" s="134">
        <f t="shared" si="393"/>
        <v>10.13174515142239</v>
      </c>
      <c r="LV8" s="133">
        <f t="shared" si="394"/>
        <v>17.442656200713866</v>
      </c>
      <c r="LW8" s="133">
        <f t="shared" si="136"/>
        <v>24.225900468018335</v>
      </c>
      <c r="LX8" s="133">
        <f t="shared" si="137"/>
        <v>28.38727864960094</v>
      </c>
      <c r="LY8" s="133">
        <f t="shared" si="138"/>
        <v>32.051730395822716</v>
      </c>
      <c r="LZ8" s="133">
        <f t="shared" si="139"/>
        <v>36.374519415252493</v>
      </c>
      <c r="MA8" s="81"/>
      <c r="MB8" s="81">
        <v>8</v>
      </c>
      <c r="MC8" s="133">
        <f t="shared" si="140"/>
        <v>-19.937682089538178</v>
      </c>
      <c r="MD8" s="133">
        <f t="shared" si="141"/>
        <v>-16.383516292659007</v>
      </c>
      <c r="ME8" s="133">
        <f t="shared" si="142"/>
        <v>-13.261241548242243</v>
      </c>
      <c r="MF8" s="133">
        <f t="shared" si="395"/>
        <v>-9.5950425539169615</v>
      </c>
      <c r="MG8" s="133">
        <f t="shared" si="396"/>
        <v>-3.3400915045169981</v>
      </c>
      <c r="MH8" s="134">
        <f t="shared" si="397"/>
        <v>3.8094710700881436</v>
      </c>
      <c r="MI8" s="133">
        <f t="shared" si="398"/>
        <v>11.121287429835967</v>
      </c>
      <c r="MJ8" s="133">
        <f t="shared" si="143"/>
        <v>17.803341068772546</v>
      </c>
      <c r="MK8" s="133">
        <f t="shared" si="144"/>
        <v>21.859355513877858</v>
      </c>
      <c r="ML8" s="133">
        <f t="shared" si="145"/>
        <v>25.405992517220888</v>
      </c>
      <c r="MM8" s="133">
        <f t="shared" si="146"/>
        <v>29.56157674611655</v>
      </c>
      <c r="MN8" s="81"/>
      <c r="MO8" s="81">
        <v>6</v>
      </c>
      <c r="MP8" s="133">
        <f t="shared" si="147"/>
        <v>-9.3087953347107124</v>
      </c>
      <c r="MQ8" s="133">
        <f t="shared" si="148"/>
        <v>-5.3987243818839872</v>
      </c>
      <c r="MR8" s="133">
        <f t="shared" si="149"/>
        <v>-2.0233253737556396</v>
      </c>
      <c r="MS8" s="133">
        <f t="shared" si="399"/>
        <v>1.881236182640329</v>
      </c>
      <c r="MT8" s="133">
        <f t="shared" si="400"/>
        <v>8.4222482398500276</v>
      </c>
      <c r="MU8" s="134">
        <f t="shared" si="401"/>
        <v>15.748432036300066</v>
      </c>
      <c r="MV8" s="133">
        <f t="shared" si="402"/>
        <v>23.107423251153968</v>
      </c>
      <c r="MW8" s="133">
        <f t="shared" si="150"/>
        <v>29.734623467765154</v>
      </c>
      <c r="MX8" s="133">
        <f t="shared" si="151"/>
        <v>33.717610856479531</v>
      </c>
      <c r="MY8" s="133">
        <f t="shared" si="152"/>
        <v>37.178095136399783</v>
      </c>
      <c r="MZ8" s="133">
        <f t="shared" si="153"/>
        <v>41.208153774047894</v>
      </c>
      <c r="NA8" s="81"/>
      <c r="NB8" s="81">
        <v>6</v>
      </c>
      <c r="NC8" s="133">
        <f t="shared" si="154"/>
        <v>-7.7607817555436185</v>
      </c>
      <c r="ND8" s="133">
        <f t="shared" si="155"/>
        <v>-3.8327815253521003</v>
      </c>
      <c r="NE8" s="133">
        <f t="shared" si="156"/>
        <v>-0.43161516736110173</v>
      </c>
      <c r="NF8" s="133">
        <f t="shared" si="403"/>
        <v>3.5126846901652655</v>
      </c>
      <c r="NG8" s="133">
        <f t="shared" si="404"/>
        <v>10.140068730405847</v>
      </c>
      <c r="NH8" s="134">
        <f t="shared" si="405"/>
        <v>17.58701371467566</v>
      </c>
      <c r="NI8" s="133">
        <f t="shared" si="406"/>
        <v>25.088101171954282</v>
      </c>
      <c r="NJ8" s="133">
        <f t="shared" si="157"/>
        <v>31.85823482029372</v>
      </c>
      <c r="NK8" s="133">
        <f t="shared" si="158"/>
        <v>35.93312085763894</v>
      </c>
      <c r="NL8" s="133">
        <f t="shared" si="159"/>
        <v>39.476782879312623</v>
      </c>
      <c r="NM8" s="133">
        <f t="shared" si="160"/>
        <v>43.607359247605828</v>
      </c>
      <c r="NN8" s="81"/>
      <c r="NO8" s="81">
        <v>8</v>
      </c>
      <c r="NP8" s="133">
        <f t="shared" si="161"/>
        <v>-17.313067737946536</v>
      </c>
      <c r="NQ8" s="133">
        <f t="shared" si="162"/>
        <v>-13.411021100231714</v>
      </c>
      <c r="NR8" s="133">
        <f t="shared" si="163"/>
        <v>-10.052436599499291</v>
      </c>
      <c r="NS8" s="133">
        <f t="shared" si="407"/>
        <v>-6.1776095375513478</v>
      </c>
      <c r="NT8" s="133">
        <f t="shared" si="408"/>
        <v>0.29158830076169551</v>
      </c>
      <c r="NU8" s="134">
        <f t="shared" si="409"/>
        <v>7.5087083881869319</v>
      </c>
      <c r="NV8" s="133">
        <f t="shared" si="410"/>
        <v>14.731710178768239</v>
      </c>
      <c r="NW8" s="133">
        <f t="shared" si="164"/>
        <v>21.216444534770872</v>
      </c>
      <c r="NX8" s="133">
        <f t="shared" si="165"/>
        <v>25.105523470298316</v>
      </c>
      <c r="NY8" s="133">
        <f t="shared" si="166"/>
        <v>28.47970587178839</v>
      </c>
      <c r="NZ8" s="133">
        <f t="shared" si="167"/>
        <v>32.404018613029628</v>
      </c>
      <c r="OA8" s="81"/>
      <c r="OB8" s="81">
        <v>6</v>
      </c>
      <c r="OC8" s="133">
        <v>10.761666757181228</v>
      </c>
      <c r="OD8" s="133">
        <v>11.879451040726765</v>
      </c>
      <c r="OE8" s="133">
        <v>12.933234807392072</v>
      </c>
      <c r="OF8" s="133">
        <v>14.264711117530654</v>
      </c>
      <c r="OG8" s="133">
        <v>16.797846715697659</v>
      </c>
      <c r="OH8" s="134">
        <v>20.154829204203956</v>
      </c>
      <c r="OI8" s="133">
        <v>24.182691217858359</v>
      </c>
      <c r="OJ8" s="133">
        <v>28.477067422095288</v>
      </c>
      <c r="OK8" s="133">
        <v>31.408781043583673</v>
      </c>
      <c r="OL8" s="133">
        <v>34.19494207754073</v>
      </c>
      <c r="OM8" s="133">
        <v>37.74667525172763</v>
      </c>
      <c r="ON8" s="81"/>
      <c r="OO8" s="81">
        <v>6</v>
      </c>
      <c r="OP8" s="133">
        <v>9.8816101095316196</v>
      </c>
      <c r="OQ8" s="133">
        <v>11.010078956996738</v>
      </c>
      <c r="OR8" s="133">
        <v>12.083170530432881</v>
      </c>
      <c r="OS8" s="133">
        <v>13.45081428256456</v>
      </c>
      <c r="OT8" s="133">
        <v>23.209400462311205</v>
      </c>
      <c r="OU8" s="134">
        <v>19.634352137038878</v>
      </c>
      <c r="OV8" s="133">
        <v>23.966325944475841</v>
      </c>
      <c r="OW8" s="133">
        <v>28.660553609825126</v>
      </c>
      <c r="OX8" s="133">
        <v>31.90452231641493</v>
      </c>
      <c r="OY8" s="133">
        <v>35.01407985782506</v>
      </c>
      <c r="OZ8" s="133">
        <v>39.012648704828912</v>
      </c>
      <c r="PA8" s="81"/>
      <c r="PB8" s="81">
        <v>8</v>
      </c>
      <c r="PC8" s="133">
        <v>13.562088772469997</v>
      </c>
      <c r="PD8" s="133">
        <v>14.940079887318269</v>
      </c>
      <c r="PE8" s="133">
        <v>16.236702604298127</v>
      </c>
      <c r="PF8" s="133">
        <v>17.871896885636513</v>
      </c>
      <c r="PG8" s="133">
        <v>20.974338619699154</v>
      </c>
      <c r="PH8" s="134">
        <v>25.071018795504202</v>
      </c>
      <c r="PI8" s="133">
        <v>29.967857143976108</v>
      </c>
      <c r="PJ8" s="133">
        <v>35.170076655359964</v>
      </c>
      <c r="PK8" s="133">
        <v>38.712046328799296</v>
      </c>
      <c r="PL8" s="133">
        <v>42.071795344151305</v>
      </c>
      <c r="PM8" s="133">
        <v>46.346546906583136</v>
      </c>
      <c r="PN8" s="81"/>
      <c r="PO8" s="81">
        <v>6</v>
      </c>
      <c r="PP8" s="133">
        <v>5.9039967446710619</v>
      </c>
      <c r="PQ8" s="133">
        <v>6.4190235632135844</v>
      </c>
      <c r="PR8" s="133">
        <v>6.8977680919371149</v>
      </c>
      <c r="PS8" s="133">
        <v>7.494210781065811</v>
      </c>
      <c r="PT8" s="133">
        <v>8.6061548503429179</v>
      </c>
      <c r="PU8" s="134">
        <v>10.041009960188655</v>
      </c>
      <c r="PV8" s="133">
        <v>11.715090278278044</v>
      </c>
      <c r="PW8" s="133">
        <v>13.453302017516657</v>
      </c>
      <c r="PX8" s="133">
        <v>14.616594770482303</v>
      </c>
      <c r="PY8" s="133">
        <v>15.706731721379263</v>
      </c>
      <c r="PZ8" s="133">
        <v>17.076886282433922</v>
      </c>
      <c r="QA8" s="81"/>
      <c r="QB8" s="81">
        <v>6</v>
      </c>
      <c r="QC8" s="133">
        <v>6.1947288884524641</v>
      </c>
      <c r="QD8" s="133">
        <v>6.680519919565219</v>
      </c>
      <c r="QE8" s="133">
        <v>7.128689131329029</v>
      </c>
      <c r="QF8" s="133">
        <v>7.6828406406943026</v>
      </c>
      <c r="QG8" s="133">
        <v>8.7047808138602871</v>
      </c>
      <c r="QH8" s="134">
        <v>10.004809066926002</v>
      </c>
      <c r="QI8" s="133">
        <v>11.498991945468102</v>
      </c>
      <c r="QJ8" s="133">
        <v>13.028541023675192</v>
      </c>
      <c r="QK8" s="133">
        <v>14.041319886673669</v>
      </c>
      <c r="QL8" s="133">
        <v>14.983295562444667</v>
      </c>
      <c r="QM8" s="133">
        <v>16.158286547815376</v>
      </c>
      <c r="QN8" s="81"/>
      <c r="QO8" s="81">
        <v>8</v>
      </c>
      <c r="QP8" s="133">
        <v>6.3200901252991981</v>
      </c>
      <c r="QQ8" s="133">
        <v>6.9265566840811319</v>
      </c>
      <c r="QR8" s="133">
        <v>7.4944968796311198</v>
      </c>
      <c r="QS8" s="133">
        <v>8.2073292960060442</v>
      </c>
      <c r="QT8" s="133">
        <v>9.5505212860207411</v>
      </c>
      <c r="QU8" s="134">
        <v>11.308246358003396</v>
      </c>
      <c r="QV8" s="133">
        <v>13.389471827100358</v>
      </c>
      <c r="QW8" s="133">
        <v>15.580760937120671</v>
      </c>
      <c r="QX8" s="133">
        <v>17.062711179565028</v>
      </c>
      <c r="QY8" s="133">
        <v>18.461761236602221</v>
      </c>
      <c r="QZ8" s="133">
        <v>20.233324708679415</v>
      </c>
      <c r="RA8" s="81"/>
      <c r="RB8" s="81">
        <v>6</v>
      </c>
      <c r="RC8" s="133">
        <f t="shared" si="168"/>
        <v>0.32321218705557103</v>
      </c>
      <c r="RD8" s="133">
        <f t="shared" si="169"/>
        <v>0.34496373405034403</v>
      </c>
      <c r="RE8" s="133">
        <f t="shared" si="170"/>
        <v>0.36503095311192169</v>
      </c>
      <c r="RF8" s="133">
        <f t="shared" si="411"/>
        <v>0.38986070050000782</v>
      </c>
      <c r="RG8" s="133">
        <f t="shared" si="412"/>
        <v>0.43575235998576356</v>
      </c>
      <c r="RH8" s="134">
        <f t="shared" si="413"/>
        <v>0.49442759757244847</v>
      </c>
      <c r="RI8" s="133">
        <f t="shared" si="414"/>
        <v>0.56241149935513202</v>
      </c>
      <c r="RJ8" s="133">
        <f t="shared" si="171"/>
        <v>0.63272632351365021</v>
      </c>
      <c r="RK8" s="133">
        <f t="shared" si="172"/>
        <v>0.67972948007394596</v>
      </c>
      <c r="RL8" s="133">
        <f t="shared" si="173"/>
        <v>0.72378428521293814</v>
      </c>
      <c r="RM8" s="133">
        <f t="shared" si="174"/>
        <v>0.77921126926981343</v>
      </c>
      <c r="RN8" s="81"/>
      <c r="RO8" s="81">
        <v>6</v>
      </c>
      <c r="RP8" s="133">
        <f t="shared" si="175"/>
        <v>0.32955004660824222</v>
      </c>
      <c r="RQ8" s="133">
        <f t="shared" si="176"/>
        <v>0.35124661625979825</v>
      </c>
      <c r="RR8" s="133">
        <f t="shared" si="177"/>
        <v>0.37130873147847732</v>
      </c>
      <c r="RS8" s="133">
        <f t="shared" si="415"/>
        <v>0.39619573038512129</v>
      </c>
      <c r="RT8" s="133">
        <f t="shared" si="416"/>
        <v>0.44238731593833347</v>
      </c>
      <c r="RU8" s="134">
        <f t="shared" si="417"/>
        <v>0.50183033983081882</v>
      </c>
      <c r="RV8" s="133">
        <f t="shared" si="418"/>
        <v>0.57126393121953722</v>
      </c>
      <c r="RW8" s="133">
        <f t="shared" si="178"/>
        <v>0.64372551834582115</v>
      </c>
      <c r="RX8" s="133">
        <f t="shared" si="179"/>
        <v>0.69253471993475801</v>
      </c>
      <c r="RY8" s="133">
        <f t="shared" si="180"/>
        <v>0.73855312501365611</v>
      </c>
      <c r="RZ8" s="133">
        <f t="shared" si="181"/>
        <v>0.79682285555661447</v>
      </c>
      <c r="SA8" s="81"/>
      <c r="SB8" s="81">
        <v>8</v>
      </c>
      <c r="SC8" s="133">
        <f t="shared" si="182"/>
        <v>0.27827769217434423</v>
      </c>
      <c r="SD8" s="133">
        <f t="shared" si="183"/>
        <v>0.29993171028231524</v>
      </c>
      <c r="SE8" s="133">
        <f t="shared" si="184"/>
        <v>0.31991702478375189</v>
      </c>
      <c r="SF8" s="133">
        <f t="shared" si="419"/>
        <v>0.34464027790648766</v>
      </c>
      <c r="SG8" s="133">
        <f t="shared" si="420"/>
        <v>0.39027048663660424</v>
      </c>
      <c r="SH8" s="134">
        <f t="shared" si="421"/>
        <v>0.44839039062422781</v>
      </c>
      <c r="SI8" s="133">
        <f t="shared" si="422"/>
        <v>0.51529495152120963</v>
      </c>
      <c r="SJ8" s="133">
        <f t="shared" si="185"/>
        <v>0.58390057775207016</v>
      </c>
      <c r="SK8" s="133">
        <f t="shared" si="186"/>
        <v>0.62939250235061706</v>
      </c>
      <c r="SL8" s="133">
        <f t="shared" si="187"/>
        <v>0.67175033859661315</v>
      </c>
      <c r="SM8" s="133">
        <f t="shared" si="188"/>
        <v>0.72464792522390398</v>
      </c>
      <c r="SN8" s="81"/>
      <c r="SO8" s="81">
        <v>6</v>
      </c>
      <c r="SP8" s="133">
        <f t="shared" si="189"/>
        <v>0.24407337043835553</v>
      </c>
      <c r="SQ8" s="133">
        <f t="shared" si="190"/>
        <v>0.25645148944030394</v>
      </c>
      <c r="SR8" s="133">
        <f t="shared" si="191"/>
        <v>0.2674672774520977</v>
      </c>
      <c r="SS8" s="133">
        <f t="shared" si="423"/>
        <v>0.28060223655712191</v>
      </c>
      <c r="ST8" s="133">
        <f t="shared" si="424"/>
        <v>0.30357850177348672</v>
      </c>
      <c r="SU8" s="134">
        <f t="shared" si="425"/>
        <v>0.33081284964634833</v>
      </c>
      <c r="SV8" s="133">
        <f t="shared" si="426"/>
        <v>0.35983214270434455</v>
      </c>
      <c r="SW8" s="133">
        <f t="shared" si="192"/>
        <v>0.38744926741095165</v>
      </c>
      <c r="SX8" s="133">
        <f t="shared" si="193"/>
        <v>0.40474564944664021</v>
      </c>
      <c r="SY8" s="133">
        <f t="shared" si="194"/>
        <v>0.42020913114483982</v>
      </c>
      <c r="SZ8" s="133">
        <f t="shared" si="195"/>
        <v>0.43873893346115406</v>
      </c>
      <c r="TA8" s="81"/>
      <c r="TB8" s="81">
        <v>6</v>
      </c>
      <c r="TC8" s="133">
        <f t="shared" si="196"/>
        <v>0.24754557133962127</v>
      </c>
      <c r="TD8" s="133">
        <f t="shared" si="197"/>
        <v>0.25978776719747732</v>
      </c>
      <c r="TE8" s="133">
        <f t="shared" si="198"/>
        <v>0.27071274113346977</v>
      </c>
      <c r="TF8" s="133">
        <f t="shared" si="427"/>
        <v>0.28377676984374856</v>
      </c>
      <c r="TG8" s="133">
        <f t="shared" si="428"/>
        <v>0.30672709922253361</v>
      </c>
      <c r="TH8" s="134">
        <f t="shared" si="429"/>
        <v>0.33409263822756707</v>
      </c>
      <c r="TI8" s="133">
        <f t="shared" si="430"/>
        <v>0.36344428495683384</v>
      </c>
      <c r="TJ8" s="133">
        <f t="shared" si="199"/>
        <v>0.39156063735409724</v>
      </c>
      <c r="TK8" s="133">
        <f t="shared" si="200"/>
        <v>0.40925962654508208</v>
      </c>
      <c r="TL8" s="133">
        <f t="shared" si="201"/>
        <v>0.4251411510725045</v>
      </c>
      <c r="TM8" s="133">
        <f t="shared" si="202"/>
        <v>0.44424350684405295</v>
      </c>
      <c r="TN8" s="81"/>
      <c r="TO8" s="81">
        <v>8</v>
      </c>
      <c r="TP8" s="133">
        <f t="shared" si="203"/>
        <v>0.21719458763712346</v>
      </c>
      <c r="TQ8" s="133">
        <f t="shared" si="204"/>
        <v>0.23054214617277227</v>
      </c>
      <c r="TR8" s="133">
        <f t="shared" si="205"/>
        <v>0.24238143838067569</v>
      </c>
      <c r="TS8" s="133">
        <f t="shared" si="431"/>
        <v>0.25644709033965013</v>
      </c>
      <c r="TT8" s="133">
        <f t="shared" si="432"/>
        <v>0.28091022480316485</v>
      </c>
      <c r="TU8" s="134">
        <f t="shared" si="433"/>
        <v>0.30966420792391075</v>
      </c>
      <c r="TV8" s="133">
        <f t="shared" si="434"/>
        <v>0.34000509469514245</v>
      </c>
      <c r="TW8" s="133">
        <f t="shared" si="206"/>
        <v>0.368592674767169</v>
      </c>
      <c r="TX8" s="133">
        <f t="shared" si="207"/>
        <v>0.38635483656359271</v>
      </c>
      <c r="TY8" s="133">
        <f t="shared" si="208"/>
        <v>0.40214299561071482</v>
      </c>
      <c r="TZ8" s="133">
        <f t="shared" si="209"/>
        <v>0.42094901361972309</v>
      </c>
      <c r="UA8" s="81"/>
      <c r="UB8" s="81">
        <v>6</v>
      </c>
      <c r="UC8" s="133">
        <f t="shared" si="210"/>
        <v>-18.806159373447272</v>
      </c>
      <c r="UD8" s="133">
        <f t="shared" si="211"/>
        <v>-16.717704801331578</v>
      </c>
      <c r="UE8" s="133">
        <f t="shared" si="212"/>
        <v>-14.952073598574934</v>
      </c>
      <c r="UF8" s="133">
        <f t="shared" si="435"/>
        <v>-12.948954763515523</v>
      </c>
      <c r="UG8" s="133">
        <f t="shared" si="436"/>
        <v>-9.6786064654900983</v>
      </c>
      <c r="UH8" s="134">
        <f t="shared" si="437"/>
        <v>-6.1282669649531485</v>
      </c>
      <c r="UI8" s="133">
        <f t="shared" si="438"/>
        <v>-2.6671988864012661</v>
      </c>
      <c r="UJ8" s="133">
        <f t="shared" si="213"/>
        <v>0.36955080783644689</v>
      </c>
      <c r="UK8" s="133">
        <f t="shared" si="214"/>
        <v>2.1613308300314742</v>
      </c>
      <c r="UL8" s="133">
        <f t="shared" si="215"/>
        <v>3.6990741124171507</v>
      </c>
      <c r="UM8" s="133">
        <f t="shared" si="216"/>
        <v>5.4688028689620864</v>
      </c>
      <c r="UN8" s="81"/>
      <c r="UO8" s="81">
        <v>6</v>
      </c>
      <c r="UP8" s="133">
        <f t="shared" si="217"/>
        <v>-17.681825850297983</v>
      </c>
      <c r="UQ8" s="133">
        <f t="shared" si="218"/>
        <v>-15.739582378841519</v>
      </c>
      <c r="UR8" s="133">
        <f t="shared" si="219"/>
        <v>-14.072468571189471</v>
      </c>
      <c r="US8" s="133">
        <f t="shared" si="439"/>
        <v>-12.153836725061272</v>
      </c>
      <c r="UT8" s="133">
        <f t="shared" si="440"/>
        <v>-8.9605739420946726</v>
      </c>
      <c r="UU8" s="134">
        <f t="shared" si="441"/>
        <v>-5.4109472441042215</v>
      </c>
      <c r="UV8" s="133">
        <f t="shared" si="442"/>
        <v>-1.8701361659968612</v>
      </c>
      <c r="UW8" s="133">
        <f t="shared" si="220"/>
        <v>1.2999791845725284</v>
      </c>
      <c r="UX8" s="133">
        <f t="shared" si="221"/>
        <v>3.1975648660429812</v>
      </c>
      <c r="UY8" s="133">
        <f t="shared" si="222"/>
        <v>4.8418653439220876</v>
      </c>
      <c r="UZ8" s="133">
        <f t="shared" si="223"/>
        <v>6.7519774125076566</v>
      </c>
      <c r="VA8" s="81"/>
      <c r="VB8" s="81">
        <v>9</v>
      </c>
      <c r="VC8" s="133">
        <f t="shared" si="224"/>
        <v>-26.498437909472507</v>
      </c>
      <c r="VD8" s="133">
        <f t="shared" si="225"/>
        <v>-23.466930772667226</v>
      </c>
      <c r="VE8" s="133">
        <f t="shared" si="226"/>
        <v>-20.971451308043626</v>
      </c>
      <c r="VF8" s="133">
        <f t="shared" si="443"/>
        <v>-18.204596158890354</v>
      </c>
      <c r="VG8" s="133">
        <f t="shared" si="444"/>
        <v>-13.812194644613413</v>
      </c>
      <c r="VH8" s="134">
        <f t="shared" si="445"/>
        <v>-9.1898262196506764</v>
      </c>
      <c r="VI8" s="133">
        <f t="shared" si="446"/>
        <v>-4.8047140207153447</v>
      </c>
      <c r="VJ8" s="133">
        <f t="shared" si="227"/>
        <v>-1.040566929882381</v>
      </c>
      <c r="VK8" s="133">
        <f t="shared" si="228"/>
        <v>1.1481439873721797</v>
      </c>
      <c r="VL8" s="133">
        <f t="shared" si="229"/>
        <v>3.009078448813284</v>
      </c>
      <c r="VM8" s="133">
        <f t="shared" si="230"/>
        <v>5.1320842963056208</v>
      </c>
      <c r="VN8" s="81"/>
      <c r="VO8" s="81">
        <v>6</v>
      </c>
      <c r="VP8" s="133">
        <f t="shared" si="231"/>
        <v>-41.672266653529597</v>
      </c>
      <c r="VQ8" s="133">
        <f t="shared" si="232"/>
        <v>-38.620113456430893</v>
      </c>
      <c r="VR8" s="133">
        <f t="shared" si="233"/>
        <v>-35.789545602123049</v>
      </c>
      <c r="VS8" s="133">
        <f t="shared" si="447"/>
        <v>-32.297141434999851</v>
      </c>
      <c r="VT8" s="133">
        <f t="shared" si="448"/>
        <v>-25.943139747534563</v>
      </c>
      <c r="VU8" s="134">
        <f t="shared" si="449"/>
        <v>-18.111407276977268</v>
      </c>
      <c r="VV8" s="133">
        <f t="shared" si="450"/>
        <v>-9.5197910919381101</v>
      </c>
      <c r="VW8" s="133">
        <f t="shared" si="234"/>
        <v>-1.1867539966185845</v>
      </c>
      <c r="VX8" s="133">
        <f t="shared" si="235"/>
        <v>4.0844573950094301</v>
      </c>
      <c r="VY8" s="133">
        <f t="shared" si="236"/>
        <v>8.8207829039741199</v>
      </c>
      <c r="VZ8" s="133">
        <f t="shared" si="237"/>
        <v>14.516979988493368</v>
      </c>
      <c r="WA8" s="81"/>
      <c r="WB8" s="81">
        <v>6</v>
      </c>
      <c r="WC8" s="133">
        <f t="shared" si="238"/>
        <v>-39.35941100938355</v>
      </c>
      <c r="WD8" s="133">
        <f t="shared" si="239"/>
        <v>-36.458198984998951</v>
      </c>
      <c r="WE8" s="133">
        <f t="shared" si="240"/>
        <v>-33.713557962407727</v>
      </c>
      <c r="WF8" s="133">
        <f t="shared" si="451"/>
        <v>-30.273116512990789</v>
      </c>
      <c r="WG8" s="133">
        <f t="shared" si="452"/>
        <v>-23.90096470267056</v>
      </c>
      <c r="WH8" s="134">
        <f t="shared" si="453"/>
        <v>-15.905403656194096</v>
      </c>
      <c r="WI8" s="133">
        <f t="shared" si="454"/>
        <v>-7.0090735911112674</v>
      </c>
      <c r="WJ8" s="133">
        <f t="shared" si="241"/>
        <v>1.7103166405960479</v>
      </c>
      <c r="WK8" s="133">
        <f t="shared" si="242"/>
        <v>7.2621905707639698</v>
      </c>
      <c r="WL8" s="133">
        <f t="shared" si="243"/>
        <v>12.270849901462583</v>
      </c>
      <c r="WM8" s="133">
        <f t="shared" si="244"/>
        <v>18.316707215746668</v>
      </c>
      <c r="WN8" s="81"/>
      <c r="WO8" s="81">
        <v>9</v>
      </c>
      <c r="WP8" s="133">
        <f t="shared" si="245"/>
        <v>-47.652803604923882</v>
      </c>
      <c r="WQ8" s="133">
        <f t="shared" si="246"/>
        <v>-44.516509271727145</v>
      </c>
      <c r="WR8" s="133">
        <f t="shared" si="247"/>
        <v>-41.535521778226304</v>
      </c>
      <c r="WS8" s="133">
        <f t="shared" si="455"/>
        <v>-37.801779189501907</v>
      </c>
      <c r="WT8" s="133">
        <f t="shared" si="456"/>
        <v>-30.928201437922972</v>
      </c>
      <c r="WU8" s="134">
        <f t="shared" si="457"/>
        <v>-22.40521170295743</v>
      </c>
      <c r="WV8" s="133">
        <f t="shared" si="458"/>
        <v>-13.057674275450289</v>
      </c>
      <c r="WW8" s="133">
        <f t="shared" si="248"/>
        <v>-4.0242011045022252</v>
      </c>
      <c r="WX8" s="133">
        <f t="shared" si="249"/>
        <v>1.6673469784781147</v>
      </c>
      <c r="WY8" s="133">
        <f t="shared" si="250"/>
        <v>6.7647855515632287</v>
      </c>
      <c r="WZ8" s="133">
        <f t="shared" si="251"/>
        <v>12.873752908912032</v>
      </c>
      <c r="XA8" s="81"/>
      <c r="XB8" s="81">
        <v>6</v>
      </c>
      <c r="XC8" s="133">
        <f t="shared" si="252"/>
        <v>-36.354282600225076</v>
      </c>
      <c r="XD8" s="133">
        <f t="shared" si="253"/>
        <v>-32.722802698014355</v>
      </c>
      <c r="XE8" s="133">
        <f t="shared" si="254"/>
        <v>-29.487265576138689</v>
      </c>
      <c r="XF8" s="133">
        <f t="shared" si="459"/>
        <v>-25.637465695190532</v>
      </c>
      <c r="XG8" s="133">
        <f t="shared" si="460"/>
        <v>-18.95314001603689</v>
      </c>
      <c r="XH8" s="134">
        <f t="shared" si="461"/>
        <v>-11.150792810013172</v>
      </c>
      <c r="XI8" s="133">
        <f t="shared" si="462"/>
        <v>-3.0116753043573965</v>
      </c>
      <c r="XJ8" s="133">
        <f t="shared" si="255"/>
        <v>4.5538106442014268</v>
      </c>
      <c r="XK8" s="133">
        <f t="shared" si="256"/>
        <v>9.2008343549394098</v>
      </c>
      <c r="XL8" s="133">
        <f t="shared" si="257"/>
        <v>13.296233438197198</v>
      </c>
      <c r="XM8" s="133">
        <f t="shared" si="258"/>
        <v>18.131081401068052</v>
      </c>
      <c r="XN8" s="81"/>
      <c r="XO8" s="81">
        <v>6</v>
      </c>
      <c r="XP8" s="133">
        <f t="shared" si="259"/>
        <v>-35.228696914782411</v>
      </c>
      <c r="XQ8" s="133">
        <f t="shared" si="260"/>
        <v>-31.399249976106493</v>
      </c>
      <c r="XR8" s="133">
        <f t="shared" si="261"/>
        <v>-27.975789603145536</v>
      </c>
      <c r="XS8" s="133">
        <f t="shared" si="463"/>
        <v>-23.893378824838855</v>
      </c>
      <c r="XT8" s="133">
        <f t="shared" si="464"/>
        <v>-16.791861043659267</v>
      </c>
      <c r="XU8" s="134">
        <f t="shared" si="465"/>
        <v>-8.493119980795818</v>
      </c>
      <c r="XV8" s="133">
        <f t="shared" si="466"/>
        <v>0.16561289327032114</v>
      </c>
      <c r="XW8" s="133">
        <f t="shared" si="262"/>
        <v>8.2113080009277013</v>
      </c>
      <c r="XX8" s="133">
        <f t="shared" si="263"/>
        <v>13.150944711727867</v>
      </c>
      <c r="XY8" s="133">
        <f t="shared" si="264"/>
        <v>17.502424506110678</v>
      </c>
      <c r="XZ8" s="133">
        <f t="shared" si="265"/>
        <v>22.637215391078051</v>
      </c>
      <c r="YA8" s="81"/>
      <c r="YB8" s="81">
        <v>9</v>
      </c>
      <c r="YC8" s="133">
        <f t="shared" si="266"/>
        <v>-46.348550652544695</v>
      </c>
      <c r="YD8" s="133">
        <f t="shared" si="267"/>
        <v>-42.584290789744969</v>
      </c>
      <c r="YE8" s="133">
        <f t="shared" si="268"/>
        <v>-39.173132534433584</v>
      </c>
      <c r="YF8" s="133">
        <f t="shared" si="467"/>
        <v>-35.069864887750825</v>
      </c>
      <c r="YG8" s="133">
        <f t="shared" si="468"/>
        <v>-27.876684933841439</v>
      </c>
      <c r="YH8" s="134">
        <f t="shared" si="469"/>
        <v>-19.422428724948666</v>
      </c>
      <c r="YI8" s="133">
        <f t="shared" si="470"/>
        <v>-10.574889960144695</v>
      </c>
      <c r="YJ8" s="133">
        <f t="shared" si="269"/>
        <v>-2.343393928180376</v>
      </c>
      <c r="YK8" s="133">
        <f t="shared" si="270"/>
        <v>2.7120053528717989</v>
      </c>
      <c r="YL8" s="133">
        <f t="shared" si="271"/>
        <v>7.1654831187563133</v>
      </c>
      <c r="YM8" s="133">
        <f t="shared" si="272"/>
        <v>12.419924076148668</v>
      </c>
      <c r="YN8" s="81"/>
      <c r="YO8" s="81">
        <v>6</v>
      </c>
      <c r="YP8" s="133">
        <v>15.701120754157905</v>
      </c>
      <c r="YQ8" s="133">
        <v>17.485296667233207</v>
      </c>
      <c r="YR8" s="133">
        <v>19.181119388407492</v>
      </c>
      <c r="YS8" s="133">
        <v>21.341409848304281</v>
      </c>
      <c r="YT8" s="133">
        <v>25.500089221035552</v>
      </c>
      <c r="YU8" s="134">
        <v>31.097129005787011</v>
      </c>
      <c r="YV8" s="133">
        <v>37.922668584423462</v>
      </c>
      <c r="YW8" s="133">
        <v>45.312443708089745</v>
      </c>
      <c r="YX8" s="133">
        <v>50.415797577851762</v>
      </c>
      <c r="YY8" s="133">
        <v>55.305406068101817</v>
      </c>
      <c r="YZ8" s="133">
        <v>61.589962114422605</v>
      </c>
      <c r="ZA8" s="81"/>
      <c r="ZB8" s="81">
        <v>6</v>
      </c>
      <c r="ZC8" s="133">
        <v>15.743165467338507</v>
      </c>
      <c r="ZD8" s="133">
        <v>17.438744346656559</v>
      </c>
      <c r="ZE8" s="133">
        <v>19.042392673388637</v>
      </c>
      <c r="ZF8" s="133">
        <v>21.075164953300131</v>
      </c>
      <c r="ZG8" s="133">
        <v>24.960500165268428</v>
      </c>
      <c r="ZH8" s="134">
        <v>30.140883780269771</v>
      </c>
      <c r="ZI8" s="133">
        <v>36.396421106971019</v>
      </c>
      <c r="ZJ8" s="133">
        <v>43.106323346402675</v>
      </c>
      <c r="ZK8" s="133">
        <v>47.70791626019254</v>
      </c>
      <c r="ZL8" s="133">
        <v>52.095085345402509</v>
      </c>
      <c r="ZM8" s="133">
        <v>57.705858262144837</v>
      </c>
      <c r="ZN8" s="81"/>
      <c r="ZO8" s="81">
        <v>9</v>
      </c>
      <c r="ZP8" s="133">
        <v>19.106919168346387</v>
      </c>
      <c r="ZQ8" s="133">
        <v>21.388484623231733</v>
      </c>
      <c r="ZR8" s="133">
        <v>23.567499066068336</v>
      </c>
      <c r="ZS8" s="133">
        <v>26.356682963985051</v>
      </c>
      <c r="ZT8" s="133">
        <v>31.763343057163247</v>
      </c>
      <c r="ZU8" s="134">
        <v>39.106376510650307</v>
      </c>
      <c r="ZV8" s="133">
        <v>48.146968694085686</v>
      </c>
      <c r="ZW8" s="133">
        <v>58.023564113984236</v>
      </c>
      <c r="ZX8" s="133">
        <v>64.890580010442775</v>
      </c>
      <c r="ZY8" s="133">
        <v>71.501497685892076</v>
      </c>
      <c r="ZZ8" s="133">
        <v>80.03952234886107</v>
      </c>
      <c r="AAA8" s="81"/>
      <c r="AAB8" s="81">
        <v>6</v>
      </c>
      <c r="AAC8" s="133">
        <v>6.0244261290885444</v>
      </c>
      <c r="AAD8" s="133">
        <v>6.6548275568748263</v>
      </c>
      <c r="AAE8" s="133">
        <v>7.2495208452760913</v>
      </c>
      <c r="AAF8" s="133">
        <v>8.0014160372660417</v>
      </c>
      <c r="AAG8" s="133">
        <v>9.433238736282954</v>
      </c>
      <c r="AAH8" s="134">
        <v>11.333064294492779</v>
      </c>
      <c r="AAI8" s="133">
        <v>13.615508935345426</v>
      </c>
      <c r="AAJ8" s="133">
        <v>16.051952017607185</v>
      </c>
      <c r="AAK8" s="133">
        <v>17.716804881911571</v>
      </c>
      <c r="AAL8" s="133">
        <v>19.300026214867554</v>
      </c>
      <c r="AAM8" s="133">
        <v>21.31959850631268</v>
      </c>
      <c r="AAN8" s="81"/>
      <c r="AAO8" s="81">
        <v>6</v>
      </c>
      <c r="AAP8" s="133">
        <v>6.074792946749815</v>
      </c>
      <c r="AAQ8" s="133">
        <v>6.7164054763448249</v>
      </c>
      <c r="AAR8" s="133">
        <v>7.3221719948097155</v>
      </c>
      <c r="AAS8" s="133">
        <v>8.0886966219484737</v>
      </c>
      <c r="AAT8" s="133">
        <v>9.5501065025115643</v>
      </c>
      <c r="AAU8" s="134">
        <v>11.492202796131618</v>
      </c>
      <c r="AAV8" s="133">
        <v>13.829241074189309</v>
      </c>
      <c r="AAW8" s="133">
        <v>16.327812907340938</v>
      </c>
      <c r="AAX8" s="133">
        <v>18.037096806935576</v>
      </c>
      <c r="AAY8" s="133">
        <v>19.663899919766365</v>
      </c>
      <c r="AAZ8" s="133">
        <v>21.740778042167992</v>
      </c>
      <c r="ABA8" s="81"/>
      <c r="ABB8" s="81">
        <v>9</v>
      </c>
      <c r="ABC8" s="133">
        <v>6.935324170617986</v>
      </c>
      <c r="ABD8" s="133">
        <v>7.6699541180633002</v>
      </c>
      <c r="ABE8" s="133">
        <v>8.3637199888477163</v>
      </c>
      <c r="ABF8" s="133">
        <v>9.241823378262902</v>
      </c>
      <c r="ABG8" s="133">
        <v>10.91658442988342</v>
      </c>
      <c r="ABH8" s="134">
        <v>13.14329163586598</v>
      </c>
      <c r="ABI8" s="133">
        <v>15.824190811234299</v>
      </c>
      <c r="ABJ8" s="133">
        <v>18.691778446202481</v>
      </c>
      <c r="ABK8" s="133">
        <v>20.654220281856212</v>
      </c>
      <c r="ABL8" s="133">
        <v>22.52244438054656</v>
      </c>
      <c r="ABM8" s="133">
        <v>24.90815292488799</v>
      </c>
      <c r="ABN8" s="81"/>
      <c r="ABO8" s="81">
        <v>6</v>
      </c>
      <c r="ABP8" s="133">
        <f t="shared" si="273"/>
        <v>0.18818133151131378</v>
      </c>
      <c r="ABQ8" s="133">
        <f t="shared" si="274"/>
        <v>0.21083222476385108</v>
      </c>
      <c r="ABR8" s="133">
        <f t="shared" si="275"/>
        <v>0.23184969690907187</v>
      </c>
      <c r="ABS8" s="133">
        <f t="shared" si="471"/>
        <v>0.25793186951358843</v>
      </c>
      <c r="ABT8" s="133">
        <f t="shared" si="472"/>
        <v>0.30611254029995916</v>
      </c>
      <c r="ABU8" s="134">
        <f t="shared" si="473"/>
        <v>0.36720195176038539</v>
      </c>
      <c r="ABV8" s="133">
        <f t="shared" si="474"/>
        <v>0.43673152155403977</v>
      </c>
      <c r="ABW8" s="133">
        <f t="shared" si="276"/>
        <v>0.50686871974883396</v>
      </c>
      <c r="ABX8" s="133">
        <f t="shared" si="277"/>
        <v>0.55265400296447331</v>
      </c>
      <c r="ABY8" s="133">
        <f t="shared" si="278"/>
        <v>0.5947455176546449</v>
      </c>
      <c r="ABZ8" s="133">
        <f t="shared" si="279"/>
        <v>0.64657070421242258</v>
      </c>
      <c r="ACA8" s="81"/>
      <c r="ACB8" s="81">
        <v>6</v>
      </c>
      <c r="ACC8" s="133">
        <f t="shared" si="280"/>
        <v>0.20527114625416701</v>
      </c>
      <c r="ACD8" s="133">
        <f t="shared" si="281"/>
        <v>0.2268463261362314</v>
      </c>
      <c r="ACE8" s="133">
        <f t="shared" si="282"/>
        <v>0.24693254513527807</v>
      </c>
      <c r="ACF8" s="133">
        <f t="shared" si="475"/>
        <v>0.27196948047691372</v>
      </c>
      <c r="ACG8" s="133">
        <f t="shared" si="476"/>
        <v>0.31859578934185917</v>
      </c>
      <c r="ACH8" s="134">
        <f t="shared" si="477"/>
        <v>0.37850362211406374</v>
      </c>
      <c r="ACI8" s="133">
        <f t="shared" si="478"/>
        <v>0.44784230406079678</v>
      </c>
      <c r="ACJ8" s="133">
        <f t="shared" si="283"/>
        <v>0.51907074013590582</v>
      </c>
      <c r="ACK8" s="133">
        <f t="shared" si="284"/>
        <v>0.56626881765521542</v>
      </c>
      <c r="ACL8" s="133">
        <f t="shared" si="285"/>
        <v>0.61014583621686214</v>
      </c>
      <c r="ACM8" s="133">
        <f t="shared" si="286"/>
        <v>0.6648055449067346</v>
      </c>
      <c r="ACN8" s="81"/>
      <c r="ACO8" s="81">
        <v>9</v>
      </c>
      <c r="ACP8" s="133">
        <f t="shared" si="287"/>
        <v>0.16116589037432169</v>
      </c>
      <c r="ACQ8" s="133">
        <f t="shared" si="288"/>
        <v>0.18588954053949736</v>
      </c>
      <c r="ACR8" s="133">
        <f t="shared" si="289"/>
        <v>0.2086118969495698</v>
      </c>
      <c r="ACS8" s="133">
        <f t="shared" si="479"/>
        <v>0.23649035649602254</v>
      </c>
      <c r="ACT8" s="133">
        <f t="shared" si="480"/>
        <v>0.28706596364644865</v>
      </c>
      <c r="ACU8" s="134">
        <f t="shared" si="481"/>
        <v>0.34930952747381827</v>
      </c>
      <c r="ACV8" s="133">
        <f t="shared" si="482"/>
        <v>0.4178702375771598</v>
      </c>
      <c r="ACW8" s="133">
        <f t="shared" si="290"/>
        <v>0.48489737116872905</v>
      </c>
      <c r="ACX8" s="133">
        <f t="shared" si="291"/>
        <v>0.52751106308127804</v>
      </c>
      <c r="ACY8" s="133">
        <f t="shared" si="292"/>
        <v>0.56597357390290559</v>
      </c>
      <c r="ACZ8" s="133">
        <f t="shared" si="293"/>
        <v>0.61245277038525892</v>
      </c>
      <c r="ADA8" s="81"/>
      <c r="ADB8" s="81">
        <v>6</v>
      </c>
      <c r="ADC8" s="133">
        <f t="shared" si="294"/>
        <v>0.15679430550153911</v>
      </c>
      <c r="ADD8" s="133">
        <f t="shared" si="295"/>
        <v>0.17351715976899382</v>
      </c>
      <c r="ADE8" s="133">
        <f t="shared" si="296"/>
        <v>0.18819725523236372</v>
      </c>
      <c r="ADF8" s="133">
        <f t="shared" si="483"/>
        <v>0.20544749840633658</v>
      </c>
      <c r="ADG8" s="133">
        <f t="shared" si="484"/>
        <v>0.23495646308910606</v>
      </c>
      <c r="ADH8" s="134">
        <f t="shared" si="485"/>
        <v>0.26885749698333605</v>
      </c>
      <c r="ADI8" s="133">
        <f t="shared" si="486"/>
        <v>0.30375033810861984</v>
      </c>
      <c r="ADJ8" s="133">
        <f t="shared" si="297"/>
        <v>0.33584670091244029</v>
      </c>
      <c r="ADK8" s="133">
        <f t="shared" si="298"/>
        <v>0.35542795186052756</v>
      </c>
      <c r="ADL8" s="133">
        <f t="shared" si="299"/>
        <v>0.37261111599821561</v>
      </c>
      <c r="ADM8" s="133">
        <f t="shared" si="300"/>
        <v>0.39281655516814862</v>
      </c>
      <c r="ADN8" s="81"/>
      <c r="ADO8" s="81">
        <v>6</v>
      </c>
      <c r="ADP8" s="133">
        <f t="shared" si="301"/>
        <v>0.16912924443499686</v>
      </c>
      <c r="ADQ8" s="133">
        <f t="shared" si="302"/>
        <v>0.18442477245915823</v>
      </c>
      <c r="ADR8" s="133">
        <f t="shared" si="303"/>
        <v>0.19799146477935073</v>
      </c>
      <c r="ADS8" s="133">
        <f t="shared" si="487"/>
        <v>0.21409759513380772</v>
      </c>
      <c r="ADT8" s="133">
        <f t="shared" si="488"/>
        <v>0.24205123832226166</v>
      </c>
      <c r="ADU8" s="134">
        <f t="shared" si="489"/>
        <v>0.27477051493059301</v>
      </c>
      <c r="ADV8" s="133">
        <f t="shared" si="490"/>
        <v>0.30909391336333264</v>
      </c>
      <c r="ADW8" s="133">
        <f t="shared" si="304"/>
        <v>0.34122053572781652</v>
      </c>
      <c r="ADX8" s="133">
        <f t="shared" si="305"/>
        <v>0.36107135458335071</v>
      </c>
      <c r="ADY8" s="133">
        <f t="shared" si="306"/>
        <v>0.37864332063874895</v>
      </c>
      <c r="ADZ8" s="133">
        <f t="shared" si="307"/>
        <v>0.39948377844775662</v>
      </c>
      <c r="AEA8" s="81"/>
      <c r="AEB8" s="81">
        <v>9</v>
      </c>
      <c r="AEC8" s="133">
        <f t="shared" si="308"/>
        <v>0.13540288055185881</v>
      </c>
      <c r="AED8" s="133">
        <f t="shared" si="309"/>
        <v>0.15514545384123749</v>
      </c>
      <c r="AEE8" s="133">
        <f t="shared" si="310"/>
        <v>0.17204444406709701</v>
      </c>
      <c r="AEF8" s="133">
        <f t="shared" si="491"/>
        <v>0.19144611492962374</v>
      </c>
      <c r="AEG8" s="133">
        <f t="shared" si="492"/>
        <v>0.22364080297790015</v>
      </c>
      <c r="AEH8" s="134">
        <f t="shared" si="493"/>
        <v>0.25930789004546395</v>
      </c>
      <c r="AEI8" s="133">
        <f t="shared" si="494"/>
        <v>0.29477916364087825</v>
      </c>
      <c r="AEJ8" s="133">
        <f t="shared" si="311"/>
        <v>0.32645805447124426</v>
      </c>
      <c r="AEK8" s="133">
        <f t="shared" si="312"/>
        <v>0.34538856535638146</v>
      </c>
      <c r="AEL8" s="133">
        <f t="shared" si="313"/>
        <v>0.3617743047886624</v>
      </c>
      <c r="AEM8" s="133">
        <f t="shared" si="314"/>
        <v>0.38078912067349896</v>
      </c>
      <c r="AEN8" s="81"/>
    </row>
    <row r="9" spans="1:820">
      <c r="A9" s="81"/>
      <c r="B9" s="81">
        <v>8</v>
      </c>
      <c r="C9" s="133">
        <f t="shared" si="0"/>
        <v>1.6733493615336168</v>
      </c>
      <c r="D9" s="133">
        <f t="shared" si="1"/>
        <v>1.9311118492946653</v>
      </c>
      <c r="E9" s="133">
        <f t="shared" si="2"/>
        <v>2.1911133299715697</v>
      </c>
      <c r="F9" s="133">
        <f t="shared" si="315"/>
        <v>2.5441110257755128</v>
      </c>
      <c r="G9" s="133">
        <f t="shared" si="316"/>
        <v>3.295228674390045</v>
      </c>
      <c r="H9" s="134">
        <f t="shared" si="317"/>
        <v>4.4643009834759875</v>
      </c>
      <c r="I9" s="133">
        <f t="shared" si="318"/>
        <v>6.1578198134798701</v>
      </c>
      <c r="J9" s="133">
        <f t="shared" si="3"/>
        <v>8.3596365745284675</v>
      </c>
      <c r="K9" s="133">
        <f t="shared" si="4"/>
        <v>10.127580632645467</v>
      </c>
      <c r="L9" s="133">
        <f t="shared" si="5"/>
        <v>12.029097372784591</v>
      </c>
      <c r="M9" s="133">
        <f t="shared" si="6"/>
        <v>14.798001053547194</v>
      </c>
      <c r="N9" s="81"/>
      <c r="O9" s="75">
        <v>8</v>
      </c>
      <c r="P9" s="151">
        <f t="shared" si="7"/>
        <v>2.2997866248354777</v>
      </c>
      <c r="Q9" s="151">
        <f t="shared" si="8"/>
        <v>2.5516847410550128</v>
      </c>
      <c r="R9" s="151">
        <f t="shared" si="9"/>
        <v>2.8004101593322495</v>
      </c>
      <c r="S9" s="151">
        <f t="shared" si="319"/>
        <v>3.1315158365242093</v>
      </c>
      <c r="T9" s="151">
        <f t="shared" si="320"/>
        <v>3.8187552674489065</v>
      </c>
      <c r="U9" s="134">
        <f t="shared" si="321"/>
        <v>4.862435742320546</v>
      </c>
      <c r="V9" s="151">
        <f t="shared" si="322"/>
        <v>6.3550126264282616</v>
      </c>
      <c r="W9" s="151">
        <f t="shared" si="10"/>
        <v>8.3043380422349848</v>
      </c>
      <c r="X9" s="151">
        <f t="shared" si="11"/>
        <v>9.8964225164074815</v>
      </c>
      <c r="Y9" s="151">
        <f t="shared" si="12"/>
        <v>11.646872303754964</v>
      </c>
      <c r="Z9" s="151">
        <f t="shared" si="13"/>
        <v>14.280652435912916</v>
      </c>
      <c r="AA9" s="81"/>
      <c r="AB9" s="75">
        <v>10</v>
      </c>
      <c r="AC9" s="151">
        <f t="shared" si="14"/>
        <v>1.3106145431488858</v>
      </c>
      <c r="AD9" s="151">
        <f t="shared" si="15"/>
        <v>1.543812807465438</v>
      </c>
      <c r="AE9" s="151">
        <f t="shared" si="16"/>
        <v>1.7861998721921923</v>
      </c>
      <c r="AF9" s="151">
        <f t="shared" si="323"/>
        <v>2.126317839737573</v>
      </c>
      <c r="AG9" s="151">
        <f t="shared" si="324"/>
        <v>2.8900981100373464</v>
      </c>
      <c r="AH9" s="134">
        <f t="shared" si="325"/>
        <v>4.180167926943442</v>
      </c>
      <c r="AI9" s="151">
        <f t="shared" si="326"/>
        <v>6.2517215791570182</v>
      </c>
      <c r="AJ9" s="151">
        <f t="shared" si="17"/>
        <v>9.2802155082693787</v>
      </c>
      <c r="AK9" s="151">
        <f t="shared" si="18"/>
        <v>11.973504996719713</v>
      </c>
      <c r="AL9" s="151">
        <f t="shared" si="19"/>
        <v>15.122641111487253</v>
      </c>
      <c r="AM9" s="151">
        <f t="shared" si="20"/>
        <v>20.167390719504507</v>
      </c>
      <c r="AN9" s="81"/>
      <c r="AO9" s="81">
        <v>8</v>
      </c>
      <c r="AP9" s="133">
        <f t="shared" si="21"/>
        <v>3.7837667464867968</v>
      </c>
      <c r="AQ9" s="133">
        <f t="shared" si="22"/>
        <v>5.4450708854818304</v>
      </c>
      <c r="AR9" s="133">
        <f t="shared" si="23"/>
        <v>6.9741089444601352</v>
      </c>
      <c r="AS9" s="133">
        <f t="shared" si="327"/>
        <v>8.8527658057450331</v>
      </c>
      <c r="AT9" s="133">
        <f t="shared" si="328"/>
        <v>12.264687491556732</v>
      </c>
      <c r="AU9" s="134">
        <f t="shared" si="329"/>
        <v>16.48080968801489</v>
      </c>
      <c r="AV9" s="133">
        <f t="shared" si="330"/>
        <v>21.136728286061459</v>
      </c>
      <c r="AW9" s="133">
        <f t="shared" si="24"/>
        <v>25.691564538181996</v>
      </c>
      <c r="AX9" s="133">
        <f t="shared" si="25"/>
        <v>28.594378143223384</v>
      </c>
      <c r="AY9" s="133">
        <f t="shared" si="26"/>
        <v>31.217306166729589</v>
      </c>
      <c r="AZ9" s="133">
        <f t="shared" si="27"/>
        <v>34.390356427042576</v>
      </c>
      <c r="BA9" s="81"/>
      <c r="BB9" s="81">
        <v>8</v>
      </c>
      <c r="BC9" s="133">
        <f t="shared" si="28"/>
        <v>6.3372631797271337</v>
      </c>
      <c r="BD9" s="133">
        <f t="shared" si="29"/>
        <v>8.0554478399388572</v>
      </c>
      <c r="BE9" s="133">
        <f t="shared" si="30"/>
        <v>9.6012944911398854</v>
      </c>
      <c r="BF9" s="133">
        <f t="shared" si="331"/>
        <v>11.460278586894319</v>
      </c>
      <c r="BG9" s="133">
        <f t="shared" si="332"/>
        <v>14.740373074779651</v>
      </c>
      <c r="BH9" s="134">
        <f t="shared" si="333"/>
        <v>18.653451065140377</v>
      </c>
      <c r="BI9" s="133">
        <f t="shared" si="334"/>
        <v>22.830149412840701</v>
      </c>
      <c r="BJ9" s="133">
        <f t="shared" si="31"/>
        <v>26.79616400077165</v>
      </c>
      <c r="BK9" s="133">
        <f t="shared" si="32"/>
        <v>29.270840494239412</v>
      </c>
      <c r="BL9" s="133">
        <f t="shared" si="33"/>
        <v>31.475410009077667</v>
      </c>
      <c r="BM9" s="133">
        <f t="shared" si="34"/>
        <v>34.105865034299413</v>
      </c>
      <c r="BN9" s="81"/>
      <c r="BO9" s="75">
        <v>10</v>
      </c>
      <c r="BP9" s="151">
        <f t="shared" si="35"/>
        <v>3.6689999362862027</v>
      </c>
      <c r="BQ9" s="151">
        <f t="shared" si="36"/>
        <v>4.5117795383574197</v>
      </c>
      <c r="BR9" s="151">
        <f t="shared" si="37"/>
        <v>5.3634218666665161</v>
      </c>
      <c r="BS9" s="151">
        <f t="shared" si="335"/>
        <v>6.5117981491973458</v>
      </c>
      <c r="BT9" s="151">
        <f t="shared" si="336"/>
        <v>8.893835952857664</v>
      </c>
      <c r="BU9" s="134">
        <f t="shared" si="337"/>
        <v>12.387315190550973</v>
      </c>
      <c r="BV9" s="151">
        <f t="shared" si="338"/>
        <v>16.987847025327216</v>
      </c>
      <c r="BW9" s="151">
        <f t="shared" si="38"/>
        <v>22.282738009601765</v>
      </c>
      <c r="BX9" s="151">
        <f t="shared" si="39"/>
        <v>26.085501636441727</v>
      </c>
      <c r="BY9" s="151">
        <f t="shared" si="40"/>
        <v>29.818586468260811</v>
      </c>
      <c r="BZ9" s="151">
        <f t="shared" si="41"/>
        <v>34.722587015768063</v>
      </c>
      <c r="CA9" s="81"/>
      <c r="CB9" s="81">
        <v>8</v>
      </c>
      <c r="CC9" s="133">
        <f t="shared" si="42"/>
        <v>2.35019849872445</v>
      </c>
      <c r="CD9" s="133">
        <f t="shared" si="43"/>
        <v>4.9648569828072651</v>
      </c>
      <c r="CE9" s="133">
        <f t="shared" si="44"/>
        <v>7.3570093214337602</v>
      </c>
      <c r="CF9" s="133">
        <f t="shared" si="339"/>
        <v>10.266231868879558</v>
      </c>
      <c r="CG9" s="133">
        <f t="shared" si="340"/>
        <v>15.449189367384133</v>
      </c>
      <c r="CH9" s="134">
        <f t="shared" si="341"/>
        <v>21.667133625016145</v>
      </c>
      <c r="CI9" s="133">
        <f t="shared" si="342"/>
        <v>28.306265310610566</v>
      </c>
      <c r="CJ9" s="133">
        <f t="shared" si="45"/>
        <v>34.592101276316008</v>
      </c>
      <c r="CK9" s="133">
        <f t="shared" si="46"/>
        <v>38.500332913969693</v>
      </c>
      <c r="CL9" s="133">
        <f t="shared" si="47"/>
        <v>41.971465195157677</v>
      </c>
      <c r="CM9" s="133">
        <f t="shared" si="48"/>
        <v>46.099228503009172</v>
      </c>
      <c r="CN9" s="81"/>
      <c r="CO9" s="81">
        <v>8</v>
      </c>
      <c r="CP9" s="133">
        <f t="shared" si="49"/>
        <v>6.6507034275842818</v>
      </c>
      <c r="CQ9" s="133">
        <f t="shared" si="50"/>
        <v>9.2431582889625687</v>
      </c>
      <c r="CR9" s="133">
        <f t="shared" si="51"/>
        <v>11.586175677715151</v>
      </c>
      <c r="CS9" s="133">
        <f t="shared" si="343"/>
        <v>14.409759402441889</v>
      </c>
      <c r="CT9" s="133">
        <f t="shared" si="344"/>
        <v>19.39226560857994</v>
      </c>
      <c r="CU9" s="134">
        <f t="shared" si="345"/>
        <v>25.317406467331889</v>
      </c>
      <c r="CV9" s="133">
        <f t="shared" si="346"/>
        <v>31.604302757769862</v>
      </c>
      <c r="CW9" s="133">
        <f t="shared" si="52"/>
        <v>37.531863637311993</v>
      </c>
      <c r="CX9" s="133">
        <f t="shared" si="53"/>
        <v>41.208588523688647</v>
      </c>
      <c r="CY9" s="133">
        <f t="shared" si="54"/>
        <v>44.469699100354802</v>
      </c>
      <c r="CZ9" s="133">
        <f t="shared" si="55"/>
        <v>48.34325114217026</v>
      </c>
      <c r="DA9" s="81"/>
      <c r="DB9" s="81">
        <v>10</v>
      </c>
      <c r="DC9" s="133">
        <f t="shared" si="56"/>
        <v>-1.9101260939114066</v>
      </c>
      <c r="DD9" s="133">
        <f t="shared" si="57"/>
        <v>-4.7825920437151836E-2</v>
      </c>
      <c r="DE9" s="133">
        <f t="shared" si="58"/>
        <v>1.7303719278851935</v>
      </c>
      <c r="DF9" s="133">
        <f t="shared" si="347"/>
        <v>3.972334911252891</v>
      </c>
      <c r="DG9" s="133">
        <f t="shared" si="348"/>
        <v>8.1442961114112293</v>
      </c>
      <c r="DH9" s="134">
        <f t="shared" si="349"/>
        <v>13.392817593971664</v>
      </c>
      <c r="DI9" s="133">
        <f t="shared" si="350"/>
        <v>19.234235537061227</v>
      </c>
      <c r="DJ9" s="133">
        <f t="shared" si="59"/>
        <v>24.953630320165104</v>
      </c>
      <c r="DK9" s="133">
        <f t="shared" si="60"/>
        <v>28.590771327688469</v>
      </c>
      <c r="DL9" s="133">
        <f t="shared" si="61"/>
        <v>31.868594072008545</v>
      </c>
      <c r="DM9" s="133">
        <f t="shared" si="62"/>
        <v>35.820618653705196</v>
      </c>
      <c r="DN9" s="81"/>
      <c r="DO9" s="81">
        <v>8</v>
      </c>
      <c r="DP9" s="133">
        <v>11.77703022613284</v>
      </c>
      <c r="DQ9" s="133">
        <v>12.829880447432945</v>
      </c>
      <c r="DR9" s="133">
        <v>13.810368919434142</v>
      </c>
      <c r="DS9" s="133">
        <v>15.034164112718797</v>
      </c>
      <c r="DT9" s="133">
        <v>17.321745451107159</v>
      </c>
      <c r="DU9" s="134">
        <v>20.283961173539758</v>
      </c>
      <c r="DV9" s="133">
        <v>23.752749516554662</v>
      </c>
      <c r="DW9" s="133">
        <v>27.366940909045546</v>
      </c>
      <c r="DX9" s="133">
        <v>29.792041276369215</v>
      </c>
      <c r="DY9" s="133">
        <v>32.068816430163295</v>
      </c>
      <c r="DZ9" s="133">
        <v>34.935724286136136</v>
      </c>
      <c r="EA9" s="81"/>
      <c r="EB9" s="81">
        <v>8</v>
      </c>
      <c r="EC9" s="133">
        <v>12.024629889638286</v>
      </c>
      <c r="ED9" s="133">
        <v>12.984490089677585</v>
      </c>
      <c r="EE9" s="133">
        <v>13.871085030074779</v>
      </c>
      <c r="EF9" s="133">
        <v>14.968664358300039</v>
      </c>
      <c r="EG9" s="133">
        <v>16.996285770622038</v>
      </c>
      <c r="EH9" s="134">
        <v>19.581550924430747</v>
      </c>
      <c r="EI9" s="133">
        <v>22.560054695529011</v>
      </c>
      <c r="EJ9" s="133">
        <v>25.615988669921716</v>
      </c>
      <c r="EK9" s="133">
        <v>27.642908667542606</v>
      </c>
      <c r="EL9" s="133">
        <v>29.530396184822045</v>
      </c>
      <c r="EM9" s="133">
        <v>31.887645617806953</v>
      </c>
      <c r="EN9" s="81"/>
      <c r="EO9" s="81">
        <v>10</v>
      </c>
      <c r="EP9" s="133">
        <v>12.965312090589553</v>
      </c>
      <c r="EQ9" s="133">
        <v>14.289002893367185</v>
      </c>
      <c r="ER9" s="133">
        <v>15.535044343213926</v>
      </c>
      <c r="ES9" s="133">
        <v>17.10709641098936</v>
      </c>
      <c r="ET9" s="133">
        <v>20.091508068547977</v>
      </c>
      <c r="EU9" s="134">
        <v>24.035400381566646</v>
      </c>
      <c r="EV9" s="133">
        <v>28.753464873379453</v>
      </c>
      <c r="EW9" s="133">
        <v>33.76963907978606</v>
      </c>
      <c r="EX9" s="133">
        <v>37.186921307667014</v>
      </c>
      <c r="EY9" s="133">
        <v>40.429725979716679</v>
      </c>
      <c r="EZ9" s="133">
        <v>44.557390324720288</v>
      </c>
      <c r="FA9" s="81"/>
      <c r="FB9" s="81">
        <v>8</v>
      </c>
      <c r="FC9" s="133">
        <v>5.6663001351848505</v>
      </c>
      <c r="FD9" s="133">
        <v>6.2746633512679848</v>
      </c>
      <c r="FE9" s="133">
        <v>6.8498798561580037</v>
      </c>
      <c r="FF9" s="133">
        <v>7.5788138047636213</v>
      </c>
      <c r="FG9" s="133">
        <v>8.9714925881591316</v>
      </c>
      <c r="FH9" s="134">
        <v>10.827382736796688</v>
      </c>
      <c r="FI9" s="133">
        <v>13.067192083935938</v>
      </c>
      <c r="FJ9" s="133">
        <v>15.468412333259502</v>
      </c>
      <c r="FK9" s="133">
        <v>17.114492427730958</v>
      </c>
      <c r="FL9" s="133">
        <v>18.6834273595559</v>
      </c>
      <c r="FM9" s="133">
        <v>20.689376512396574</v>
      </c>
      <c r="FN9" s="81"/>
      <c r="FO9" s="81">
        <v>8</v>
      </c>
      <c r="FP9" s="133">
        <v>5.5684449509227383</v>
      </c>
      <c r="FQ9" s="133">
        <v>6.1349989447867399</v>
      </c>
      <c r="FR9" s="133">
        <v>6.668160505978598</v>
      </c>
      <c r="FS9" s="133">
        <v>7.3406180550333024</v>
      </c>
      <c r="FT9" s="133">
        <v>8.6166796742115377</v>
      </c>
      <c r="FU9" s="134">
        <v>10.302049434453625</v>
      </c>
      <c r="FV9" s="133">
        <v>12.317067195565414</v>
      </c>
      <c r="FW9" s="133">
        <v>14.458213430291972</v>
      </c>
      <c r="FX9" s="133">
        <v>15.916266930702893</v>
      </c>
      <c r="FY9" s="133">
        <v>17.299468753798713</v>
      </c>
      <c r="FZ9" s="133">
        <v>19.059580095577541</v>
      </c>
      <c r="GA9" s="81"/>
      <c r="GB9" s="81">
        <v>10</v>
      </c>
      <c r="GC9" s="133">
        <v>6.452776095143653</v>
      </c>
      <c r="GD9" s="133">
        <v>7.2141630730578692</v>
      </c>
      <c r="GE9" s="133">
        <v>7.9404737911720886</v>
      </c>
      <c r="GF9" s="133">
        <v>8.8690745826083965</v>
      </c>
      <c r="GG9" s="133">
        <v>10.666059363745662</v>
      </c>
      <c r="GH9" s="134">
        <v>13.10120840037083</v>
      </c>
      <c r="GI9" s="133">
        <v>16.092321981008624</v>
      </c>
      <c r="GJ9" s="133">
        <v>19.352826492915483</v>
      </c>
      <c r="GK9" s="133">
        <v>21.616047866157768</v>
      </c>
      <c r="GL9" s="133">
        <v>23.792317946202648</v>
      </c>
      <c r="GM9" s="133">
        <v>26.599661760947257</v>
      </c>
      <c r="GN9" s="81"/>
      <c r="GO9" s="81">
        <v>8</v>
      </c>
      <c r="GP9" s="133">
        <f t="shared" si="63"/>
        <v>0.31557118151756092</v>
      </c>
      <c r="GQ9" s="133">
        <f t="shared" si="64"/>
        <v>0.36383758036942865</v>
      </c>
      <c r="GR9" s="133">
        <f t="shared" si="65"/>
        <v>0.40047902309234468</v>
      </c>
      <c r="GS9" s="133">
        <f t="shared" si="351"/>
        <v>0.43873873767069616</v>
      </c>
      <c r="GT9" s="133">
        <f t="shared" si="352"/>
        <v>0.49725857955550984</v>
      </c>
      <c r="GU9" s="134">
        <f t="shared" si="353"/>
        <v>0.55192294643937601</v>
      </c>
      <c r="GV9" s="133">
        <f t="shared" si="354"/>
        <v>0.60137148103380889</v>
      </c>
      <c r="GW9" s="133">
        <f t="shared" si="66"/>
        <v>0.64458634437316309</v>
      </c>
      <c r="GX9" s="133">
        <f t="shared" si="67"/>
        <v>0.66839327812812976</v>
      </c>
      <c r="GY9" s="133">
        <f t="shared" si="68"/>
        <v>0.68833711335962211</v>
      </c>
      <c r="GZ9" s="133">
        <f t="shared" si="69"/>
        <v>0.71078213116724487</v>
      </c>
      <c r="HA9" s="81"/>
      <c r="HB9" s="81">
        <v>8</v>
      </c>
      <c r="HC9" s="133">
        <f t="shared" si="70"/>
        <v>0.32260298540514126</v>
      </c>
      <c r="HD9" s="133">
        <f t="shared" si="71"/>
        <v>0.36839622620348317</v>
      </c>
      <c r="HE9" s="133">
        <f t="shared" si="72"/>
        <v>0.40349811991989926</v>
      </c>
      <c r="HF9" s="133">
        <f t="shared" si="355"/>
        <v>0.44038429178995059</v>
      </c>
      <c r="HG9" s="133">
        <f t="shared" si="356"/>
        <v>0.4956302199144656</v>
      </c>
      <c r="HH9" s="134">
        <f t="shared" si="357"/>
        <v>0.55048196454289799</v>
      </c>
      <c r="HI9" s="133">
        <f t="shared" si="358"/>
        <v>0.6001613435189771</v>
      </c>
      <c r="HJ9" s="133">
        <f t="shared" si="73"/>
        <v>0.64134587404981847</v>
      </c>
      <c r="HK9" s="133">
        <f t="shared" si="74"/>
        <v>0.66476561698188685</v>
      </c>
      <c r="HL9" s="133">
        <f t="shared" si="75"/>
        <v>0.68440495197160078</v>
      </c>
      <c r="HM9" s="133">
        <f t="shared" si="76"/>
        <v>0.70652735335548034</v>
      </c>
      <c r="HN9" s="81"/>
      <c r="HO9" s="81">
        <v>10</v>
      </c>
      <c r="HP9" s="83">
        <f t="shared" si="77"/>
        <v>0.33261702297309986</v>
      </c>
      <c r="HQ9" s="83">
        <f t="shared" si="78"/>
        <v>0.37913136878627923</v>
      </c>
      <c r="HR9" s="83">
        <f t="shared" si="79"/>
        <v>0.41468951132186116</v>
      </c>
      <c r="HS9" s="83">
        <f t="shared" si="359"/>
        <v>0.45197721741404584</v>
      </c>
      <c r="HT9" s="83">
        <f t="shared" si="360"/>
        <v>0.50769403095561549</v>
      </c>
      <c r="HU9" s="84">
        <f t="shared" si="361"/>
        <v>0.56287804643144479</v>
      </c>
      <c r="HV9" s="83">
        <f t="shared" si="362"/>
        <v>0.61275614182706439</v>
      </c>
      <c r="HW9" s="83">
        <f t="shared" si="80"/>
        <v>0.654039031148826</v>
      </c>
      <c r="HX9" s="83">
        <f t="shared" si="81"/>
        <v>0.67748979432592793</v>
      </c>
      <c r="HY9" s="83">
        <f t="shared" si="82"/>
        <v>0.69714191363468336</v>
      </c>
      <c r="HZ9" s="83">
        <f t="shared" si="83"/>
        <v>0.71926479605689764</v>
      </c>
      <c r="IA9" s="81"/>
      <c r="IB9" s="81">
        <v>8</v>
      </c>
      <c r="IC9" s="83">
        <f t="shared" si="84"/>
        <v>0.23754251662457862</v>
      </c>
      <c r="ID9" s="83">
        <f t="shared" si="85"/>
        <v>0.2666720301902985</v>
      </c>
      <c r="IE9" s="83">
        <f t="shared" si="86"/>
        <v>0.28638214702771458</v>
      </c>
      <c r="IF9" s="83">
        <f t="shared" si="363"/>
        <v>0.30542772389848355</v>
      </c>
      <c r="IG9" s="83">
        <f t="shared" si="364"/>
        <v>0.33162928237968359</v>
      </c>
      <c r="IH9" s="84">
        <f t="shared" si="365"/>
        <v>0.35559878253942306</v>
      </c>
      <c r="II9" s="83">
        <f t="shared" si="366"/>
        <v>0.37596578035129202</v>
      </c>
      <c r="IJ9" s="83">
        <f t="shared" si="87"/>
        <v>0.39206394674521328</v>
      </c>
      <c r="IK9" s="83">
        <f t="shared" si="88"/>
        <v>0.40094273859500068</v>
      </c>
      <c r="IL9" s="83">
        <f t="shared" si="89"/>
        <v>0.40824842010603163</v>
      </c>
      <c r="IM9" s="83">
        <f t="shared" si="90"/>
        <v>0.41633512441214088</v>
      </c>
      <c r="IN9" s="81"/>
      <c r="IO9" s="81">
        <v>8</v>
      </c>
      <c r="IP9" s="133">
        <f t="shared" si="91"/>
        <v>0.2421865424148465</v>
      </c>
      <c r="IQ9" s="133">
        <f t="shared" si="92"/>
        <v>0.26923962973123827</v>
      </c>
      <c r="IR9" s="133">
        <f t="shared" si="93"/>
        <v>0.28792988060474617</v>
      </c>
      <c r="IS9" s="133">
        <f t="shared" si="367"/>
        <v>0.30620171594612927</v>
      </c>
      <c r="IT9" s="133">
        <f t="shared" si="368"/>
        <v>0.33159308294098255</v>
      </c>
      <c r="IU9" s="134">
        <f t="shared" si="369"/>
        <v>0.35501451587985638</v>
      </c>
      <c r="IV9" s="133">
        <f t="shared" si="370"/>
        <v>0.37502573753383872</v>
      </c>
      <c r="IW9" s="133">
        <f t="shared" si="94"/>
        <v>0.3909000035086842</v>
      </c>
      <c r="IX9" s="133">
        <f t="shared" si="95"/>
        <v>0.39967382302095034</v>
      </c>
      <c r="IY9" s="133">
        <f t="shared" si="96"/>
        <v>0.40690201167957513</v>
      </c>
      <c r="IZ9" s="133">
        <f t="shared" si="97"/>
        <v>0.41491160059828852</v>
      </c>
      <c r="JA9" s="81"/>
      <c r="JB9" s="81">
        <v>10</v>
      </c>
      <c r="JC9" s="133">
        <f t="shared" si="98"/>
        <v>0.24842980465273298</v>
      </c>
      <c r="JD9" s="133">
        <f t="shared" si="99"/>
        <v>0.27520143700011535</v>
      </c>
      <c r="JE9" s="133">
        <f t="shared" si="100"/>
        <v>0.29370486094847803</v>
      </c>
      <c r="JF9" s="133">
        <f t="shared" si="371"/>
        <v>0.31179206238180446</v>
      </c>
      <c r="JG9" s="133">
        <f t="shared" si="372"/>
        <v>0.33691598115575949</v>
      </c>
      <c r="JH9" s="134">
        <f t="shared" si="373"/>
        <v>0.36007433917622522</v>
      </c>
      <c r="JI9" s="133">
        <f t="shared" si="374"/>
        <v>0.37984594328800314</v>
      </c>
      <c r="JJ9" s="133">
        <f t="shared" si="101"/>
        <v>0.39551961981141048</v>
      </c>
      <c r="JK9" s="133">
        <f t="shared" si="102"/>
        <v>0.40417844965702643</v>
      </c>
      <c r="JL9" s="133">
        <f t="shared" si="103"/>
        <v>0.41130966891830906</v>
      </c>
      <c r="JM9" s="133">
        <f t="shared" si="104"/>
        <v>0.41920942913795456</v>
      </c>
      <c r="JN9" s="81"/>
      <c r="JO9" s="81">
        <v>7</v>
      </c>
      <c r="JP9" s="133">
        <f t="shared" si="105"/>
        <v>-5.1786543333082466</v>
      </c>
      <c r="JQ9" s="133">
        <f t="shared" si="106"/>
        <v>-4.1863986022111526</v>
      </c>
      <c r="JR9" s="133">
        <f t="shared" si="107"/>
        <v>-3.3246570822456896</v>
      </c>
      <c r="JS9" s="133">
        <f t="shared" si="375"/>
        <v>-2.3218792040201528</v>
      </c>
      <c r="JT9" s="133">
        <f t="shared" si="376"/>
        <v>-0.62793399828836627</v>
      </c>
      <c r="JU9" s="134">
        <f t="shared" si="377"/>
        <v>1.2897349532502496</v>
      </c>
      <c r="JV9" s="133">
        <f t="shared" si="378"/>
        <v>3.2369144626349637</v>
      </c>
      <c r="JW9" s="133">
        <f t="shared" si="108"/>
        <v>5.0077336295557835</v>
      </c>
      <c r="JX9" s="133">
        <f t="shared" si="109"/>
        <v>6.0796257775242601</v>
      </c>
      <c r="JY9" s="133">
        <f t="shared" si="110"/>
        <v>7.0154290307547136</v>
      </c>
      <c r="JZ9" s="133">
        <f t="shared" si="111"/>
        <v>8.1104548475446592</v>
      </c>
      <c r="KA9" s="81"/>
      <c r="KB9" s="81">
        <v>7</v>
      </c>
      <c r="KC9" s="133">
        <f t="shared" si="112"/>
        <v>-4.3730900044392094</v>
      </c>
      <c r="KD9" s="133">
        <f t="shared" si="113"/>
        <v>-3.518884547684852</v>
      </c>
      <c r="KE9" s="133">
        <f t="shared" si="114"/>
        <v>-2.7615548483504977</v>
      </c>
      <c r="KF9" s="133">
        <f t="shared" si="379"/>
        <v>-1.8632669477014865</v>
      </c>
      <c r="KG9" s="133">
        <f t="shared" si="380"/>
        <v>-0.30716109774786204</v>
      </c>
      <c r="KH9" s="134">
        <f t="shared" si="381"/>
        <v>1.5082910124407967</v>
      </c>
      <c r="KI9" s="133">
        <f t="shared" si="382"/>
        <v>3.4049425172807215</v>
      </c>
      <c r="KJ9" s="133">
        <f t="shared" si="115"/>
        <v>5.1725730741830755</v>
      </c>
      <c r="KK9" s="133">
        <f t="shared" si="116"/>
        <v>6.2610411143517428</v>
      </c>
      <c r="KL9" s="133">
        <f t="shared" si="117"/>
        <v>7.2221760067128198</v>
      </c>
      <c r="KM9" s="133">
        <f t="shared" si="118"/>
        <v>8.3592146092706425</v>
      </c>
      <c r="KN9" s="81"/>
      <c r="KO9" s="81">
        <v>9</v>
      </c>
      <c r="KP9" s="133">
        <f t="shared" si="119"/>
        <v>-7.9095422270917695</v>
      </c>
      <c r="KQ9" s="133">
        <f t="shared" si="120"/>
        <v>-6.6252224516545368</v>
      </c>
      <c r="KR9" s="133">
        <f t="shared" si="121"/>
        <v>-5.526147910256352</v>
      </c>
      <c r="KS9" s="133">
        <f t="shared" si="383"/>
        <v>-4.2647550842394963</v>
      </c>
      <c r="KT9" s="133">
        <f t="shared" si="384"/>
        <v>-2.1729567426182861</v>
      </c>
      <c r="KU9" s="134">
        <f t="shared" si="385"/>
        <v>0.14225546118660404</v>
      </c>
      <c r="KV9" s="133">
        <f t="shared" si="386"/>
        <v>2.4423231259540188</v>
      </c>
      <c r="KW9" s="133">
        <f t="shared" si="122"/>
        <v>4.4944043452069877</v>
      </c>
      <c r="KX9" s="133">
        <f t="shared" si="123"/>
        <v>5.7197493374685031</v>
      </c>
      <c r="KY9" s="133">
        <f t="shared" si="124"/>
        <v>6.7798224624877932</v>
      </c>
      <c r="KZ9" s="133">
        <f t="shared" si="125"/>
        <v>8.0093498280160844</v>
      </c>
      <c r="LA9" s="81"/>
      <c r="LB9" s="81">
        <v>7</v>
      </c>
      <c r="LC9" s="133">
        <f t="shared" si="126"/>
        <v>-16.369726438885397</v>
      </c>
      <c r="LD9" s="133">
        <f t="shared" si="127"/>
        <v>-12.984323102633599</v>
      </c>
      <c r="LE9" s="133">
        <f t="shared" si="128"/>
        <v>-9.9879407553551296</v>
      </c>
      <c r="LF9" s="133">
        <f t="shared" si="387"/>
        <v>-6.4435156792701385</v>
      </c>
      <c r="LG9" s="133">
        <f t="shared" si="388"/>
        <v>-0.33460701655029368</v>
      </c>
      <c r="LH9" s="134">
        <f t="shared" si="389"/>
        <v>6.7363180366363906</v>
      </c>
      <c r="LI9" s="133">
        <f t="shared" si="390"/>
        <v>14.056363687588401</v>
      </c>
      <c r="LJ9" s="133">
        <f t="shared" si="129"/>
        <v>20.817445892330063</v>
      </c>
      <c r="LK9" s="133">
        <f t="shared" si="130"/>
        <v>24.952364014782468</v>
      </c>
      <c r="LL9" s="133">
        <f t="shared" si="131"/>
        <v>28.586118473897848</v>
      </c>
      <c r="LM9" s="133">
        <f t="shared" si="132"/>
        <v>32.864384583940101</v>
      </c>
      <c r="LN9" s="81"/>
      <c r="LO9" s="81">
        <v>7</v>
      </c>
      <c r="LP9" s="133">
        <f t="shared" si="133"/>
        <v>-14.824947002694351</v>
      </c>
      <c r="LQ9" s="133">
        <f t="shared" si="134"/>
        <v>-11.560243490081472</v>
      </c>
      <c r="LR9" s="133">
        <f t="shared" si="135"/>
        <v>-8.6471836436071321</v>
      </c>
      <c r="LS9" s="133">
        <f t="shared" si="391"/>
        <v>-5.1775575402559433</v>
      </c>
      <c r="LT9" s="133">
        <f t="shared" si="392"/>
        <v>0.85227750226746224</v>
      </c>
      <c r="LU9" s="134">
        <f t="shared" si="393"/>
        <v>7.8953062501360201</v>
      </c>
      <c r="LV9" s="133">
        <f t="shared" si="394"/>
        <v>15.244260237797636</v>
      </c>
      <c r="LW9" s="133">
        <f t="shared" si="136"/>
        <v>22.075290757759415</v>
      </c>
      <c r="LX9" s="133">
        <f t="shared" si="137"/>
        <v>26.270767662504074</v>
      </c>
      <c r="LY9" s="133">
        <f t="shared" si="138"/>
        <v>29.967820892681392</v>
      </c>
      <c r="LZ9" s="133">
        <f t="shared" si="139"/>
        <v>34.331820695097619</v>
      </c>
      <c r="MA9" s="81"/>
      <c r="MB9" s="81">
        <v>9</v>
      </c>
      <c r="MC9" s="133">
        <f t="shared" si="140"/>
        <v>-21.462165374347453</v>
      </c>
      <c r="MD9" s="133">
        <f t="shared" si="141"/>
        <v>-17.890459200667493</v>
      </c>
      <c r="ME9" s="133">
        <f t="shared" si="142"/>
        <v>-14.74669936239356</v>
      </c>
      <c r="MF9" s="133">
        <f t="shared" si="395"/>
        <v>-11.050005618872696</v>
      </c>
      <c r="MG9" s="133">
        <f t="shared" si="396"/>
        <v>-4.7335863235786739</v>
      </c>
      <c r="MH9" s="134">
        <f t="shared" si="397"/>
        <v>2.4964023086596896</v>
      </c>
      <c r="MI9" s="133">
        <f t="shared" si="398"/>
        <v>9.8982301052660588</v>
      </c>
      <c r="MJ9" s="133">
        <f t="shared" si="143"/>
        <v>16.66754611928129</v>
      </c>
      <c r="MK9" s="133">
        <f t="shared" si="144"/>
        <v>20.778370539007312</v>
      </c>
      <c r="ML9" s="133">
        <f t="shared" si="145"/>
        <v>24.373899092679395</v>
      </c>
      <c r="MM9" s="133">
        <f t="shared" si="146"/>
        <v>28.58778004639813</v>
      </c>
      <c r="MN9" s="81"/>
      <c r="MO9" s="81">
        <v>7</v>
      </c>
      <c r="MP9" s="133">
        <f t="shared" si="147"/>
        <v>-13.403055677937555</v>
      </c>
      <c r="MQ9" s="133">
        <f t="shared" si="148"/>
        <v>-9.4055867503811008</v>
      </c>
      <c r="MR9" s="133">
        <f t="shared" si="149"/>
        <v>-5.9525167463358741</v>
      </c>
      <c r="MS9" s="133">
        <f t="shared" si="399"/>
        <v>-1.9560844367441064</v>
      </c>
      <c r="MT9" s="133">
        <f t="shared" si="400"/>
        <v>4.7425996951119984</v>
      </c>
      <c r="MU9" s="134">
        <f t="shared" si="401"/>
        <v>12.249589926451883</v>
      </c>
      <c r="MV9" s="133">
        <f t="shared" si="402"/>
        <v>19.793513863620468</v>
      </c>
      <c r="MW9" s="133">
        <f t="shared" si="150"/>
        <v>26.589444513395399</v>
      </c>
      <c r="MX9" s="133">
        <f t="shared" si="151"/>
        <v>30.674657642930164</v>
      </c>
      <c r="MY9" s="133">
        <f t="shared" si="152"/>
        <v>34.224389631555674</v>
      </c>
      <c r="MZ9" s="133">
        <f t="shared" si="153"/>
        <v>38.358840619075387</v>
      </c>
      <c r="NA9" s="81"/>
      <c r="NB9" s="81">
        <v>7</v>
      </c>
      <c r="NC9" s="133">
        <f t="shared" si="154"/>
        <v>-11.830161644183338</v>
      </c>
      <c r="ND9" s="133">
        <f t="shared" si="155"/>
        <v>-7.8195470182888798</v>
      </c>
      <c r="NE9" s="133">
        <f t="shared" si="156"/>
        <v>-4.3414988166144965</v>
      </c>
      <c r="NF9" s="133">
        <f t="shared" si="403"/>
        <v>-0.30350886235011743</v>
      </c>
      <c r="NG9" s="133">
        <f t="shared" si="404"/>
        <v>6.4892270981553501</v>
      </c>
      <c r="NH9" s="134">
        <f t="shared" si="405"/>
        <v>14.130316522984938</v>
      </c>
      <c r="NI9" s="133">
        <f t="shared" si="406"/>
        <v>21.833196567974444</v>
      </c>
      <c r="NJ9" s="133">
        <f t="shared" si="157"/>
        <v>28.789413293917054</v>
      </c>
      <c r="NK9" s="133">
        <f t="shared" si="158"/>
        <v>32.977740744046145</v>
      </c>
      <c r="NL9" s="133">
        <f t="shared" si="159"/>
        <v>36.620803669296308</v>
      </c>
      <c r="NM9" s="133">
        <f t="shared" si="160"/>
        <v>40.868022652745609</v>
      </c>
      <c r="NN9" s="81"/>
      <c r="NO9" s="81">
        <v>9</v>
      </c>
      <c r="NP9" s="133">
        <f t="shared" si="161"/>
        <v>-19.775385459747763</v>
      </c>
      <c r="NQ9" s="133">
        <f t="shared" si="162"/>
        <v>-15.842283373544785</v>
      </c>
      <c r="NR9" s="133">
        <f t="shared" si="163"/>
        <v>-12.456636225153062</v>
      </c>
      <c r="NS9" s="133">
        <f t="shared" si="407"/>
        <v>-8.550307688342091</v>
      </c>
      <c r="NT9" s="133">
        <f t="shared" si="408"/>
        <v>-2.0280332799701668</v>
      </c>
      <c r="NU9" s="134">
        <f t="shared" si="409"/>
        <v>5.2488033049780469</v>
      </c>
      <c r="NV9" s="133">
        <f t="shared" si="410"/>
        <v>12.531943070377544</v>
      </c>
      <c r="NW9" s="133">
        <f t="shared" si="164"/>
        <v>19.070903242747931</v>
      </c>
      <c r="NX9" s="133">
        <f t="shared" si="165"/>
        <v>22.992587900225658</v>
      </c>
      <c r="NY9" s="133">
        <f t="shared" si="166"/>
        <v>26.395103176422403</v>
      </c>
      <c r="NZ9" s="133">
        <f t="shared" si="167"/>
        <v>30.352413857123985</v>
      </c>
      <c r="OA9" s="81"/>
      <c r="OB9" s="81">
        <v>7</v>
      </c>
      <c r="OC9" s="133">
        <v>12.047036111121749</v>
      </c>
      <c r="OD9" s="133">
        <v>13.320535675947466</v>
      </c>
      <c r="OE9" s="133">
        <v>14.522979178194838</v>
      </c>
      <c r="OF9" s="133">
        <v>16.044643916952143</v>
      </c>
      <c r="OG9" s="133">
        <v>18.946080768115984</v>
      </c>
      <c r="OH9" s="134">
        <v>22.802418775779419</v>
      </c>
      <c r="OI9" s="133">
        <v>27.443686553951171</v>
      </c>
      <c r="OJ9" s="133">
        <v>32.406471886649868</v>
      </c>
      <c r="OK9" s="133">
        <v>35.801903703524125</v>
      </c>
      <c r="OL9" s="133">
        <v>39.033738182532538</v>
      </c>
      <c r="OM9" s="133">
        <v>43.160018549791069</v>
      </c>
      <c r="ON9" s="81"/>
      <c r="OO9" s="81">
        <v>7</v>
      </c>
      <c r="OP9" s="133">
        <v>11.517046798537679</v>
      </c>
      <c r="OQ9" s="133">
        <v>12.808429408330181</v>
      </c>
      <c r="OR9" s="133">
        <v>14.03432246927585</v>
      </c>
      <c r="OS9" s="133">
        <v>15.594015004031464</v>
      </c>
      <c r="OT9" s="133">
        <v>24.50094798335779</v>
      </c>
      <c r="OU9" s="134">
        <v>22.615166675369672</v>
      </c>
      <c r="OV9" s="133">
        <v>27.510280980173988</v>
      </c>
      <c r="OW9" s="133">
        <v>32.797567760613838</v>
      </c>
      <c r="OX9" s="133">
        <v>36.442497660604261</v>
      </c>
      <c r="OY9" s="133">
        <v>39.930404224433893</v>
      </c>
      <c r="OZ9" s="133">
        <v>44.407717768385666</v>
      </c>
      <c r="PA9" s="81"/>
      <c r="PB9" s="81">
        <v>9</v>
      </c>
      <c r="PC9" s="133">
        <v>14.429351902382967</v>
      </c>
      <c r="PD9" s="133">
        <v>15.921402800327707</v>
      </c>
      <c r="PE9" s="133">
        <v>17.327476107761694</v>
      </c>
      <c r="PF9" s="133">
        <v>19.103385221513886</v>
      </c>
      <c r="PG9" s="133">
        <v>22.480158562442274</v>
      </c>
      <c r="PH9" s="134">
        <v>26.951858767371135</v>
      </c>
      <c r="PI9" s="133">
        <v>32.313059047097887</v>
      </c>
      <c r="PJ9" s="133">
        <v>38.024815109641338</v>
      </c>
      <c r="PK9" s="133">
        <v>41.922013713868836</v>
      </c>
      <c r="PL9" s="133">
        <v>45.624289525629521</v>
      </c>
      <c r="PM9" s="133">
        <v>50.342017848795891</v>
      </c>
      <c r="PN9" s="81"/>
      <c r="PO9" s="81">
        <v>7</v>
      </c>
      <c r="PP9" s="133">
        <v>6.2326525598786562</v>
      </c>
      <c r="PQ9" s="133">
        <v>6.7838808621411637</v>
      </c>
      <c r="PR9" s="133">
        <v>7.2968051723035119</v>
      </c>
      <c r="PS9" s="133">
        <v>7.9364894116378286</v>
      </c>
      <c r="PT9" s="133">
        <v>9.1308184731155961</v>
      </c>
      <c r="PU9" s="134">
        <v>10.674988386723067</v>
      </c>
      <c r="PV9" s="133">
        <v>12.48030254814482</v>
      </c>
      <c r="PW9" s="133">
        <v>14.358411023590813</v>
      </c>
      <c r="PX9" s="133">
        <v>15.617160437449103</v>
      </c>
      <c r="PY9" s="133">
        <v>16.797962607601747</v>
      </c>
      <c r="PZ9" s="133">
        <v>18.283608136643995</v>
      </c>
      <c r="QA9" s="81"/>
      <c r="QB9" s="81">
        <v>7</v>
      </c>
      <c r="QC9" s="133">
        <v>6.4681012002803264</v>
      </c>
      <c r="QD9" s="133">
        <v>6.9911131131478577</v>
      </c>
      <c r="QE9" s="133">
        <v>7.4746341301849775</v>
      </c>
      <c r="QF9" s="133">
        <v>8.0737518117537377</v>
      </c>
      <c r="QG9" s="133">
        <v>9.1819528403140644</v>
      </c>
      <c r="QH9" s="134">
        <v>10.597312119021524</v>
      </c>
      <c r="QI9" s="133">
        <v>12.230843057141985</v>
      </c>
      <c r="QJ9" s="133">
        <v>13.909645325543707</v>
      </c>
      <c r="QK9" s="133">
        <v>15.024551328130519</v>
      </c>
      <c r="QL9" s="133">
        <v>16.063682897185195</v>
      </c>
      <c r="QM9" s="133">
        <v>17.362595400191516</v>
      </c>
      <c r="QN9" s="81"/>
      <c r="QO9" s="81">
        <v>9</v>
      </c>
      <c r="QP9" s="133">
        <v>6.5973908309632003</v>
      </c>
      <c r="QQ9" s="133">
        <v>7.2298287760829707</v>
      </c>
      <c r="QR9" s="133">
        <v>7.8220420030024727</v>
      </c>
      <c r="QS9" s="133">
        <v>8.5652791152712862</v>
      </c>
      <c r="QT9" s="133">
        <v>9.9655976343242454</v>
      </c>
      <c r="QU9" s="134">
        <v>11.797795914586601</v>
      </c>
      <c r="QV9" s="133">
        <v>13.96684810581101</v>
      </c>
      <c r="QW9" s="133">
        <v>16.250257180069468</v>
      </c>
      <c r="QX9" s="133">
        <v>17.794328947455057</v>
      </c>
      <c r="QY9" s="133">
        <v>19.251906615366149</v>
      </c>
      <c r="QZ9" s="133">
        <v>21.097429576097312</v>
      </c>
      <c r="RA9" s="81"/>
      <c r="RB9" s="81">
        <v>7</v>
      </c>
      <c r="RC9" s="133">
        <f t="shared" si="168"/>
        <v>0.30475660913310249</v>
      </c>
      <c r="RD9" s="133">
        <f t="shared" si="169"/>
        <v>0.32592841891273483</v>
      </c>
      <c r="RE9" s="133">
        <f t="shared" si="170"/>
        <v>0.34550380815037274</v>
      </c>
      <c r="RF9" s="133">
        <f t="shared" si="411"/>
        <v>0.36977933937453261</v>
      </c>
      <c r="RG9" s="133">
        <f t="shared" si="412"/>
        <v>0.41479516907750696</v>
      </c>
      <c r="RH9" s="134">
        <f t="shared" si="413"/>
        <v>0.47260919279229702</v>
      </c>
      <c r="RI9" s="133">
        <f t="shared" si="414"/>
        <v>0.53992415692695517</v>
      </c>
      <c r="RJ9" s="133">
        <f t="shared" si="171"/>
        <v>0.60988335319426257</v>
      </c>
      <c r="RK9" s="133">
        <f t="shared" si="172"/>
        <v>0.6568240704988827</v>
      </c>
      <c r="RL9" s="133">
        <f t="shared" si="173"/>
        <v>0.70093964851726809</v>
      </c>
      <c r="RM9" s="133">
        <f t="shared" si="174"/>
        <v>0.75659820693932922</v>
      </c>
      <c r="RN9" s="81"/>
      <c r="RO9" s="81">
        <v>7</v>
      </c>
      <c r="RP9" s="133">
        <f t="shared" si="175"/>
        <v>0.3140933916922134</v>
      </c>
      <c r="RQ9" s="133">
        <f t="shared" si="176"/>
        <v>0.33496654076210808</v>
      </c>
      <c r="RR9" s="133">
        <f t="shared" si="177"/>
        <v>0.35428005717775085</v>
      </c>
      <c r="RS9" s="133">
        <f t="shared" si="415"/>
        <v>0.3782547108892888</v>
      </c>
      <c r="RT9" s="133">
        <f t="shared" si="416"/>
        <v>0.42279796382357676</v>
      </c>
      <c r="RU9" s="134">
        <f t="shared" si="417"/>
        <v>0.48019941089982948</v>
      </c>
      <c r="RV9" s="133">
        <f t="shared" si="418"/>
        <v>0.54735155516452305</v>
      </c>
      <c r="RW9" s="133">
        <f t="shared" si="178"/>
        <v>0.61753996121437527</v>
      </c>
      <c r="RX9" s="133">
        <f t="shared" si="179"/>
        <v>0.66487513796175579</v>
      </c>
      <c r="RY9" s="133">
        <f t="shared" si="180"/>
        <v>0.70954327889645252</v>
      </c>
      <c r="RZ9" s="133">
        <f t="shared" si="181"/>
        <v>0.7661553159172908</v>
      </c>
      <c r="SA9" s="81"/>
      <c r="SB9" s="81">
        <v>9</v>
      </c>
      <c r="SC9" s="133">
        <f t="shared" si="182"/>
        <v>0.26654644654420134</v>
      </c>
      <c r="SD9" s="133">
        <f t="shared" si="183"/>
        <v>0.28791883515569766</v>
      </c>
      <c r="SE9" s="133">
        <f t="shared" si="184"/>
        <v>0.30768501644437357</v>
      </c>
      <c r="SF9" s="133">
        <f t="shared" si="419"/>
        <v>0.33218779715289215</v>
      </c>
      <c r="SG9" s="133">
        <f t="shared" si="420"/>
        <v>0.37754612702651186</v>
      </c>
      <c r="SH9" s="134">
        <f t="shared" si="421"/>
        <v>0.4355472141897192</v>
      </c>
      <c r="SI9" s="133">
        <f t="shared" si="422"/>
        <v>0.50259247594863132</v>
      </c>
      <c r="SJ9" s="133">
        <f t="shared" si="185"/>
        <v>0.57161367273642005</v>
      </c>
      <c r="SK9" s="133">
        <f t="shared" si="186"/>
        <v>0.61751726185567812</v>
      </c>
      <c r="SL9" s="133">
        <f t="shared" si="187"/>
        <v>0.66034814096767147</v>
      </c>
      <c r="SM9" s="133">
        <f t="shared" si="188"/>
        <v>0.71394990474565967</v>
      </c>
      <c r="SN9" s="81"/>
      <c r="SO9" s="81">
        <v>7</v>
      </c>
      <c r="SP9" s="133">
        <f t="shared" si="189"/>
        <v>0.23322156772990507</v>
      </c>
      <c r="SQ9" s="133">
        <f t="shared" si="190"/>
        <v>0.24568306521279346</v>
      </c>
      <c r="SR9" s="133">
        <f t="shared" si="191"/>
        <v>0.25679272315364743</v>
      </c>
      <c r="SS9" s="133">
        <f t="shared" si="423"/>
        <v>0.27006247826821933</v>
      </c>
      <c r="ST9" s="133">
        <f t="shared" si="424"/>
        <v>0.29333033507084344</v>
      </c>
      <c r="SU9" s="134">
        <f t="shared" si="425"/>
        <v>0.32099457353394822</v>
      </c>
      <c r="SV9" s="133">
        <f t="shared" si="426"/>
        <v>0.35056277078874287</v>
      </c>
      <c r="SW9" s="133">
        <f t="shared" si="192"/>
        <v>0.37878104931682066</v>
      </c>
      <c r="SX9" s="133">
        <f t="shared" si="193"/>
        <v>0.39648996495920391</v>
      </c>
      <c r="SY9" s="133">
        <f t="shared" si="194"/>
        <v>0.41234432259241527</v>
      </c>
      <c r="SZ9" s="133">
        <f t="shared" si="195"/>
        <v>0.43136857385223548</v>
      </c>
      <c r="TA9" s="81"/>
      <c r="TB9" s="81">
        <v>7</v>
      </c>
      <c r="TC9" s="133">
        <f t="shared" si="196"/>
        <v>0.23859162034516287</v>
      </c>
      <c r="TD9" s="133">
        <f t="shared" si="197"/>
        <v>0.2507051232212103</v>
      </c>
      <c r="TE9" s="133">
        <f t="shared" si="198"/>
        <v>0.26152557728348308</v>
      </c>
      <c r="TF9" s="133">
        <f t="shared" si="427"/>
        <v>0.27447675151716283</v>
      </c>
      <c r="TG9" s="133">
        <f t="shared" si="428"/>
        <v>0.29725881779572866</v>
      </c>
      <c r="TH9" s="134">
        <f t="shared" si="429"/>
        <v>0.32446977344018901</v>
      </c>
      <c r="TI9" s="133">
        <f t="shared" si="430"/>
        <v>0.35370621862489454</v>
      </c>
      <c r="TJ9" s="133">
        <f t="shared" si="199"/>
        <v>0.38175692038289621</v>
      </c>
      <c r="TK9" s="133">
        <f t="shared" si="200"/>
        <v>0.3994353365561546</v>
      </c>
      <c r="TL9" s="133">
        <f t="shared" si="201"/>
        <v>0.41531125247477479</v>
      </c>
      <c r="TM9" s="133">
        <f t="shared" si="202"/>
        <v>0.43442220024340378</v>
      </c>
      <c r="TN9" s="81"/>
      <c r="TO9" s="81">
        <v>9</v>
      </c>
      <c r="TP9" s="133">
        <f t="shared" si="203"/>
        <v>0.20972021000404298</v>
      </c>
      <c r="TQ9" s="133">
        <f t="shared" si="204"/>
        <v>0.22321119567363509</v>
      </c>
      <c r="TR9" s="133">
        <f t="shared" si="205"/>
        <v>0.23519424574417952</v>
      </c>
      <c r="TS9" s="133">
        <f t="shared" si="431"/>
        <v>0.24944935764754803</v>
      </c>
      <c r="TT9" s="133">
        <f t="shared" si="432"/>
        <v>0.27428592636027399</v>
      </c>
      <c r="TU9" s="134">
        <f t="shared" si="433"/>
        <v>0.3035422459369933</v>
      </c>
      <c r="TV9" s="133">
        <f t="shared" si="434"/>
        <v>0.3344781225637794</v>
      </c>
      <c r="TW9" s="133">
        <f t="shared" si="206"/>
        <v>0.36367991057680482</v>
      </c>
      <c r="TX9" s="133">
        <f t="shared" si="207"/>
        <v>0.38184727830889925</v>
      </c>
      <c r="TY9" s="133">
        <f t="shared" si="208"/>
        <v>0.39800962171413068</v>
      </c>
      <c r="TZ9" s="133">
        <f t="shared" si="209"/>
        <v>0.41727749944579867</v>
      </c>
      <c r="UA9" s="81"/>
      <c r="UB9" s="81">
        <v>7</v>
      </c>
      <c r="UC9" s="133">
        <f t="shared" si="210"/>
        <v>-21.240041235291052</v>
      </c>
      <c r="UD9" s="133">
        <f t="shared" si="211"/>
        <v>-18.899321674646153</v>
      </c>
      <c r="UE9" s="133">
        <f t="shared" si="212"/>
        <v>-16.926316629821365</v>
      </c>
      <c r="UF9" s="133">
        <f t="shared" si="435"/>
        <v>-14.693786646384773</v>
      </c>
      <c r="UG9" s="133">
        <f t="shared" si="436"/>
        <v>-11.060696778173259</v>
      </c>
      <c r="UH9" s="134">
        <f t="shared" si="437"/>
        <v>-7.1308488937798842</v>
      </c>
      <c r="UI9" s="133">
        <f t="shared" si="438"/>
        <v>-3.3119832452215334</v>
      </c>
      <c r="UJ9" s="133">
        <f t="shared" si="213"/>
        <v>3.0176878113820749E-2</v>
      </c>
      <c r="UK9" s="133">
        <f t="shared" si="214"/>
        <v>1.998834814021194</v>
      </c>
      <c r="UL9" s="133">
        <f t="shared" si="215"/>
        <v>3.6865732131435323</v>
      </c>
      <c r="UM9" s="133">
        <f t="shared" si="216"/>
        <v>5.6269937499954068</v>
      </c>
      <c r="UN9" s="81"/>
      <c r="UO9" s="81">
        <v>7</v>
      </c>
      <c r="UP9" s="133">
        <f t="shared" si="217"/>
        <v>-19.633063967645327</v>
      </c>
      <c r="UQ9" s="133">
        <f t="shared" si="218"/>
        <v>-17.525037717194554</v>
      </c>
      <c r="UR9" s="133">
        <f t="shared" si="219"/>
        <v>-15.716362662920506</v>
      </c>
      <c r="US9" s="133">
        <f t="shared" si="439"/>
        <v>-13.635491719237052</v>
      </c>
      <c r="UT9" s="133">
        <f t="shared" si="440"/>
        <v>-10.173485839517856</v>
      </c>
      <c r="UU9" s="134">
        <f t="shared" si="441"/>
        <v>-6.3265665652561616</v>
      </c>
      <c r="UV9" s="133">
        <f t="shared" si="442"/>
        <v>-2.4903480264677214</v>
      </c>
      <c r="UW9" s="133">
        <f t="shared" si="220"/>
        <v>0.94348657417140203</v>
      </c>
      <c r="UX9" s="133">
        <f t="shared" si="221"/>
        <v>2.998644987803182</v>
      </c>
      <c r="UY9" s="133">
        <f t="shared" si="222"/>
        <v>4.7793342659238007</v>
      </c>
      <c r="UZ9" s="133">
        <f t="shared" si="223"/>
        <v>6.8477236009554261</v>
      </c>
      <c r="VA9" s="81"/>
      <c r="VB9" s="81">
        <v>10</v>
      </c>
      <c r="VC9" s="133">
        <f t="shared" si="224"/>
        <v>-27.924668422698169</v>
      </c>
      <c r="VD9" s="133">
        <f t="shared" si="225"/>
        <v>-24.681111963084717</v>
      </c>
      <c r="VE9" s="133">
        <f t="shared" si="226"/>
        <v>-22.022917073359025</v>
      </c>
      <c r="VF9" s="133">
        <f t="shared" si="443"/>
        <v>-19.085983841258702</v>
      </c>
      <c r="VG9" s="133">
        <f t="shared" si="444"/>
        <v>-14.441819640270083</v>
      </c>
      <c r="VH9" s="134">
        <f t="shared" si="445"/>
        <v>-9.573773094300023</v>
      </c>
      <c r="VI9" s="133">
        <f t="shared" si="446"/>
        <v>-4.9699825686278203</v>
      </c>
      <c r="VJ9" s="133">
        <f t="shared" si="227"/>
        <v>-1.0271908656138393</v>
      </c>
      <c r="VK9" s="133">
        <f t="shared" si="228"/>
        <v>1.2621083099437982</v>
      </c>
      <c r="VL9" s="133">
        <f t="shared" si="229"/>
        <v>3.2068696724137169</v>
      </c>
      <c r="VM9" s="133">
        <f t="shared" si="230"/>
        <v>5.4237582883132802</v>
      </c>
      <c r="VN9" s="81"/>
      <c r="VO9" s="81">
        <v>7</v>
      </c>
      <c r="VP9" s="133">
        <f t="shared" si="231"/>
        <v>-43.607859758400913</v>
      </c>
      <c r="VQ9" s="133">
        <f t="shared" si="232"/>
        <v>-40.544646853581924</v>
      </c>
      <c r="VR9" s="133">
        <f t="shared" si="233"/>
        <v>-37.672487165963865</v>
      </c>
      <c r="VS9" s="133">
        <f t="shared" si="447"/>
        <v>-34.097493343723407</v>
      </c>
      <c r="VT9" s="133">
        <f t="shared" si="448"/>
        <v>-27.528236219138762</v>
      </c>
      <c r="VU9" s="134">
        <f t="shared" si="449"/>
        <v>-19.34998145532095</v>
      </c>
      <c r="VV9" s="133">
        <f t="shared" si="450"/>
        <v>-10.30691772420019</v>
      </c>
      <c r="VW9" s="133">
        <f t="shared" si="234"/>
        <v>-1.4845634707916986</v>
      </c>
      <c r="VX9" s="133">
        <f t="shared" si="235"/>
        <v>4.1166036444895937</v>
      </c>
      <c r="VY9" s="133">
        <f t="shared" si="236"/>
        <v>9.1607008372323904</v>
      </c>
      <c r="VZ9" s="133">
        <f t="shared" si="237"/>
        <v>15.239405588646257</v>
      </c>
      <c r="WA9" s="81"/>
      <c r="WB9" s="81">
        <v>7</v>
      </c>
      <c r="WC9" s="133">
        <f t="shared" si="238"/>
        <v>-41.127406461699607</v>
      </c>
      <c r="WD9" s="133">
        <f t="shared" si="239"/>
        <v>-38.270631411814897</v>
      </c>
      <c r="WE9" s="133">
        <f t="shared" si="240"/>
        <v>-35.52568107212246</v>
      </c>
      <c r="WF9" s="133">
        <f t="shared" si="451"/>
        <v>-32.044013779095437</v>
      </c>
      <c r="WG9" s="133">
        <f t="shared" si="452"/>
        <v>-25.513044382925177</v>
      </c>
      <c r="WH9" s="134">
        <f t="shared" si="453"/>
        <v>-17.218245820071576</v>
      </c>
      <c r="WI9" s="133">
        <f t="shared" si="454"/>
        <v>-7.9036994800930103</v>
      </c>
      <c r="WJ9" s="133">
        <f t="shared" si="241"/>
        <v>1.2857633794006986</v>
      </c>
      <c r="WK9" s="133">
        <f t="shared" si="242"/>
        <v>7.1604599807294136</v>
      </c>
      <c r="WL9" s="133">
        <f t="shared" si="243"/>
        <v>12.473230227480315</v>
      </c>
      <c r="WM9" s="133">
        <f t="shared" si="244"/>
        <v>18.900172032262454</v>
      </c>
      <c r="WN9" s="81"/>
      <c r="WO9" s="81">
        <v>10</v>
      </c>
      <c r="WP9" s="133">
        <f t="shared" si="245"/>
        <v>-48.33845829524234</v>
      </c>
      <c r="WQ9" s="133">
        <f t="shared" si="246"/>
        <v>-45.193281258695841</v>
      </c>
      <c r="WR9" s="133">
        <f t="shared" si="247"/>
        <v>-42.180247569614124</v>
      </c>
      <c r="WS9" s="133">
        <f t="shared" si="455"/>
        <v>-38.386144641083604</v>
      </c>
      <c r="WT9" s="133">
        <f t="shared" si="456"/>
        <v>-31.364730129191006</v>
      </c>
      <c r="WU9" s="134">
        <f t="shared" si="457"/>
        <v>-22.618286440167246</v>
      </c>
      <c r="WV9" s="133">
        <f t="shared" si="458"/>
        <v>-12.994498772385327</v>
      </c>
      <c r="WW9" s="133">
        <f t="shared" si="248"/>
        <v>-3.6735741435410816</v>
      </c>
      <c r="WX9" s="133">
        <f t="shared" si="249"/>
        <v>2.2067138058348235</v>
      </c>
      <c r="WY9" s="133">
        <f t="shared" si="250"/>
        <v>7.4772364168039331</v>
      </c>
      <c r="WZ9" s="133">
        <f t="shared" si="251"/>
        <v>13.797928341943695</v>
      </c>
      <c r="XA9" s="81"/>
      <c r="XB9" s="81">
        <v>7</v>
      </c>
      <c r="XC9" s="133">
        <f t="shared" si="252"/>
        <v>-40.351573332540745</v>
      </c>
      <c r="XD9" s="133">
        <f t="shared" si="253"/>
        <v>-36.609339804977466</v>
      </c>
      <c r="XE9" s="133">
        <f t="shared" si="254"/>
        <v>-33.246020938176557</v>
      </c>
      <c r="XF9" s="133">
        <f t="shared" si="459"/>
        <v>-29.216976364303047</v>
      </c>
      <c r="XG9" s="133">
        <f t="shared" si="460"/>
        <v>-22.168951076267135</v>
      </c>
      <c r="XH9" s="134">
        <f t="shared" si="461"/>
        <v>-13.881297483253576</v>
      </c>
      <c r="XI9" s="133">
        <f t="shared" si="462"/>
        <v>-5.1863023732028424</v>
      </c>
      <c r="XJ9" s="133">
        <f t="shared" si="255"/>
        <v>2.9296139517700865</v>
      </c>
      <c r="XK9" s="133">
        <f t="shared" si="256"/>
        <v>7.927596602697065</v>
      </c>
      <c r="XL9" s="133">
        <f t="shared" si="257"/>
        <v>12.339199748410358</v>
      </c>
      <c r="XM9" s="133">
        <f t="shared" si="258"/>
        <v>17.554714102634556</v>
      </c>
      <c r="XN9" s="81"/>
      <c r="XO9" s="81">
        <v>7</v>
      </c>
      <c r="XP9" s="133">
        <f t="shared" si="259"/>
        <v>-39.118351837972348</v>
      </c>
      <c r="XQ9" s="133">
        <f t="shared" si="260"/>
        <v>-35.211740440662922</v>
      </c>
      <c r="XR9" s="133">
        <f t="shared" si="261"/>
        <v>-31.683499881073779</v>
      </c>
      <c r="XS9" s="133">
        <f t="shared" si="463"/>
        <v>-27.444358562921945</v>
      </c>
      <c r="XT9" s="133">
        <f t="shared" si="464"/>
        <v>-20.011653174529542</v>
      </c>
      <c r="XU9" s="134">
        <f t="shared" si="465"/>
        <v>-11.261085745276041</v>
      </c>
      <c r="XV9" s="133">
        <f t="shared" si="466"/>
        <v>-2.0801554995964722</v>
      </c>
      <c r="XW9" s="133">
        <f t="shared" si="262"/>
        <v>6.4842059055809926</v>
      </c>
      <c r="XX9" s="133">
        <f t="shared" si="263"/>
        <v>11.754760434013093</v>
      </c>
      <c r="XY9" s="133">
        <f t="shared" si="264"/>
        <v>16.404365495515243</v>
      </c>
      <c r="XZ9" s="133">
        <f t="shared" si="265"/>
        <v>21.897931498174707</v>
      </c>
      <c r="YA9" s="81"/>
      <c r="YB9" s="81">
        <v>10</v>
      </c>
      <c r="YC9" s="133">
        <f t="shared" si="266"/>
        <v>-48.116769499898005</v>
      </c>
      <c r="YD9" s="133">
        <f t="shared" si="267"/>
        <v>-44.31358568825469</v>
      </c>
      <c r="YE9" s="133">
        <f t="shared" si="268"/>
        <v>-40.836146631314044</v>
      </c>
      <c r="YF9" s="133">
        <f t="shared" si="467"/>
        <v>-36.629136039144711</v>
      </c>
      <c r="YG9" s="133">
        <f t="shared" si="468"/>
        <v>-29.214447250289513</v>
      </c>
      <c r="YH9" s="134">
        <f t="shared" si="469"/>
        <v>-20.460140708783577</v>
      </c>
      <c r="YI9" s="133">
        <f t="shared" si="470"/>
        <v>-11.270049958684162</v>
      </c>
      <c r="YJ9" s="133">
        <f t="shared" si="269"/>
        <v>-2.7021807060588827</v>
      </c>
      <c r="YK9" s="133">
        <f t="shared" si="270"/>
        <v>2.5661401417328804</v>
      </c>
      <c r="YL9" s="133">
        <f t="shared" si="271"/>
        <v>7.2104581164997867</v>
      </c>
      <c r="YM9" s="133">
        <f t="shared" si="272"/>
        <v>12.693457213905994</v>
      </c>
      <c r="YN9" s="81"/>
      <c r="YO9" s="81">
        <v>7</v>
      </c>
      <c r="YP9" s="133">
        <v>17.169815417437601</v>
      </c>
      <c r="YQ9" s="133">
        <v>19.125061993795619</v>
      </c>
      <c r="YR9" s="133">
        <v>20.983860545274545</v>
      </c>
      <c r="YS9" s="133">
        <v>23.352244263361218</v>
      </c>
      <c r="YT9" s="133">
        <v>27.91284816612637</v>
      </c>
      <c r="YU9" s="134">
        <v>34.053179419893951</v>
      </c>
      <c r="YV9" s="133">
        <v>41.544274582869143</v>
      </c>
      <c r="YW9" s="133">
        <v>49.657712360558321</v>
      </c>
      <c r="YX9" s="133">
        <v>55.262425429367852</v>
      </c>
      <c r="YY9" s="133">
        <v>60.633478154459446</v>
      </c>
      <c r="YZ9" s="133">
        <v>67.538235001978222</v>
      </c>
      <c r="ZA9" s="81"/>
      <c r="ZB9" s="81">
        <v>7</v>
      </c>
      <c r="ZC9" s="133">
        <v>17.630167977336544</v>
      </c>
      <c r="ZD9" s="133">
        <v>19.498420096062077</v>
      </c>
      <c r="ZE9" s="133">
        <v>21.262813940932357</v>
      </c>
      <c r="ZF9" s="133">
        <v>23.496098198010806</v>
      </c>
      <c r="ZG9" s="133">
        <v>27.755748091159937</v>
      </c>
      <c r="ZH9" s="134">
        <v>33.419626813266099</v>
      </c>
      <c r="ZI9" s="133">
        <v>40.239284946302455</v>
      </c>
      <c r="ZJ9" s="133">
        <v>47.534337272753227</v>
      </c>
      <c r="ZK9" s="133">
        <v>52.526982526424774</v>
      </c>
      <c r="ZL9" s="133">
        <v>57.280100174041287</v>
      </c>
      <c r="ZM9" s="133">
        <v>63.350017865610006</v>
      </c>
      <c r="ZN9" s="81"/>
      <c r="ZO9" s="81">
        <v>10</v>
      </c>
      <c r="ZP9" s="133">
        <v>19.835581832949593</v>
      </c>
      <c r="ZQ9" s="133">
        <v>22.213449991402577</v>
      </c>
      <c r="ZR9" s="133">
        <v>24.485320152991484</v>
      </c>
      <c r="ZS9" s="133">
        <v>27.394490859175626</v>
      </c>
      <c r="ZT9" s="133">
        <v>33.03689920991124</v>
      </c>
      <c r="ZU9" s="134">
        <v>40.705743177021944</v>
      </c>
      <c r="ZV9" s="133">
        <v>50.154753237149244</v>
      </c>
      <c r="ZW9" s="133">
        <v>60.48506380758964</v>
      </c>
      <c r="ZX9" s="133">
        <v>67.671466709053021</v>
      </c>
      <c r="ZY9" s="133">
        <v>74.592534173438736</v>
      </c>
      <c r="ZZ9" s="133">
        <v>83.534606725840376</v>
      </c>
      <c r="AAA9" s="81"/>
      <c r="AAB9" s="81">
        <v>7</v>
      </c>
      <c r="AAC9" s="133">
        <v>6.4075311249713796</v>
      </c>
      <c r="AAD9" s="133">
        <v>7.0754557160651919</v>
      </c>
      <c r="AAE9" s="133">
        <v>7.7053348289391597</v>
      </c>
      <c r="AAF9" s="133">
        <v>8.5014490984295552</v>
      </c>
      <c r="AAG9" s="133">
        <v>10.01674274209536</v>
      </c>
      <c r="AAH9" s="134">
        <v>12.026044149446452</v>
      </c>
      <c r="AAI9" s="133">
        <v>14.438399947783985</v>
      </c>
      <c r="AAJ9" s="133">
        <v>17.011892467973656</v>
      </c>
      <c r="AAK9" s="133">
        <v>18.769559155464599</v>
      </c>
      <c r="AAL9" s="133">
        <v>20.440483791885654</v>
      </c>
      <c r="AAM9" s="133">
        <v>22.571211136345621</v>
      </c>
      <c r="AAN9" s="81"/>
      <c r="AAO9" s="81">
        <v>7</v>
      </c>
      <c r="AAP9" s="133">
        <v>6.5051955597483726</v>
      </c>
      <c r="AAQ9" s="133">
        <v>7.1780845322705229</v>
      </c>
      <c r="AAR9" s="133">
        <v>7.8122176792342293</v>
      </c>
      <c r="AAS9" s="133">
        <v>8.6131686730381851</v>
      </c>
      <c r="AAT9" s="133">
        <v>10.136188118531148</v>
      </c>
      <c r="AAU9" s="134">
        <v>12.153161951739117</v>
      </c>
      <c r="AAV9" s="133">
        <v>14.571488186488263</v>
      </c>
      <c r="AAW9" s="133">
        <v>17.148084640156043</v>
      </c>
      <c r="AAX9" s="133">
        <v>18.906199428851185</v>
      </c>
      <c r="AAY9" s="133">
        <v>20.576428817630553</v>
      </c>
      <c r="AAZ9" s="133">
        <v>22.704827866990744</v>
      </c>
      <c r="ABA9" s="81"/>
      <c r="ABB9" s="81">
        <v>10</v>
      </c>
      <c r="ABC9" s="133">
        <v>7.192690377672541</v>
      </c>
      <c r="ABD9" s="133">
        <v>7.9556914745563736</v>
      </c>
      <c r="ABE9" s="133">
        <v>8.6763435824481583</v>
      </c>
      <c r="ABF9" s="133">
        <v>9.5885950719023203</v>
      </c>
      <c r="ABG9" s="133">
        <v>11.328809609143782</v>
      </c>
      <c r="ABH9" s="134">
        <v>13.643107808233568</v>
      </c>
      <c r="ABI9" s="133">
        <v>16.430180847672631</v>
      </c>
      <c r="ABJ9" s="133">
        <v>19.412060815094556</v>
      </c>
      <c r="ABK9" s="133">
        <v>21.453091258813803</v>
      </c>
      <c r="ABL9" s="133">
        <v>23.396381227498903</v>
      </c>
      <c r="ABM9" s="133">
        <v>25.878270979782457</v>
      </c>
      <c r="ABN9" s="81"/>
      <c r="ABO9" s="81">
        <v>7</v>
      </c>
      <c r="ABP9" s="133">
        <f t="shared" si="273"/>
        <v>0.18191965237419327</v>
      </c>
      <c r="ABQ9" s="133">
        <f t="shared" si="274"/>
        <v>0.20438630562247892</v>
      </c>
      <c r="ABR9" s="133">
        <f t="shared" si="275"/>
        <v>0.22527111311820294</v>
      </c>
      <c r="ABS9" s="133">
        <f t="shared" si="471"/>
        <v>0.25123355106684619</v>
      </c>
      <c r="ABT9" s="133">
        <f t="shared" si="472"/>
        <v>0.29930465631115238</v>
      </c>
      <c r="ABU9" s="134">
        <f t="shared" si="473"/>
        <v>0.36042642699041816</v>
      </c>
      <c r="ABV9" s="133">
        <f t="shared" si="474"/>
        <v>0.43017956413706693</v>
      </c>
      <c r="ABW9" s="133">
        <f t="shared" si="276"/>
        <v>0.50070537297455964</v>
      </c>
      <c r="ABX9" s="133">
        <f t="shared" si="277"/>
        <v>0.54681890273718359</v>
      </c>
      <c r="ABY9" s="133">
        <f t="shared" si="278"/>
        <v>0.58925787853787348</v>
      </c>
      <c r="ABZ9" s="133">
        <f t="shared" si="279"/>
        <v>0.64156515401788339</v>
      </c>
      <c r="ACA9" s="81"/>
      <c r="ACB9" s="81">
        <v>7</v>
      </c>
      <c r="ACC9" s="133">
        <f t="shared" si="280"/>
        <v>0.19651163438980845</v>
      </c>
      <c r="ACD9" s="133">
        <f t="shared" si="281"/>
        <v>0.21792897058191557</v>
      </c>
      <c r="ACE9" s="133">
        <f t="shared" si="282"/>
        <v>0.23792332793370016</v>
      </c>
      <c r="ACF9" s="133">
        <f t="shared" si="475"/>
        <v>0.26291274467977499</v>
      </c>
      <c r="ACG9" s="133">
        <f t="shared" si="476"/>
        <v>0.30962489594397308</v>
      </c>
      <c r="ACH9" s="134">
        <f t="shared" si="477"/>
        <v>0.36992652143946669</v>
      </c>
      <c r="ACI9" s="133">
        <f t="shared" si="478"/>
        <v>0.44005148000243327</v>
      </c>
      <c r="ACJ9" s="133">
        <f t="shared" si="283"/>
        <v>0.51239566089733679</v>
      </c>
      <c r="ACK9" s="133">
        <f t="shared" si="284"/>
        <v>0.56048133018665658</v>
      </c>
      <c r="ACL9" s="133">
        <f t="shared" si="285"/>
        <v>0.6052780622716446</v>
      </c>
      <c r="ACM9" s="133">
        <f t="shared" si="286"/>
        <v>0.66119973424115086</v>
      </c>
      <c r="ACN9" s="81"/>
      <c r="ACO9" s="81">
        <v>10</v>
      </c>
      <c r="ACP9" s="133">
        <f t="shared" si="287"/>
        <v>0.15979276106194693</v>
      </c>
      <c r="ACQ9" s="133">
        <f t="shared" si="288"/>
        <v>0.18462599396274446</v>
      </c>
      <c r="ACR9" s="133">
        <f t="shared" si="289"/>
        <v>0.20746690480930519</v>
      </c>
      <c r="ACS9" s="133">
        <f t="shared" si="479"/>
        <v>0.23551014216484623</v>
      </c>
      <c r="ACT9" s="133">
        <f t="shared" si="480"/>
        <v>0.28642842315239281</v>
      </c>
      <c r="ACU9" s="134">
        <f t="shared" si="481"/>
        <v>0.34915357452550561</v>
      </c>
      <c r="ACV9" s="133">
        <f t="shared" si="482"/>
        <v>0.41830246452191783</v>
      </c>
      <c r="ACW9" s="133">
        <f t="shared" si="290"/>
        <v>0.48594982192562181</v>
      </c>
      <c r="ACX9" s="133">
        <f t="shared" si="291"/>
        <v>0.52897683036421439</v>
      </c>
      <c r="ACY9" s="133">
        <f t="shared" si="292"/>
        <v>0.56782332435240479</v>
      </c>
      <c r="ACZ9" s="133">
        <f t="shared" si="293"/>
        <v>0.61477886589290176</v>
      </c>
      <c r="ADA9" s="81"/>
      <c r="ADB9" s="81">
        <v>7</v>
      </c>
      <c r="ADC9" s="133">
        <f t="shared" si="294"/>
        <v>0.15191888793670705</v>
      </c>
      <c r="ADD9" s="133">
        <f t="shared" si="295"/>
        <v>0.16881085012649638</v>
      </c>
      <c r="ADE9" s="133">
        <f t="shared" si="296"/>
        <v>0.18365122080363111</v>
      </c>
      <c r="ADF9" s="133">
        <f t="shared" si="483"/>
        <v>0.20110182021276235</v>
      </c>
      <c r="ADG9" s="133">
        <f t="shared" si="484"/>
        <v>0.23097861809919512</v>
      </c>
      <c r="ADH9" s="134">
        <f t="shared" si="485"/>
        <v>0.26533379404542085</v>
      </c>
      <c r="ADI9" s="133">
        <f t="shared" si="486"/>
        <v>0.30072197725813571</v>
      </c>
      <c r="ADJ9" s="133">
        <f t="shared" si="297"/>
        <v>0.3332942024072017</v>
      </c>
      <c r="ADK9" s="133">
        <f t="shared" si="298"/>
        <v>0.3531738320694045</v>
      </c>
      <c r="ADL9" s="133">
        <f t="shared" si="299"/>
        <v>0.37062329423606544</v>
      </c>
      <c r="ADM9" s="133">
        <f t="shared" si="300"/>
        <v>0.39114672936132533</v>
      </c>
      <c r="ADN9" s="81"/>
      <c r="ADO9" s="81">
        <v>7</v>
      </c>
      <c r="ADP9" s="133">
        <f t="shared" si="301"/>
        <v>0.16270959933769655</v>
      </c>
      <c r="ADQ9" s="133">
        <f t="shared" si="302"/>
        <v>0.17823695769099684</v>
      </c>
      <c r="ADR9" s="133">
        <f t="shared" si="303"/>
        <v>0.19203113322632018</v>
      </c>
      <c r="ADS9" s="133">
        <f t="shared" si="487"/>
        <v>0.2084308197900521</v>
      </c>
      <c r="ADT9" s="133">
        <f t="shared" si="488"/>
        <v>0.23694619323514327</v>
      </c>
      <c r="ADU9" s="134">
        <f t="shared" si="489"/>
        <v>0.27039345527936948</v>
      </c>
      <c r="ADV9" s="133">
        <f t="shared" si="490"/>
        <v>0.30554757384708037</v>
      </c>
      <c r="ADW9" s="133">
        <f t="shared" si="304"/>
        <v>0.33850347201953557</v>
      </c>
      <c r="ADX9" s="133">
        <f t="shared" si="305"/>
        <v>0.35888829608123923</v>
      </c>
      <c r="ADY9" s="133">
        <f t="shared" si="306"/>
        <v>0.3769453140548209</v>
      </c>
      <c r="ADZ9" s="133">
        <f t="shared" si="307"/>
        <v>0.39837485785022964</v>
      </c>
      <c r="AEA9" s="81"/>
      <c r="AEB9" s="81">
        <v>10</v>
      </c>
      <c r="AEC9" s="133">
        <f t="shared" si="308"/>
        <v>0.13423046243820308</v>
      </c>
      <c r="AED9" s="133">
        <f t="shared" si="309"/>
        <v>0.15415245559905011</v>
      </c>
      <c r="AEE9" s="133">
        <f t="shared" si="310"/>
        <v>0.17120374586640566</v>
      </c>
      <c r="AEF9" s="133">
        <f t="shared" si="491"/>
        <v>0.19077912528090152</v>
      </c>
      <c r="AEG9" s="133">
        <f t="shared" si="492"/>
        <v>0.22325995814597679</v>
      </c>
      <c r="AEH9" s="134">
        <f t="shared" si="493"/>
        <v>0.25924174007219875</v>
      </c>
      <c r="AEI9" s="133">
        <f t="shared" si="494"/>
        <v>0.29502418484777754</v>
      </c>
      <c r="AEJ9" s="133">
        <f t="shared" si="311"/>
        <v>0.32697980784627351</v>
      </c>
      <c r="AEK9" s="133">
        <f t="shared" si="312"/>
        <v>0.34607525303133713</v>
      </c>
      <c r="AEL9" s="133">
        <f t="shared" si="313"/>
        <v>0.36260352710556831</v>
      </c>
      <c r="AEM9" s="133">
        <f t="shared" si="314"/>
        <v>0.38178350836371377</v>
      </c>
      <c r="AEN9" s="81"/>
    </row>
    <row r="10" spans="1:820">
      <c r="A10" s="81"/>
      <c r="B10" s="81">
        <v>9</v>
      </c>
      <c r="C10" s="133">
        <f t="shared" si="0"/>
        <v>1.6533232793757164</v>
      </c>
      <c r="D10" s="133">
        <f t="shared" si="1"/>
        <v>1.9132628607363469</v>
      </c>
      <c r="E10" s="133">
        <f t="shared" si="2"/>
        <v>2.1762739238524222</v>
      </c>
      <c r="F10" s="133">
        <f t="shared" si="315"/>
        <v>2.5345288108956829</v>
      </c>
      <c r="G10" s="133">
        <f t="shared" si="316"/>
        <v>3.3007200665346708</v>
      </c>
      <c r="H10" s="134">
        <f t="shared" si="317"/>
        <v>4.5019377029598955</v>
      </c>
      <c r="I10" s="133">
        <f t="shared" si="318"/>
        <v>6.256861675112539</v>
      </c>
      <c r="J10" s="133">
        <f t="shared" si="3"/>
        <v>8.5590983118639201</v>
      </c>
      <c r="K10" s="133">
        <f t="shared" si="4"/>
        <v>10.421349612068322</v>
      </c>
      <c r="L10" s="133">
        <f t="shared" si="5"/>
        <v>12.435769730639988</v>
      </c>
      <c r="M10" s="133">
        <f t="shared" si="6"/>
        <v>15.387400490376866</v>
      </c>
      <c r="N10" s="81"/>
      <c r="O10" s="75">
        <v>9</v>
      </c>
      <c r="P10" s="151">
        <f t="shared" si="7"/>
        <v>2.2853827784034273</v>
      </c>
      <c r="Q10" s="151">
        <f t="shared" si="8"/>
        <v>2.536822561615196</v>
      </c>
      <c r="R10" s="151">
        <f t="shared" si="9"/>
        <v>2.7852437756774382</v>
      </c>
      <c r="S10" s="151">
        <f t="shared" si="319"/>
        <v>3.1161597602860898</v>
      </c>
      <c r="T10" s="151">
        <f t="shared" si="320"/>
        <v>3.8037292821401532</v>
      </c>
      <c r="U10" s="134">
        <f t="shared" si="321"/>
        <v>4.8495832138096109</v>
      </c>
      <c r="V10" s="151">
        <f t="shared" si="322"/>
        <v>6.3483132502354795</v>
      </c>
      <c r="W10" s="151">
        <f t="shared" si="10"/>
        <v>8.3103077747625349</v>
      </c>
      <c r="X10" s="151">
        <f t="shared" si="11"/>
        <v>9.9161378430830815</v>
      </c>
      <c r="Y10" s="151">
        <f t="shared" si="12"/>
        <v>11.684842381552631</v>
      </c>
      <c r="Z10" s="151">
        <f t="shared" si="13"/>
        <v>14.351666451792617</v>
      </c>
      <c r="AA10" s="81"/>
      <c r="AB10" s="75">
        <v>11</v>
      </c>
      <c r="AC10" s="151">
        <f t="shared" si="14"/>
        <v>1.3009374999308667</v>
      </c>
      <c r="AD10" s="151">
        <f t="shared" si="15"/>
        <v>1.5374545840850136</v>
      </c>
      <c r="AE10" s="151">
        <f t="shared" si="16"/>
        <v>1.7842419655223671</v>
      </c>
      <c r="AF10" s="151">
        <f t="shared" si="323"/>
        <v>2.1319831148050068</v>
      </c>
      <c r="AG10" s="151">
        <f t="shared" si="324"/>
        <v>2.9181350720943606</v>
      </c>
      <c r="AH10" s="134">
        <f t="shared" si="325"/>
        <v>4.2592685184235073</v>
      </c>
      <c r="AI10" s="151">
        <f t="shared" si="326"/>
        <v>6.43944614111291</v>
      </c>
      <c r="AJ10" s="151">
        <f t="shared" si="17"/>
        <v>9.6710478428804478</v>
      </c>
      <c r="AK10" s="151">
        <f t="shared" si="18"/>
        <v>12.579401731269565</v>
      </c>
      <c r="AL10" s="151">
        <f t="shared" si="19"/>
        <v>16.013387626100453</v>
      </c>
      <c r="AM10" s="151">
        <f t="shared" si="20"/>
        <v>21.576539173410708</v>
      </c>
      <c r="AN10" s="81"/>
      <c r="AO10" s="81">
        <v>9</v>
      </c>
      <c r="AP10" s="133">
        <f t="shared" si="21"/>
        <v>3.3297106359983717</v>
      </c>
      <c r="AQ10" s="133">
        <f t="shared" si="22"/>
        <v>4.9509118218022907</v>
      </c>
      <c r="AR10" s="133">
        <f t="shared" si="23"/>
        <v>6.4447502788882813</v>
      </c>
      <c r="AS10" s="133">
        <f t="shared" si="327"/>
        <v>8.282017452962716</v>
      </c>
      <c r="AT10" s="133">
        <f t="shared" si="328"/>
        <v>11.622987711202924</v>
      </c>
      <c r="AU10" s="134">
        <f t="shared" si="329"/>
        <v>15.757245462144944</v>
      </c>
      <c r="AV10" s="133">
        <f t="shared" si="330"/>
        <v>20.328392349429656</v>
      </c>
      <c r="AW10" s="133">
        <f t="shared" si="24"/>
        <v>24.80471542025462</v>
      </c>
      <c r="AX10" s="133">
        <f t="shared" si="25"/>
        <v>27.659355133491534</v>
      </c>
      <c r="AY10" s="133">
        <f t="shared" si="26"/>
        <v>30.23982868244828</v>
      </c>
      <c r="AZ10" s="133">
        <f t="shared" si="27"/>
        <v>33.362734547491094</v>
      </c>
      <c r="BA10" s="81"/>
      <c r="BB10" s="81">
        <v>9</v>
      </c>
      <c r="BC10" s="133">
        <f t="shared" si="28"/>
        <v>5.9542248208003121</v>
      </c>
      <c r="BD10" s="133">
        <f t="shared" si="29"/>
        <v>7.6211497736392788</v>
      </c>
      <c r="BE10" s="133">
        <f t="shared" si="30"/>
        <v>9.1208073459911283</v>
      </c>
      <c r="BF10" s="133">
        <f t="shared" si="331"/>
        <v>10.92417112928559</v>
      </c>
      <c r="BG10" s="133">
        <f t="shared" si="332"/>
        <v>14.105962167086343</v>
      </c>
      <c r="BH10" s="134">
        <f t="shared" si="333"/>
        <v>17.901549333925978</v>
      </c>
      <c r="BI10" s="133">
        <f t="shared" si="334"/>
        <v>21.95263939857427</v>
      </c>
      <c r="BJ10" s="133">
        <f t="shared" si="31"/>
        <v>25.79922850254469</v>
      </c>
      <c r="BK10" s="133">
        <f t="shared" si="32"/>
        <v>28.199323935246557</v>
      </c>
      <c r="BL10" s="133">
        <f t="shared" si="33"/>
        <v>30.33741707677299</v>
      </c>
      <c r="BM10" s="133">
        <f t="shared" si="34"/>
        <v>32.888513914512387</v>
      </c>
      <c r="BN10" s="81"/>
      <c r="BO10" s="75">
        <v>11</v>
      </c>
      <c r="BP10" s="151">
        <f t="shared" si="35"/>
        <v>3.4568028831620219</v>
      </c>
      <c r="BQ10" s="151">
        <f t="shared" si="36"/>
        <v>4.2721675060090138</v>
      </c>
      <c r="BR10" s="151">
        <f t="shared" si="37"/>
        <v>5.0992739924217494</v>
      </c>
      <c r="BS10" s="151">
        <f t="shared" si="335"/>
        <v>6.2186277296650552</v>
      </c>
      <c r="BT10" s="151">
        <f t="shared" si="336"/>
        <v>8.5519147926443964</v>
      </c>
      <c r="BU10" s="134">
        <f t="shared" si="337"/>
        <v>11.994134828698703</v>
      </c>
      <c r="BV10" s="151">
        <f t="shared" si="338"/>
        <v>16.552716734724509</v>
      </c>
      <c r="BW10" s="151">
        <f t="shared" si="38"/>
        <v>21.824817795305574</v>
      </c>
      <c r="BX10" s="151">
        <f t="shared" si="39"/>
        <v>25.624002529309319</v>
      </c>
      <c r="BY10" s="151">
        <f t="shared" si="40"/>
        <v>29.362017556837841</v>
      </c>
      <c r="BZ10" s="151">
        <f t="shared" si="41"/>
        <v>34.283244466524089</v>
      </c>
      <c r="CA10" s="81"/>
      <c r="CB10" s="81">
        <v>9</v>
      </c>
      <c r="CC10" s="133">
        <f t="shared" si="42"/>
        <v>0.60660298266545265</v>
      </c>
      <c r="CD10" s="133">
        <f t="shared" si="43"/>
        <v>3.120910734724629</v>
      </c>
      <c r="CE10" s="133">
        <f t="shared" si="44"/>
        <v>5.44195947100508</v>
      </c>
      <c r="CF10" s="133">
        <f t="shared" si="339"/>
        <v>8.2833384968618908</v>
      </c>
      <c r="CG10" s="133">
        <f t="shared" si="340"/>
        <v>13.380371449952044</v>
      </c>
      <c r="CH10" s="134">
        <f t="shared" si="341"/>
        <v>19.534599206662808</v>
      </c>
      <c r="CI10" s="133">
        <f t="shared" si="342"/>
        <v>26.137057787609319</v>
      </c>
      <c r="CJ10" s="133">
        <f t="shared" si="45"/>
        <v>32.409119392013139</v>
      </c>
      <c r="CK10" s="133">
        <f t="shared" si="46"/>
        <v>36.316678313170037</v>
      </c>
      <c r="CL10" s="133">
        <f t="shared" si="47"/>
        <v>39.791421373183773</v>
      </c>
      <c r="CM10" s="133">
        <f t="shared" si="48"/>
        <v>43.927955368959935</v>
      </c>
      <c r="CN10" s="81"/>
      <c r="CO10" s="81">
        <v>9</v>
      </c>
      <c r="CP10" s="133">
        <f t="shared" si="49"/>
        <v>5.2185497487312533</v>
      </c>
      <c r="CQ10" s="133">
        <f t="shared" si="50"/>
        <v>7.7225680118719184</v>
      </c>
      <c r="CR10" s="133">
        <f t="shared" si="51"/>
        <v>9.9941955490926304</v>
      </c>
      <c r="CS10" s="133">
        <f t="shared" si="343"/>
        <v>12.739936481184365</v>
      </c>
      <c r="CT10" s="133">
        <f t="shared" si="344"/>
        <v>17.601333329712123</v>
      </c>
      <c r="CU10" s="134">
        <f t="shared" si="345"/>
        <v>23.401814176812373</v>
      </c>
      <c r="CV10" s="133">
        <f t="shared" si="346"/>
        <v>29.572676678044619</v>
      </c>
      <c r="CW10" s="133">
        <f t="shared" si="52"/>
        <v>35.402113817259163</v>
      </c>
      <c r="CX10" s="133">
        <f t="shared" si="53"/>
        <v>39.022338254713119</v>
      </c>
      <c r="CY10" s="133">
        <f t="shared" si="54"/>
        <v>42.235702410610784</v>
      </c>
      <c r="CZ10" s="133">
        <f t="shared" si="55"/>
        <v>46.055089656661863</v>
      </c>
      <c r="DA10" s="81"/>
      <c r="DB10" s="81">
        <v>11</v>
      </c>
      <c r="DC10" s="133">
        <f t="shared" si="56"/>
        <v>-2.911781147075339</v>
      </c>
      <c r="DD10" s="133">
        <f t="shared" si="57"/>
        <v>-1.1622141394407013</v>
      </c>
      <c r="DE10" s="133">
        <f t="shared" si="58"/>
        <v>0.53112872792604726</v>
      </c>
      <c r="DF10" s="133">
        <f t="shared" si="347"/>
        <v>2.6870696038843063</v>
      </c>
      <c r="DG10" s="133">
        <f t="shared" si="348"/>
        <v>6.7395475157587699</v>
      </c>
      <c r="DH10" s="134">
        <f t="shared" si="349"/>
        <v>11.884938599024949</v>
      </c>
      <c r="DI10" s="133">
        <f t="shared" si="350"/>
        <v>17.650299657926016</v>
      </c>
      <c r="DJ10" s="133">
        <f t="shared" si="59"/>
        <v>23.321754300635735</v>
      </c>
      <c r="DK10" s="133">
        <f t="shared" si="60"/>
        <v>26.93856827104236</v>
      </c>
      <c r="DL10" s="133">
        <f t="shared" si="61"/>
        <v>30.203560661297796</v>
      </c>
      <c r="DM10" s="133">
        <f t="shared" si="62"/>
        <v>34.146025839082647</v>
      </c>
      <c r="DN10" s="81"/>
      <c r="DO10" s="81">
        <v>9</v>
      </c>
      <c r="DP10" s="133">
        <v>12.141629623079133</v>
      </c>
      <c r="DQ10" s="133">
        <v>13.277275451675314</v>
      </c>
      <c r="DR10" s="133">
        <v>14.338593950388585</v>
      </c>
      <c r="DS10" s="133">
        <v>15.667939956126331</v>
      </c>
      <c r="DT10" s="133">
        <v>18.165426706014813</v>
      </c>
      <c r="DU10" s="134">
        <v>21.421007964682289</v>
      </c>
      <c r="DV10" s="133">
        <v>25.260049744443791</v>
      </c>
      <c r="DW10" s="133">
        <v>29.286529276209226</v>
      </c>
      <c r="DX10" s="133">
        <v>32.001713962375398</v>
      </c>
      <c r="DY10" s="133">
        <v>34.559769727838521</v>
      </c>
      <c r="DZ10" s="133">
        <v>37.792256597151464</v>
      </c>
      <c r="EA10" s="81"/>
      <c r="EB10" s="81">
        <v>9</v>
      </c>
      <c r="EC10" s="133">
        <v>12.482970429166407</v>
      </c>
      <c r="ED10" s="133">
        <v>13.491372683056676</v>
      </c>
      <c r="EE10" s="133">
        <v>14.423571403506921</v>
      </c>
      <c r="EF10" s="133">
        <v>15.578556107119397</v>
      </c>
      <c r="EG10" s="133">
        <v>17.714750890630345</v>
      </c>
      <c r="EH10" s="134">
        <v>20.44268627010247</v>
      </c>
      <c r="EI10" s="133">
        <v>23.590702715377887</v>
      </c>
      <c r="EJ10" s="133">
        <v>26.825555530583113</v>
      </c>
      <c r="EK10" s="133">
        <v>28.973643922629869</v>
      </c>
      <c r="EL10" s="133">
        <v>30.975604318059183</v>
      </c>
      <c r="EM10" s="133">
        <v>33.477882873246777</v>
      </c>
      <c r="EN10" s="81"/>
      <c r="EO10" s="81">
        <v>11</v>
      </c>
      <c r="EP10" s="133">
        <v>13.41385648315592</v>
      </c>
      <c r="EQ10" s="133">
        <v>14.810847770744131</v>
      </c>
      <c r="ER10" s="133">
        <v>16.128160053125754</v>
      </c>
      <c r="ES10" s="133">
        <v>17.792998947935828</v>
      </c>
      <c r="ET10" s="133">
        <v>20.96142481595869</v>
      </c>
      <c r="EU10" s="134">
        <v>25.162168379441233</v>
      </c>
      <c r="EV10" s="133">
        <v>30.204755788992166</v>
      </c>
      <c r="EW10" s="133">
        <v>35.583361714794137</v>
      </c>
      <c r="EX10" s="133">
        <v>39.256475349315863</v>
      </c>
      <c r="EY10" s="133">
        <v>42.748040311776286</v>
      </c>
      <c r="EZ10" s="133">
        <v>47.200051554927065</v>
      </c>
      <c r="FA10" s="81"/>
      <c r="FB10" s="81">
        <v>9</v>
      </c>
      <c r="FC10" s="133">
        <v>5.8419585592720074</v>
      </c>
      <c r="FD10" s="133">
        <v>6.498665187941703</v>
      </c>
      <c r="FE10" s="133">
        <v>7.1222161838465157</v>
      </c>
      <c r="FF10" s="133">
        <v>7.9157425052588222</v>
      </c>
      <c r="FG10" s="133">
        <v>9.4410823616798751</v>
      </c>
      <c r="FH10" s="134">
        <v>11.490040643564747</v>
      </c>
      <c r="FI10" s="133">
        <v>13.983675698734078</v>
      </c>
      <c r="FJ10" s="133">
        <v>16.678288095281225</v>
      </c>
      <c r="FK10" s="133">
        <v>18.536510347748081</v>
      </c>
      <c r="FL10" s="133">
        <v>20.315100127905545</v>
      </c>
      <c r="FM10" s="133">
        <v>22.598762495710272</v>
      </c>
      <c r="FN10" s="81"/>
      <c r="FO10" s="81">
        <v>9</v>
      </c>
      <c r="FP10" s="133">
        <v>5.7123648569768433</v>
      </c>
      <c r="FQ10" s="133">
        <v>6.3099698900083441</v>
      </c>
      <c r="FR10" s="133">
        <v>6.8737127130143536</v>
      </c>
      <c r="FS10" s="133">
        <v>7.5864610738660296</v>
      </c>
      <c r="FT10" s="133">
        <v>8.9436961972655826</v>
      </c>
      <c r="FU10" s="134">
        <v>10.744483517996031</v>
      </c>
      <c r="FV10" s="133">
        <v>12.907854149136211</v>
      </c>
      <c r="FW10" s="133">
        <v>15.217098584499643</v>
      </c>
      <c r="FX10" s="133">
        <v>16.794988514709438</v>
      </c>
      <c r="FY10" s="133">
        <v>18.295479706058579</v>
      </c>
      <c r="FZ10" s="133">
        <v>20.209480479435761</v>
      </c>
      <c r="GA10" s="81"/>
      <c r="GB10" s="81">
        <v>11</v>
      </c>
      <c r="GC10" s="133">
        <v>6.6972771604283619</v>
      </c>
      <c r="GD10" s="133">
        <v>7.5076589531833013</v>
      </c>
      <c r="GE10" s="133">
        <v>8.2826364278513704</v>
      </c>
      <c r="GF10" s="133">
        <v>9.2759324425462353</v>
      </c>
      <c r="GG10" s="133">
        <v>11.205042152982436</v>
      </c>
      <c r="GH10" s="134">
        <v>13.831595124099621</v>
      </c>
      <c r="GI10" s="133">
        <v>17.073833463990567</v>
      </c>
      <c r="GJ10" s="133">
        <v>20.624667639828267</v>
      </c>
      <c r="GK10" s="133">
        <v>23.098083000927481</v>
      </c>
      <c r="GL10" s="133">
        <v>25.482380708822465</v>
      </c>
      <c r="GM10" s="133">
        <v>28.565791603700013</v>
      </c>
      <c r="GN10" s="81"/>
      <c r="GO10" s="81">
        <v>9</v>
      </c>
      <c r="GP10" s="133">
        <f t="shared" si="63"/>
        <v>0.32196115400586106</v>
      </c>
      <c r="GQ10" s="133">
        <f t="shared" si="64"/>
        <v>0.36935987965328287</v>
      </c>
      <c r="GR10" s="133">
        <f t="shared" si="65"/>
        <v>0.40548401662500599</v>
      </c>
      <c r="GS10" s="133">
        <f t="shared" si="351"/>
        <v>0.44329755547150274</v>
      </c>
      <c r="GT10" s="133">
        <f t="shared" si="352"/>
        <v>0.50127099981762213</v>
      </c>
      <c r="GU10" s="134">
        <f t="shared" si="353"/>
        <v>0.55553278204937773</v>
      </c>
      <c r="GV10" s="133">
        <f t="shared" si="354"/>
        <v>0.60468250264344459</v>
      </c>
      <c r="GW10" s="133">
        <f t="shared" si="66"/>
        <v>0.64767536517407898</v>
      </c>
      <c r="GX10" s="133">
        <f t="shared" si="67"/>
        <v>0.67137285587822848</v>
      </c>
      <c r="GY10" s="133">
        <f t="shared" si="68"/>
        <v>0.69123114098416494</v>
      </c>
      <c r="GZ10" s="133">
        <f t="shared" si="69"/>
        <v>0.71358593849073271</v>
      </c>
      <c r="HA10" s="81"/>
      <c r="HB10" s="81">
        <v>9</v>
      </c>
      <c r="HC10" s="133">
        <f t="shared" si="70"/>
        <v>0.3226696971648863</v>
      </c>
      <c r="HD10" s="133">
        <f t="shared" si="71"/>
        <v>0.36903700019245389</v>
      </c>
      <c r="HE10" s="133">
        <f t="shared" si="72"/>
        <v>0.40453647611461968</v>
      </c>
      <c r="HF10" s="133">
        <f t="shared" si="355"/>
        <v>0.44181156810060002</v>
      </c>
      <c r="HG10" s="133">
        <f t="shared" si="356"/>
        <v>0.49759911722652672</v>
      </c>
      <c r="HH10" s="134">
        <f t="shared" si="357"/>
        <v>0.55295328119441245</v>
      </c>
      <c r="HI10" s="133">
        <f t="shared" si="358"/>
        <v>0.60306553400500351</v>
      </c>
      <c r="HJ10" s="133">
        <f t="shared" si="73"/>
        <v>0.6445966305744435</v>
      </c>
      <c r="HK10" s="133">
        <f t="shared" si="74"/>
        <v>0.66820934845830871</v>
      </c>
      <c r="HL10" s="133">
        <f t="shared" si="75"/>
        <v>0.68800850278747694</v>
      </c>
      <c r="HM10" s="133">
        <f t="shared" si="76"/>
        <v>0.71030894412693935</v>
      </c>
      <c r="HN10" s="81"/>
      <c r="HO10" s="81">
        <v>11</v>
      </c>
      <c r="HP10" s="83">
        <f t="shared" si="77"/>
        <v>0.34284219776856101</v>
      </c>
      <c r="HQ10" s="83">
        <f t="shared" si="78"/>
        <v>0.38766324621416565</v>
      </c>
      <c r="HR10" s="83">
        <f t="shared" si="79"/>
        <v>0.42215191720903783</v>
      </c>
      <c r="HS10" s="83">
        <f t="shared" si="359"/>
        <v>0.45847352117333118</v>
      </c>
      <c r="HT10" s="83">
        <f t="shared" si="360"/>
        <v>0.51296919493493964</v>
      </c>
      <c r="HU10" s="84">
        <f t="shared" si="361"/>
        <v>0.56713782877243213</v>
      </c>
      <c r="HV10" s="83">
        <f t="shared" si="362"/>
        <v>0.61622084874871352</v>
      </c>
      <c r="HW10" s="83">
        <f t="shared" si="80"/>
        <v>0.65691401930640425</v>
      </c>
      <c r="HX10" s="83">
        <f t="shared" si="81"/>
        <v>0.68005267244937184</v>
      </c>
      <c r="HY10" s="83">
        <f t="shared" si="82"/>
        <v>0.69945444824060743</v>
      </c>
      <c r="HZ10" s="83">
        <f t="shared" si="83"/>
        <v>0.72130662386690492</v>
      </c>
      <c r="IA10" s="81"/>
      <c r="IB10" s="81">
        <v>9</v>
      </c>
      <c r="IC10" s="83">
        <f t="shared" si="84"/>
        <v>0.24180383407951336</v>
      </c>
      <c r="ID10" s="83">
        <f t="shared" si="85"/>
        <v>0.26984160686835146</v>
      </c>
      <c r="IE10" s="83">
        <f t="shared" si="86"/>
        <v>0.28901824119009739</v>
      </c>
      <c r="IF10" s="83">
        <f t="shared" si="363"/>
        <v>0.3076572636271071</v>
      </c>
      <c r="IG10" s="83">
        <f t="shared" si="364"/>
        <v>0.33342641323450906</v>
      </c>
      <c r="IH10" s="84">
        <f t="shared" si="365"/>
        <v>0.35709361316520105</v>
      </c>
      <c r="II10" s="83">
        <f t="shared" si="366"/>
        <v>0.37725498133038243</v>
      </c>
      <c r="IJ10" s="83">
        <f t="shared" si="87"/>
        <v>0.39321647511953911</v>
      </c>
      <c r="IK10" s="83">
        <f t="shared" si="88"/>
        <v>0.40202802798725085</v>
      </c>
      <c r="IL10" s="83">
        <f t="shared" si="89"/>
        <v>0.4092822137997999</v>
      </c>
      <c r="IM10" s="83">
        <f t="shared" si="90"/>
        <v>0.41731559811422581</v>
      </c>
      <c r="IN10" s="81"/>
      <c r="IO10" s="81">
        <v>9</v>
      </c>
      <c r="IP10" s="133">
        <f t="shared" si="91"/>
        <v>0.24237907645170467</v>
      </c>
      <c r="IQ10" s="133">
        <f t="shared" si="92"/>
        <v>0.26969574868338619</v>
      </c>
      <c r="IR10" s="133">
        <f t="shared" si="93"/>
        <v>0.2885375182526827</v>
      </c>
      <c r="IS10" s="133">
        <f t="shared" si="367"/>
        <v>0.30694066795135361</v>
      </c>
      <c r="IT10" s="133">
        <f t="shared" si="368"/>
        <v>0.3324944524197746</v>
      </c>
      <c r="IU10" s="134">
        <f t="shared" si="369"/>
        <v>0.35605068467269319</v>
      </c>
      <c r="IV10" s="133">
        <f t="shared" si="370"/>
        <v>0.37616871461233409</v>
      </c>
      <c r="IW10" s="133">
        <f t="shared" si="94"/>
        <v>0.39212344894013224</v>
      </c>
      <c r="IX10" s="133">
        <f t="shared" si="95"/>
        <v>0.40094039569591527</v>
      </c>
      <c r="IY10" s="133">
        <f t="shared" si="96"/>
        <v>0.40820347775704557</v>
      </c>
      <c r="IZ10" s="133">
        <f t="shared" si="97"/>
        <v>0.41625111915817425</v>
      </c>
      <c r="JA10" s="81"/>
      <c r="JB10" s="81">
        <v>11</v>
      </c>
      <c r="JC10" s="133">
        <f t="shared" si="98"/>
        <v>0.25471355638939025</v>
      </c>
      <c r="JD10" s="133">
        <f t="shared" si="99"/>
        <v>0.27982816672239058</v>
      </c>
      <c r="JE10" s="133">
        <f t="shared" si="100"/>
        <v>0.29746068696526384</v>
      </c>
      <c r="JF10" s="133">
        <f t="shared" si="371"/>
        <v>0.31485349972820603</v>
      </c>
      <c r="JG10" s="133">
        <f t="shared" si="372"/>
        <v>0.33920504970883048</v>
      </c>
      <c r="JH10" s="134">
        <f t="shared" si="373"/>
        <v>0.36179825352076805</v>
      </c>
      <c r="JI10" s="133">
        <f t="shared" si="374"/>
        <v>0.38117039850448642</v>
      </c>
      <c r="JJ10" s="133">
        <f t="shared" si="101"/>
        <v>0.39657012680656384</v>
      </c>
      <c r="JK10" s="133">
        <f t="shared" si="102"/>
        <v>0.40509121970197748</v>
      </c>
      <c r="JL10" s="133">
        <f t="shared" si="103"/>
        <v>0.41211544665848299</v>
      </c>
      <c r="JM10" s="133">
        <f t="shared" si="104"/>
        <v>0.41990290687598308</v>
      </c>
      <c r="JN10" s="81"/>
      <c r="JO10" s="81">
        <v>8</v>
      </c>
      <c r="JP10" s="133">
        <f t="shared" si="105"/>
        <v>-6.0067921914431306</v>
      </c>
      <c r="JQ10" s="133">
        <f t="shared" si="106"/>
        <v>-4.9593281535804472</v>
      </c>
      <c r="JR10" s="133">
        <f t="shared" si="107"/>
        <v>-4.048687767798036</v>
      </c>
      <c r="JS10" s="133">
        <f t="shared" si="375"/>
        <v>-2.9880043202630482</v>
      </c>
      <c r="JT10" s="133">
        <f t="shared" si="376"/>
        <v>-1.1940696894740661</v>
      </c>
      <c r="JU10" s="134">
        <f t="shared" si="377"/>
        <v>0.83964021119448873</v>
      </c>
      <c r="JV10" s="133">
        <f t="shared" si="378"/>
        <v>2.9072727940517034</v>
      </c>
      <c r="JW10" s="133">
        <f t="shared" si="108"/>
        <v>4.7896081935523895</v>
      </c>
      <c r="JX10" s="133">
        <f t="shared" si="109"/>
        <v>5.929811056949962</v>
      </c>
      <c r="JY10" s="133">
        <f t="shared" si="110"/>
        <v>6.9257080725135793</v>
      </c>
      <c r="JZ10" s="133">
        <f t="shared" si="111"/>
        <v>8.0915553324872747</v>
      </c>
      <c r="KA10" s="81"/>
      <c r="KB10" s="81">
        <v>8</v>
      </c>
      <c r="KC10" s="133">
        <f t="shared" si="112"/>
        <v>-4.9922521473190606</v>
      </c>
      <c r="KD10" s="133">
        <f t="shared" si="113"/>
        <v>-4.115549577459352</v>
      </c>
      <c r="KE10" s="133">
        <f t="shared" si="114"/>
        <v>-3.3357555204496965</v>
      </c>
      <c r="KF10" s="133">
        <f t="shared" si="379"/>
        <v>-2.4082140377321082</v>
      </c>
      <c r="KG10" s="133">
        <f t="shared" si="380"/>
        <v>-0.79586492658985009</v>
      </c>
      <c r="KH10" s="134">
        <f t="shared" si="381"/>
        <v>1.0923771549652255</v>
      </c>
      <c r="KI10" s="133">
        <f t="shared" si="382"/>
        <v>3.0715751312958872</v>
      </c>
      <c r="KJ10" s="133">
        <f t="shared" si="115"/>
        <v>4.9209460521327149</v>
      </c>
      <c r="KK10" s="133">
        <f t="shared" si="116"/>
        <v>6.0616950929280389</v>
      </c>
      <c r="KL10" s="133">
        <f t="shared" si="117"/>
        <v>7.0700837862896062</v>
      </c>
      <c r="KM10" s="133">
        <f t="shared" si="118"/>
        <v>8.2642216188919431</v>
      </c>
      <c r="KN10" s="81"/>
      <c r="KO10" s="81">
        <v>10</v>
      </c>
      <c r="KP10" s="133">
        <f t="shared" si="119"/>
        <v>-8.5773829925706213</v>
      </c>
      <c r="KQ10" s="133">
        <f t="shared" si="120"/>
        <v>-7.2305635355519602</v>
      </c>
      <c r="KR10" s="133">
        <f t="shared" si="121"/>
        <v>-6.0785527067389893</v>
      </c>
      <c r="KS10" s="133">
        <f t="shared" si="383"/>
        <v>-4.756928211644798</v>
      </c>
      <c r="KT10" s="133">
        <f t="shared" si="384"/>
        <v>-2.5662600844213053</v>
      </c>
      <c r="KU10" s="134">
        <f t="shared" si="385"/>
        <v>-0.1427977692327751</v>
      </c>
      <c r="KV10" s="133">
        <f t="shared" si="386"/>
        <v>2.2638460635906128</v>
      </c>
      <c r="KW10" s="133">
        <f t="shared" si="122"/>
        <v>4.4103568446548316</v>
      </c>
      <c r="KX10" s="133">
        <f t="shared" si="123"/>
        <v>5.6918377550897468</v>
      </c>
      <c r="KY10" s="133">
        <f t="shared" si="124"/>
        <v>6.8003413657455347</v>
      </c>
      <c r="KZ10" s="133">
        <f t="shared" si="125"/>
        <v>8.0858987836933984</v>
      </c>
      <c r="LA10" s="81"/>
      <c r="LB10" s="81">
        <v>8</v>
      </c>
      <c r="LC10" s="133">
        <f t="shared" si="126"/>
        <v>-18.178870468922494</v>
      </c>
      <c r="LD10" s="133">
        <f t="shared" si="127"/>
        <v>-14.78914445113962</v>
      </c>
      <c r="LE10" s="133">
        <f t="shared" si="128"/>
        <v>-11.781271101789091</v>
      </c>
      <c r="LF10" s="133">
        <f t="shared" si="387"/>
        <v>-8.2160222616809548</v>
      </c>
      <c r="LG10" s="133">
        <f t="shared" si="388"/>
        <v>-2.0571841831836082</v>
      </c>
      <c r="LH10" s="134">
        <f t="shared" si="389"/>
        <v>5.0878873048853208</v>
      </c>
      <c r="LI10" s="133">
        <f t="shared" si="390"/>
        <v>12.498113144960158</v>
      </c>
      <c r="LJ10" s="133">
        <f t="shared" si="129"/>
        <v>19.351641681133536</v>
      </c>
      <c r="LK10" s="133">
        <f t="shared" si="130"/>
        <v>23.546595827637979</v>
      </c>
      <c r="LL10" s="133">
        <f t="shared" si="131"/>
        <v>27.234989711925067</v>
      </c>
      <c r="LM10" s="133">
        <f t="shared" si="132"/>
        <v>31.579593015659476</v>
      </c>
      <c r="LN10" s="81"/>
      <c r="LO10" s="81">
        <v>8</v>
      </c>
      <c r="LP10" s="133">
        <f t="shared" si="133"/>
        <v>-16.413197235824487</v>
      </c>
      <c r="LQ10" s="133">
        <f t="shared" si="134"/>
        <v>-13.176821622832598</v>
      </c>
      <c r="LR10" s="133">
        <f t="shared" si="135"/>
        <v>-10.280088642947113</v>
      </c>
      <c r="LS10" s="133">
        <f t="shared" si="391"/>
        <v>-6.8215994565836553</v>
      </c>
      <c r="LT10" s="133">
        <f t="shared" si="392"/>
        <v>-0.79519257000420751</v>
      </c>
      <c r="LU10" s="134">
        <f t="shared" si="393"/>
        <v>6.2621481484862151</v>
      </c>
      <c r="LV10" s="133">
        <f t="shared" si="394"/>
        <v>13.640890274599197</v>
      </c>
      <c r="LW10" s="133">
        <f t="shared" si="136"/>
        <v>20.509651255031461</v>
      </c>
      <c r="LX10" s="133">
        <f t="shared" si="137"/>
        <v>24.732115982121822</v>
      </c>
      <c r="LY10" s="133">
        <f t="shared" si="138"/>
        <v>28.454993516878734</v>
      </c>
      <c r="LZ10" s="133">
        <f t="shared" si="139"/>
        <v>32.85165211208971</v>
      </c>
      <c r="MA10" s="81"/>
      <c r="MB10" s="81">
        <v>10</v>
      </c>
      <c r="MC10" s="133">
        <f t="shared" si="140"/>
        <v>-22.609720822234454</v>
      </c>
      <c r="MD10" s="133">
        <f t="shared" si="141"/>
        <v>-19.027582575347939</v>
      </c>
      <c r="ME10" s="133">
        <f t="shared" si="142"/>
        <v>-15.869350056715611</v>
      </c>
      <c r="MF10" s="133">
        <f t="shared" si="395"/>
        <v>-12.151151211573126</v>
      </c>
      <c r="MG10" s="133">
        <f t="shared" si="396"/>
        <v>-5.7900899172784186</v>
      </c>
      <c r="MH10" s="134">
        <f t="shared" si="397"/>
        <v>1.4993569324441296</v>
      </c>
      <c r="MI10" s="133">
        <f t="shared" si="398"/>
        <v>8.9683416835428389</v>
      </c>
      <c r="MJ10" s="133">
        <f t="shared" si="143"/>
        <v>15.803084398628314</v>
      </c>
      <c r="MK10" s="133">
        <f t="shared" si="144"/>
        <v>19.955105443793386</v>
      </c>
      <c r="ML10" s="133">
        <f t="shared" si="145"/>
        <v>23.587430531601932</v>
      </c>
      <c r="MM10" s="133">
        <f t="shared" si="146"/>
        <v>27.845233866710515</v>
      </c>
      <c r="MN10" s="81"/>
      <c r="MO10" s="81">
        <v>8</v>
      </c>
      <c r="MP10" s="133">
        <f t="shared" si="147"/>
        <v>-16.583265656192768</v>
      </c>
      <c r="MQ10" s="133">
        <f t="shared" si="148"/>
        <v>-12.518780998111488</v>
      </c>
      <c r="MR10" s="133">
        <f t="shared" si="149"/>
        <v>-9.0055443742551162</v>
      </c>
      <c r="MS10" s="133">
        <f t="shared" si="399"/>
        <v>-4.9374777436845747</v>
      </c>
      <c r="MT10" s="133">
        <f t="shared" si="400"/>
        <v>1.884885547808075</v>
      </c>
      <c r="MU10" s="134">
        <f t="shared" si="401"/>
        <v>9.5343848154597381</v>
      </c>
      <c r="MV10" s="133">
        <f t="shared" si="402"/>
        <v>17.224511726047012</v>
      </c>
      <c r="MW10" s="133">
        <f t="shared" si="150"/>
        <v>24.15408135493918</v>
      </c>
      <c r="MX10" s="133">
        <f t="shared" si="151"/>
        <v>28.32034028410866</v>
      </c>
      <c r="MY10" s="133">
        <f t="shared" si="152"/>
        <v>31.940867604169178</v>
      </c>
      <c r="MZ10" s="133">
        <f t="shared" si="153"/>
        <v>36.158165337628922</v>
      </c>
      <c r="NA10" s="81"/>
      <c r="NB10" s="81">
        <v>8</v>
      </c>
      <c r="NC10" s="133">
        <f t="shared" si="154"/>
        <v>-14.935791740313212</v>
      </c>
      <c r="ND10" s="133">
        <f t="shared" si="155"/>
        <v>-10.868868685052121</v>
      </c>
      <c r="NE10" s="133">
        <f t="shared" si="156"/>
        <v>-7.3361205924030415</v>
      </c>
      <c r="NF10" s="133">
        <f t="shared" si="403"/>
        <v>-3.2299439973993493</v>
      </c>
      <c r="NG10" s="133">
        <f t="shared" si="404"/>
        <v>3.6852912023228903</v>
      </c>
      <c r="NH10" s="134">
        <f t="shared" si="405"/>
        <v>11.472020388149861</v>
      </c>
      <c r="NI10" s="133">
        <f t="shared" si="406"/>
        <v>19.327355307276942</v>
      </c>
      <c r="NJ10" s="133">
        <f t="shared" si="157"/>
        <v>26.424725380390914</v>
      </c>
      <c r="NK10" s="133">
        <f t="shared" si="158"/>
        <v>30.699283927011631</v>
      </c>
      <c r="NL10" s="133">
        <f t="shared" si="159"/>
        <v>34.417990537943894</v>
      </c>
      <c r="NM10" s="133">
        <f t="shared" si="160"/>
        <v>38.754057153059748</v>
      </c>
      <c r="NN10" s="81"/>
      <c r="NO10" s="81">
        <v>10</v>
      </c>
      <c r="NP10" s="133">
        <f t="shared" si="161"/>
        <v>-21.74897441325875</v>
      </c>
      <c r="NQ10" s="133">
        <f t="shared" si="162"/>
        <v>-17.791589480764507</v>
      </c>
      <c r="NR10" s="133">
        <f t="shared" si="163"/>
        <v>-14.384708759466388</v>
      </c>
      <c r="NS10" s="133">
        <f t="shared" si="407"/>
        <v>-10.453612979102054</v>
      </c>
      <c r="NT10" s="133">
        <f t="shared" si="408"/>
        <v>-3.8895341367935288</v>
      </c>
      <c r="NU10" s="134">
        <f t="shared" si="409"/>
        <v>3.4344012030475</v>
      </c>
      <c r="NV10" s="133">
        <f t="shared" si="410"/>
        <v>10.765011933441023</v>
      </c>
      <c r="NW10" s="133">
        <f t="shared" si="164"/>
        <v>17.346797713599777</v>
      </c>
      <c r="NX10" s="133">
        <f t="shared" si="165"/>
        <v>21.29424017594895</v>
      </c>
      <c r="NY10" s="133">
        <f t="shared" si="166"/>
        <v>24.719141148498196</v>
      </c>
      <c r="NZ10" s="133">
        <f t="shared" si="167"/>
        <v>28.702526661583953</v>
      </c>
      <c r="OA10" s="81"/>
      <c r="OB10" s="81">
        <v>8</v>
      </c>
      <c r="OC10" s="133">
        <v>13.086983308008685</v>
      </c>
      <c r="OD10" s="133">
        <v>14.489570109330971</v>
      </c>
      <c r="OE10" s="133">
        <v>15.815524675209593</v>
      </c>
      <c r="OF10" s="133">
        <v>17.495550584687553</v>
      </c>
      <c r="OG10" s="133">
        <v>20.704615931231999</v>
      </c>
      <c r="OH10" s="134">
        <v>24.979737283258167</v>
      </c>
      <c r="OI10" s="133">
        <v>30.137592352019468</v>
      </c>
      <c r="OJ10" s="133">
        <v>35.665483730859194</v>
      </c>
      <c r="OK10" s="133">
        <v>39.454098903129093</v>
      </c>
      <c r="OL10" s="133">
        <v>43.064581628875487</v>
      </c>
      <c r="OM10" s="133">
        <v>47.679993169911349</v>
      </c>
      <c r="ON10" s="81"/>
      <c r="OO10" s="81">
        <v>8</v>
      </c>
      <c r="OP10" s="133">
        <v>12.839788105095888</v>
      </c>
      <c r="OQ10" s="133">
        <v>14.260130737732167</v>
      </c>
      <c r="OR10" s="133">
        <v>15.606748221543889</v>
      </c>
      <c r="OS10" s="133">
        <v>17.317882120192248</v>
      </c>
      <c r="OT10" s="133">
        <v>25.060552859085785</v>
      </c>
      <c r="OU10" s="134">
        <v>24.996318991381113</v>
      </c>
      <c r="OV10" s="133">
        <v>30.330891603759024</v>
      </c>
      <c r="OW10" s="133">
        <v>36.079236409073324</v>
      </c>
      <c r="OX10" s="133">
        <v>40.03498706132585</v>
      </c>
      <c r="OY10" s="133">
        <v>43.815584485885729</v>
      </c>
      <c r="OZ10" s="133">
        <v>48.662482433872995</v>
      </c>
      <c r="PA10" s="81"/>
      <c r="PB10" s="81">
        <v>10</v>
      </c>
      <c r="PC10" s="133">
        <v>15.20983110308234</v>
      </c>
      <c r="PD10" s="133">
        <v>16.79950561372436</v>
      </c>
      <c r="PE10" s="133">
        <v>18.298978378371341</v>
      </c>
      <c r="PF10" s="133">
        <v>20.194624978370726</v>
      </c>
      <c r="PG10" s="133">
        <v>23.803931466357763</v>
      </c>
      <c r="PH10" s="134">
        <v>28.592020925063807</v>
      </c>
      <c r="PI10" s="133">
        <v>34.343220225392976</v>
      </c>
      <c r="PJ10" s="133">
        <v>40.481249909560901</v>
      </c>
      <c r="PK10" s="133">
        <v>44.674825210217371</v>
      </c>
      <c r="PL10" s="133">
        <v>48.662364201445712</v>
      </c>
      <c r="PM10" s="133">
        <v>53.748372025881061</v>
      </c>
      <c r="PN10" s="81"/>
      <c r="PO10" s="81">
        <v>8</v>
      </c>
      <c r="PP10" s="133">
        <v>6.4981466159635506</v>
      </c>
      <c r="PQ10" s="133">
        <v>7.0788179420090893</v>
      </c>
      <c r="PR10" s="133">
        <v>7.6195620753585018</v>
      </c>
      <c r="PS10" s="133">
        <v>8.2944685796855957</v>
      </c>
      <c r="PT10" s="133">
        <v>9.5559783160453105</v>
      </c>
      <c r="PU10" s="134">
        <v>11.189419185679327</v>
      </c>
      <c r="PV10" s="133">
        <v>13.10207051251067</v>
      </c>
      <c r="PW10" s="133">
        <v>15.094770751135261</v>
      </c>
      <c r="PX10" s="133">
        <v>16.431797585553209</v>
      </c>
      <c r="PY10" s="133">
        <v>17.687006889926291</v>
      </c>
      <c r="PZ10" s="133">
        <v>19.267509508829907</v>
      </c>
      <c r="QA10" s="81"/>
      <c r="QB10" s="81">
        <v>8</v>
      </c>
      <c r="QC10" s="133">
        <v>6.678832864283776</v>
      </c>
      <c r="QD10" s="133">
        <v>7.2318047785629611</v>
      </c>
      <c r="QE10" s="133">
        <v>7.7438729463642195</v>
      </c>
      <c r="QF10" s="133">
        <v>8.3794157246835557</v>
      </c>
      <c r="QG10" s="133">
        <v>9.5578013920133067</v>
      </c>
      <c r="QH10" s="134">
        <v>11.067524056637398</v>
      </c>
      <c r="QI10" s="133">
        <v>12.815718146916378</v>
      </c>
      <c r="QJ10" s="133">
        <v>14.617974900496213</v>
      </c>
      <c r="QK10" s="133">
        <v>15.817678000742143</v>
      </c>
      <c r="QL10" s="133">
        <v>16.937692940404236</v>
      </c>
      <c r="QM10" s="133">
        <v>18.340044021656038</v>
      </c>
      <c r="QN10" s="81"/>
      <c r="QO10" s="81">
        <v>10</v>
      </c>
      <c r="QP10" s="133">
        <v>6.8458169857808526</v>
      </c>
      <c r="QQ10" s="133">
        <v>7.4995749684590667</v>
      </c>
      <c r="QR10" s="133">
        <v>8.1115633092211858</v>
      </c>
      <c r="QS10" s="133">
        <v>8.8793815855965192</v>
      </c>
      <c r="QT10" s="133">
        <v>10.325370280990937</v>
      </c>
      <c r="QU10" s="134">
        <v>12.216220838041252</v>
      </c>
      <c r="QV10" s="133">
        <v>14.453336539275275</v>
      </c>
      <c r="QW10" s="133">
        <v>16.807032125511203</v>
      </c>
      <c r="QX10" s="133">
        <v>18.397939567844148</v>
      </c>
      <c r="QY10" s="133">
        <v>19.899267917373294</v>
      </c>
      <c r="QZ10" s="133">
        <v>21.799597020160626</v>
      </c>
      <c r="RA10" s="81"/>
      <c r="RB10" s="81">
        <v>8</v>
      </c>
      <c r="RC10" s="133">
        <f t="shared" si="168"/>
        <v>0.29132787882953426</v>
      </c>
      <c r="RD10" s="133">
        <f t="shared" si="169"/>
        <v>0.31209214432195742</v>
      </c>
      <c r="RE10" s="133">
        <f t="shared" si="170"/>
        <v>0.33132574069357668</v>
      </c>
      <c r="RF10" s="133">
        <f t="shared" si="411"/>
        <v>0.35522176478857886</v>
      </c>
      <c r="RG10" s="133">
        <f t="shared" si="412"/>
        <v>0.39965551027446999</v>
      </c>
      <c r="RH10" s="134">
        <f t="shared" si="413"/>
        <v>0.45693478639844304</v>
      </c>
      <c r="RI10" s="133">
        <f t="shared" si="414"/>
        <v>0.52389922840099645</v>
      </c>
      <c r="RJ10" s="133">
        <f t="shared" si="171"/>
        <v>0.59377373077924323</v>
      </c>
      <c r="RK10" s="133">
        <f t="shared" si="172"/>
        <v>0.64080393396523827</v>
      </c>
      <c r="RL10" s="133">
        <f t="shared" si="173"/>
        <v>0.68510350961206912</v>
      </c>
      <c r="RM10" s="133">
        <f t="shared" si="174"/>
        <v>0.74112451013398384</v>
      </c>
      <c r="RN10" s="81"/>
      <c r="RO10" s="81">
        <v>8</v>
      </c>
      <c r="RP10" s="133">
        <f t="shared" si="175"/>
        <v>0.30291411609317626</v>
      </c>
      <c r="RQ10" s="133">
        <f t="shared" si="176"/>
        <v>0.32322639861727653</v>
      </c>
      <c r="RR10" s="133">
        <f t="shared" si="177"/>
        <v>0.34203305850441068</v>
      </c>
      <c r="RS10" s="133">
        <f t="shared" si="415"/>
        <v>0.36539395683113557</v>
      </c>
      <c r="RT10" s="133">
        <f t="shared" si="416"/>
        <v>0.40883959468036507</v>
      </c>
      <c r="RU10" s="134">
        <f t="shared" si="417"/>
        <v>0.46490222227378902</v>
      </c>
      <c r="RV10" s="133">
        <f t="shared" si="418"/>
        <v>0.53058640429787141</v>
      </c>
      <c r="RW10" s="133">
        <f t="shared" si="178"/>
        <v>0.5993432465420121</v>
      </c>
      <c r="RX10" s="133">
        <f t="shared" si="179"/>
        <v>0.64576757442144006</v>
      </c>
      <c r="RY10" s="133">
        <f t="shared" si="180"/>
        <v>0.68961394724501601</v>
      </c>
      <c r="RZ10" s="133">
        <f t="shared" si="181"/>
        <v>0.74523432548413471</v>
      </c>
      <c r="SA10" s="81"/>
      <c r="SB10" s="81">
        <v>10</v>
      </c>
      <c r="SC10" s="133">
        <f t="shared" si="182"/>
        <v>0.25764212778802548</v>
      </c>
      <c r="SD10" s="133">
        <f t="shared" si="183"/>
        <v>0.27880436605467562</v>
      </c>
      <c r="SE10" s="133">
        <f t="shared" si="184"/>
        <v>0.2984095393719331</v>
      </c>
      <c r="SF10" s="133">
        <f t="shared" si="419"/>
        <v>0.32275418078956541</v>
      </c>
      <c r="SG10" s="133">
        <f t="shared" si="420"/>
        <v>0.3679306737919768</v>
      </c>
      <c r="SH10" s="134">
        <f t="shared" si="421"/>
        <v>0.42588667572256028</v>
      </c>
      <c r="SI10" s="133">
        <f t="shared" si="422"/>
        <v>0.49310924714976861</v>
      </c>
      <c r="SJ10" s="133">
        <f t="shared" si="185"/>
        <v>0.56253802278972309</v>
      </c>
      <c r="SK10" s="133">
        <f t="shared" si="186"/>
        <v>0.60882583595247242</v>
      </c>
      <c r="SL10" s="133">
        <f t="shared" si="187"/>
        <v>0.65208997204131269</v>
      </c>
      <c r="SM10" s="133">
        <f t="shared" si="188"/>
        <v>0.70632861040613226</v>
      </c>
      <c r="SN10" s="81"/>
      <c r="SO10" s="81">
        <v>8</v>
      </c>
      <c r="SP10" s="133">
        <f t="shared" si="189"/>
        <v>0.22509162256666046</v>
      </c>
      <c r="SQ10" s="133">
        <f t="shared" si="190"/>
        <v>0.23762631904586626</v>
      </c>
      <c r="SR10" s="133">
        <f t="shared" si="191"/>
        <v>0.24881763198683685</v>
      </c>
      <c r="SS10" s="133">
        <f t="shared" si="423"/>
        <v>0.26220399035581682</v>
      </c>
      <c r="ST10" s="133">
        <f t="shared" si="424"/>
        <v>0.28572288257180656</v>
      </c>
      <c r="SU10" s="134">
        <f t="shared" si="425"/>
        <v>0.31375597766997676</v>
      </c>
      <c r="SV10" s="133">
        <f t="shared" si="426"/>
        <v>0.34379434871292658</v>
      </c>
      <c r="SW10" s="133">
        <f t="shared" si="192"/>
        <v>0.37252720863275401</v>
      </c>
      <c r="SX10" s="133">
        <f t="shared" si="193"/>
        <v>0.39058919600561687</v>
      </c>
      <c r="SY10" s="133">
        <f t="shared" si="194"/>
        <v>0.40677809956232486</v>
      </c>
      <c r="SZ10" s="133">
        <f t="shared" si="195"/>
        <v>0.4262255920384741</v>
      </c>
      <c r="TA10" s="81"/>
      <c r="TB10" s="81">
        <v>8</v>
      </c>
      <c r="TC10" s="133">
        <f t="shared" si="196"/>
        <v>0.23196129338229879</v>
      </c>
      <c r="TD10" s="133">
        <f t="shared" si="197"/>
        <v>0.24399672652954735</v>
      </c>
      <c r="TE10" s="133">
        <f t="shared" si="198"/>
        <v>0.25475612645908757</v>
      </c>
      <c r="TF10" s="133">
        <f t="shared" si="427"/>
        <v>0.26764442731325683</v>
      </c>
      <c r="TG10" s="133">
        <f t="shared" si="428"/>
        <v>0.29034114482488782</v>
      </c>
      <c r="TH10" s="134">
        <f t="shared" si="429"/>
        <v>0.3174889572374382</v>
      </c>
      <c r="TI10" s="133">
        <f t="shared" si="430"/>
        <v>0.3467002236241814</v>
      </c>
      <c r="TJ10" s="133">
        <f t="shared" si="199"/>
        <v>0.37476448421707237</v>
      </c>
      <c r="TK10" s="133">
        <f t="shared" si="200"/>
        <v>0.39246896221597005</v>
      </c>
      <c r="TL10" s="133">
        <f t="shared" si="201"/>
        <v>0.40837913361427752</v>
      </c>
      <c r="TM10" s="133">
        <f t="shared" si="202"/>
        <v>0.42754427225017805</v>
      </c>
      <c r="TN10" s="81"/>
      <c r="TO10" s="81">
        <v>10</v>
      </c>
      <c r="TP10" s="133">
        <f t="shared" si="203"/>
        <v>0.2039276224015196</v>
      </c>
      <c r="TQ10" s="133">
        <f t="shared" si="204"/>
        <v>0.21753511417156426</v>
      </c>
      <c r="TR10" s="133">
        <f t="shared" si="205"/>
        <v>0.2296355379294483</v>
      </c>
      <c r="TS10" s="133">
        <f t="shared" si="431"/>
        <v>0.24404594497893148</v>
      </c>
      <c r="TT10" s="133">
        <f t="shared" si="432"/>
        <v>0.26918991936309539</v>
      </c>
      <c r="TU10" s="134">
        <f t="shared" si="433"/>
        <v>0.29886146733931834</v>
      </c>
      <c r="TV10" s="133">
        <f t="shared" si="434"/>
        <v>0.33029073830123684</v>
      </c>
      <c r="TW10" s="133">
        <f t="shared" si="206"/>
        <v>0.36000305429436158</v>
      </c>
      <c r="TX10" s="133">
        <f t="shared" si="207"/>
        <v>0.37850772115130349</v>
      </c>
      <c r="TY10" s="133">
        <f t="shared" si="208"/>
        <v>0.39498182213459493</v>
      </c>
      <c r="TZ10" s="133">
        <f t="shared" si="209"/>
        <v>0.41463482240615879</v>
      </c>
      <c r="UA10" s="81"/>
      <c r="UB10" s="81">
        <v>8</v>
      </c>
      <c r="UC10" s="133">
        <f t="shared" si="210"/>
        <v>-23.156136250360987</v>
      </c>
      <c r="UD10" s="133">
        <f t="shared" si="211"/>
        <v>-20.601566621161751</v>
      </c>
      <c r="UE10" s="133">
        <f t="shared" si="212"/>
        <v>-18.454078925291917</v>
      </c>
      <c r="UF10" s="133">
        <f t="shared" si="435"/>
        <v>-16.029728915501742</v>
      </c>
      <c r="UG10" s="133">
        <f t="shared" si="436"/>
        <v>-12.095548241738356</v>
      </c>
      <c r="UH10" s="134">
        <f t="shared" si="437"/>
        <v>-7.8531002655068889</v>
      </c>
      <c r="UI10" s="133">
        <f t="shared" si="438"/>
        <v>-3.7413444916245595</v>
      </c>
      <c r="UJ10" s="133">
        <f t="shared" si="213"/>
        <v>-0.1503282494860656</v>
      </c>
      <c r="UK10" s="133">
        <f t="shared" si="214"/>
        <v>1.9620411179016912</v>
      </c>
      <c r="UL10" s="133">
        <f t="shared" si="215"/>
        <v>3.7714381288666914</v>
      </c>
      <c r="UM10" s="133">
        <f t="shared" si="216"/>
        <v>5.8500894119311511</v>
      </c>
      <c r="UN10" s="81"/>
      <c r="UO10" s="81">
        <v>8</v>
      </c>
      <c r="UP10" s="133">
        <f t="shared" si="217"/>
        <v>-21.118342725666423</v>
      </c>
      <c r="UQ10" s="133">
        <f t="shared" si="218"/>
        <v>-18.875223569072929</v>
      </c>
      <c r="UR10" s="133">
        <f t="shared" si="219"/>
        <v>-16.951382065236125</v>
      </c>
      <c r="US10" s="133">
        <f t="shared" si="439"/>
        <v>-14.738671670472367</v>
      </c>
      <c r="UT10" s="133">
        <f t="shared" si="440"/>
        <v>-11.058517902426143</v>
      </c>
      <c r="UU10" s="134">
        <f t="shared" si="441"/>
        <v>-6.970501165343812</v>
      </c>
      <c r="UV10" s="133">
        <f t="shared" si="442"/>
        <v>-2.8948609220269645</v>
      </c>
      <c r="UW10" s="133">
        <f t="shared" si="220"/>
        <v>0.75263104565515704</v>
      </c>
      <c r="UX10" s="133">
        <f t="shared" si="221"/>
        <v>2.9354234318031516</v>
      </c>
      <c r="UY10" s="133">
        <f t="shared" si="222"/>
        <v>4.8265749088469931</v>
      </c>
      <c r="UZ10" s="133">
        <f t="shared" si="223"/>
        <v>7.023141594568763</v>
      </c>
      <c r="VA10" s="81"/>
      <c r="VB10" s="81">
        <v>11</v>
      </c>
      <c r="VC10" s="133">
        <f t="shared" si="224"/>
        <v>-29.074108037192488</v>
      </c>
      <c r="VD10" s="133">
        <f t="shared" si="225"/>
        <v>-25.646103476812456</v>
      </c>
      <c r="VE10" s="133">
        <f t="shared" si="226"/>
        <v>-22.847859045504656</v>
      </c>
      <c r="VF10" s="133">
        <f t="shared" si="443"/>
        <v>-19.765665830208924</v>
      </c>
      <c r="VG10" s="133">
        <f t="shared" si="444"/>
        <v>-14.908165984630891</v>
      </c>
      <c r="VH10" s="134">
        <f t="shared" si="445"/>
        <v>-9.8334253034082266</v>
      </c>
      <c r="VI10" s="133">
        <f t="shared" si="446"/>
        <v>-5.0465630403502004</v>
      </c>
      <c r="VJ10" s="133">
        <f t="shared" si="227"/>
        <v>-0.9546865726490168</v>
      </c>
      <c r="VK10" s="133">
        <f t="shared" si="228"/>
        <v>1.4184104293405539</v>
      </c>
      <c r="VL10" s="133">
        <f t="shared" si="229"/>
        <v>3.4329392148941196</v>
      </c>
      <c r="VM10" s="133">
        <f t="shared" si="230"/>
        <v>5.7279022161365845</v>
      </c>
      <c r="VN10" s="81"/>
      <c r="VO10" s="81">
        <v>8</v>
      </c>
      <c r="VP10" s="133">
        <f t="shared" si="231"/>
        <v>-44.962779483674446</v>
      </c>
      <c r="VQ10" s="133">
        <f t="shared" si="232"/>
        <v>-41.89917398622859</v>
      </c>
      <c r="VR10" s="133">
        <f t="shared" si="233"/>
        <v>-38.999077698159923</v>
      </c>
      <c r="VS10" s="133">
        <f t="shared" si="447"/>
        <v>-35.362308023538418</v>
      </c>
      <c r="VT10" s="133">
        <f t="shared" si="448"/>
        <v>-28.624306309181737</v>
      </c>
      <c r="VU10" s="134">
        <f t="shared" si="449"/>
        <v>-20.168142054161933</v>
      </c>
      <c r="VV10" s="133">
        <f t="shared" si="450"/>
        <v>-10.759196646429068</v>
      </c>
      <c r="VW10" s="133">
        <f t="shared" si="234"/>
        <v>-1.5381569027442481</v>
      </c>
      <c r="VX10" s="133">
        <f t="shared" si="235"/>
        <v>4.3325452860480738</v>
      </c>
      <c r="VY10" s="133">
        <f t="shared" si="236"/>
        <v>9.6283955132566277</v>
      </c>
      <c r="VZ10" s="133">
        <f t="shared" si="237"/>
        <v>16.020328841011015</v>
      </c>
      <c r="WA10" s="81"/>
      <c r="WB10" s="81">
        <v>8</v>
      </c>
      <c r="WC10" s="133">
        <f t="shared" si="238"/>
        <v>-42.329905891730505</v>
      </c>
      <c r="WD10" s="133">
        <f t="shared" si="239"/>
        <v>-39.517819042251311</v>
      </c>
      <c r="WE10" s="133">
        <f t="shared" si="240"/>
        <v>-36.778284738428518</v>
      </c>
      <c r="WF10" s="133">
        <f t="shared" si="451"/>
        <v>-33.268235000586948</v>
      </c>
      <c r="WG10" s="133">
        <f t="shared" si="452"/>
        <v>-26.614322751847592</v>
      </c>
      <c r="WH10" s="134">
        <f t="shared" si="453"/>
        <v>-18.080671451760281</v>
      </c>
      <c r="WI10" s="133">
        <f t="shared" si="454"/>
        <v>-8.4287370626619946</v>
      </c>
      <c r="WJ10" s="133">
        <f t="shared" si="241"/>
        <v>1.141681054026364</v>
      </c>
      <c r="WK10" s="133">
        <f t="shared" si="242"/>
        <v>7.278520561219338</v>
      </c>
      <c r="WL10" s="133">
        <f t="shared" si="243"/>
        <v>12.838479870964107</v>
      </c>
      <c r="WM10" s="133">
        <f t="shared" si="244"/>
        <v>19.575409428867495</v>
      </c>
      <c r="WN10" s="81"/>
      <c r="WO10" s="81">
        <v>11</v>
      </c>
      <c r="WP10" s="133">
        <f t="shared" si="245"/>
        <v>-48.824345405756134</v>
      </c>
      <c r="WQ10" s="133">
        <f t="shared" si="246"/>
        <v>-45.668062843885075</v>
      </c>
      <c r="WR10" s="133">
        <f t="shared" si="247"/>
        <v>-42.624754020532855</v>
      </c>
      <c r="WS10" s="133">
        <f t="shared" si="455"/>
        <v>-38.776041485280999</v>
      </c>
      <c r="WT10" s="133">
        <f t="shared" si="456"/>
        <v>-31.624075484878464</v>
      </c>
      <c r="WU10" s="134">
        <f t="shared" si="457"/>
        <v>-22.683200445065225</v>
      </c>
      <c r="WV10" s="133">
        <f t="shared" si="458"/>
        <v>-12.821056476169858</v>
      </c>
      <c r="WW10" s="133">
        <f t="shared" si="248"/>
        <v>-3.2533607765272308</v>
      </c>
      <c r="WX10" s="133">
        <f t="shared" si="249"/>
        <v>2.7885060621161486</v>
      </c>
      <c r="WY10" s="133">
        <f t="shared" si="250"/>
        <v>8.2069697188064694</v>
      </c>
      <c r="WZ10" s="133">
        <f t="shared" si="251"/>
        <v>14.70838229995686</v>
      </c>
      <c r="XA10" s="81"/>
      <c r="XB10" s="81">
        <v>8</v>
      </c>
      <c r="XC10" s="133">
        <f t="shared" si="252"/>
        <v>-43.291299093359342</v>
      </c>
      <c r="XD10" s="133">
        <f t="shared" si="253"/>
        <v>-39.490309086500218</v>
      </c>
      <c r="XE10" s="133">
        <f t="shared" si="254"/>
        <v>-36.043643906172875</v>
      </c>
      <c r="XF10" s="133">
        <f t="shared" si="459"/>
        <v>-31.887445306200831</v>
      </c>
      <c r="XG10" s="133">
        <f t="shared" si="460"/>
        <v>-24.566287308693191</v>
      </c>
      <c r="XH10" s="134">
        <f t="shared" si="461"/>
        <v>-15.900923693867185</v>
      </c>
      <c r="XI10" s="133">
        <f t="shared" si="462"/>
        <v>-6.7650577271111132</v>
      </c>
      <c r="XJ10" s="133">
        <f t="shared" si="255"/>
        <v>1.7919007277158059</v>
      </c>
      <c r="XK10" s="133">
        <f t="shared" si="256"/>
        <v>7.072552116712238</v>
      </c>
      <c r="XL10" s="133">
        <f t="shared" si="257"/>
        <v>11.739533356576466</v>
      </c>
      <c r="XM10" s="133">
        <f t="shared" si="258"/>
        <v>17.263182217289703</v>
      </c>
      <c r="XN10" s="81"/>
      <c r="XO10" s="81">
        <v>8</v>
      </c>
      <c r="XP10" s="133">
        <f t="shared" si="259"/>
        <v>-41.925826479007469</v>
      </c>
      <c r="XQ10" s="133">
        <f t="shared" si="260"/>
        <v>-37.99384516914381</v>
      </c>
      <c r="XR10" s="133">
        <f t="shared" si="261"/>
        <v>-34.404475636589751</v>
      </c>
      <c r="XS10" s="133">
        <f t="shared" si="463"/>
        <v>-30.059894555764306</v>
      </c>
      <c r="XT10" s="133">
        <f t="shared" si="464"/>
        <v>-22.386132552411961</v>
      </c>
      <c r="XU10" s="134">
        <f t="shared" si="465"/>
        <v>-13.292297776998538</v>
      </c>
      <c r="XV10" s="133">
        <f t="shared" si="466"/>
        <v>-3.706414012449109</v>
      </c>
      <c r="XW10" s="133">
        <f t="shared" si="262"/>
        <v>5.2643907842305637</v>
      </c>
      <c r="XX10" s="133">
        <f t="shared" si="263"/>
        <v>10.795582851605737</v>
      </c>
      <c r="XY10" s="133">
        <f t="shared" si="264"/>
        <v>15.680617822763246</v>
      </c>
      <c r="XZ10" s="133">
        <f t="shared" si="265"/>
        <v>21.458112782695984</v>
      </c>
      <c r="YA10" s="81"/>
      <c r="YB10" s="81">
        <v>11</v>
      </c>
      <c r="YC10" s="133">
        <f t="shared" si="266"/>
        <v>-49.47940447663602</v>
      </c>
      <c r="YD10" s="133">
        <f t="shared" si="267"/>
        <v>-45.656270058145488</v>
      </c>
      <c r="YE10" s="133">
        <f t="shared" si="268"/>
        <v>-42.12882760624322</v>
      </c>
      <c r="YF10" s="133">
        <f t="shared" si="467"/>
        <v>-37.838129066626642</v>
      </c>
      <c r="YG10" s="133">
        <f t="shared" si="468"/>
        <v>-30.239199878580042</v>
      </c>
      <c r="YH10" s="134">
        <f t="shared" si="469"/>
        <v>-21.231814840473554</v>
      </c>
      <c r="YI10" s="133">
        <f t="shared" si="470"/>
        <v>-11.751192708289253</v>
      </c>
      <c r="YJ10" s="133">
        <f t="shared" si="269"/>
        <v>-2.8973589970142797</v>
      </c>
      <c r="YK10" s="133">
        <f t="shared" si="270"/>
        <v>2.552151936369242</v>
      </c>
      <c r="YL10" s="133">
        <f t="shared" si="271"/>
        <v>7.3589416273247465</v>
      </c>
      <c r="YM10" s="133">
        <f t="shared" si="272"/>
        <v>13.036585992961527</v>
      </c>
      <c r="YN10" s="81"/>
      <c r="YO10" s="81">
        <v>8</v>
      </c>
      <c r="YP10" s="133">
        <v>18.30274638234167</v>
      </c>
      <c r="YQ10" s="133">
        <v>20.396687492557241</v>
      </c>
      <c r="YR10" s="133">
        <v>22.388215879242523</v>
      </c>
      <c r="YS10" s="133">
        <v>24.926835060015161</v>
      </c>
      <c r="YT10" s="133">
        <v>29.818354825157488</v>
      </c>
      <c r="YU10" s="134">
        <v>36.409714894509712</v>
      </c>
      <c r="YV10" s="133">
        <v>44.458097922324967</v>
      </c>
      <c r="YW10" s="133">
        <v>53.182336847326845</v>
      </c>
      <c r="YX10" s="133">
        <v>59.21272806416836</v>
      </c>
      <c r="YY10" s="133">
        <v>64.994246697323703</v>
      </c>
      <c r="YZ10" s="133">
        <v>72.429968213867312</v>
      </c>
      <c r="ZA10" s="81"/>
      <c r="ZB10" s="81">
        <v>8</v>
      </c>
      <c r="ZC10" s="133">
        <v>19.005576427498134</v>
      </c>
      <c r="ZD10" s="133">
        <v>21.014548319786808</v>
      </c>
      <c r="ZE10" s="133">
        <v>22.911417818532836</v>
      </c>
      <c r="ZF10" s="133">
        <v>25.311850129684181</v>
      </c>
      <c r="ZG10" s="133">
        <v>29.888843823144825</v>
      </c>
      <c r="ZH10" s="134">
        <v>35.972125986112822</v>
      </c>
      <c r="ZI10" s="133">
        <v>43.293539744041617</v>
      </c>
      <c r="ZJ10" s="133">
        <v>51.122057112816769</v>
      </c>
      <c r="ZK10" s="133">
        <v>56.478121878344609</v>
      </c>
      <c r="ZL10" s="133">
        <v>61.576096153462352</v>
      </c>
      <c r="ZM10" s="133">
        <v>68.084956691372142</v>
      </c>
      <c r="ZN10" s="81"/>
      <c r="ZO10" s="81">
        <v>11</v>
      </c>
      <c r="ZP10" s="133">
        <v>20.439225837376885</v>
      </c>
      <c r="ZQ10" s="133">
        <v>22.892517170233997</v>
      </c>
      <c r="ZR10" s="133">
        <v>25.236738931565732</v>
      </c>
      <c r="ZS10" s="133">
        <v>28.238929495437738</v>
      </c>
      <c r="ZT10" s="133">
        <v>34.062794462106119</v>
      </c>
      <c r="ZU10" s="134">
        <v>41.980120827128317</v>
      </c>
      <c r="ZV10" s="133">
        <v>51.737697170466603</v>
      </c>
      <c r="ZW10" s="133">
        <v>62.407838262601786</v>
      </c>
      <c r="ZX10" s="133">
        <v>69.831944192123686</v>
      </c>
      <c r="ZY10" s="133">
        <v>76.982820698798619</v>
      </c>
      <c r="ZZ10" s="133">
        <v>86.222959650337984</v>
      </c>
      <c r="AAA10" s="81"/>
      <c r="AAB10" s="81">
        <v>8</v>
      </c>
      <c r="AAC10" s="133">
        <v>6.7223188352818593</v>
      </c>
      <c r="AAD10" s="133">
        <v>7.4223436421480731</v>
      </c>
      <c r="AAE10" s="133">
        <v>8.0824356474862107</v>
      </c>
      <c r="AAF10" s="133">
        <v>8.9166620761634601</v>
      </c>
      <c r="AAG10" s="133">
        <v>10.504292872174048</v>
      </c>
      <c r="AAH10" s="134">
        <v>12.609159438030684</v>
      </c>
      <c r="AAI10" s="133">
        <v>15.135802444622078</v>
      </c>
      <c r="AAJ10" s="133">
        <v>17.830764514302043</v>
      </c>
      <c r="AAK10" s="133">
        <v>19.67116209370964</v>
      </c>
      <c r="AAL10" s="133">
        <v>21.420579455637444</v>
      </c>
      <c r="AAM10" s="133">
        <v>23.651199181333087</v>
      </c>
      <c r="AAN10" s="81"/>
      <c r="AAO10" s="81">
        <v>8</v>
      </c>
      <c r="AAP10" s="133">
        <v>6.8346484155243763</v>
      </c>
      <c r="AAQ10" s="133">
        <v>7.5345067980365128</v>
      </c>
      <c r="AAR10" s="133">
        <v>8.1934791288569961</v>
      </c>
      <c r="AAS10" s="133">
        <v>9.0250756710555464</v>
      </c>
      <c r="AAT10" s="133">
        <v>10.604375275499569</v>
      </c>
      <c r="AAU10" s="134">
        <v>12.692425007559404</v>
      </c>
      <c r="AAV10" s="133">
        <v>15.19162123059909</v>
      </c>
      <c r="AAW10" s="133">
        <v>17.850005744459075</v>
      </c>
      <c r="AAX10" s="133">
        <v>19.661690722460254</v>
      </c>
      <c r="AAY10" s="133">
        <v>21.381313587042122</v>
      </c>
      <c r="AAZ10" s="133">
        <v>23.570730018328153</v>
      </c>
      <c r="ABA10" s="81"/>
      <c r="ABB10" s="81">
        <v>11</v>
      </c>
      <c r="ABC10" s="133">
        <v>7.4280733934336114</v>
      </c>
      <c r="ABD10" s="133">
        <v>8.2154937429647195</v>
      </c>
      <c r="ABE10" s="133">
        <v>8.9591635473718352</v>
      </c>
      <c r="ABF10" s="133">
        <v>9.9004939420909253</v>
      </c>
      <c r="ABG10" s="133">
        <v>11.696018672064893</v>
      </c>
      <c r="ABH10" s="134">
        <v>14.083592936913876</v>
      </c>
      <c r="ABI10" s="133">
        <v>16.958556203952504</v>
      </c>
      <c r="ABJ10" s="133">
        <v>20.034110537600167</v>
      </c>
      <c r="ABK10" s="133">
        <v>22.139074587032798</v>
      </c>
      <c r="ABL10" s="133">
        <v>24.143112540563259</v>
      </c>
      <c r="ABM10" s="133">
        <v>26.702427333045598</v>
      </c>
      <c r="ABN10" s="81"/>
      <c r="ABO10" s="81">
        <v>8</v>
      </c>
      <c r="ABP10" s="133">
        <f t="shared" si="273"/>
        <v>0.17756850342708641</v>
      </c>
      <c r="ABQ10" s="133">
        <f t="shared" si="274"/>
        <v>0.19994778449295567</v>
      </c>
      <c r="ABR10" s="133">
        <f t="shared" si="275"/>
        <v>0.22078220100942239</v>
      </c>
      <c r="ABS10" s="133">
        <f t="shared" si="471"/>
        <v>0.24671815665791014</v>
      </c>
      <c r="ABT10" s="133">
        <f t="shared" si="472"/>
        <v>0.29483017793089328</v>
      </c>
      <c r="ABU10" s="134">
        <f t="shared" si="473"/>
        <v>0.35614207307086976</v>
      </c>
      <c r="ABV10" s="133">
        <f t="shared" si="474"/>
        <v>0.42626278778612831</v>
      </c>
      <c r="ABW10" s="133">
        <f t="shared" si="276"/>
        <v>0.49729179516885363</v>
      </c>
      <c r="ABX10" s="133">
        <f t="shared" si="277"/>
        <v>0.54379447794804436</v>
      </c>
      <c r="ABY10" s="133">
        <f t="shared" si="278"/>
        <v>0.58662845005691</v>
      </c>
      <c r="ABZ10" s="133">
        <f t="shared" si="279"/>
        <v>0.63946634994134821</v>
      </c>
      <c r="ACA10" s="81"/>
      <c r="ACB10" s="81">
        <v>8</v>
      </c>
      <c r="ACC10" s="133">
        <f t="shared" si="280"/>
        <v>0.19045899928654786</v>
      </c>
      <c r="ACD10" s="133">
        <f t="shared" si="281"/>
        <v>0.21180098915969012</v>
      </c>
      <c r="ACE10" s="133">
        <f t="shared" si="282"/>
        <v>0.23176834160292711</v>
      </c>
      <c r="ACF10" s="133">
        <f t="shared" si="475"/>
        <v>0.25677677416335687</v>
      </c>
      <c r="ACG10" s="133">
        <f t="shared" si="476"/>
        <v>0.30366211918757513</v>
      </c>
      <c r="ACH10" s="134">
        <f t="shared" si="477"/>
        <v>0.36441169694023479</v>
      </c>
      <c r="ACI10" s="133">
        <f t="shared" si="478"/>
        <v>0.43531973905324201</v>
      </c>
      <c r="ACJ10" s="133">
        <f t="shared" si="283"/>
        <v>0.50871660418758358</v>
      </c>
      <c r="ACK10" s="133">
        <f t="shared" si="284"/>
        <v>0.55761993552994882</v>
      </c>
      <c r="ACL10" s="133">
        <f t="shared" si="285"/>
        <v>0.60325372303814784</v>
      </c>
      <c r="ACM10" s="133">
        <f t="shared" si="286"/>
        <v>0.66031299299612811</v>
      </c>
      <c r="ACN10" s="81"/>
      <c r="ACO10" s="81">
        <v>11</v>
      </c>
      <c r="ACP10" s="133">
        <f t="shared" si="287"/>
        <v>0.15903353070087434</v>
      </c>
      <c r="ACQ10" s="133">
        <f t="shared" si="288"/>
        <v>0.1840022252460051</v>
      </c>
      <c r="ACR10" s="133">
        <f t="shared" si="289"/>
        <v>0.20698197430927862</v>
      </c>
      <c r="ACS10" s="133">
        <f t="shared" si="479"/>
        <v>0.2352110867720433</v>
      </c>
      <c r="ACT10" s="133">
        <f t="shared" si="480"/>
        <v>0.28650173957959052</v>
      </c>
      <c r="ACU10" s="134">
        <f t="shared" si="481"/>
        <v>0.34973329765721634</v>
      </c>
      <c r="ACV10" s="133">
        <f t="shared" si="482"/>
        <v>0.41948639968749701</v>
      </c>
      <c r="ACW10" s="133">
        <f t="shared" si="290"/>
        <v>0.48776080310492043</v>
      </c>
      <c r="ACX10" s="133">
        <f t="shared" si="291"/>
        <v>0.53120174601453563</v>
      </c>
      <c r="ACY10" s="133">
        <f t="shared" si="292"/>
        <v>0.57043064153832912</v>
      </c>
      <c r="ACZ10" s="133">
        <f t="shared" si="293"/>
        <v>0.61785820387539725</v>
      </c>
      <c r="ADA10" s="81"/>
      <c r="ADB10" s="81">
        <v>8</v>
      </c>
      <c r="ADC10" s="133">
        <f t="shared" si="294"/>
        <v>0.14848315348935981</v>
      </c>
      <c r="ADD10" s="133">
        <f t="shared" si="295"/>
        <v>0.16552722123256836</v>
      </c>
      <c r="ADE10" s="133">
        <f t="shared" si="296"/>
        <v>0.18051063450423269</v>
      </c>
      <c r="ADF10" s="133">
        <f t="shared" si="483"/>
        <v>0.19813896327203798</v>
      </c>
      <c r="ADG10" s="133">
        <f t="shared" si="484"/>
        <v>0.22833985686038277</v>
      </c>
      <c r="ADH10" s="134">
        <f t="shared" si="485"/>
        <v>0.26309250862028505</v>
      </c>
      <c r="ADI10" s="133">
        <f t="shared" si="486"/>
        <v>0.29891195221690731</v>
      </c>
      <c r="ADJ10" s="133">
        <f t="shared" si="297"/>
        <v>0.33189687518780003</v>
      </c>
      <c r="ADK10" s="133">
        <f t="shared" si="298"/>
        <v>0.35203465166382342</v>
      </c>
      <c r="ADL10" s="133">
        <f t="shared" si="299"/>
        <v>0.36971416347916819</v>
      </c>
      <c r="ADM10" s="133">
        <f t="shared" si="300"/>
        <v>0.39051193857946276</v>
      </c>
      <c r="ADN10" s="81"/>
      <c r="ADO10" s="81">
        <v>8</v>
      </c>
      <c r="ADP10" s="133">
        <f t="shared" si="301"/>
        <v>0.15819651954249392</v>
      </c>
      <c r="ADQ10" s="133">
        <f t="shared" si="302"/>
        <v>0.17391520053986856</v>
      </c>
      <c r="ADR10" s="133">
        <f t="shared" si="303"/>
        <v>0.18789668171949986</v>
      </c>
      <c r="ADS10" s="133">
        <f t="shared" si="487"/>
        <v>0.20453763175334844</v>
      </c>
      <c r="ADT10" s="133">
        <f t="shared" si="488"/>
        <v>0.23351369210578976</v>
      </c>
      <c r="ADU10" s="134">
        <f t="shared" si="489"/>
        <v>0.26755668858076448</v>
      </c>
      <c r="ADV10" s="133">
        <f t="shared" si="490"/>
        <v>0.30338939237091578</v>
      </c>
      <c r="ADW10" s="133">
        <f t="shared" si="304"/>
        <v>0.33702176240067117</v>
      </c>
      <c r="ADX10" s="133">
        <f t="shared" si="305"/>
        <v>0.3578418081638442</v>
      </c>
      <c r="ADY10" s="133">
        <f t="shared" si="306"/>
        <v>0.37629392959860747</v>
      </c>
      <c r="ADZ10" s="133">
        <f t="shared" si="307"/>
        <v>0.39820307123628651</v>
      </c>
      <c r="AEA10" s="81"/>
      <c r="AEB10" s="81">
        <v>11</v>
      </c>
      <c r="AEC10" s="133">
        <f t="shared" si="308"/>
        <v>0.13358083531702133</v>
      </c>
      <c r="AED10" s="133">
        <f t="shared" si="309"/>
        <v>0.15366057196612948</v>
      </c>
      <c r="AEE10" s="133">
        <f t="shared" si="310"/>
        <v>0.17084594024006011</v>
      </c>
      <c r="AEF10" s="133">
        <f t="shared" si="491"/>
        <v>0.19057440844375911</v>
      </c>
      <c r="AEG10" s="133">
        <f t="shared" si="492"/>
        <v>0.22330772659651929</v>
      </c>
      <c r="AEH10" s="134">
        <f t="shared" si="493"/>
        <v>0.25956753011958339</v>
      </c>
      <c r="AEI10" s="133">
        <f t="shared" si="494"/>
        <v>0.29562515653406496</v>
      </c>
      <c r="AEJ10" s="133">
        <f t="shared" si="311"/>
        <v>0.32782568601610046</v>
      </c>
      <c r="AEK10" s="133">
        <f t="shared" si="312"/>
        <v>0.34706716487337208</v>
      </c>
      <c r="AEL10" s="133">
        <f t="shared" si="313"/>
        <v>0.36372167566893987</v>
      </c>
      <c r="AEM10" s="133">
        <f t="shared" si="314"/>
        <v>0.38304797438244131</v>
      </c>
      <c r="AEN10" s="81"/>
    </row>
    <row r="11" spans="1:820">
      <c r="A11" s="81"/>
      <c r="B11" s="81">
        <v>10</v>
      </c>
      <c r="C11" s="133">
        <f t="shared" si="0"/>
        <v>1.6393131242620707</v>
      </c>
      <c r="D11" s="133">
        <f t="shared" si="1"/>
        <v>1.9016788443776218</v>
      </c>
      <c r="E11" s="133">
        <f t="shared" si="2"/>
        <v>2.1678737974856377</v>
      </c>
      <c r="F11" s="133">
        <f t="shared" si="315"/>
        <v>2.5315192978091838</v>
      </c>
      <c r="G11" s="133">
        <f t="shared" si="316"/>
        <v>3.3127587373434149</v>
      </c>
      <c r="H11" s="134">
        <f t="shared" si="317"/>
        <v>4.5454952811492531</v>
      </c>
      <c r="I11" s="133">
        <f t="shared" si="318"/>
        <v>6.3601460578186888</v>
      </c>
      <c r="J11" s="133">
        <f t="shared" si="3"/>
        <v>8.7599108142595785</v>
      </c>
      <c r="K11" s="133">
        <f t="shared" si="4"/>
        <v>10.713896349907307</v>
      </c>
      <c r="L11" s="133">
        <f t="shared" si="5"/>
        <v>12.838401496943279</v>
      </c>
      <c r="M11" s="133">
        <f t="shared" si="6"/>
        <v>15.968806828457222</v>
      </c>
      <c r="N11" s="81"/>
      <c r="O11" s="75">
        <v>10</v>
      </c>
      <c r="P11" s="151">
        <f t="shared" si="7"/>
        <v>2.2761984332589269</v>
      </c>
      <c r="Q11" s="151">
        <f t="shared" si="8"/>
        <v>2.5279499815374056</v>
      </c>
      <c r="R11" s="151">
        <f t="shared" si="9"/>
        <v>2.7768554529490488</v>
      </c>
      <c r="S11" s="151">
        <f t="shared" si="319"/>
        <v>3.108672532928249</v>
      </c>
      <c r="T11" s="151">
        <f t="shared" si="320"/>
        <v>3.7989768036523905</v>
      </c>
      <c r="U11" s="134">
        <f t="shared" si="321"/>
        <v>4.8509882876686206</v>
      </c>
      <c r="V11" s="151">
        <f t="shared" si="322"/>
        <v>6.3621927703795382</v>
      </c>
      <c r="W11" s="151">
        <f t="shared" si="10"/>
        <v>8.3460952219863582</v>
      </c>
      <c r="X11" s="151">
        <f t="shared" si="11"/>
        <v>9.9739626336040939</v>
      </c>
      <c r="Y11" s="151">
        <f t="shared" si="12"/>
        <v>11.770749755859196</v>
      </c>
      <c r="Z11" s="151">
        <f t="shared" si="13"/>
        <v>14.486705703449399</v>
      </c>
      <c r="AA11" s="81"/>
      <c r="AB11" s="75">
        <v>12</v>
      </c>
      <c r="AC11" s="151">
        <f t="shared" si="14"/>
        <v>1.2948917990296778</v>
      </c>
      <c r="AD11" s="151">
        <f t="shared" si="15"/>
        <v>1.5346456238785804</v>
      </c>
      <c r="AE11" s="151">
        <f t="shared" si="16"/>
        <v>1.7856441146794437</v>
      </c>
      <c r="AF11" s="151">
        <f t="shared" si="323"/>
        <v>2.1405961841313124</v>
      </c>
      <c r="AG11" s="151">
        <f t="shared" si="324"/>
        <v>2.9477201400742814</v>
      </c>
      <c r="AH11" s="134">
        <f t="shared" si="325"/>
        <v>4.3365700588976202</v>
      </c>
      <c r="AI11" s="151">
        <f t="shared" si="326"/>
        <v>6.6186141608656666</v>
      </c>
      <c r="AJ11" s="151">
        <f t="shared" si="17"/>
        <v>10.042307552124539</v>
      </c>
      <c r="AK11" s="151">
        <f t="shared" si="18"/>
        <v>13.155925556212894</v>
      </c>
      <c r="AL11" s="151">
        <f t="shared" si="19"/>
        <v>16.864080264673063</v>
      </c>
      <c r="AM11" s="151">
        <f t="shared" si="20"/>
        <v>22.931393778803166</v>
      </c>
      <c r="AN11" s="81"/>
      <c r="AO11" s="81">
        <v>10</v>
      </c>
      <c r="AP11" s="133">
        <f t="shared" si="21"/>
        <v>2.9574890759178052</v>
      </c>
      <c r="AQ11" s="133">
        <f t="shared" si="22"/>
        <v>4.5508418504800909</v>
      </c>
      <c r="AR11" s="133">
        <f t="shared" si="23"/>
        <v>6.0208014829523782</v>
      </c>
      <c r="AS11" s="133">
        <f t="shared" si="327"/>
        <v>7.8306342062169376</v>
      </c>
      <c r="AT11" s="133">
        <f t="shared" si="328"/>
        <v>11.126103100014621</v>
      </c>
      <c r="AU11" s="134">
        <f t="shared" si="329"/>
        <v>15.210091644470332</v>
      </c>
      <c r="AV11" s="133">
        <f t="shared" si="330"/>
        <v>19.731501373658762</v>
      </c>
      <c r="AW11" s="133">
        <f t="shared" si="24"/>
        <v>24.163698766784648</v>
      </c>
      <c r="AX11" s="133">
        <f t="shared" si="25"/>
        <v>26.992128057555771</v>
      </c>
      <c r="AY11" s="133">
        <f t="shared" si="26"/>
        <v>29.550020830265847</v>
      </c>
      <c r="AZ11" s="133">
        <f t="shared" si="27"/>
        <v>32.646855877537689</v>
      </c>
      <c r="BA11" s="81"/>
      <c r="BB11" s="81">
        <v>10</v>
      </c>
      <c r="BC11" s="133">
        <f t="shared" si="28"/>
        <v>5.6373006118967792</v>
      </c>
      <c r="BD11" s="133">
        <f t="shared" si="29"/>
        <v>7.2691092491016844</v>
      </c>
      <c r="BE11" s="133">
        <f t="shared" si="30"/>
        <v>8.7373840456381906</v>
      </c>
      <c r="BF11" s="133">
        <f t="shared" si="331"/>
        <v>10.503231182920505</v>
      </c>
      <c r="BG11" s="133">
        <f t="shared" si="332"/>
        <v>13.619314545480748</v>
      </c>
      <c r="BH11" s="134">
        <f t="shared" si="333"/>
        <v>17.337161226672908</v>
      </c>
      <c r="BI11" s="133">
        <f t="shared" si="334"/>
        <v>21.305876514031471</v>
      </c>
      <c r="BJ11" s="133">
        <f t="shared" si="31"/>
        <v>25.074702923996842</v>
      </c>
      <c r="BK11" s="133">
        <f t="shared" si="32"/>
        <v>27.426464787668419</v>
      </c>
      <c r="BL11" s="133">
        <f t="shared" si="33"/>
        <v>29.52160638944633</v>
      </c>
      <c r="BM11" s="133">
        <f t="shared" si="34"/>
        <v>32.021572565031121</v>
      </c>
      <c r="BN11" s="81"/>
      <c r="BO11" s="75">
        <v>12</v>
      </c>
      <c r="BP11" s="151">
        <f t="shared" si="35"/>
        <v>3.2905975595771788</v>
      </c>
      <c r="BQ11" s="151">
        <f t="shared" si="36"/>
        <v>4.0849058104120228</v>
      </c>
      <c r="BR11" s="151">
        <f t="shared" si="37"/>
        <v>4.8934056619092186</v>
      </c>
      <c r="BS11" s="151">
        <f t="shared" si="335"/>
        <v>5.9911165676540712</v>
      </c>
      <c r="BT11" s="151">
        <f t="shared" si="336"/>
        <v>8.2892945704158141</v>
      </c>
      <c r="BU11" s="134">
        <f t="shared" si="337"/>
        <v>11.697462222739089</v>
      </c>
      <c r="BV11" s="151">
        <f t="shared" si="338"/>
        <v>16.233417267428493</v>
      </c>
      <c r="BW11" s="151">
        <f t="shared" si="38"/>
        <v>21.501820507535371</v>
      </c>
      <c r="BX11" s="151">
        <f t="shared" si="39"/>
        <v>25.309629622733848</v>
      </c>
      <c r="BY11" s="151">
        <f t="shared" si="40"/>
        <v>29.063592579589823</v>
      </c>
      <c r="BZ11" s="151">
        <f t="shared" si="41"/>
        <v>34.015328324671181</v>
      </c>
      <c r="CA11" s="81"/>
      <c r="CB11" s="81">
        <v>10</v>
      </c>
      <c r="CC11" s="133">
        <f t="shared" si="42"/>
        <v>-0.76555271730579388</v>
      </c>
      <c r="CD11" s="133">
        <f t="shared" si="43"/>
        <v>1.6553338672358171</v>
      </c>
      <c r="CE11" s="133">
        <f t="shared" si="44"/>
        <v>3.9115490302428535</v>
      </c>
      <c r="CF11" s="133">
        <f t="shared" si="339"/>
        <v>6.6921993523900687</v>
      </c>
      <c r="CG11" s="133">
        <f t="shared" si="340"/>
        <v>11.714342356520266</v>
      </c>
      <c r="CH11" s="134">
        <f t="shared" si="341"/>
        <v>17.815557073538837</v>
      </c>
      <c r="CI11" s="133">
        <f t="shared" si="342"/>
        <v>24.390291225337645</v>
      </c>
      <c r="CJ11" s="133">
        <f t="shared" si="45"/>
        <v>30.655176828138625</v>
      </c>
      <c r="CK11" s="133">
        <f t="shared" si="46"/>
        <v>34.565406875517894</v>
      </c>
      <c r="CL11" s="133">
        <f t="shared" si="47"/>
        <v>38.046308290285729</v>
      </c>
      <c r="CM11" s="133">
        <f t="shared" si="48"/>
        <v>42.194180367542842</v>
      </c>
      <c r="CN11" s="81"/>
      <c r="CO11" s="81">
        <v>10</v>
      </c>
      <c r="CP11" s="133">
        <f t="shared" si="49"/>
        <v>4.0673942578180702</v>
      </c>
      <c r="CQ11" s="133">
        <f t="shared" si="50"/>
        <v>6.4968706962450176</v>
      </c>
      <c r="CR11" s="133">
        <f t="shared" si="51"/>
        <v>8.7089230891488292</v>
      </c>
      <c r="CS11" s="133">
        <f t="shared" si="343"/>
        <v>11.390278285484452</v>
      </c>
      <c r="CT11" s="133">
        <f t="shared" si="344"/>
        <v>16.152638854534061</v>
      </c>
      <c r="CU11" s="134">
        <f t="shared" si="345"/>
        <v>21.852571932732371</v>
      </c>
      <c r="CV11" s="133">
        <f t="shared" si="346"/>
        <v>27.931083742273781</v>
      </c>
      <c r="CW11" s="133">
        <f t="shared" si="52"/>
        <v>33.683348509209885</v>
      </c>
      <c r="CX11" s="133">
        <f t="shared" si="53"/>
        <v>37.259519982966566</v>
      </c>
      <c r="CY11" s="133">
        <f t="shared" si="54"/>
        <v>40.435875465525868</v>
      </c>
      <c r="CZ11" s="133">
        <f t="shared" si="55"/>
        <v>44.213522384690044</v>
      </c>
      <c r="DA11" s="81"/>
      <c r="DB11" s="81">
        <v>12</v>
      </c>
      <c r="DC11" s="133">
        <f t="shared" si="56"/>
        <v>-3.6933332049240253</v>
      </c>
      <c r="DD11" s="133">
        <f t="shared" si="57"/>
        <v>-2.0456493111840377</v>
      </c>
      <c r="DE11" s="133">
        <f t="shared" si="58"/>
        <v>-0.42792222656643375</v>
      </c>
      <c r="DF11" s="133">
        <f t="shared" si="347"/>
        <v>1.652331338822326</v>
      </c>
      <c r="DG11" s="133">
        <f t="shared" si="348"/>
        <v>5.6015728417867718</v>
      </c>
      <c r="DH11" s="134">
        <f t="shared" si="349"/>
        <v>10.660351728417616</v>
      </c>
      <c r="DI11" s="133">
        <f t="shared" si="350"/>
        <v>16.364512593898876</v>
      </c>
      <c r="DJ11" s="133">
        <f t="shared" si="59"/>
        <v>22.000008000004055</v>
      </c>
      <c r="DK11" s="133">
        <f t="shared" si="60"/>
        <v>25.603095022974433</v>
      </c>
      <c r="DL11" s="133">
        <f t="shared" si="61"/>
        <v>28.860642277933625</v>
      </c>
      <c r="DM11" s="133">
        <f t="shared" si="62"/>
        <v>32.799425789271545</v>
      </c>
      <c r="DN11" s="81"/>
      <c r="DO11" s="81">
        <v>10</v>
      </c>
      <c r="DP11" s="133">
        <v>12.423741349986585</v>
      </c>
      <c r="DQ11" s="133">
        <v>13.625467186843968</v>
      </c>
      <c r="DR11" s="133">
        <v>14.75158566555273</v>
      </c>
      <c r="DS11" s="133">
        <v>16.165918919285353</v>
      </c>
      <c r="DT11" s="133">
        <v>18.833452000888652</v>
      </c>
      <c r="DU11" s="134">
        <v>22.328534459071129</v>
      </c>
      <c r="DV11" s="133">
        <v>26.472228833375983</v>
      </c>
      <c r="DW11" s="133">
        <v>30.840402799197456</v>
      </c>
      <c r="DX11" s="133">
        <v>33.797278637926439</v>
      </c>
      <c r="DY11" s="133">
        <v>36.590558272476237</v>
      </c>
      <c r="DZ11" s="133">
        <v>40.129896224092384</v>
      </c>
      <c r="EA11" s="81"/>
      <c r="EB11" s="81">
        <v>10</v>
      </c>
      <c r="EC11" s="133">
        <v>12.837041760338757</v>
      </c>
      <c r="ED11" s="133">
        <v>13.879908556723931</v>
      </c>
      <c r="EE11" s="133">
        <v>14.844345508259314</v>
      </c>
      <c r="EF11" s="133">
        <v>16.03974125595613</v>
      </c>
      <c r="EG11" s="133">
        <v>18.25192448306635</v>
      </c>
      <c r="EH11" s="134">
        <v>21.078990547021498</v>
      </c>
      <c r="EI11" s="133">
        <v>24.34394482037515</v>
      </c>
      <c r="EJ11" s="133">
        <v>27.70143454255712</v>
      </c>
      <c r="EK11" s="133">
        <v>29.932194870713701</v>
      </c>
      <c r="EL11" s="133">
        <v>32.012015112749054</v>
      </c>
      <c r="EM11" s="133">
        <v>34.612635120826788</v>
      </c>
      <c r="EN11" s="81"/>
      <c r="EO11" s="81">
        <v>12</v>
      </c>
      <c r="EP11" s="133">
        <v>13.818761727465855</v>
      </c>
      <c r="EQ11" s="133">
        <v>15.274282906879948</v>
      </c>
      <c r="ER11" s="133">
        <v>16.648152267555272</v>
      </c>
      <c r="ES11" s="133">
        <v>18.386196258612223</v>
      </c>
      <c r="ET11" s="133">
        <v>21.698686313933027</v>
      </c>
      <c r="EU11" s="134">
        <v>26.098697469000022</v>
      </c>
      <c r="EV11" s="133">
        <v>31.390933060358488</v>
      </c>
      <c r="EW11" s="133">
        <v>37.046379794805944</v>
      </c>
      <c r="EX11" s="133">
        <v>40.91397042936898</v>
      </c>
      <c r="EY11" s="133">
        <v>44.594041745264754</v>
      </c>
      <c r="EZ11" s="133">
        <v>49.2911031402015</v>
      </c>
      <c r="FA11" s="81"/>
      <c r="FB11" s="81">
        <v>10</v>
      </c>
      <c r="FC11" s="133">
        <v>5.9938950690196968</v>
      </c>
      <c r="FD11" s="133">
        <v>6.6905145124882353</v>
      </c>
      <c r="FE11" s="133">
        <v>7.3540642574813644</v>
      </c>
      <c r="FF11" s="133">
        <v>8.2011759273083786</v>
      </c>
      <c r="FG11" s="133">
        <v>9.8369881586831518</v>
      </c>
      <c r="FH11" s="134">
        <v>12.047564008178234</v>
      </c>
      <c r="FI11" s="133">
        <v>14.754902231231465</v>
      </c>
      <c r="FJ11" s="133">
        <v>17.697925250920406</v>
      </c>
      <c r="FK11" s="133">
        <v>19.736542060194171</v>
      </c>
      <c r="FL11" s="133">
        <v>21.693966623976713</v>
      </c>
      <c r="FM11" s="133">
        <v>24.215271849076583</v>
      </c>
      <c r="FN11" s="81"/>
      <c r="FO11" s="81">
        <v>10</v>
      </c>
      <c r="FP11" s="133">
        <v>5.8394695303286106</v>
      </c>
      <c r="FQ11" s="133">
        <v>6.4615898769660305</v>
      </c>
      <c r="FR11" s="133">
        <v>7.0494058484911735</v>
      </c>
      <c r="FS11" s="133">
        <v>7.7937894307680109</v>
      </c>
      <c r="FT11" s="133">
        <v>9.2145634274090167</v>
      </c>
      <c r="FU11" s="134">
        <v>11.105410157753889</v>
      </c>
      <c r="FV11" s="133">
        <v>13.384262395448244</v>
      </c>
      <c r="FW11" s="133">
        <v>15.824155356964791</v>
      </c>
      <c r="FX11" s="133">
        <v>17.495110569969562</v>
      </c>
      <c r="FY11" s="133">
        <v>19.086654696483379</v>
      </c>
      <c r="FZ11" s="133">
        <v>21.12009218155864</v>
      </c>
      <c r="GA11" s="81"/>
      <c r="GB11" s="81">
        <v>12</v>
      </c>
      <c r="GC11" s="133">
        <v>6.9279625154110533</v>
      </c>
      <c r="GD11" s="133">
        <v>7.7797190525869695</v>
      </c>
      <c r="GE11" s="133">
        <v>8.5955731436919045</v>
      </c>
      <c r="GF11" s="133">
        <v>9.6429432986211747</v>
      </c>
      <c r="GG11" s="133">
        <v>11.681796783767812</v>
      </c>
      <c r="GH11" s="134">
        <v>14.466221172751908</v>
      </c>
      <c r="GI11" s="133">
        <v>17.914329352977983</v>
      </c>
      <c r="GJ11" s="133">
        <v>21.702041434683</v>
      </c>
      <c r="GK11" s="133">
        <v>24.34643409119904</v>
      </c>
      <c r="GL11" s="133">
        <v>26.89962884320185</v>
      </c>
      <c r="GM11" s="133">
        <v>30.206796666907042</v>
      </c>
      <c r="GN11" s="81"/>
      <c r="GO11" s="81">
        <v>10</v>
      </c>
      <c r="GP11" s="133">
        <f t="shared" si="63"/>
        <v>0.32817604901095415</v>
      </c>
      <c r="GQ11" s="133">
        <f t="shared" si="64"/>
        <v>0.37476690654614481</v>
      </c>
      <c r="GR11" s="133">
        <f t="shared" si="65"/>
        <v>0.41040463389091852</v>
      </c>
      <c r="GS11" s="133">
        <f t="shared" si="351"/>
        <v>0.44779626977272291</v>
      </c>
      <c r="GT11" s="133">
        <f t="shared" si="352"/>
        <v>0.50525068432610687</v>
      </c>
      <c r="GU11" s="134">
        <f t="shared" si="353"/>
        <v>0.55912892759231825</v>
      </c>
      <c r="GV11" s="133">
        <f t="shared" si="354"/>
        <v>0.60799371460728069</v>
      </c>
      <c r="GW11" s="133">
        <f t="shared" si="66"/>
        <v>0.65077494779637002</v>
      </c>
      <c r="GX11" s="133">
        <f t="shared" si="67"/>
        <v>0.67436818290913314</v>
      </c>
      <c r="GY11" s="133">
        <f t="shared" si="68"/>
        <v>0.6941450280820709</v>
      </c>
      <c r="GZ11" s="133">
        <f t="shared" si="69"/>
        <v>0.71641400842847736</v>
      </c>
      <c r="HA11" s="81"/>
      <c r="HB11" s="81">
        <v>10</v>
      </c>
      <c r="HC11" s="133">
        <f t="shared" si="70"/>
        <v>0.3237304349476553</v>
      </c>
      <c r="HD11" s="133">
        <f t="shared" si="71"/>
        <v>0.37045843244680027</v>
      </c>
      <c r="HE11" s="133">
        <f t="shared" si="72"/>
        <v>0.40621838351536876</v>
      </c>
      <c r="HF11" s="133">
        <f t="shared" si="355"/>
        <v>0.44375634881285353</v>
      </c>
      <c r="HG11" s="133">
        <f t="shared" si="356"/>
        <v>0.49992230927706377</v>
      </c>
      <c r="HH11" s="134">
        <f t="shared" si="357"/>
        <v>0.55563898981646231</v>
      </c>
      <c r="HI11" s="133">
        <f t="shared" si="358"/>
        <v>0.60607131502471778</v>
      </c>
      <c r="HJ11" s="133">
        <f t="shared" si="73"/>
        <v>0.64786318164217782</v>
      </c>
      <c r="HK11" s="133">
        <f t="shared" si="74"/>
        <v>0.67162266305103679</v>
      </c>
      <c r="HL11" s="133">
        <f t="shared" si="75"/>
        <v>0.69154414532498654</v>
      </c>
      <c r="HM11" s="133">
        <f t="shared" si="76"/>
        <v>0.71398164351563032</v>
      </c>
      <c r="HN11" s="81"/>
      <c r="HO11" s="81">
        <v>12</v>
      </c>
      <c r="HP11" s="83">
        <f t="shared" si="77"/>
        <v>0.35202885520892413</v>
      </c>
      <c r="HQ11" s="83">
        <f t="shared" si="78"/>
        <v>0.39542530376112217</v>
      </c>
      <c r="HR11" s="83">
        <f t="shared" si="79"/>
        <v>0.42900047435890243</v>
      </c>
      <c r="HS11" s="83">
        <f t="shared" si="359"/>
        <v>0.46448927205671559</v>
      </c>
      <c r="HT11" s="83">
        <f t="shared" si="360"/>
        <v>0.51792401459633186</v>
      </c>
      <c r="HU11" s="84">
        <f t="shared" si="361"/>
        <v>0.57120529888859883</v>
      </c>
      <c r="HV11" s="83">
        <f t="shared" si="362"/>
        <v>0.61959138612490416</v>
      </c>
      <c r="HW11" s="83">
        <f t="shared" si="80"/>
        <v>0.65976697367568049</v>
      </c>
      <c r="HX11" s="83">
        <f t="shared" si="81"/>
        <v>0.682631598428599</v>
      </c>
      <c r="HY11" s="83">
        <f t="shared" si="82"/>
        <v>0.70181357110177733</v>
      </c>
      <c r="HZ11" s="83">
        <f t="shared" si="83"/>
        <v>0.72342809013069476</v>
      </c>
      <c r="IA11" s="81"/>
      <c r="IB11" s="81">
        <v>10</v>
      </c>
      <c r="IC11" s="83">
        <f t="shared" si="84"/>
        <v>0.24583624604084406</v>
      </c>
      <c r="ID11" s="83">
        <f t="shared" si="85"/>
        <v>0.27288942128451832</v>
      </c>
      <c r="IE11" s="83">
        <f t="shared" si="86"/>
        <v>0.2915728932957829</v>
      </c>
      <c r="IF11" s="83">
        <f t="shared" si="363"/>
        <v>0.30983114222882263</v>
      </c>
      <c r="IG11" s="83">
        <f t="shared" si="364"/>
        <v>0.33519095439425867</v>
      </c>
      <c r="IH11" s="84">
        <f t="shared" si="365"/>
        <v>0.35856957083699559</v>
      </c>
      <c r="II11" s="83">
        <f t="shared" si="366"/>
        <v>0.37853364336954892</v>
      </c>
      <c r="IJ11" s="83">
        <f t="shared" si="87"/>
        <v>0.39436361826006622</v>
      </c>
      <c r="IK11" s="83">
        <f t="shared" si="88"/>
        <v>0.40311036981621262</v>
      </c>
      <c r="IL11" s="83">
        <f t="shared" si="89"/>
        <v>0.41031488852168208</v>
      </c>
      <c r="IM11" s="83">
        <f t="shared" si="90"/>
        <v>0.41829681505471572</v>
      </c>
      <c r="IN11" s="81"/>
      <c r="IO11" s="81">
        <v>10</v>
      </c>
      <c r="IP11" s="133">
        <f t="shared" si="91"/>
        <v>0.24317653964066252</v>
      </c>
      <c r="IQ11" s="133">
        <f t="shared" si="92"/>
        <v>0.27056392423882658</v>
      </c>
      <c r="IR11" s="133">
        <f t="shared" si="93"/>
        <v>0.28945688237427519</v>
      </c>
      <c r="IS11" s="133">
        <f t="shared" si="367"/>
        <v>0.30791135443389694</v>
      </c>
      <c r="IT11" s="133">
        <f t="shared" si="368"/>
        <v>0.33353798290536196</v>
      </c>
      <c r="IU11" s="134">
        <f t="shared" si="369"/>
        <v>0.35716254676201176</v>
      </c>
      <c r="IV11" s="133">
        <f t="shared" si="370"/>
        <v>0.37733959269662026</v>
      </c>
      <c r="IW11" s="133">
        <f t="shared" si="94"/>
        <v>0.39334146494659267</v>
      </c>
      <c r="IX11" s="133">
        <f t="shared" si="95"/>
        <v>0.40218456716983841</v>
      </c>
      <c r="IY11" s="133">
        <f t="shared" si="96"/>
        <v>0.40946924518130468</v>
      </c>
      <c r="IZ11" s="133">
        <f t="shared" si="97"/>
        <v>0.41754086351493136</v>
      </c>
      <c r="JA11" s="81"/>
      <c r="JB11" s="81">
        <v>12</v>
      </c>
      <c r="JC11" s="133">
        <f t="shared" si="98"/>
        <v>0.2601912479068057</v>
      </c>
      <c r="JD11" s="133">
        <f t="shared" si="99"/>
        <v>0.28395945585419424</v>
      </c>
      <c r="JE11" s="133">
        <f t="shared" si="100"/>
        <v>0.30086031308689981</v>
      </c>
      <c r="JF11" s="133">
        <f t="shared" si="371"/>
        <v>0.31765871578158122</v>
      </c>
      <c r="JG11" s="133">
        <f t="shared" si="372"/>
        <v>0.34133857045283306</v>
      </c>
      <c r="JH11" s="134">
        <f t="shared" si="373"/>
        <v>0.36343406175601439</v>
      </c>
      <c r="JI11" s="133">
        <f t="shared" si="374"/>
        <v>0.38245172634741958</v>
      </c>
      <c r="JJ11" s="133">
        <f t="shared" si="101"/>
        <v>0.3976072827057181</v>
      </c>
      <c r="JK11" s="133">
        <f t="shared" si="102"/>
        <v>0.4060053345986811</v>
      </c>
      <c r="JL11" s="133">
        <f t="shared" si="103"/>
        <v>0.41293387614884258</v>
      </c>
      <c r="JM11" s="133">
        <f t="shared" si="104"/>
        <v>0.42062081501779314</v>
      </c>
      <c r="JN11" s="81"/>
      <c r="JO11" s="81">
        <v>9</v>
      </c>
      <c r="JP11" s="133">
        <f t="shared" si="105"/>
        <v>-6.6438547269315791</v>
      </c>
      <c r="JQ11" s="133">
        <f t="shared" si="106"/>
        <v>-5.5509272057756096</v>
      </c>
      <c r="JR11" s="133">
        <f t="shared" si="107"/>
        <v>-4.5998991228991741</v>
      </c>
      <c r="JS11" s="133">
        <f t="shared" si="375"/>
        <v>-3.4912713085586979</v>
      </c>
      <c r="JT11" s="133">
        <f t="shared" si="376"/>
        <v>-1.6143125037172688</v>
      </c>
      <c r="JU11" s="134">
        <f t="shared" si="377"/>
        <v>0.51602967927639298</v>
      </c>
      <c r="JV11" s="133">
        <f t="shared" si="378"/>
        <v>2.6842001873422667</v>
      </c>
      <c r="JW11" s="133">
        <f t="shared" si="108"/>
        <v>4.6597710018702934</v>
      </c>
      <c r="JX11" s="133">
        <f t="shared" si="109"/>
        <v>5.8571455215983086</v>
      </c>
      <c r="JY11" s="133">
        <f t="shared" si="110"/>
        <v>6.9033684410749672</v>
      </c>
      <c r="JZ11" s="133">
        <f t="shared" si="111"/>
        <v>8.1285585449495059</v>
      </c>
      <c r="KA11" s="81"/>
      <c r="KB11" s="81">
        <v>9</v>
      </c>
      <c r="KC11" s="133">
        <f t="shared" si="112"/>
        <v>-5.4542584495983499</v>
      </c>
      <c r="KD11" s="133">
        <f t="shared" si="113"/>
        <v>-4.5590898519460969</v>
      </c>
      <c r="KE11" s="133">
        <f t="shared" si="114"/>
        <v>-3.7606177790175721</v>
      </c>
      <c r="KF11" s="133">
        <f t="shared" si="379"/>
        <v>-2.8085491592808314</v>
      </c>
      <c r="KG11" s="133">
        <f t="shared" si="380"/>
        <v>-1.1486804703880189</v>
      </c>
      <c r="KH11" s="134">
        <f t="shared" si="381"/>
        <v>0.80143702949431628</v>
      </c>
      <c r="KI11" s="133">
        <f t="shared" si="382"/>
        <v>2.8510694068721847</v>
      </c>
      <c r="KJ11" s="133">
        <f t="shared" si="115"/>
        <v>4.7703426134487099</v>
      </c>
      <c r="KK11" s="133">
        <f t="shared" si="116"/>
        <v>5.955853085158795</v>
      </c>
      <c r="KL11" s="133">
        <f t="shared" si="117"/>
        <v>7.0047243119614659</v>
      </c>
      <c r="KM11" s="133">
        <f t="shared" si="118"/>
        <v>8.2478041967814608</v>
      </c>
      <c r="KN11" s="81"/>
      <c r="KO11" s="81">
        <v>11</v>
      </c>
      <c r="KP11" s="133">
        <f t="shared" si="119"/>
        <v>-9.1009230502840932</v>
      </c>
      <c r="KQ11" s="133">
        <f t="shared" si="120"/>
        <v>-7.7018776677098124</v>
      </c>
      <c r="KR11" s="133">
        <f t="shared" si="121"/>
        <v>-6.5056930927696897</v>
      </c>
      <c r="KS11" s="133">
        <f t="shared" si="383"/>
        <v>-5.1338582404432387</v>
      </c>
      <c r="KT11" s="133">
        <f t="shared" si="384"/>
        <v>-2.8608566235724453</v>
      </c>
      <c r="KU11" s="134">
        <f t="shared" si="385"/>
        <v>-0.34733469095244018</v>
      </c>
      <c r="KV11" s="133">
        <f t="shared" si="386"/>
        <v>2.1479180566759801</v>
      </c>
      <c r="KW11" s="133">
        <f t="shared" si="122"/>
        <v>4.3729058159282701</v>
      </c>
      <c r="KX11" s="133">
        <f t="shared" si="123"/>
        <v>5.7010283113795808</v>
      </c>
      <c r="KY11" s="133">
        <f t="shared" si="124"/>
        <v>6.8497660488582746</v>
      </c>
      <c r="KZ11" s="133">
        <f t="shared" si="125"/>
        <v>8.1818658939595643</v>
      </c>
      <c r="LA11" s="81"/>
      <c r="LB11" s="81">
        <v>9</v>
      </c>
      <c r="LC11" s="133">
        <f t="shared" si="126"/>
        <v>-19.53084841095048</v>
      </c>
      <c r="LD11" s="133">
        <f t="shared" si="127"/>
        <v>-16.139490450230912</v>
      </c>
      <c r="LE11" s="133">
        <f t="shared" si="128"/>
        <v>-13.123521470890566</v>
      </c>
      <c r="LF11" s="133">
        <f t="shared" si="387"/>
        <v>-9.542500274485139</v>
      </c>
      <c r="LG11" s="133">
        <f t="shared" si="388"/>
        <v>-3.344588156866898</v>
      </c>
      <c r="LH11" s="134">
        <f t="shared" si="389"/>
        <v>3.8594026955101839</v>
      </c>
      <c r="LI11" s="133">
        <f t="shared" si="390"/>
        <v>11.341741743580307</v>
      </c>
      <c r="LJ11" s="133">
        <f t="shared" si="129"/>
        <v>18.269397150207496</v>
      </c>
      <c r="LK11" s="133">
        <f t="shared" si="130"/>
        <v>22.51254399236899</v>
      </c>
      <c r="LL11" s="133">
        <f t="shared" si="131"/>
        <v>26.244820156875981</v>
      </c>
      <c r="LM11" s="133">
        <f t="shared" si="132"/>
        <v>30.642718632005987</v>
      </c>
      <c r="LN11" s="81"/>
      <c r="LO11" s="81">
        <v>9</v>
      </c>
      <c r="LP11" s="133">
        <f t="shared" si="133"/>
        <v>-17.57605776003161</v>
      </c>
      <c r="LQ11" s="133">
        <f t="shared" si="134"/>
        <v>-14.362806979138025</v>
      </c>
      <c r="LR11" s="133">
        <f t="shared" si="135"/>
        <v>-11.479183255432819</v>
      </c>
      <c r="LS11" s="133">
        <f t="shared" si="391"/>
        <v>-8.0294083169027779</v>
      </c>
      <c r="LT11" s="133">
        <f t="shared" si="392"/>
        <v>-2.0050692442567417</v>
      </c>
      <c r="LU11" s="134">
        <f t="shared" si="393"/>
        <v>5.0647321326035701</v>
      </c>
      <c r="LV11" s="133">
        <f t="shared" si="394"/>
        <v>12.468422591636926</v>
      </c>
      <c r="LW11" s="133">
        <f t="shared" si="136"/>
        <v>19.368389974035477</v>
      </c>
      <c r="LX11" s="133">
        <f t="shared" si="137"/>
        <v>23.613051164916502</v>
      </c>
      <c r="LY11" s="133">
        <f t="shared" si="138"/>
        <v>27.357105608662888</v>
      </c>
      <c r="LZ11" s="133">
        <f t="shared" si="139"/>
        <v>31.780480384925593</v>
      </c>
      <c r="MA11" s="81"/>
      <c r="MB11" s="81">
        <v>11</v>
      </c>
      <c r="MC11" s="133">
        <f t="shared" si="140"/>
        <v>-23.467568408122567</v>
      </c>
      <c r="MD11" s="133">
        <f t="shared" si="141"/>
        <v>-19.879482631386711</v>
      </c>
      <c r="ME11" s="133">
        <f t="shared" si="142"/>
        <v>-16.71156261534982</v>
      </c>
      <c r="MF11" s="133">
        <f t="shared" si="395"/>
        <v>-12.978258930067941</v>
      </c>
      <c r="MG11" s="133">
        <f t="shared" si="396"/>
        <v>-6.5849430312347224</v>
      </c>
      <c r="MH11" s="134">
        <f t="shared" si="397"/>
        <v>0.74816078903749883</v>
      </c>
      <c r="MI11" s="133">
        <f t="shared" si="398"/>
        <v>8.2668511239362417</v>
      </c>
      <c r="MJ11" s="133">
        <f t="shared" si="143"/>
        <v>15.150222776116344</v>
      </c>
      <c r="MK11" s="133">
        <f t="shared" si="144"/>
        <v>19.332927678486037</v>
      </c>
      <c r="ML11" s="133">
        <f t="shared" si="145"/>
        <v>22.992689701927041</v>
      </c>
      <c r="MM11" s="133">
        <f t="shared" si="146"/>
        <v>27.283272924481864</v>
      </c>
      <c r="MN11" s="81"/>
      <c r="MO11" s="81">
        <v>9</v>
      </c>
      <c r="MP11" s="133">
        <f t="shared" si="147"/>
        <v>-19.089520897996788</v>
      </c>
      <c r="MQ11" s="133">
        <f t="shared" si="148"/>
        <v>-14.972748561180367</v>
      </c>
      <c r="MR11" s="133">
        <f t="shared" si="149"/>
        <v>-11.412026193281672</v>
      </c>
      <c r="MS11" s="133">
        <f t="shared" si="399"/>
        <v>-7.2870326219674837</v>
      </c>
      <c r="MT11" s="133">
        <f t="shared" si="400"/>
        <v>-0.36580087172633569</v>
      </c>
      <c r="MU11" s="134">
        <f t="shared" si="401"/>
        <v>7.398129353203224</v>
      </c>
      <c r="MV11" s="133">
        <f t="shared" si="402"/>
        <v>15.205965998845677</v>
      </c>
      <c r="MW11" s="133">
        <f t="shared" si="150"/>
        <v>22.243296245652047</v>
      </c>
      <c r="MX11" s="133">
        <f t="shared" si="151"/>
        <v>26.474959799771533</v>
      </c>
      <c r="MY11" s="133">
        <f t="shared" si="152"/>
        <v>30.152644454434743</v>
      </c>
      <c r="MZ11" s="133">
        <f t="shared" si="153"/>
        <v>34.4368534744548</v>
      </c>
      <c r="NA11" s="81"/>
      <c r="NB11" s="81">
        <v>9</v>
      </c>
      <c r="NC11" s="133">
        <f t="shared" si="154"/>
        <v>-17.33519248699815</v>
      </c>
      <c r="ND11" s="133">
        <f t="shared" si="155"/>
        <v>-13.230595954397797</v>
      </c>
      <c r="NE11" s="133">
        <f t="shared" si="156"/>
        <v>-9.6588183871950122</v>
      </c>
      <c r="NF11" s="133">
        <f t="shared" si="403"/>
        <v>-5.5025588754096333</v>
      </c>
      <c r="NG11" s="133">
        <f t="shared" si="404"/>
        <v>1.5045058849644306</v>
      </c>
      <c r="NH11" s="134">
        <f t="shared" si="405"/>
        <v>9.4018546634326903</v>
      </c>
      <c r="NI11" s="133">
        <f t="shared" si="406"/>
        <v>17.373793398978382</v>
      </c>
      <c r="NJ11" s="133">
        <f t="shared" si="157"/>
        <v>24.579531121514297</v>
      </c>
      <c r="NK11" s="133">
        <f t="shared" si="158"/>
        <v>28.920418038099012</v>
      </c>
      <c r="NL11" s="133">
        <f t="shared" si="159"/>
        <v>32.697368101990293</v>
      </c>
      <c r="NM11" s="133">
        <f t="shared" si="160"/>
        <v>37.101901559983133</v>
      </c>
      <c r="NN11" s="81"/>
      <c r="NO11" s="81">
        <v>11</v>
      </c>
      <c r="NP11" s="133">
        <f t="shared" si="161"/>
        <v>-23.338124973347099</v>
      </c>
      <c r="NQ11" s="133">
        <f t="shared" si="162"/>
        <v>-19.361732322316726</v>
      </c>
      <c r="NR11" s="133">
        <f t="shared" si="163"/>
        <v>-15.938165600912047</v>
      </c>
      <c r="NS11" s="133">
        <f t="shared" si="407"/>
        <v>-11.987563538901963</v>
      </c>
      <c r="NT11" s="133">
        <f t="shared" si="408"/>
        <v>-5.3904991594676339</v>
      </c>
      <c r="NU11" s="134">
        <f t="shared" si="409"/>
        <v>1.9706505305304987</v>
      </c>
      <c r="NV11" s="133">
        <f t="shared" si="410"/>
        <v>9.3388005771293336</v>
      </c>
      <c r="NW11" s="133">
        <f t="shared" si="164"/>
        <v>15.954468621199069</v>
      </c>
      <c r="NX11" s="133">
        <f t="shared" si="165"/>
        <v>19.922295121094827</v>
      </c>
      <c r="NY11" s="133">
        <f t="shared" si="166"/>
        <v>23.364914056354053</v>
      </c>
      <c r="NZ11" s="133">
        <f t="shared" si="167"/>
        <v>27.368939900313812</v>
      </c>
      <c r="OA11" s="81"/>
      <c r="OB11" s="81">
        <v>9</v>
      </c>
      <c r="OC11" s="133">
        <v>13.916788671608339</v>
      </c>
      <c r="OD11" s="133">
        <v>15.424635163767265</v>
      </c>
      <c r="OE11" s="133">
        <v>16.851499683278917</v>
      </c>
      <c r="OF11" s="133">
        <v>18.661159029545235</v>
      </c>
      <c r="OG11" s="133">
        <v>22.122741555385822</v>
      </c>
      <c r="OH11" s="134">
        <v>26.742843192776046</v>
      </c>
      <c r="OI11" s="133">
        <v>32.327804410809847</v>
      </c>
      <c r="OJ11" s="133">
        <v>38.324503901451223</v>
      </c>
      <c r="OK11" s="133">
        <v>42.440119602117839</v>
      </c>
      <c r="OL11" s="133">
        <v>46.36606664858936</v>
      </c>
      <c r="OM11" s="133">
        <v>51.389704831291084</v>
      </c>
      <c r="ON11" s="81"/>
      <c r="OO11" s="81">
        <v>9</v>
      </c>
      <c r="OP11" s="133">
        <v>13.875131234621549</v>
      </c>
      <c r="OQ11" s="133">
        <v>15.394334524072351</v>
      </c>
      <c r="OR11" s="133">
        <v>16.833322298684113</v>
      </c>
      <c r="OS11" s="133">
        <v>18.660104866444044</v>
      </c>
      <c r="OT11" s="133">
        <v>25.27221492344507</v>
      </c>
      <c r="OU11" s="134">
        <v>26.837985143575626</v>
      </c>
      <c r="OV11" s="133">
        <v>32.504570127570808</v>
      </c>
      <c r="OW11" s="133">
        <v>38.599860596820179</v>
      </c>
      <c r="OX11" s="133">
        <v>42.788787251052106</v>
      </c>
      <c r="OY11" s="133">
        <v>46.788475685030576</v>
      </c>
      <c r="OZ11" s="133">
        <v>51.911397044629958</v>
      </c>
      <c r="PA11" s="81"/>
      <c r="PB11" s="81">
        <v>11</v>
      </c>
      <c r="PC11" s="133">
        <v>15.912296545304795</v>
      </c>
      <c r="PD11" s="133">
        <v>17.584594144528229</v>
      </c>
      <c r="PE11" s="133">
        <v>19.162768243912847</v>
      </c>
      <c r="PF11" s="133">
        <v>21.158879183716991</v>
      </c>
      <c r="PG11" s="133">
        <v>24.962131660163294</v>
      </c>
      <c r="PH11" s="134">
        <v>30.012145437559518</v>
      </c>
      <c r="PI11" s="133">
        <v>36.083812313300356</v>
      </c>
      <c r="PJ11" s="133">
        <v>42.569781978734923</v>
      </c>
      <c r="PK11" s="133">
        <v>47.004110382191058</v>
      </c>
      <c r="PL11" s="133">
        <v>51.222613747130666</v>
      </c>
      <c r="PM11" s="133">
        <v>56.605837579805581</v>
      </c>
      <c r="PN11" s="81"/>
      <c r="PO11" s="81">
        <v>9</v>
      </c>
      <c r="PP11" s="133">
        <v>6.7152724506594552</v>
      </c>
      <c r="PQ11" s="133">
        <v>7.3200804680821649</v>
      </c>
      <c r="PR11" s="133">
        <v>7.8836399630967335</v>
      </c>
      <c r="PS11" s="133">
        <v>8.5874447174224446</v>
      </c>
      <c r="PT11" s="133">
        <v>9.9041070581580541</v>
      </c>
      <c r="PU11" s="134">
        <v>11.610896588942785</v>
      </c>
      <c r="PV11" s="133">
        <v>13.611819703430733</v>
      </c>
      <c r="PW11" s="133">
        <v>15.698839880227817</v>
      </c>
      <c r="PX11" s="133">
        <v>17.100339466310178</v>
      </c>
      <c r="PY11" s="133">
        <v>18.416863064135651</v>
      </c>
      <c r="PZ11" s="133">
        <v>20.075569619797669</v>
      </c>
      <c r="QA11" s="81"/>
      <c r="QB11" s="81">
        <v>9</v>
      </c>
      <c r="QC11" s="133">
        <v>6.8432389649557415</v>
      </c>
      <c r="QD11" s="133">
        <v>7.4204967059025879</v>
      </c>
      <c r="QE11" s="133">
        <v>7.9557690326525696</v>
      </c>
      <c r="QF11" s="133">
        <v>8.6209986822865563</v>
      </c>
      <c r="QG11" s="133">
        <v>9.8567997927794977</v>
      </c>
      <c r="QH11" s="134">
        <v>11.444082980155898</v>
      </c>
      <c r="QI11" s="133">
        <v>13.28697325805811</v>
      </c>
      <c r="QJ11" s="133">
        <v>15.191631513155201</v>
      </c>
      <c r="QK11" s="133">
        <v>16.461895100168285</v>
      </c>
      <c r="QL11" s="133">
        <v>17.649362360408695</v>
      </c>
      <c r="QM11" s="133">
        <v>19.13816482624334</v>
      </c>
      <c r="QN11" s="81"/>
      <c r="QO11" s="81">
        <v>11</v>
      </c>
      <c r="QP11" s="133">
        <v>7.0697759384852139</v>
      </c>
      <c r="QQ11" s="133">
        <v>7.7410906229676515</v>
      </c>
      <c r="QR11" s="133">
        <v>8.3692254660192269</v>
      </c>
      <c r="QS11" s="133">
        <v>9.1569400008846387</v>
      </c>
      <c r="QT11" s="133">
        <v>10.639417877005723</v>
      </c>
      <c r="QU11" s="134">
        <v>12.57630213474291</v>
      </c>
      <c r="QV11" s="133">
        <v>14.865792209004889</v>
      </c>
      <c r="QW11" s="133">
        <v>17.272514111598323</v>
      </c>
      <c r="QX11" s="133">
        <v>18.898209401397391</v>
      </c>
      <c r="QY11" s="133">
        <v>20.431665651228993</v>
      </c>
      <c r="QZ11" s="133">
        <v>22.371766341753037</v>
      </c>
      <c r="RA11" s="81"/>
      <c r="RB11" s="81">
        <v>9</v>
      </c>
      <c r="RC11" s="133">
        <f t="shared" si="168"/>
        <v>0.28129915920038334</v>
      </c>
      <c r="RD11" s="133">
        <f t="shared" si="169"/>
        <v>0.30177944173328541</v>
      </c>
      <c r="RE11" s="133">
        <f t="shared" si="170"/>
        <v>0.32077933374328993</v>
      </c>
      <c r="RF11" s="133">
        <f t="shared" si="411"/>
        <v>0.34442224255454806</v>
      </c>
      <c r="RG11" s="133">
        <f t="shared" si="412"/>
        <v>0.38848781117232339</v>
      </c>
      <c r="RH11" s="134">
        <f t="shared" si="413"/>
        <v>0.44547244123722241</v>
      </c>
      <c r="RI11" s="133">
        <f t="shared" si="414"/>
        <v>0.51232352256246716</v>
      </c>
      <c r="RJ11" s="133">
        <f t="shared" si="171"/>
        <v>0.58231823837193974</v>
      </c>
      <c r="RK11" s="133">
        <f t="shared" si="172"/>
        <v>0.62955456730077353</v>
      </c>
      <c r="RL11" s="133">
        <f t="shared" si="173"/>
        <v>0.6741340268971816</v>
      </c>
      <c r="RM11" s="133">
        <f t="shared" si="174"/>
        <v>0.73062108328447484</v>
      </c>
      <c r="RN11" s="81"/>
      <c r="RO11" s="81">
        <v>9</v>
      </c>
      <c r="RP11" s="133">
        <f t="shared" si="175"/>
        <v>0.29465096695333054</v>
      </c>
      <c r="RQ11" s="133">
        <f t="shared" si="176"/>
        <v>0.31458152962273017</v>
      </c>
      <c r="RR11" s="133">
        <f t="shared" si="177"/>
        <v>0.33304632507574899</v>
      </c>
      <c r="RS11" s="133">
        <f t="shared" si="415"/>
        <v>0.3559973222860609</v>
      </c>
      <c r="RT11" s="133">
        <f t="shared" si="416"/>
        <v>0.3987215240750791</v>
      </c>
      <c r="RU11" s="134">
        <f t="shared" si="417"/>
        <v>0.45392574459625828</v>
      </c>
      <c r="RV11" s="133">
        <f t="shared" si="418"/>
        <v>0.51869863178510722</v>
      </c>
      <c r="RW11" s="133">
        <f t="shared" si="178"/>
        <v>0.58660049103799805</v>
      </c>
      <c r="RX11" s="133">
        <f t="shared" si="179"/>
        <v>0.63250018316987422</v>
      </c>
      <c r="RY11" s="133">
        <f t="shared" si="180"/>
        <v>0.67588750824836574</v>
      </c>
      <c r="RZ11" s="133">
        <f t="shared" si="181"/>
        <v>0.7309737509571238</v>
      </c>
      <c r="SA11" s="81"/>
      <c r="SB11" s="81">
        <v>11</v>
      </c>
      <c r="SC11" s="133">
        <f t="shared" si="182"/>
        <v>0.25081956586747323</v>
      </c>
      <c r="SD11" s="133">
        <f t="shared" si="183"/>
        <v>0.27182995847406388</v>
      </c>
      <c r="SE11" s="133">
        <f t="shared" si="184"/>
        <v>0.29132203409148655</v>
      </c>
      <c r="SF11" s="133">
        <f t="shared" si="419"/>
        <v>0.31556056479623223</v>
      </c>
      <c r="SG11" s="133">
        <f t="shared" si="420"/>
        <v>0.36063220377213895</v>
      </c>
      <c r="SH11" s="134">
        <f t="shared" si="421"/>
        <v>0.41860969343569243</v>
      </c>
      <c r="SI11" s="133">
        <f t="shared" si="422"/>
        <v>0.48604869080500024</v>
      </c>
      <c r="SJ11" s="133">
        <f t="shared" si="185"/>
        <v>0.55588935030464737</v>
      </c>
      <c r="SK11" s="133">
        <f t="shared" si="186"/>
        <v>0.60254665377662153</v>
      </c>
      <c r="SL11" s="133">
        <f t="shared" si="187"/>
        <v>0.64621892726715879</v>
      </c>
      <c r="SM11" s="133">
        <f t="shared" si="188"/>
        <v>0.70104886500150154</v>
      </c>
      <c r="SN11" s="81"/>
      <c r="SO11" s="81">
        <v>9</v>
      </c>
      <c r="SP11" s="133">
        <f t="shared" si="189"/>
        <v>0.21888554991772682</v>
      </c>
      <c r="SQ11" s="133">
        <f t="shared" si="190"/>
        <v>0.23148967813838917</v>
      </c>
      <c r="SR11" s="133">
        <f t="shared" si="191"/>
        <v>0.24275682927436878</v>
      </c>
      <c r="SS11" s="133">
        <f t="shared" si="423"/>
        <v>0.25625001283058424</v>
      </c>
      <c r="ST11" s="133">
        <f t="shared" si="424"/>
        <v>0.27999596737426902</v>
      </c>
      <c r="SU11" s="134">
        <f t="shared" si="425"/>
        <v>0.30835925597724267</v>
      </c>
      <c r="SV11" s="133">
        <f t="shared" si="426"/>
        <v>0.33881571102133656</v>
      </c>
      <c r="SW11" s="133">
        <f t="shared" si="192"/>
        <v>0.36800426271851933</v>
      </c>
      <c r="SX11" s="133">
        <f t="shared" si="193"/>
        <v>0.38637822552870704</v>
      </c>
      <c r="SY11" s="133">
        <f t="shared" si="194"/>
        <v>0.40286237631338134</v>
      </c>
      <c r="SZ11" s="133">
        <f t="shared" si="195"/>
        <v>0.42268301765251476</v>
      </c>
      <c r="TA11" s="81"/>
      <c r="TB11" s="81">
        <v>9</v>
      </c>
      <c r="TC11" s="133">
        <f t="shared" si="196"/>
        <v>0.22697543629358985</v>
      </c>
      <c r="TD11" s="133">
        <f t="shared" si="197"/>
        <v>0.23896983015984638</v>
      </c>
      <c r="TE11" s="133">
        <f t="shared" si="198"/>
        <v>0.24969998253435613</v>
      </c>
      <c r="TF11" s="133">
        <f t="shared" si="427"/>
        <v>0.26256199653620083</v>
      </c>
      <c r="TG11" s="133">
        <f t="shared" si="428"/>
        <v>0.28523408438999637</v>
      </c>
      <c r="TH11" s="134">
        <f t="shared" si="429"/>
        <v>0.31238574515913597</v>
      </c>
      <c r="TI11" s="133">
        <f t="shared" si="430"/>
        <v>0.34163780509942465</v>
      </c>
      <c r="TJ11" s="133">
        <f t="shared" si="199"/>
        <v>0.36977367800628497</v>
      </c>
      <c r="TK11" s="133">
        <f t="shared" si="200"/>
        <v>0.38753839494553743</v>
      </c>
      <c r="TL11" s="133">
        <f t="shared" si="201"/>
        <v>0.4035120332295023</v>
      </c>
      <c r="TM11" s="133">
        <f t="shared" si="202"/>
        <v>0.42276476971159427</v>
      </c>
      <c r="TN11" s="81"/>
      <c r="TO11" s="81">
        <v>11</v>
      </c>
      <c r="TP11" s="133">
        <f t="shared" si="203"/>
        <v>0.19941752299350612</v>
      </c>
      <c r="TQ11" s="133">
        <f t="shared" si="204"/>
        <v>0.21312334669955713</v>
      </c>
      <c r="TR11" s="133">
        <f t="shared" si="205"/>
        <v>0.22532286872651958</v>
      </c>
      <c r="TS11" s="133">
        <f t="shared" si="431"/>
        <v>0.23986443108943148</v>
      </c>
      <c r="TT11" s="133">
        <f t="shared" si="432"/>
        <v>0.26526812791099141</v>
      </c>
      <c r="TU11" s="134">
        <f t="shared" si="433"/>
        <v>0.29529065357599221</v>
      </c>
      <c r="TV11" s="133">
        <f t="shared" si="434"/>
        <v>0.32713714593623106</v>
      </c>
      <c r="TW11" s="133">
        <f t="shared" si="206"/>
        <v>0.35728132317209649</v>
      </c>
      <c r="TX11" s="133">
        <f t="shared" si="207"/>
        <v>0.3760713842124056</v>
      </c>
      <c r="TY11" s="133">
        <f t="shared" si="208"/>
        <v>0.39280931059417212</v>
      </c>
      <c r="TZ11" s="133">
        <f t="shared" si="209"/>
        <v>0.41278827169874904</v>
      </c>
      <c r="UA11" s="81"/>
      <c r="UB11" s="81">
        <v>9</v>
      </c>
      <c r="UC11" s="133">
        <f t="shared" si="210"/>
        <v>-24.676952628575393</v>
      </c>
      <c r="UD11" s="133">
        <f t="shared" si="211"/>
        <v>-21.939591402528904</v>
      </c>
      <c r="UE11" s="133">
        <f t="shared" si="212"/>
        <v>-19.643943933157729</v>
      </c>
      <c r="UF11" s="133">
        <f t="shared" si="435"/>
        <v>-17.05758621831135</v>
      </c>
      <c r="UG11" s="133">
        <f t="shared" si="436"/>
        <v>-12.870661224022385</v>
      </c>
      <c r="UH11" s="134">
        <f t="shared" si="437"/>
        <v>-8.3674348010936441</v>
      </c>
      <c r="UI11" s="133">
        <f t="shared" si="438"/>
        <v>-4.0125303010108055</v>
      </c>
      <c r="UJ11" s="133">
        <f t="shared" si="213"/>
        <v>-0.21564308537156762</v>
      </c>
      <c r="UK11" s="133">
        <f t="shared" si="214"/>
        <v>2.0153618325279865</v>
      </c>
      <c r="UL11" s="133">
        <f t="shared" si="215"/>
        <v>3.9250632028725221</v>
      </c>
      <c r="UM11" s="133">
        <f t="shared" si="216"/>
        <v>6.1175555256473473</v>
      </c>
      <c r="UN11" s="81"/>
      <c r="UO11" s="81">
        <v>9</v>
      </c>
      <c r="UP11" s="133">
        <f t="shared" si="217"/>
        <v>-22.258489525744622</v>
      </c>
      <c r="UQ11" s="133">
        <f t="shared" si="218"/>
        <v>-19.903427614073358</v>
      </c>
      <c r="UR11" s="133">
        <f t="shared" si="219"/>
        <v>-17.884298086606613</v>
      </c>
      <c r="US11" s="133">
        <f t="shared" si="439"/>
        <v>-15.562610100740219</v>
      </c>
      <c r="UT11" s="133">
        <f t="shared" si="440"/>
        <v>-11.702295008239364</v>
      </c>
      <c r="UU11" s="134">
        <f t="shared" si="441"/>
        <v>-7.4153019900984241</v>
      </c>
      <c r="UV11" s="133">
        <f t="shared" si="442"/>
        <v>-3.1421520299862777</v>
      </c>
      <c r="UW11" s="133">
        <f t="shared" si="220"/>
        <v>0.6815522876094775</v>
      </c>
      <c r="UX11" s="133">
        <f t="shared" si="221"/>
        <v>2.9695965600070124</v>
      </c>
      <c r="UY11" s="133">
        <f t="shared" si="222"/>
        <v>4.9518333395080489</v>
      </c>
      <c r="UZ11" s="133">
        <f t="shared" si="223"/>
        <v>7.2540872388240061</v>
      </c>
      <c r="VA11" s="81"/>
      <c r="VB11" s="81">
        <v>12</v>
      </c>
      <c r="VC11" s="133">
        <f t="shared" si="224"/>
        <v>-29.992304571962741</v>
      </c>
      <c r="VD11" s="133">
        <f t="shared" si="225"/>
        <v>-26.404763816485847</v>
      </c>
      <c r="VE11" s="133">
        <f t="shared" si="226"/>
        <v>-23.486447547930233</v>
      </c>
      <c r="VF11" s="133">
        <f t="shared" si="443"/>
        <v>-20.280485186637485</v>
      </c>
      <c r="VG11" s="133">
        <f t="shared" si="444"/>
        <v>-15.242311436662753</v>
      </c>
      <c r="VH11" s="134">
        <f t="shared" si="445"/>
        <v>-9.9934334160609595</v>
      </c>
      <c r="VI11" s="133">
        <f t="shared" si="446"/>
        <v>-5.0528531470981477</v>
      </c>
      <c r="VJ11" s="133">
        <f t="shared" si="227"/>
        <v>-0.83604472155781195</v>
      </c>
      <c r="VK11" s="133">
        <f t="shared" si="228"/>
        <v>1.6072030458303317</v>
      </c>
      <c r="VL11" s="133">
        <f t="shared" si="229"/>
        <v>3.6801068824110814</v>
      </c>
      <c r="VM11" s="133">
        <f t="shared" si="230"/>
        <v>6.040369090141823</v>
      </c>
      <c r="VN11" s="81"/>
      <c r="VO11" s="81">
        <v>9</v>
      </c>
      <c r="VP11" s="133">
        <f t="shared" si="231"/>
        <v>-45.925264051145831</v>
      </c>
      <c r="VQ11" s="133">
        <f t="shared" si="232"/>
        <v>-42.863027443685567</v>
      </c>
      <c r="VR11" s="133">
        <f t="shared" si="233"/>
        <v>-39.940531178440366</v>
      </c>
      <c r="VS11" s="133">
        <f t="shared" si="447"/>
        <v>-36.252834565377043</v>
      </c>
      <c r="VT11" s="133">
        <f t="shared" si="448"/>
        <v>-29.374395570748849</v>
      </c>
      <c r="VU11" s="134">
        <f t="shared" si="449"/>
        <v>-20.686170611389869</v>
      </c>
      <c r="VV11" s="133">
        <f t="shared" si="450"/>
        <v>-10.971452675957188</v>
      </c>
      <c r="VW11" s="133">
        <f t="shared" si="234"/>
        <v>-1.4172071481924604</v>
      </c>
      <c r="VX11" s="133">
        <f t="shared" si="235"/>
        <v>4.6787337828840663</v>
      </c>
      <c r="VY11" s="133">
        <f t="shared" si="236"/>
        <v>10.184936193500683</v>
      </c>
      <c r="VZ11" s="133">
        <f t="shared" si="237"/>
        <v>16.838549953977726</v>
      </c>
      <c r="WA11" s="81"/>
      <c r="WB11" s="81">
        <v>9</v>
      </c>
      <c r="WC11" s="133">
        <f t="shared" si="238"/>
        <v>-43.159599530798978</v>
      </c>
      <c r="WD11" s="133">
        <f t="shared" si="239"/>
        <v>-40.38468058107204</v>
      </c>
      <c r="WE11" s="133">
        <f t="shared" si="240"/>
        <v>-37.649131713580772</v>
      </c>
      <c r="WF11" s="133">
        <f t="shared" si="451"/>
        <v>-34.114601060619208</v>
      </c>
      <c r="WG11" s="133">
        <f t="shared" si="452"/>
        <v>-27.356808990297203</v>
      </c>
      <c r="WH11" s="134">
        <f t="shared" si="453"/>
        <v>-18.622923071540029</v>
      </c>
      <c r="WI11" s="133">
        <f t="shared" si="454"/>
        <v>-8.6893489939113522</v>
      </c>
      <c r="WJ11" s="133">
        <f t="shared" si="241"/>
        <v>1.1982495289076383</v>
      </c>
      <c r="WK11" s="133">
        <f t="shared" si="242"/>
        <v>7.5530263943723099</v>
      </c>
      <c r="WL11" s="133">
        <f t="shared" si="243"/>
        <v>13.318314635055245</v>
      </c>
      <c r="WM11" s="133">
        <f t="shared" si="244"/>
        <v>20.312543641804375</v>
      </c>
      <c r="WN11" s="81"/>
      <c r="WO11" s="81">
        <v>12</v>
      </c>
      <c r="WP11" s="133">
        <f t="shared" si="245"/>
        <v>-49.159058694704648</v>
      </c>
      <c r="WQ11" s="133">
        <f t="shared" si="246"/>
        <v>-45.987658334529172</v>
      </c>
      <c r="WR11" s="133">
        <f t="shared" si="247"/>
        <v>-42.914106993961894</v>
      </c>
      <c r="WS11" s="133">
        <f t="shared" si="455"/>
        <v>-39.014209452537614</v>
      </c>
      <c r="WT11" s="133">
        <f t="shared" si="456"/>
        <v>-31.744254826021525</v>
      </c>
      <c r="WU11" s="134">
        <f t="shared" si="457"/>
        <v>-22.631469320977857</v>
      </c>
      <c r="WV11" s="133">
        <f t="shared" si="458"/>
        <v>-12.561122984807696</v>
      </c>
      <c r="WW11" s="133">
        <f t="shared" si="248"/>
        <v>-2.7794068526839126</v>
      </c>
      <c r="WX11" s="133">
        <f t="shared" si="249"/>
        <v>3.4020533904575956</v>
      </c>
      <c r="WY11" s="133">
        <f t="shared" si="250"/>
        <v>8.9480493541643682</v>
      </c>
      <c r="WZ11" s="133">
        <f t="shared" si="251"/>
        <v>15.604960297713667</v>
      </c>
      <c r="XA11" s="81"/>
      <c r="XB11" s="81">
        <v>9</v>
      </c>
      <c r="XC11" s="133">
        <f t="shared" si="252"/>
        <v>-45.490737974729129</v>
      </c>
      <c r="XD11" s="133">
        <f t="shared" si="253"/>
        <v>-41.662802407052851</v>
      </c>
      <c r="XE11" s="133">
        <f t="shared" si="254"/>
        <v>-38.160502420689625</v>
      </c>
      <c r="XF11" s="133">
        <f t="shared" si="459"/>
        <v>-33.910523736286166</v>
      </c>
      <c r="XG11" s="133">
        <f t="shared" si="460"/>
        <v>-26.37638946035079</v>
      </c>
      <c r="XH11" s="134">
        <f t="shared" si="461"/>
        <v>-17.407462272712742</v>
      </c>
      <c r="XI11" s="133">
        <f t="shared" si="462"/>
        <v>-7.9121528174411324</v>
      </c>
      <c r="XJ11" s="133">
        <f t="shared" si="255"/>
        <v>1.0069928340507914</v>
      </c>
      <c r="XK11" s="133">
        <f t="shared" si="256"/>
        <v>6.5205780377080913</v>
      </c>
      <c r="XL11" s="133">
        <f t="shared" si="257"/>
        <v>11.398378802399257</v>
      </c>
      <c r="XM11" s="133">
        <f t="shared" si="258"/>
        <v>17.17676061166997</v>
      </c>
      <c r="XN11" s="81"/>
      <c r="XO11" s="81">
        <v>9</v>
      </c>
      <c r="XP11" s="133">
        <f t="shared" si="259"/>
        <v>-43.980137652799463</v>
      </c>
      <c r="XQ11" s="133">
        <f t="shared" si="260"/>
        <v>-40.05312784328882</v>
      </c>
      <c r="XR11" s="133">
        <f t="shared" si="261"/>
        <v>-36.428768791923588</v>
      </c>
      <c r="XS11" s="133">
        <f t="shared" si="463"/>
        <v>-32.010672698899029</v>
      </c>
      <c r="XT11" s="133">
        <f t="shared" si="464"/>
        <v>-24.154771867511485</v>
      </c>
      <c r="XU11" s="134">
        <f t="shared" si="465"/>
        <v>-14.791935727180174</v>
      </c>
      <c r="XV11" s="133">
        <f t="shared" si="466"/>
        <v>-4.8837842619589935</v>
      </c>
      <c r="XW11" s="133">
        <f t="shared" si="262"/>
        <v>4.4128148035840553</v>
      </c>
      <c r="XX11" s="133">
        <f t="shared" si="263"/>
        <v>10.153618378165838</v>
      </c>
      <c r="XY11" s="133">
        <f t="shared" si="264"/>
        <v>15.228305229969443</v>
      </c>
      <c r="XZ11" s="133">
        <f t="shared" si="265"/>
        <v>21.234817170380389</v>
      </c>
      <c r="YA11" s="81"/>
      <c r="YB11" s="81">
        <v>12</v>
      </c>
      <c r="YC11" s="133">
        <f t="shared" si="266"/>
        <v>-50.531044790938921</v>
      </c>
      <c r="YD11" s="133">
        <f t="shared" si="267"/>
        <v>-46.699580376454875</v>
      </c>
      <c r="YE11" s="133">
        <f t="shared" si="268"/>
        <v>-43.132817089866521</v>
      </c>
      <c r="YF11" s="133">
        <f t="shared" si="467"/>
        <v>-38.772489864145427</v>
      </c>
      <c r="YG11" s="133">
        <f t="shared" si="468"/>
        <v>-31.016999103394159</v>
      </c>
      <c r="YH11" s="134">
        <f t="shared" si="469"/>
        <v>-21.792836540574157</v>
      </c>
      <c r="YI11" s="133">
        <f t="shared" si="470"/>
        <v>-12.062751617618069</v>
      </c>
      <c r="YJ11" s="133">
        <f t="shared" si="269"/>
        <v>-2.9632074621481195</v>
      </c>
      <c r="YK11" s="133">
        <f t="shared" si="270"/>
        <v>2.6420092813780371</v>
      </c>
      <c r="YL11" s="133">
        <f t="shared" si="271"/>
        <v>7.5884186056761251</v>
      </c>
      <c r="YM11" s="133">
        <f t="shared" si="272"/>
        <v>13.43332277885056</v>
      </c>
      <c r="YN11" s="81"/>
      <c r="YO11" s="81">
        <v>9</v>
      </c>
      <c r="YP11" s="133">
        <v>19.162565434529835</v>
      </c>
      <c r="YQ11" s="133">
        <v>21.368114741348467</v>
      </c>
      <c r="YR11" s="133">
        <v>23.466999122866252</v>
      </c>
      <c r="YS11" s="133">
        <v>26.14400530422326</v>
      </c>
      <c r="YT11" s="133">
        <v>31.306456773299626</v>
      </c>
      <c r="YU11" s="134">
        <v>38.270469993710428</v>
      </c>
      <c r="YV11" s="133">
        <v>46.7836039110191</v>
      </c>
      <c r="YW11" s="133">
        <v>56.021594874098994</v>
      </c>
      <c r="YX11" s="133">
        <v>62.41227801949146</v>
      </c>
      <c r="YY11" s="133">
        <v>68.542727857285129</v>
      </c>
      <c r="YZ11" s="133">
        <v>76.431774155892214</v>
      </c>
      <c r="ZA11" s="81"/>
      <c r="ZB11" s="81">
        <v>9</v>
      </c>
      <c r="ZC11" s="133">
        <v>19.955474723127562</v>
      </c>
      <c r="ZD11" s="133">
        <v>22.078289875910574</v>
      </c>
      <c r="ZE11" s="133">
        <v>24.083782411197863</v>
      </c>
      <c r="ZF11" s="133">
        <v>26.623107743618849</v>
      </c>
      <c r="ZG11" s="133">
        <v>31.468877657893486</v>
      </c>
      <c r="ZH11" s="134">
        <v>37.916272087634418</v>
      </c>
      <c r="ZI11" s="133">
        <v>45.684619091043885</v>
      </c>
      <c r="ZJ11" s="133">
        <v>53.999844904211322</v>
      </c>
      <c r="ZK11" s="133">
        <v>59.693434547684902</v>
      </c>
      <c r="ZL11" s="133">
        <v>65.115717616885064</v>
      </c>
      <c r="ZM11" s="133">
        <v>72.042570220459666</v>
      </c>
      <c r="ZN11" s="81"/>
      <c r="ZO11" s="81">
        <v>12</v>
      </c>
      <c r="ZP11" s="133">
        <v>20.938240439260213</v>
      </c>
      <c r="ZQ11" s="133">
        <v>23.449611020445861</v>
      </c>
      <c r="ZR11" s="133">
        <v>25.849157475653293</v>
      </c>
      <c r="ZS11" s="133">
        <v>28.92198013956946</v>
      </c>
      <c r="ZT11" s="133">
        <v>34.882243818262204</v>
      </c>
      <c r="ZU11" s="134">
        <v>42.98389740900334</v>
      </c>
      <c r="ZV11" s="133">
        <v>52.967218682773641</v>
      </c>
      <c r="ZW11" s="133">
        <v>63.882743420458908</v>
      </c>
      <c r="ZX11" s="133">
        <v>71.476814600551265</v>
      </c>
      <c r="ZY11" s="133">
        <v>78.790877804189449</v>
      </c>
      <c r="ZZ11" s="133">
        <v>88.241198768706269</v>
      </c>
      <c r="AAA11" s="81"/>
      <c r="AAB11" s="81">
        <v>9</v>
      </c>
      <c r="AAC11" s="133">
        <v>6.9838617776295946</v>
      </c>
      <c r="AAD11" s="133">
        <v>7.7117097911813994</v>
      </c>
      <c r="AAE11" s="133">
        <v>8.3980863587081735</v>
      </c>
      <c r="AAF11" s="133">
        <v>9.2655926311549859</v>
      </c>
      <c r="AAG11" s="133">
        <v>10.916727117718084</v>
      </c>
      <c r="AAH11" s="134">
        <v>13.10607895199246</v>
      </c>
      <c r="AAI11" s="133">
        <v>15.734505740010157</v>
      </c>
      <c r="AAJ11" s="133">
        <v>18.538404647566317</v>
      </c>
      <c r="AAK11" s="133">
        <v>20.453386421508764</v>
      </c>
      <c r="AAL11" s="133">
        <v>22.273829040128533</v>
      </c>
      <c r="AAM11" s="133">
        <v>24.59517541513549</v>
      </c>
      <c r="AAN11" s="81"/>
      <c r="AAO11" s="81">
        <v>9</v>
      </c>
      <c r="AAP11" s="133">
        <v>7.0862585712190072</v>
      </c>
      <c r="AAQ11" s="133">
        <v>7.8098657390143291</v>
      </c>
      <c r="AAR11" s="133">
        <v>8.4910363034549974</v>
      </c>
      <c r="AAS11" s="133">
        <v>9.3504403263709506</v>
      </c>
      <c r="AAT11" s="133">
        <v>10.981986530380373</v>
      </c>
      <c r="AAU11" s="134">
        <v>13.138137030976436</v>
      </c>
      <c r="AAV11" s="133">
        <v>15.717615767166276</v>
      </c>
      <c r="AAW11" s="133">
        <v>18.460162154920365</v>
      </c>
      <c r="AAX11" s="133">
        <v>20.328572211436555</v>
      </c>
      <c r="AAY11" s="133">
        <v>22.101614856505734</v>
      </c>
      <c r="AAZ11" s="133">
        <v>24.358502150313299</v>
      </c>
      <c r="ABA11" s="81"/>
      <c r="ABB11" s="81">
        <v>12</v>
      </c>
      <c r="ABC11" s="133">
        <v>7.6443989750493513</v>
      </c>
      <c r="ABD11" s="133">
        <v>8.4529589023491987</v>
      </c>
      <c r="ABE11" s="133">
        <v>9.2164435343991666</v>
      </c>
      <c r="ABF11" s="133">
        <v>10.1826652727776</v>
      </c>
      <c r="ABG11" s="133">
        <v>12.025146037864271</v>
      </c>
      <c r="ABH11" s="134">
        <v>14.474248326313477</v>
      </c>
      <c r="ABI11" s="133">
        <v>17.422147219843449</v>
      </c>
      <c r="ABJ11" s="133">
        <v>20.574560687158929</v>
      </c>
      <c r="ABK11" s="133">
        <v>22.731530207920525</v>
      </c>
      <c r="ABL11" s="133">
        <v>24.784678008261029</v>
      </c>
      <c r="ABM11" s="133">
        <v>27.40619181384838</v>
      </c>
      <c r="ABN11" s="81"/>
      <c r="ABO11" s="81">
        <v>9</v>
      </c>
      <c r="ABP11" s="133">
        <f t="shared" si="273"/>
        <v>0.17456681555578676</v>
      </c>
      <c r="ABQ11" s="133">
        <f t="shared" si="274"/>
        <v>0.19692978833718122</v>
      </c>
      <c r="ABR11" s="133">
        <f t="shared" si="275"/>
        <v>0.2177742004763018</v>
      </c>
      <c r="ABS11" s="133">
        <f t="shared" si="471"/>
        <v>0.24375213676294313</v>
      </c>
      <c r="ABT11" s="133">
        <f t="shared" si="472"/>
        <v>0.29201554819284331</v>
      </c>
      <c r="ABU11" s="134">
        <f t="shared" si="473"/>
        <v>0.35363328212641487</v>
      </c>
      <c r="ABV11" s="133">
        <f t="shared" si="474"/>
        <v>0.42422694206324096</v>
      </c>
      <c r="ABW11" s="133">
        <f t="shared" si="276"/>
        <v>0.49584261536895324</v>
      </c>
      <c r="ABX11" s="133">
        <f t="shared" si="277"/>
        <v>0.54277856799745738</v>
      </c>
      <c r="ABY11" s="133">
        <f t="shared" si="278"/>
        <v>0.58604176696851962</v>
      </c>
      <c r="ABZ11" s="133">
        <f t="shared" si="279"/>
        <v>0.63944494831642817</v>
      </c>
      <c r="ACA11" s="81"/>
      <c r="ACB11" s="81">
        <v>9</v>
      </c>
      <c r="ACC11" s="133">
        <f t="shared" si="280"/>
        <v>0.18628451509667832</v>
      </c>
      <c r="ACD11" s="133">
        <f t="shared" si="281"/>
        <v>0.2076148698693544</v>
      </c>
      <c r="ACE11" s="133">
        <f t="shared" si="282"/>
        <v>0.22760587376858218</v>
      </c>
      <c r="ACF11" s="133">
        <f t="shared" si="475"/>
        <v>0.25268603022822028</v>
      </c>
      <c r="ACG11" s="133">
        <f t="shared" si="476"/>
        <v>0.29981586623065731</v>
      </c>
      <c r="ACH11" s="134">
        <f t="shared" si="477"/>
        <v>0.36106191854218322</v>
      </c>
      <c r="ACI11" s="133">
        <f t="shared" si="478"/>
        <v>0.43275977942624028</v>
      </c>
      <c r="ACJ11" s="133">
        <f t="shared" si="283"/>
        <v>0.50717089981355679</v>
      </c>
      <c r="ACK11" s="133">
        <f t="shared" si="284"/>
        <v>0.55684488410113253</v>
      </c>
      <c r="ACL11" s="133">
        <f t="shared" si="285"/>
        <v>0.60325841945121017</v>
      </c>
      <c r="ACM11" s="133">
        <f t="shared" si="286"/>
        <v>0.66136730913858988</v>
      </c>
      <c r="ACN11" s="81"/>
      <c r="ACO11" s="81">
        <v>12</v>
      </c>
      <c r="ACP11" s="133">
        <f t="shared" si="287"/>
        <v>0.15875737513645341</v>
      </c>
      <c r="ACQ11" s="133">
        <f t="shared" si="288"/>
        <v>0.18388210583748082</v>
      </c>
      <c r="ACR11" s="133">
        <f t="shared" si="289"/>
        <v>0.20701674364129288</v>
      </c>
      <c r="ACS11" s="133">
        <f t="shared" si="479"/>
        <v>0.23544832888244766</v>
      </c>
      <c r="ACT11" s="133">
        <f t="shared" si="480"/>
        <v>0.28713445844116181</v>
      </c>
      <c r="ACU11" s="134">
        <f t="shared" si="481"/>
        <v>0.35089127390578784</v>
      </c>
      <c r="ACV11" s="133">
        <f t="shared" si="482"/>
        <v>0.42126011209350567</v>
      </c>
      <c r="ACW11" s="133">
        <f t="shared" si="290"/>
        <v>0.49016559297141948</v>
      </c>
      <c r="ACX11" s="133">
        <f t="shared" si="291"/>
        <v>0.53401999289347568</v>
      </c>
      <c r="ACY11" s="133">
        <f t="shared" si="292"/>
        <v>0.57362910996283689</v>
      </c>
      <c r="ACZ11" s="133">
        <f t="shared" si="293"/>
        <v>0.62152408589435759</v>
      </c>
      <c r="ADA11" s="81"/>
      <c r="ADB11" s="81">
        <v>9</v>
      </c>
      <c r="ADC11" s="133">
        <f t="shared" si="294"/>
        <v>0.14609109463707962</v>
      </c>
      <c r="ADD11" s="133">
        <f t="shared" si="295"/>
        <v>0.16327536643442772</v>
      </c>
      <c r="ADE11" s="133">
        <f t="shared" si="296"/>
        <v>0.17838948988908837</v>
      </c>
      <c r="ADF11" s="133">
        <f t="shared" si="483"/>
        <v>0.19617912711740607</v>
      </c>
      <c r="ADG11" s="133">
        <f t="shared" si="484"/>
        <v>0.22667196999574815</v>
      </c>
      <c r="ADH11" s="134">
        <f t="shared" si="485"/>
        <v>0.26178002808396722</v>
      </c>
      <c r="ADI11" s="133">
        <f t="shared" si="486"/>
        <v>0.29798285498124388</v>
      </c>
      <c r="ADJ11" s="133">
        <f t="shared" si="297"/>
        <v>0.33133310165469576</v>
      </c>
      <c r="ADK11" s="133">
        <f t="shared" si="298"/>
        <v>0.35169878766717616</v>
      </c>
      <c r="ADL11" s="133">
        <f t="shared" si="299"/>
        <v>0.3695810743549946</v>
      </c>
      <c r="ADM11" s="133">
        <f t="shared" si="300"/>
        <v>0.39062030906262951</v>
      </c>
      <c r="ADN11" s="81"/>
      <c r="ADO11" s="81">
        <v>9</v>
      </c>
      <c r="ADP11" s="133">
        <f t="shared" si="301"/>
        <v>0.15504968660988275</v>
      </c>
      <c r="ADQ11" s="133">
        <f t="shared" si="302"/>
        <v>0.17093310845214521</v>
      </c>
      <c r="ADR11" s="133">
        <f t="shared" si="303"/>
        <v>0.18507479186703557</v>
      </c>
      <c r="ADS11" s="133">
        <f t="shared" si="487"/>
        <v>0.20192102702039544</v>
      </c>
      <c r="ADT11" s="133">
        <f t="shared" si="488"/>
        <v>0.23128684962274615</v>
      </c>
      <c r="ADU11" s="134">
        <f t="shared" si="489"/>
        <v>0.26583107857378008</v>
      </c>
      <c r="ADV11" s="133">
        <f t="shared" si="490"/>
        <v>0.30223226774133299</v>
      </c>
      <c r="ADW11" s="133">
        <f t="shared" si="304"/>
        <v>0.33642957068665175</v>
      </c>
      <c r="ADX11" s="133">
        <f t="shared" si="305"/>
        <v>0.35761236695154469</v>
      </c>
      <c r="ADY11" s="133">
        <f t="shared" si="306"/>
        <v>0.37639340623379963</v>
      </c>
      <c r="ADZ11" s="133">
        <f t="shared" si="307"/>
        <v>0.39870137174567516</v>
      </c>
      <c r="AEA11" s="81"/>
      <c r="AEB11" s="81">
        <v>12</v>
      </c>
      <c r="AEC11" s="133">
        <f t="shared" si="308"/>
        <v>0.13334558624356563</v>
      </c>
      <c r="AED11" s="133">
        <f t="shared" si="309"/>
        <v>0.15356528620484006</v>
      </c>
      <c r="AEE11" s="133">
        <f t="shared" si="310"/>
        <v>0.17086979396673288</v>
      </c>
      <c r="AEF11" s="133">
        <f t="shared" si="491"/>
        <v>0.19073445258599292</v>
      </c>
      <c r="AEG11" s="133">
        <f t="shared" si="492"/>
        <v>0.22369267923651898</v>
      </c>
      <c r="AEH11" s="134">
        <f t="shared" si="493"/>
        <v>0.26020046429124594</v>
      </c>
      <c r="AEI11" s="133">
        <f t="shared" si="494"/>
        <v>0.29650379474048166</v>
      </c>
      <c r="AEJ11" s="133">
        <f t="shared" si="311"/>
        <v>0.3289231640467018</v>
      </c>
      <c r="AEK11" s="133">
        <f t="shared" si="312"/>
        <v>0.34829519602714865</v>
      </c>
      <c r="AEL11" s="133">
        <f t="shared" si="313"/>
        <v>0.36506259459920881</v>
      </c>
      <c r="AEM11" s="133">
        <f t="shared" si="314"/>
        <v>0.38451977300900342</v>
      </c>
      <c r="AEN11" s="81"/>
    </row>
    <row r="12" spans="1:820">
      <c r="A12" s="81"/>
      <c r="B12" s="81">
        <v>11</v>
      </c>
      <c r="C12" s="133">
        <f t="shared" si="0"/>
        <v>1.6298823146535801</v>
      </c>
      <c r="D12" s="133">
        <f t="shared" si="1"/>
        <v>1.8948741531635056</v>
      </c>
      <c r="E12" s="133">
        <f t="shared" si="2"/>
        <v>2.1643956859207325</v>
      </c>
      <c r="F12" s="133">
        <f t="shared" si="315"/>
        <v>2.5335460134550711</v>
      </c>
      <c r="G12" s="133">
        <f t="shared" si="316"/>
        <v>3.3298374863190352</v>
      </c>
      <c r="H12" s="134">
        <f t="shared" si="317"/>
        <v>4.5936435325580769</v>
      </c>
      <c r="I12" s="133">
        <f t="shared" si="318"/>
        <v>6.4667722082416379</v>
      </c>
      <c r="J12" s="133">
        <f t="shared" si="3"/>
        <v>8.9619001736928272</v>
      </c>
      <c r="K12" s="133">
        <f t="shared" si="4"/>
        <v>11.005703931338431</v>
      </c>
      <c r="L12" s="133">
        <f t="shared" si="5"/>
        <v>13.23821949301623</v>
      </c>
      <c r="M12" s="133">
        <f t="shared" si="6"/>
        <v>16.544558340302615</v>
      </c>
      <c r="N12" s="81"/>
      <c r="O12" s="75">
        <v>11</v>
      </c>
      <c r="P12" s="151">
        <f t="shared" si="7"/>
        <v>2.2710077313202426</v>
      </c>
      <c r="Q12" s="151">
        <f t="shared" si="8"/>
        <v>2.5236582290282694</v>
      </c>
      <c r="R12" s="151">
        <f t="shared" si="9"/>
        <v>2.773650054657927</v>
      </c>
      <c r="S12" s="151">
        <f t="shared" si="319"/>
        <v>3.1072027675304765</v>
      </c>
      <c r="T12" s="151">
        <f t="shared" si="320"/>
        <v>3.8020880452775851</v>
      </c>
      <c r="U12" s="134">
        <f t="shared" si="321"/>
        <v>4.8633350187633422</v>
      </c>
      <c r="V12" s="151">
        <f t="shared" si="322"/>
        <v>6.3919416261786273</v>
      </c>
      <c r="W12" s="151">
        <f t="shared" si="10"/>
        <v>8.4050375853587997</v>
      </c>
      <c r="X12" s="151">
        <f t="shared" si="11"/>
        <v>10.061552820274919</v>
      </c>
      <c r="Y12" s="151">
        <f t="shared" si="12"/>
        <v>11.894332747480581</v>
      </c>
      <c r="Z12" s="151">
        <f t="shared" si="13"/>
        <v>14.672519503138812</v>
      </c>
      <c r="AA12" s="81"/>
      <c r="AB12" s="75">
        <v>13</v>
      </c>
      <c r="AC12" s="151">
        <f t="shared" si="14"/>
        <v>1.2917422769542546</v>
      </c>
      <c r="AD12" s="151">
        <f t="shared" si="15"/>
        <v>1.5346807268594782</v>
      </c>
      <c r="AE12" s="151">
        <f t="shared" si="16"/>
        <v>1.7897499250253004</v>
      </c>
      <c r="AF12" s="151">
        <f t="shared" si="323"/>
        <v>2.15159219320079</v>
      </c>
      <c r="AG12" s="151">
        <f t="shared" si="324"/>
        <v>2.9785590093023999</v>
      </c>
      <c r="AH12" s="134">
        <f t="shared" si="325"/>
        <v>4.4123350803758754</v>
      </c>
      <c r="AI12" s="151">
        <f t="shared" si="326"/>
        <v>6.7904219134443684</v>
      </c>
      <c r="AJ12" s="151">
        <f t="shared" si="17"/>
        <v>10.396344032631953</v>
      </c>
      <c r="AK12" s="151">
        <f t="shared" si="18"/>
        <v>13.706107686283834</v>
      </c>
      <c r="AL12" s="151">
        <f t="shared" si="19"/>
        <v>17.678082703260074</v>
      </c>
      <c r="AM12" s="151">
        <f t="shared" si="20"/>
        <v>24.234796968476775</v>
      </c>
      <c r="AN12" s="81"/>
      <c r="AO12" s="81">
        <v>11</v>
      </c>
      <c r="AP12" s="133">
        <f t="shared" si="21"/>
        <v>2.6482650606908367</v>
      </c>
      <c r="AQ12" s="133">
        <f t="shared" si="22"/>
        <v>4.2230371272429439</v>
      </c>
      <c r="AR12" s="133">
        <f t="shared" si="23"/>
        <v>5.6776872551229518</v>
      </c>
      <c r="AS12" s="133">
        <f t="shared" si="327"/>
        <v>7.4706575902053958</v>
      </c>
      <c r="AT12" s="133">
        <f t="shared" si="328"/>
        <v>10.739925048641958</v>
      </c>
      <c r="AU12" s="134">
        <f t="shared" si="329"/>
        <v>14.797632049460365</v>
      </c>
      <c r="AV12" s="133">
        <f t="shared" si="330"/>
        <v>19.295930555774312</v>
      </c>
      <c r="AW12" s="133">
        <f t="shared" si="24"/>
        <v>23.710157930242222</v>
      </c>
      <c r="AX12" s="133">
        <f t="shared" si="25"/>
        <v>26.529091668965616</v>
      </c>
      <c r="AY12" s="133">
        <f t="shared" si="26"/>
        <v>29.079533444331584</v>
      </c>
      <c r="AZ12" s="133">
        <f t="shared" si="27"/>
        <v>32.168630805425501</v>
      </c>
      <c r="BA12" s="81"/>
      <c r="BB12" s="81">
        <v>11</v>
      </c>
      <c r="BC12" s="133">
        <f t="shared" si="28"/>
        <v>5.3719442142772627</v>
      </c>
      <c r="BD12" s="133">
        <f t="shared" si="29"/>
        <v>6.9809238516819372</v>
      </c>
      <c r="BE12" s="133">
        <f t="shared" si="30"/>
        <v>8.4290838624933215</v>
      </c>
      <c r="BF12" s="133">
        <f t="shared" si="331"/>
        <v>10.171189964264595</v>
      </c>
      <c r="BG12" s="133">
        <f t="shared" si="332"/>
        <v>13.246364751351063</v>
      </c>
      <c r="BH12" s="134">
        <f t="shared" si="333"/>
        <v>16.916707848959753</v>
      </c>
      <c r="BI12" s="133">
        <f t="shared" si="334"/>
        <v>20.835929586268186</v>
      </c>
      <c r="BJ12" s="133">
        <f t="shared" si="31"/>
        <v>24.558675877950289</v>
      </c>
      <c r="BK12" s="133">
        <f t="shared" si="32"/>
        <v>26.88206245542823</v>
      </c>
      <c r="BL12" s="133">
        <f t="shared" si="33"/>
        <v>28.95213955611354</v>
      </c>
      <c r="BM12" s="133">
        <f t="shared" si="34"/>
        <v>31.422436701891396</v>
      </c>
      <c r="BN12" s="81"/>
      <c r="BO12" s="75">
        <v>13</v>
      </c>
      <c r="BP12" s="151">
        <f t="shared" si="35"/>
        <v>3.15932901386845</v>
      </c>
      <c r="BQ12" s="151">
        <f t="shared" si="36"/>
        <v>3.937586469108505</v>
      </c>
      <c r="BR12" s="151">
        <f t="shared" si="37"/>
        <v>4.7321653660379468</v>
      </c>
      <c r="BS12" s="151">
        <f t="shared" si="335"/>
        <v>5.8140874703465633</v>
      </c>
      <c r="BT12" s="151">
        <f t="shared" si="336"/>
        <v>8.0880351118939195</v>
      </c>
      <c r="BU12" s="134">
        <f t="shared" si="337"/>
        <v>11.475964999584102</v>
      </c>
      <c r="BV12" s="151">
        <f t="shared" si="338"/>
        <v>16.004914925018117</v>
      </c>
      <c r="BW12" s="151">
        <f t="shared" si="38"/>
        <v>21.285156383211632</v>
      </c>
      <c r="BX12" s="151">
        <f t="shared" si="39"/>
        <v>25.111569398175877</v>
      </c>
      <c r="BY12" s="151">
        <f t="shared" si="40"/>
        <v>28.890522074995829</v>
      </c>
      <c r="BZ12" s="151">
        <f t="shared" si="41"/>
        <v>33.883706377294928</v>
      </c>
      <c r="CA12" s="81"/>
      <c r="CB12" s="81">
        <v>11</v>
      </c>
      <c r="CC12" s="133">
        <f t="shared" si="42"/>
        <v>-1.8584895664932679</v>
      </c>
      <c r="CD12" s="133">
        <f t="shared" si="43"/>
        <v>0.47534639780633281</v>
      </c>
      <c r="CE12" s="133">
        <f t="shared" si="44"/>
        <v>2.6725050783905635</v>
      </c>
      <c r="CF12" s="133">
        <f t="shared" si="339"/>
        <v>5.3989409493734248</v>
      </c>
      <c r="CG12" s="133">
        <f t="shared" si="340"/>
        <v>10.356195915226166</v>
      </c>
      <c r="CH12" s="134">
        <f t="shared" si="341"/>
        <v>16.413993055516066</v>
      </c>
      <c r="CI12" s="133">
        <f t="shared" si="342"/>
        <v>22.968959446851549</v>
      </c>
      <c r="CJ12" s="133">
        <f t="shared" si="45"/>
        <v>29.232506907770773</v>
      </c>
      <c r="CK12" s="133">
        <f t="shared" si="46"/>
        <v>33.148360387614026</v>
      </c>
      <c r="CL12" s="133">
        <f t="shared" si="47"/>
        <v>36.637668392780078</v>
      </c>
      <c r="CM12" s="133">
        <f t="shared" si="48"/>
        <v>40.799145314018759</v>
      </c>
      <c r="CN12" s="81"/>
      <c r="CO12" s="81">
        <v>11</v>
      </c>
      <c r="CP12" s="133">
        <f t="shared" si="49"/>
        <v>3.1298491563906046</v>
      </c>
      <c r="CQ12" s="133">
        <f t="shared" si="50"/>
        <v>5.4960790424707513</v>
      </c>
      <c r="CR12" s="133">
        <f t="shared" si="51"/>
        <v>7.6581211653503969</v>
      </c>
      <c r="CS12" s="133">
        <f t="shared" si="343"/>
        <v>10.285944964342686</v>
      </c>
      <c r="CT12" s="133">
        <f t="shared" si="344"/>
        <v>14.966992762327351</v>
      </c>
      <c r="CU12" s="134">
        <f t="shared" si="345"/>
        <v>20.58564377398357</v>
      </c>
      <c r="CV12" s="133">
        <f t="shared" si="346"/>
        <v>26.590649215747856</v>
      </c>
      <c r="CW12" s="133">
        <f t="shared" si="52"/>
        <v>32.282358893808627</v>
      </c>
      <c r="CX12" s="133">
        <f t="shared" si="53"/>
        <v>35.824329528751548</v>
      </c>
      <c r="CY12" s="133">
        <f t="shared" si="54"/>
        <v>38.972164262135834</v>
      </c>
      <c r="CZ12" s="133">
        <f t="shared" si="55"/>
        <v>42.717880457654751</v>
      </c>
      <c r="DA12" s="81"/>
      <c r="DB12" s="81">
        <v>13</v>
      </c>
      <c r="DC12" s="133">
        <f t="shared" si="56"/>
        <v>-4.3080946977938934</v>
      </c>
      <c r="DD12" s="133">
        <f t="shared" si="57"/>
        <v>-2.752513683918095</v>
      </c>
      <c r="DE12" s="133">
        <f t="shared" si="58"/>
        <v>-1.2020987784409369</v>
      </c>
      <c r="DF12" s="133">
        <f t="shared" si="347"/>
        <v>0.81171117327647657</v>
      </c>
      <c r="DG12" s="133">
        <f t="shared" si="348"/>
        <v>4.6721523862208594</v>
      </c>
      <c r="DH12" s="134">
        <f t="shared" si="349"/>
        <v>9.6588893586471407</v>
      </c>
      <c r="DI12" s="133">
        <f t="shared" si="350"/>
        <v>15.314874967189418</v>
      </c>
      <c r="DJ12" s="133">
        <f t="shared" si="59"/>
        <v>20.924865611391695</v>
      </c>
      <c r="DK12" s="133">
        <f t="shared" si="60"/>
        <v>24.519967195177802</v>
      </c>
      <c r="DL12" s="133">
        <f t="shared" si="61"/>
        <v>27.774744875042035</v>
      </c>
      <c r="DM12" s="133">
        <f t="shared" si="62"/>
        <v>31.71494054147745</v>
      </c>
      <c r="DN12" s="81"/>
      <c r="DO12" s="81">
        <v>11</v>
      </c>
      <c r="DP12" s="133">
        <v>12.641086946380568</v>
      </c>
      <c r="DQ12" s="133">
        <v>13.895097022631647</v>
      </c>
      <c r="DR12" s="133">
        <v>15.072668964497298</v>
      </c>
      <c r="DS12" s="133">
        <v>16.554718012249296</v>
      </c>
      <c r="DT12" s="133">
        <v>19.358394924151657</v>
      </c>
      <c r="DU12" s="134">
        <v>23.046398674465664</v>
      </c>
      <c r="DV12" s="133">
        <v>27.437010864974333</v>
      </c>
      <c r="DW12" s="133">
        <v>32.083693087940865</v>
      </c>
      <c r="DX12" s="133">
        <v>35.238383667383047</v>
      </c>
      <c r="DY12" s="133">
        <v>38.224741503950931</v>
      </c>
      <c r="DZ12" s="133">
        <v>42.016678954533212</v>
      </c>
      <c r="EA12" s="81"/>
      <c r="EB12" s="81">
        <v>11</v>
      </c>
      <c r="EC12" s="133">
        <v>13.10794743828796</v>
      </c>
      <c r="ED12" s="133">
        <v>14.174195268643981</v>
      </c>
      <c r="EE12" s="133">
        <v>15.160343536224357</v>
      </c>
      <c r="EF12" s="133">
        <v>16.382759735507545</v>
      </c>
      <c r="EG12" s="133">
        <v>18.645239050106323</v>
      </c>
      <c r="EH12" s="134">
        <v>21.537072233119623</v>
      </c>
      <c r="EI12" s="133">
        <v>24.877422012562896</v>
      </c>
      <c r="EJ12" s="133">
        <v>28.313024659043638</v>
      </c>
      <c r="EK12" s="133">
        <v>30.595974244666209</v>
      </c>
      <c r="EL12" s="133">
        <v>32.724643027934491</v>
      </c>
      <c r="EM12" s="133">
        <v>35.386583792648743</v>
      </c>
      <c r="EN12" s="81"/>
      <c r="EO12" s="81">
        <v>13</v>
      </c>
      <c r="EP12" s="133">
        <v>14.184434995351568</v>
      </c>
      <c r="EQ12" s="133">
        <v>15.685448588631747</v>
      </c>
      <c r="ER12" s="133">
        <v>17.10284325894283</v>
      </c>
      <c r="ES12" s="133">
        <v>18.896690199462149</v>
      </c>
      <c r="ET12" s="133">
        <v>22.317568404154102</v>
      </c>
      <c r="EU12" s="134">
        <v>26.86510045662946</v>
      </c>
      <c r="EV12" s="133">
        <v>32.339258895716057</v>
      </c>
      <c r="EW12" s="133">
        <v>38.19365269402229</v>
      </c>
      <c r="EX12" s="133">
        <v>42.199627957615064</v>
      </c>
      <c r="EY12" s="133">
        <v>46.012941132450557</v>
      </c>
      <c r="EZ12" s="133">
        <v>50.882084678121764</v>
      </c>
      <c r="FA12" s="81"/>
      <c r="FB12" s="81">
        <v>11</v>
      </c>
      <c r="FC12" s="133">
        <v>6.1270779959031083</v>
      </c>
      <c r="FD12" s="133">
        <v>6.8566829618330791</v>
      </c>
      <c r="FE12" s="133">
        <v>7.5533023980428222</v>
      </c>
      <c r="FF12" s="133">
        <v>8.4447446007404672</v>
      </c>
      <c r="FG12" s="133">
        <v>10.172064410292231</v>
      </c>
      <c r="FH12" s="134">
        <v>12.516797035317902</v>
      </c>
      <c r="FI12" s="133">
        <v>15.402007075851984</v>
      </c>
      <c r="FJ12" s="133">
        <v>18.552391508631956</v>
      </c>
      <c r="FK12" s="133">
        <v>20.741948325005332</v>
      </c>
      <c r="FL12" s="133">
        <v>22.849271126495033</v>
      </c>
      <c r="FM12" s="133">
        <v>25.570134430816957</v>
      </c>
      <c r="FN12" s="81"/>
      <c r="FO12" s="81">
        <v>11</v>
      </c>
      <c r="FP12" s="133">
        <v>5.9533801139027993</v>
      </c>
      <c r="FQ12" s="133">
        <v>6.5948471018374919</v>
      </c>
      <c r="FR12" s="133">
        <v>7.2015584509937565</v>
      </c>
      <c r="FS12" s="133">
        <v>7.9706506132950201</v>
      </c>
      <c r="FT12" s="133">
        <v>9.4407347361615574</v>
      </c>
      <c r="FU12" s="134">
        <v>11.400965225545157</v>
      </c>
      <c r="FV12" s="133">
        <v>13.768208906051559</v>
      </c>
      <c r="FW12" s="133">
        <v>16.307578186563628</v>
      </c>
      <c r="FX12" s="133">
        <v>18.049149910899263</v>
      </c>
      <c r="FY12" s="133">
        <v>19.709631787805002</v>
      </c>
      <c r="FZ12" s="133">
        <v>21.833312435492861</v>
      </c>
      <c r="GA12" s="81"/>
      <c r="GB12" s="81">
        <v>13</v>
      </c>
      <c r="GC12" s="133">
        <v>7.1461278697834922</v>
      </c>
      <c r="GD12" s="133">
        <v>8.0324506788433574</v>
      </c>
      <c r="GE12" s="133">
        <v>8.8821738803591614</v>
      </c>
      <c r="GF12" s="133">
        <v>9.9740012868649153</v>
      </c>
      <c r="GG12" s="133">
        <v>12.10214563895742</v>
      </c>
      <c r="GH12" s="134">
        <v>15.013437911224864</v>
      </c>
      <c r="GI12" s="133">
        <v>18.625070680741057</v>
      </c>
      <c r="GJ12" s="133">
        <v>22.599086508144413</v>
      </c>
      <c r="GK12" s="133">
        <v>25.377044060422016</v>
      </c>
      <c r="GL12" s="133">
        <v>28.06158754362389</v>
      </c>
      <c r="GM12" s="133">
        <v>31.542021360587984</v>
      </c>
      <c r="GN12" s="81"/>
      <c r="GO12" s="81">
        <v>11</v>
      </c>
      <c r="GP12" s="133">
        <f t="shared" si="63"/>
        <v>0.33420628897745913</v>
      </c>
      <c r="GQ12" s="133">
        <f t="shared" si="64"/>
        <v>0.38004447533911889</v>
      </c>
      <c r="GR12" s="133">
        <f t="shared" si="65"/>
        <v>0.41522479426555176</v>
      </c>
      <c r="GS12" s="133">
        <f t="shared" si="351"/>
        <v>0.45221749495441715</v>
      </c>
      <c r="GT12" s="133">
        <f t="shared" si="352"/>
        <v>0.50917886599631346</v>
      </c>
      <c r="GU12" s="134">
        <f t="shared" si="353"/>
        <v>0.56269160376044403</v>
      </c>
      <c r="GV12" s="133">
        <f t="shared" si="354"/>
        <v>0.61128450067413931</v>
      </c>
      <c r="GW12" s="133">
        <f t="shared" si="66"/>
        <v>0.65386375961469279</v>
      </c>
      <c r="GX12" s="133">
        <f t="shared" si="67"/>
        <v>0.67735753079430705</v>
      </c>
      <c r="GY12" s="133">
        <f t="shared" si="68"/>
        <v>0.69705671239240707</v>
      </c>
      <c r="GZ12" s="133">
        <f t="shared" si="69"/>
        <v>0.71924389972842395</v>
      </c>
      <c r="HA12" s="81"/>
      <c r="HB12" s="81">
        <v>11</v>
      </c>
      <c r="HC12" s="133">
        <f t="shared" si="70"/>
        <v>0.32554043972851415</v>
      </c>
      <c r="HD12" s="133">
        <f t="shared" si="71"/>
        <v>0.37246366290634414</v>
      </c>
      <c r="HE12" s="133">
        <f t="shared" si="72"/>
        <v>0.40837797690171762</v>
      </c>
      <c r="HF12" s="133">
        <f t="shared" si="355"/>
        <v>0.44608134276738076</v>
      </c>
      <c r="HG12" s="133">
        <f t="shared" si="356"/>
        <v>0.50249953151082805</v>
      </c>
      <c r="HH12" s="134">
        <f t="shared" si="357"/>
        <v>0.55847051858537933</v>
      </c>
      <c r="HI12" s="133">
        <f t="shared" si="358"/>
        <v>0.60913559615031965</v>
      </c>
      <c r="HJ12" s="133">
        <f t="shared" si="73"/>
        <v>0.65112175845913056</v>
      </c>
      <c r="HK12" s="133">
        <f t="shared" si="74"/>
        <v>0.6749921743496512</v>
      </c>
      <c r="HL12" s="133">
        <f t="shared" si="75"/>
        <v>0.69500690277460253</v>
      </c>
      <c r="HM12" s="133">
        <f t="shared" si="76"/>
        <v>0.71754965295533735</v>
      </c>
      <c r="HN12" s="81"/>
      <c r="HO12" s="81">
        <v>13</v>
      </c>
      <c r="HP12" s="83">
        <f t="shared" si="77"/>
        <v>0.36036953810857625</v>
      </c>
      <c r="HQ12" s="83">
        <f t="shared" si="78"/>
        <v>0.40254960177471816</v>
      </c>
      <c r="HR12" s="83">
        <f t="shared" si="79"/>
        <v>0.435334988694561</v>
      </c>
      <c r="HS12" s="83">
        <f t="shared" si="359"/>
        <v>0.47009823087986802</v>
      </c>
      <c r="HT12" s="83">
        <f t="shared" si="360"/>
        <v>0.522602569487844</v>
      </c>
      <c r="HU12" s="84">
        <f t="shared" si="361"/>
        <v>0.57510186058676238</v>
      </c>
      <c r="HV12" s="83">
        <f t="shared" si="362"/>
        <v>0.62287225449581651</v>
      </c>
      <c r="HW12" s="83">
        <f t="shared" si="80"/>
        <v>0.66259016794420889</v>
      </c>
      <c r="HX12" s="83">
        <f t="shared" si="81"/>
        <v>0.6852124427458437</v>
      </c>
      <c r="HY12" s="83">
        <f t="shared" si="82"/>
        <v>0.70420003818665577</v>
      </c>
      <c r="HZ12" s="83">
        <f t="shared" si="83"/>
        <v>0.72560443327827118</v>
      </c>
      <c r="IA12" s="81"/>
      <c r="IB12" s="81">
        <v>11</v>
      </c>
      <c r="IC12" s="83">
        <f t="shared" si="84"/>
        <v>0.24965386825400859</v>
      </c>
      <c r="ID12" s="83">
        <f t="shared" si="85"/>
        <v>0.27581603558498424</v>
      </c>
      <c r="IE12" s="83">
        <f t="shared" si="86"/>
        <v>0.29404316101972794</v>
      </c>
      <c r="IF12" s="83">
        <f t="shared" si="363"/>
        <v>0.31194476186586989</v>
      </c>
      <c r="IG12" s="83">
        <f t="shared" si="364"/>
        <v>0.33691727863057624</v>
      </c>
      <c r="IH12" s="84">
        <f t="shared" si="365"/>
        <v>0.36002063394874734</v>
      </c>
      <c r="II12" s="83">
        <f t="shared" si="366"/>
        <v>0.37979557761688709</v>
      </c>
      <c r="IJ12" s="83">
        <f t="shared" si="87"/>
        <v>0.39549910272489219</v>
      </c>
      <c r="IK12" s="83">
        <f t="shared" si="88"/>
        <v>0.40418345265101935</v>
      </c>
      <c r="IL12" s="83">
        <f t="shared" si="89"/>
        <v>0.41134010400155085</v>
      </c>
      <c r="IM12" s="83">
        <f t="shared" si="90"/>
        <v>0.41927240437327867</v>
      </c>
      <c r="IN12" s="81"/>
      <c r="IO12" s="81">
        <v>11</v>
      </c>
      <c r="IP12" s="133">
        <f t="shared" si="91"/>
        <v>0.24442153116344617</v>
      </c>
      <c r="IQ12" s="133">
        <f t="shared" si="92"/>
        <v>0.27173482428942081</v>
      </c>
      <c r="IR12" s="133">
        <f t="shared" si="93"/>
        <v>0.29060351991286876</v>
      </c>
      <c r="IS12" s="133">
        <f t="shared" si="367"/>
        <v>0.30904907490376948</v>
      </c>
      <c r="IT12" s="133">
        <f t="shared" si="368"/>
        <v>0.33468097733682883</v>
      </c>
      <c r="IU12" s="134">
        <f t="shared" si="369"/>
        <v>0.3583236296432909</v>
      </c>
      <c r="IV12" s="133">
        <f t="shared" si="370"/>
        <v>0.37852349559182047</v>
      </c>
      <c r="IW12" s="133">
        <f t="shared" si="94"/>
        <v>0.39454722104056905</v>
      </c>
      <c r="IX12" s="133">
        <f t="shared" si="95"/>
        <v>0.40340358894705558</v>
      </c>
      <c r="IY12" s="133">
        <f t="shared" si="96"/>
        <v>0.41069975612846021</v>
      </c>
      <c r="IZ12" s="133">
        <f t="shared" si="97"/>
        <v>0.41878464555461303</v>
      </c>
      <c r="JA12" s="81"/>
      <c r="JB12" s="81">
        <v>13</v>
      </c>
      <c r="JC12" s="133">
        <f t="shared" si="98"/>
        <v>0.26504023443252245</v>
      </c>
      <c r="JD12" s="133">
        <f t="shared" si="99"/>
        <v>0.28769004130888481</v>
      </c>
      <c r="JE12" s="133">
        <f t="shared" si="100"/>
        <v>0.30396641033064586</v>
      </c>
      <c r="JF12" s="133">
        <f t="shared" si="371"/>
        <v>0.32024941600405649</v>
      </c>
      <c r="JG12" s="133">
        <f t="shared" si="372"/>
        <v>0.34333891319958837</v>
      </c>
      <c r="JH12" s="134">
        <f t="shared" si="373"/>
        <v>0.36499214796796298</v>
      </c>
      <c r="JI12" s="133">
        <f t="shared" si="374"/>
        <v>0.38369271183686265</v>
      </c>
      <c r="JJ12" s="133">
        <f t="shared" si="101"/>
        <v>0.39862899454199496</v>
      </c>
      <c r="JK12" s="133">
        <f t="shared" si="102"/>
        <v>0.40691633311419501</v>
      </c>
      <c r="JL12" s="133">
        <f t="shared" si="103"/>
        <v>0.41375868977089758</v>
      </c>
      <c r="JM12" s="133">
        <f t="shared" si="104"/>
        <v>0.42135501738069936</v>
      </c>
      <c r="JN12" s="81"/>
      <c r="JO12" s="81">
        <v>10</v>
      </c>
      <c r="JP12" s="133">
        <f t="shared" si="105"/>
        <v>-7.1368341435077784</v>
      </c>
      <c r="JQ12" s="133">
        <f t="shared" si="106"/>
        <v>-6.0056878053353291</v>
      </c>
      <c r="JR12" s="133">
        <f t="shared" si="107"/>
        <v>-5.0206310537809937</v>
      </c>
      <c r="JS12" s="133">
        <f t="shared" si="375"/>
        <v>-3.8715339729188116</v>
      </c>
      <c r="JT12" s="133">
        <f t="shared" si="376"/>
        <v>-1.9243513536375083</v>
      </c>
      <c r="JU12" s="134">
        <f t="shared" si="377"/>
        <v>0.28789126704315038</v>
      </c>
      <c r="JV12" s="133">
        <f t="shared" si="378"/>
        <v>2.5414056121686386</v>
      </c>
      <c r="JW12" s="133">
        <f t="shared" si="108"/>
        <v>4.5962087237520244</v>
      </c>
      <c r="JX12" s="133">
        <f t="shared" si="109"/>
        <v>5.8422003041456847</v>
      </c>
      <c r="JY12" s="133">
        <f t="shared" si="110"/>
        <v>6.9312355131589989</v>
      </c>
      <c r="JZ12" s="133">
        <f t="shared" si="111"/>
        <v>8.206925887350824</v>
      </c>
      <c r="KA12" s="81"/>
      <c r="KB12" s="81">
        <v>10</v>
      </c>
      <c r="KC12" s="133">
        <f t="shared" si="112"/>
        <v>-5.8008671662010416</v>
      </c>
      <c r="KD12" s="133">
        <f t="shared" si="113"/>
        <v>-4.8897632416823695</v>
      </c>
      <c r="KE12" s="133">
        <f t="shared" si="114"/>
        <v>-4.0750916241518329</v>
      </c>
      <c r="KF12" s="133">
        <f t="shared" si="379"/>
        <v>-3.1016888335697406</v>
      </c>
      <c r="KG12" s="133">
        <f t="shared" si="380"/>
        <v>-1.4003934897128705</v>
      </c>
      <c r="KH12" s="134">
        <f t="shared" si="381"/>
        <v>0.60373894345019252</v>
      </c>
      <c r="KI12" s="133">
        <f t="shared" si="382"/>
        <v>2.7148875113885325</v>
      </c>
      <c r="KJ12" s="133">
        <f t="shared" si="115"/>
        <v>4.6952146322175476</v>
      </c>
      <c r="KK12" s="133">
        <f t="shared" si="116"/>
        <v>5.9198164835963265</v>
      </c>
      <c r="KL12" s="133">
        <f t="shared" si="117"/>
        <v>7.004038151565906</v>
      </c>
      <c r="KM12" s="133">
        <f t="shared" si="118"/>
        <v>8.2898497186122402</v>
      </c>
      <c r="KN12" s="81"/>
      <c r="KO12" s="81">
        <v>12</v>
      </c>
      <c r="KP12" s="133">
        <f t="shared" si="119"/>
        <v>-9.5081893574517018</v>
      </c>
      <c r="KQ12" s="133">
        <f t="shared" si="120"/>
        <v>-8.0653414895848776</v>
      </c>
      <c r="KR12" s="133">
        <f t="shared" si="121"/>
        <v>-6.8321466255051444</v>
      </c>
      <c r="KS12" s="133">
        <f t="shared" si="383"/>
        <v>-5.4182750125879622</v>
      </c>
      <c r="KT12" s="133">
        <f t="shared" si="384"/>
        <v>-3.0763929019389806</v>
      </c>
      <c r="KU12" s="134">
        <f t="shared" si="385"/>
        <v>-0.48757330681135613</v>
      </c>
      <c r="KV12" s="133">
        <f t="shared" si="386"/>
        <v>2.0817349513691141</v>
      </c>
      <c r="KW12" s="133">
        <f t="shared" si="122"/>
        <v>4.3722951411820894</v>
      </c>
      <c r="KX12" s="133">
        <f t="shared" si="123"/>
        <v>5.7393849799269461</v>
      </c>
      <c r="KY12" s="133">
        <f t="shared" si="124"/>
        <v>6.9217348073470539</v>
      </c>
      <c r="KZ12" s="133">
        <f t="shared" si="125"/>
        <v>8.2927149072111384</v>
      </c>
      <c r="LA12" s="81"/>
      <c r="LB12" s="81">
        <v>10</v>
      </c>
      <c r="LC12" s="133">
        <f t="shared" si="126"/>
        <v>-20.543873363432677</v>
      </c>
      <c r="LD12" s="133">
        <f t="shared" si="127"/>
        <v>-17.151591278771626</v>
      </c>
      <c r="LE12" s="133">
        <f t="shared" si="128"/>
        <v>-14.129167134104531</v>
      </c>
      <c r="LF12" s="133">
        <f t="shared" si="387"/>
        <v>-10.535314572245014</v>
      </c>
      <c r="LG12" s="133">
        <f t="shared" si="388"/>
        <v>-4.3054136424211578</v>
      </c>
      <c r="LH12" s="134">
        <f t="shared" si="389"/>
        <v>2.9468667935373176</v>
      </c>
      <c r="LI12" s="133">
        <f t="shared" si="390"/>
        <v>10.488264498115186</v>
      </c>
      <c r="LJ12" s="133">
        <f t="shared" si="129"/>
        <v>17.476562695825251</v>
      </c>
      <c r="LK12" s="133">
        <f t="shared" si="130"/>
        <v>21.759103469326504</v>
      </c>
      <c r="LL12" s="133">
        <f t="shared" si="131"/>
        <v>25.527230387662563</v>
      </c>
      <c r="LM12" s="133">
        <f t="shared" si="132"/>
        <v>29.968646855933422</v>
      </c>
      <c r="LN12" s="81"/>
      <c r="LO12" s="81">
        <v>10</v>
      </c>
      <c r="LP12" s="133">
        <f t="shared" si="133"/>
        <v>-18.426009454566561</v>
      </c>
      <c r="LQ12" s="133">
        <f t="shared" si="134"/>
        <v>-15.23048892949827</v>
      </c>
      <c r="LR12" s="133">
        <f t="shared" si="135"/>
        <v>-12.356525464798789</v>
      </c>
      <c r="LS12" s="133">
        <f t="shared" si="391"/>
        <v>-8.9126667133854767</v>
      </c>
      <c r="LT12" s="133">
        <f t="shared" si="392"/>
        <v>-2.8881127818104062</v>
      </c>
      <c r="LU12" s="134">
        <f t="shared" si="393"/>
        <v>4.1937759500266019</v>
      </c>
      <c r="LV12" s="133">
        <f t="shared" si="394"/>
        <v>11.619510083857957</v>
      </c>
      <c r="LW12" s="133">
        <f t="shared" si="136"/>
        <v>18.546259510270307</v>
      </c>
      <c r="LX12" s="133">
        <f t="shared" si="137"/>
        <v>22.809738833805479</v>
      </c>
      <c r="LY12" s="133">
        <f t="shared" si="138"/>
        <v>26.571637247766578</v>
      </c>
      <c r="LZ12" s="133">
        <f t="shared" si="139"/>
        <v>31.017413383881536</v>
      </c>
      <c r="MA12" s="81"/>
      <c r="MB12" s="81">
        <v>12</v>
      </c>
      <c r="MC12" s="133">
        <f t="shared" si="140"/>
        <v>-24.097520885617925</v>
      </c>
      <c r="MD12" s="133">
        <f t="shared" si="141"/>
        <v>-20.506268047292114</v>
      </c>
      <c r="ME12" s="133">
        <f t="shared" si="142"/>
        <v>-17.331978200707887</v>
      </c>
      <c r="MF12" s="133">
        <f t="shared" si="395"/>
        <v>-13.588237313638736</v>
      </c>
      <c r="MG12" s="133">
        <f t="shared" si="396"/>
        <v>-7.1720290994450941</v>
      </c>
      <c r="MH12" s="134">
        <f t="shared" si="397"/>
        <v>0.19251325930961372</v>
      </c>
      <c r="MI12" s="133">
        <f t="shared" si="398"/>
        <v>7.7472503403199724</v>
      </c>
      <c r="MJ12" s="133">
        <f t="shared" si="143"/>
        <v>14.666016957001965</v>
      </c>
      <c r="MK12" s="133">
        <f t="shared" si="144"/>
        <v>18.871095791070893</v>
      </c>
      <c r="ML12" s="133">
        <f t="shared" si="145"/>
        <v>22.550883290144007</v>
      </c>
      <c r="MM12" s="133">
        <f t="shared" si="146"/>
        <v>26.865410361211637</v>
      </c>
      <c r="MN12" s="81"/>
      <c r="MO12" s="81">
        <v>10</v>
      </c>
      <c r="MP12" s="133">
        <f t="shared" si="147"/>
        <v>-21.08198838491483</v>
      </c>
      <c r="MQ12" s="133">
        <f t="shared" si="148"/>
        <v>-16.923864551757713</v>
      </c>
      <c r="MR12" s="133">
        <f t="shared" si="149"/>
        <v>-13.325120248358708</v>
      </c>
      <c r="MS12" s="133">
        <f t="shared" si="399"/>
        <v>-9.154229744380654</v>
      </c>
      <c r="MT12" s="133">
        <f t="shared" si="400"/>
        <v>-2.1528415881866536</v>
      </c>
      <c r="MU12" s="134">
        <f t="shared" si="401"/>
        <v>5.7042301830738822</v>
      </c>
      <c r="MV12" s="133">
        <f t="shared" si="402"/>
        <v>13.608090675288977</v>
      </c>
      <c r="MW12" s="133">
        <f t="shared" si="150"/>
        <v>20.733437124708772</v>
      </c>
      <c r="MX12" s="133">
        <f t="shared" si="151"/>
        <v>25.018554880746798</v>
      </c>
      <c r="MY12" s="133">
        <f t="shared" si="152"/>
        <v>28.742968689435862</v>
      </c>
      <c r="MZ12" s="133">
        <f t="shared" si="153"/>
        <v>33.081895809328621</v>
      </c>
      <c r="NA12" s="81"/>
      <c r="NB12" s="81">
        <v>10</v>
      </c>
      <c r="NC12" s="133">
        <f t="shared" si="154"/>
        <v>-19.199769043233296</v>
      </c>
      <c r="ND12" s="133">
        <f t="shared" si="155"/>
        <v>-15.070905084656614</v>
      </c>
      <c r="NE12" s="133">
        <f t="shared" si="156"/>
        <v>-11.471406410342041</v>
      </c>
      <c r="NF12" s="133">
        <f t="shared" si="403"/>
        <v>-7.278261122883638</v>
      </c>
      <c r="NG12" s="133">
        <f t="shared" si="404"/>
        <v>-0.20200466731958855</v>
      </c>
      <c r="NH12" s="134">
        <f t="shared" si="405"/>
        <v>7.7798240646282188</v>
      </c>
      <c r="NI12" s="133">
        <f t="shared" si="406"/>
        <v>15.841411613960769</v>
      </c>
      <c r="NJ12" s="133">
        <f t="shared" si="157"/>
        <v>23.130757695306091</v>
      </c>
      <c r="NK12" s="133">
        <f t="shared" si="158"/>
        <v>27.522907060290219</v>
      </c>
      <c r="NL12" s="133">
        <f t="shared" si="159"/>
        <v>31.344911838587134</v>
      </c>
      <c r="NM12" s="133">
        <f t="shared" si="160"/>
        <v>35.802447410421195</v>
      </c>
      <c r="NN12" s="81"/>
      <c r="NO12" s="81">
        <v>12</v>
      </c>
      <c r="NP12" s="133">
        <f t="shared" si="161"/>
        <v>-24.618432947062281</v>
      </c>
      <c r="NQ12" s="133">
        <f t="shared" si="162"/>
        <v>-20.627222089648175</v>
      </c>
      <c r="NR12" s="133">
        <f t="shared" si="163"/>
        <v>-17.190589993783199</v>
      </c>
      <c r="NS12" s="133">
        <f t="shared" si="407"/>
        <v>-13.224677812022364</v>
      </c>
      <c r="NT12" s="133">
        <f t="shared" si="408"/>
        <v>-6.6016740665728193</v>
      </c>
      <c r="NU12" s="134">
        <f t="shared" si="409"/>
        <v>0.78878119840604199</v>
      </c>
      <c r="NV12" s="133">
        <f t="shared" si="410"/>
        <v>8.1865167711226121</v>
      </c>
      <c r="NW12" s="133">
        <f t="shared" si="164"/>
        <v>14.828900816231851</v>
      </c>
      <c r="NX12" s="133">
        <f t="shared" si="165"/>
        <v>18.812804087703306</v>
      </c>
      <c r="NY12" s="133">
        <f t="shared" si="166"/>
        <v>22.269399012010958</v>
      </c>
      <c r="NZ12" s="133">
        <f t="shared" si="167"/>
        <v>26.289707913137214</v>
      </c>
      <c r="OA12" s="81"/>
      <c r="OB12" s="81">
        <v>10</v>
      </c>
      <c r="OC12" s="133">
        <v>14.569752171712206</v>
      </c>
      <c r="OD12" s="133">
        <v>16.162096123124826</v>
      </c>
      <c r="OE12" s="133">
        <v>17.670110390485966</v>
      </c>
      <c r="OF12" s="133">
        <v>19.584201246976512</v>
      </c>
      <c r="OG12" s="133">
        <v>23.249716099567294</v>
      </c>
      <c r="OH12" s="134">
        <v>28.149313815874866</v>
      </c>
      <c r="OI12" s="133">
        <v>34.081442754449405</v>
      </c>
      <c r="OJ12" s="133">
        <v>40.460361814701784</v>
      </c>
      <c r="OK12" s="133">
        <v>44.843175893866686</v>
      </c>
      <c r="OL12" s="133">
        <v>49.02729585742631</v>
      </c>
      <c r="OM12" s="133">
        <v>54.38554197531586</v>
      </c>
      <c r="ON12" s="81"/>
      <c r="OO12" s="81">
        <v>10</v>
      </c>
      <c r="OP12" s="133">
        <v>14.659708533378785</v>
      </c>
      <c r="OQ12" s="133">
        <v>16.252073573813085</v>
      </c>
      <c r="OR12" s="133">
        <v>17.759263738757525</v>
      </c>
      <c r="OS12" s="133">
        <v>19.671237656981248</v>
      </c>
      <c r="OT12" s="133">
        <v>25.328926360342969</v>
      </c>
      <c r="OU12" s="134">
        <v>28.214797173445568</v>
      </c>
      <c r="OV12" s="133">
        <v>34.122740378938637</v>
      </c>
      <c r="OW12" s="133">
        <v>40.468972691006442</v>
      </c>
      <c r="OX12" s="133">
        <v>44.82588868824169</v>
      </c>
      <c r="OY12" s="133">
        <v>48.982966753324604</v>
      </c>
      <c r="OZ12" s="133">
        <v>54.303588487184712</v>
      </c>
      <c r="PA12" s="81"/>
      <c r="PB12" s="81">
        <v>12</v>
      </c>
      <c r="PC12" s="133">
        <v>16.544110660625801</v>
      </c>
      <c r="PD12" s="133">
        <v>18.285405925689354</v>
      </c>
      <c r="PE12" s="133">
        <v>19.928910842984966</v>
      </c>
      <c r="PF12" s="133">
        <v>22.007927715919752</v>
      </c>
      <c r="PG12" s="133">
        <v>25.969896137284632</v>
      </c>
      <c r="PH12" s="134">
        <v>31.231966542657364</v>
      </c>
      <c r="PI12" s="133">
        <v>37.560247794801512</v>
      </c>
      <c r="PJ12" s="133">
        <v>44.322016443923246</v>
      </c>
      <c r="PK12" s="133">
        <v>48.945762355348464</v>
      </c>
      <c r="PL12" s="133">
        <v>53.345041290621246</v>
      </c>
      <c r="PM12" s="133">
        <v>58.959695938395789</v>
      </c>
      <c r="PN12" s="81"/>
      <c r="PO12" s="81">
        <v>10</v>
      </c>
      <c r="PP12" s="133">
        <v>6.8947881181347332</v>
      </c>
      <c r="PQ12" s="133">
        <v>7.5195191321871793</v>
      </c>
      <c r="PR12" s="133">
        <v>8.101912792454641</v>
      </c>
      <c r="PS12" s="133">
        <v>8.8295757703718429</v>
      </c>
      <c r="PT12" s="133">
        <v>10.19177992700962</v>
      </c>
      <c r="PU12" s="134">
        <v>11.959152780259744</v>
      </c>
      <c r="PV12" s="133">
        <v>14.033008585926016</v>
      </c>
      <c r="PW12" s="133">
        <v>16.197984924882899</v>
      </c>
      <c r="PX12" s="133">
        <v>17.652786309276376</v>
      </c>
      <c r="PY12" s="133">
        <v>19.020010815504666</v>
      </c>
      <c r="PZ12" s="133">
        <v>20.743398168454007</v>
      </c>
      <c r="QA12" s="81"/>
      <c r="QB12" s="81">
        <v>10</v>
      </c>
      <c r="QC12" s="133">
        <v>6.972876822738824</v>
      </c>
      <c r="QD12" s="133">
        <v>7.5699450904784067</v>
      </c>
      <c r="QE12" s="133">
        <v>8.1241902783552309</v>
      </c>
      <c r="QF12" s="133">
        <v>8.8137489976595287</v>
      </c>
      <c r="QG12" s="133">
        <v>10.096753735495509</v>
      </c>
      <c r="QH12" s="134">
        <v>11.748059142538333</v>
      </c>
      <c r="QI12" s="133">
        <v>13.669432496048215</v>
      </c>
      <c r="QJ12" s="133">
        <v>15.659272081974263</v>
      </c>
      <c r="QK12" s="133">
        <v>16.988387628523206</v>
      </c>
      <c r="QL12" s="133">
        <v>18.232218591674897</v>
      </c>
      <c r="QM12" s="133">
        <v>19.793393333222234</v>
      </c>
      <c r="QN12" s="81"/>
      <c r="QO12" s="81">
        <v>12</v>
      </c>
      <c r="QP12" s="133">
        <v>7.2727066883668678</v>
      </c>
      <c r="QQ12" s="133">
        <v>7.9585078218548109</v>
      </c>
      <c r="QR12" s="133">
        <v>8.599839627869672</v>
      </c>
      <c r="QS12" s="133">
        <v>9.4036557320818126</v>
      </c>
      <c r="QT12" s="133">
        <v>10.915222895284113</v>
      </c>
      <c r="QU12" s="134">
        <v>12.888032869850129</v>
      </c>
      <c r="QV12" s="133">
        <v>15.217407179664733</v>
      </c>
      <c r="QW12" s="133">
        <v>17.663491304521127</v>
      </c>
      <c r="QX12" s="133">
        <v>19.314475436966202</v>
      </c>
      <c r="QY12" s="133">
        <v>20.870921405418159</v>
      </c>
      <c r="QZ12" s="133">
        <v>22.839005939841705</v>
      </c>
      <c r="RA12" s="81"/>
      <c r="RB12" s="81">
        <v>10</v>
      </c>
      <c r="RC12" s="133">
        <f t="shared" si="168"/>
        <v>0.27368729348613724</v>
      </c>
      <c r="RD12" s="133">
        <f t="shared" si="169"/>
        <v>0.29397577829264804</v>
      </c>
      <c r="RE12" s="133">
        <f t="shared" si="170"/>
        <v>0.31282287623578653</v>
      </c>
      <c r="RF12" s="133">
        <f t="shared" si="411"/>
        <v>0.33630761651921937</v>
      </c>
      <c r="RG12" s="133">
        <f t="shared" si="412"/>
        <v>0.38016658909981776</v>
      </c>
      <c r="RH12" s="134">
        <f t="shared" si="413"/>
        <v>0.43703945766169167</v>
      </c>
      <c r="RI12" s="133">
        <f t="shared" si="414"/>
        <v>0.50395974535698096</v>
      </c>
      <c r="RJ12" s="133">
        <f t="shared" si="171"/>
        <v>0.57423442476324005</v>
      </c>
      <c r="RK12" s="133">
        <f t="shared" si="172"/>
        <v>0.62176893680214007</v>
      </c>
      <c r="RL12" s="133">
        <f t="shared" si="173"/>
        <v>0.66670478078018436</v>
      </c>
      <c r="RM12" s="133">
        <f t="shared" si="174"/>
        <v>0.72374169540371192</v>
      </c>
      <c r="RN12" s="81"/>
      <c r="RO12" s="81">
        <v>10</v>
      </c>
      <c r="RP12" s="133">
        <f t="shared" si="175"/>
        <v>0.28847535655284617</v>
      </c>
      <c r="RQ12" s="133">
        <f t="shared" si="176"/>
        <v>0.30815276225425603</v>
      </c>
      <c r="RR12" s="133">
        <f t="shared" si="177"/>
        <v>0.32639415117294801</v>
      </c>
      <c r="RS12" s="133">
        <f t="shared" si="415"/>
        <v>0.34908167837510712</v>
      </c>
      <c r="RT12" s="133">
        <f t="shared" si="416"/>
        <v>0.39135487171616001</v>
      </c>
      <c r="RU12" s="134">
        <f t="shared" si="417"/>
        <v>0.44604645872848897</v>
      </c>
      <c r="RV12" s="133">
        <f t="shared" si="418"/>
        <v>0.51030930817374864</v>
      </c>
      <c r="RW12" s="133">
        <f t="shared" si="178"/>
        <v>0.5777724913612956</v>
      </c>
      <c r="RX12" s="133">
        <f t="shared" si="179"/>
        <v>0.62342680700756126</v>
      </c>
      <c r="RY12" s="133">
        <f t="shared" si="180"/>
        <v>0.66661765443923671</v>
      </c>
      <c r="RZ12" s="133">
        <f t="shared" si="181"/>
        <v>0.72150137326464681</v>
      </c>
      <c r="SA12" s="81"/>
      <c r="SB12" s="81">
        <v>12</v>
      </c>
      <c r="SC12" s="133">
        <f t="shared" si="182"/>
        <v>0.24557956832965247</v>
      </c>
      <c r="SD12" s="133">
        <f t="shared" si="183"/>
        <v>0.26648619193492934</v>
      </c>
      <c r="SE12" s="133">
        <f t="shared" si="184"/>
        <v>0.28590498661576508</v>
      </c>
      <c r="SF12" s="133">
        <f t="shared" si="419"/>
        <v>0.3100810472236567</v>
      </c>
      <c r="SG12" s="133">
        <f t="shared" si="420"/>
        <v>0.35511351522542389</v>
      </c>
      <c r="SH12" s="134">
        <f t="shared" si="421"/>
        <v>0.41317138698323863</v>
      </c>
      <c r="SI12" s="133">
        <f t="shared" si="422"/>
        <v>0.48086479891990219</v>
      </c>
      <c r="SJ12" s="133">
        <f t="shared" si="185"/>
        <v>0.55112756254047979</v>
      </c>
      <c r="SK12" s="133">
        <f t="shared" si="186"/>
        <v>0.59814689553517442</v>
      </c>
      <c r="SL12" s="133">
        <f t="shared" si="187"/>
        <v>0.64221106616441703</v>
      </c>
      <c r="SM12" s="133">
        <f t="shared" si="188"/>
        <v>0.69760037503316008</v>
      </c>
      <c r="SN12" s="81"/>
      <c r="SO12" s="81">
        <v>10</v>
      </c>
      <c r="SP12" s="133">
        <f t="shared" si="189"/>
        <v>0.21409625938028032</v>
      </c>
      <c r="SQ12" s="133">
        <f t="shared" si="190"/>
        <v>0.22676922424162746</v>
      </c>
      <c r="SR12" s="133">
        <f t="shared" si="191"/>
        <v>0.23810971898512606</v>
      </c>
      <c r="SS12" s="133">
        <f t="shared" si="423"/>
        <v>0.25170448036702747</v>
      </c>
      <c r="ST12" s="133">
        <f t="shared" si="424"/>
        <v>0.27566280670925131</v>
      </c>
      <c r="SU12" s="134">
        <f t="shared" si="425"/>
        <v>0.30433061800516731</v>
      </c>
      <c r="SV12" s="133">
        <f t="shared" si="426"/>
        <v>0.3351689819023207</v>
      </c>
      <c r="SW12" s="133">
        <f t="shared" si="192"/>
        <v>0.36477121567149767</v>
      </c>
      <c r="SX12" s="133">
        <f t="shared" si="193"/>
        <v>0.3834273999792569</v>
      </c>
      <c r="SY12" s="133">
        <f t="shared" si="194"/>
        <v>0.40017810086876671</v>
      </c>
      <c r="SZ12" s="133">
        <f t="shared" si="195"/>
        <v>0.4203350375837076</v>
      </c>
      <c r="TA12" s="81"/>
      <c r="TB12" s="81">
        <v>10</v>
      </c>
      <c r="TC12" s="133">
        <f t="shared" si="196"/>
        <v>0.22320225552199655</v>
      </c>
      <c r="TD12" s="133">
        <f t="shared" si="197"/>
        <v>0.23518368678014281</v>
      </c>
      <c r="TE12" s="133">
        <f t="shared" si="198"/>
        <v>0.24590871443058238</v>
      </c>
      <c r="TF12" s="133">
        <f t="shared" si="427"/>
        <v>0.25877219664629303</v>
      </c>
      <c r="TG12" s="133">
        <f t="shared" si="428"/>
        <v>0.28146573099515482</v>
      </c>
      <c r="TH12" s="134">
        <f t="shared" si="429"/>
        <v>0.308672090299204</v>
      </c>
      <c r="TI12" s="133">
        <f t="shared" si="430"/>
        <v>0.33801502687783203</v>
      </c>
      <c r="TJ12" s="133">
        <f t="shared" si="199"/>
        <v>0.36626658108190396</v>
      </c>
      <c r="TK12" s="133">
        <f t="shared" si="200"/>
        <v>0.38411747659497691</v>
      </c>
      <c r="TL12" s="133">
        <f t="shared" si="201"/>
        <v>0.40017674796473757</v>
      </c>
      <c r="TM12" s="133">
        <f t="shared" si="202"/>
        <v>0.41954242496843397</v>
      </c>
      <c r="TN12" s="81"/>
      <c r="TO12" s="81">
        <v>12</v>
      </c>
      <c r="TP12" s="133">
        <f t="shared" si="203"/>
        <v>0.19591087396407597</v>
      </c>
      <c r="TQ12" s="133">
        <f t="shared" si="204"/>
        <v>0.20970242120149257</v>
      </c>
      <c r="TR12" s="133">
        <f t="shared" si="205"/>
        <v>0.22198800091885584</v>
      </c>
      <c r="TS12" s="133">
        <f t="shared" si="431"/>
        <v>0.23664313174449281</v>
      </c>
      <c r="TT12" s="133">
        <f t="shared" si="432"/>
        <v>0.26227104277454116</v>
      </c>
      <c r="TU12" s="134">
        <f t="shared" si="433"/>
        <v>0.29259571642218191</v>
      </c>
      <c r="TV12" s="133">
        <f t="shared" si="434"/>
        <v>0.32480065243748829</v>
      </c>
      <c r="TW12" s="133">
        <f t="shared" si="206"/>
        <v>0.35531533053827669</v>
      </c>
      <c r="TX12" s="133">
        <f t="shared" si="207"/>
        <v>0.37435003316248849</v>
      </c>
      <c r="TY12" s="133">
        <f t="shared" si="208"/>
        <v>0.3913140013946097</v>
      </c>
      <c r="TZ12" s="133">
        <f t="shared" si="209"/>
        <v>0.41157212040216828</v>
      </c>
      <c r="UA12" s="81"/>
      <c r="UB12" s="81">
        <v>10</v>
      </c>
      <c r="UC12" s="133">
        <f t="shared" si="210"/>
        <v>-25.886824963143248</v>
      </c>
      <c r="UD12" s="133">
        <f t="shared" si="211"/>
        <v>-22.992481363009901</v>
      </c>
      <c r="UE12" s="133">
        <f t="shared" si="212"/>
        <v>-20.57031154513826</v>
      </c>
      <c r="UF12" s="133">
        <f t="shared" si="435"/>
        <v>-17.846225879426193</v>
      </c>
      <c r="UG12" s="133">
        <f t="shared" si="436"/>
        <v>-13.445499670290474</v>
      </c>
      <c r="UH12" s="134">
        <f t="shared" si="437"/>
        <v>-8.7227518282973051</v>
      </c>
      <c r="UI12" s="133">
        <f t="shared" si="438"/>
        <v>-4.1639204958375444</v>
      </c>
      <c r="UJ12" s="133">
        <f t="shared" si="213"/>
        <v>-0.19481266671918718</v>
      </c>
      <c r="UK12" s="133">
        <f t="shared" si="214"/>
        <v>2.1352865633182034</v>
      </c>
      <c r="UL12" s="133">
        <f t="shared" si="215"/>
        <v>4.1286972661118853</v>
      </c>
      <c r="UM12" s="133">
        <f t="shared" si="216"/>
        <v>6.4161239404594852</v>
      </c>
      <c r="UN12" s="81"/>
      <c r="UO12" s="81">
        <v>10</v>
      </c>
      <c r="UP12" s="133">
        <f t="shared" si="217"/>
        <v>-23.134390323295555</v>
      </c>
      <c r="UQ12" s="133">
        <f t="shared" si="218"/>
        <v>-20.685447246613993</v>
      </c>
      <c r="UR12" s="133">
        <f t="shared" si="219"/>
        <v>-18.586504743683459</v>
      </c>
      <c r="US12" s="133">
        <f t="shared" si="439"/>
        <v>-16.173606205151255</v>
      </c>
      <c r="UT12" s="133">
        <f t="shared" si="440"/>
        <v>-12.162597402361872</v>
      </c>
      <c r="UU12" s="134">
        <f t="shared" si="441"/>
        <v>-7.7092488831623598</v>
      </c>
      <c r="UV12" s="133">
        <f t="shared" si="442"/>
        <v>-3.2710102115826523</v>
      </c>
      <c r="UW12" s="133">
        <f t="shared" si="220"/>
        <v>0.6999629708669346</v>
      </c>
      <c r="UX12" s="133">
        <f t="shared" si="221"/>
        <v>3.0759661882426244</v>
      </c>
      <c r="UY12" s="133">
        <f t="shared" si="222"/>
        <v>5.1343209101856786</v>
      </c>
      <c r="UZ12" s="133">
        <f t="shared" si="223"/>
        <v>7.5248935805388655</v>
      </c>
      <c r="VA12" s="81"/>
      <c r="VB12" s="81">
        <v>13</v>
      </c>
      <c r="VC12" s="133">
        <f t="shared" si="224"/>
        <v>-30.714887548960633</v>
      </c>
      <c r="VD12" s="133">
        <f t="shared" si="225"/>
        <v>-26.990402979125193</v>
      </c>
      <c r="VE12" s="133">
        <f t="shared" si="226"/>
        <v>-23.96972859200001</v>
      </c>
      <c r="VF12" s="133">
        <f t="shared" si="443"/>
        <v>-20.65874292739651</v>
      </c>
      <c r="VG12" s="133">
        <f t="shared" si="444"/>
        <v>-15.467910150154303</v>
      </c>
      <c r="VH12" s="134">
        <f t="shared" si="445"/>
        <v>-10.072388252884593</v>
      </c>
      <c r="VI12" s="133">
        <f t="shared" si="446"/>
        <v>-5.0026024784129746</v>
      </c>
      <c r="VJ12" s="133">
        <f t="shared" si="227"/>
        <v>-0.68087939100000483</v>
      </c>
      <c r="VK12" s="133">
        <f t="shared" si="228"/>
        <v>1.8212586611413428</v>
      </c>
      <c r="VL12" s="133">
        <f t="shared" si="229"/>
        <v>3.9431614078615098</v>
      </c>
      <c r="VM12" s="133">
        <f t="shared" si="230"/>
        <v>6.3582318904062447</v>
      </c>
      <c r="VN12" s="81"/>
      <c r="VO12" s="81">
        <v>10</v>
      </c>
      <c r="VP12" s="133">
        <f t="shared" si="231"/>
        <v>-46.610676878038078</v>
      </c>
      <c r="VQ12" s="133">
        <f t="shared" si="232"/>
        <v>-43.547162889621177</v>
      </c>
      <c r="VR12" s="133">
        <f t="shared" si="233"/>
        <v>-40.603581565859486</v>
      </c>
      <c r="VS12" s="133">
        <f t="shared" si="447"/>
        <v>-36.870393656687924</v>
      </c>
      <c r="VT12" s="133">
        <f t="shared" si="448"/>
        <v>-29.869415114341653</v>
      </c>
      <c r="VU12" s="134">
        <f t="shared" si="449"/>
        <v>-20.981281669123128</v>
      </c>
      <c r="VV12" s="133">
        <f t="shared" si="450"/>
        <v>-11.00498306126606</v>
      </c>
      <c r="VW12" s="133">
        <f t="shared" si="234"/>
        <v>-1.1668582670259013</v>
      </c>
      <c r="VX12" s="133">
        <f t="shared" si="235"/>
        <v>5.1205458888915771</v>
      </c>
      <c r="VY12" s="133">
        <f t="shared" si="236"/>
        <v>10.805327147093728</v>
      </c>
      <c r="VZ12" s="133">
        <f t="shared" si="237"/>
        <v>17.680847760287158</v>
      </c>
      <c r="WA12" s="81"/>
      <c r="WB12" s="81">
        <v>10</v>
      </c>
      <c r="WC12" s="133">
        <f t="shared" si="238"/>
        <v>-43.732278717313463</v>
      </c>
      <c r="WD12" s="133">
        <f t="shared" si="239"/>
        <v>-40.983730463624369</v>
      </c>
      <c r="WE12" s="133">
        <f t="shared" si="240"/>
        <v>-38.247454418359986</v>
      </c>
      <c r="WF12" s="133">
        <f t="shared" si="451"/>
        <v>-34.687920517661325</v>
      </c>
      <c r="WG12" s="133">
        <f t="shared" si="452"/>
        <v>-27.836259895286275</v>
      </c>
      <c r="WH12" s="134">
        <f t="shared" si="453"/>
        <v>-18.928100909155496</v>
      </c>
      <c r="WI12" s="133">
        <f t="shared" si="454"/>
        <v>-8.7532562637120535</v>
      </c>
      <c r="WJ12" s="133">
        <f t="shared" si="241"/>
        <v>1.403832003554335</v>
      </c>
      <c r="WK12" s="133">
        <f t="shared" si="242"/>
        <v>7.9430011160307714</v>
      </c>
      <c r="WL12" s="133">
        <f t="shared" si="243"/>
        <v>13.881613445849204</v>
      </c>
      <c r="WM12" s="133">
        <f t="shared" si="244"/>
        <v>21.092614672810946</v>
      </c>
      <c r="WN12" s="81"/>
      <c r="WO12" s="81">
        <v>13</v>
      </c>
      <c r="WP12" s="133">
        <f t="shared" si="245"/>
        <v>-49.376193872971456</v>
      </c>
      <c r="WQ12" s="133">
        <f t="shared" si="246"/>
        <v>-46.184890995949424</v>
      </c>
      <c r="WR12" s="133">
        <f t="shared" si="247"/>
        <v>-43.080216892877317</v>
      </c>
      <c r="WS12" s="133">
        <f t="shared" si="455"/>
        <v>-39.131178271533827</v>
      </c>
      <c r="WT12" s="133">
        <f t="shared" si="456"/>
        <v>-31.752710354979751</v>
      </c>
      <c r="WU12" s="134">
        <f t="shared" si="457"/>
        <v>-22.486004212801234</v>
      </c>
      <c r="WV12" s="133">
        <f t="shared" si="458"/>
        <v>-12.232028013721298</v>
      </c>
      <c r="WW12" s="133">
        <f t="shared" si="248"/>
        <v>-2.2632165445107688</v>
      </c>
      <c r="WX12" s="133">
        <f t="shared" si="249"/>
        <v>4.0396896973637411</v>
      </c>
      <c r="WY12" s="133">
        <f t="shared" si="250"/>
        <v>9.6963378361496595</v>
      </c>
      <c r="WZ12" s="133">
        <f t="shared" si="251"/>
        <v>16.487852040967233</v>
      </c>
      <c r="XA12" s="81"/>
      <c r="XB12" s="81">
        <v>10</v>
      </c>
      <c r="XC12" s="133">
        <f t="shared" si="252"/>
        <v>-47.154264454232518</v>
      </c>
      <c r="XD12" s="133">
        <f t="shared" si="253"/>
        <v>-43.318191693574221</v>
      </c>
      <c r="XE12" s="133">
        <f t="shared" si="254"/>
        <v>-39.777404152265383</v>
      </c>
      <c r="XF12" s="133">
        <f t="shared" si="459"/>
        <v>-35.45529894305308</v>
      </c>
      <c r="XG12" s="133">
        <f t="shared" si="460"/>
        <v>-27.749311830420613</v>
      </c>
      <c r="XH12" s="134">
        <f t="shared" si="461"/>
        <v>-18.529843840145404</v>
      </c>
      <c r="XI12" s="133">
        <f t="shared" si="462"/>
        <v>-8.7350315888603376</v>
      </c>
      <c r="XJ12" s="133">
        <f t="shared" si="255"/>
        <v>0.48722567954997942</v>
      </c>
      <c r="XK12" s="133">
        <f t="shared" si="256"/>
        <v>6.1961315311948368</v>
      </c>
      <c r="XL12" s="133">
        <f t="shared" si="257"/>
        <v>11.250877308405585</v>
      </c>
      <c r="XM12" s="133">
        <f t="shared" si="258"/>
        <v>17.243216757168319</v>
      </c>
      <c r="XN12" s="81"/>
      <c r="XO12" s="81">
        <v>10</v>
      </c>
      <c r="XP12" s="133">
        <f t="shared" si="259"/>
        <v>-45.4932195740449</v>
      </c>
      <c r="XQ12" s="133">
        <f t="shared" si="260"/>
        <v>-41.587416966145547</v>
      </c>
      <c r="XR12" s="133">
        <f t="shared" si="261"/>
        <v>-37.943111809305982</v>
      </c>
      <c r="XS12" s="133">
        <f t="shared" si="463"/>
        <v>-33.471355297540029</v>
      </c>
      <c r="XT12" s="133">
        <f t="shared" si="464"/>
        <v>-25.472836102210266</v>
      </c>
      <c r="XU12" s="134">
        <f t="shared" si="465"/>
        <v>-15.893727204112317</v>
      </c>
      <c r="XV12" s="133">
        <f t="shared" si="466"/>
        <v>-5.7239540930679311</v>
      </c>
      <c r="XW12" s="133">
        <f t="shared" si="262"/>
        <v>3.8382010842659966</v>
      </c>
      <c r="XX12" s="133">
        <f t="shared" si="263"/>
        <v>9.7501477589421981</v>
      </c>
      <c r="XY12" s="133">
        <f t="shared" si="264"/>
        <v>14.979802066135299</v>
      </c>
      <c r="XZ12" s="133">
        <f t="shared" si="265"/>
        <v>21.173554930072036</v>
      </c>
      <c r="YA12" s="81"/>
      <c r="YB12" s="81">
        <v>13</v>
      </c>
      <c r="YC12" s="133">
        <f t="shared" si="266"/>
        <v>-51.340304966518204</v>
      </c>
      <c r="YD12" s="133">
        <f t="shared" si="267"/>
        <v>-47.506635088827963</v>
      </c>
      <c r="YE12" s="133">
        <f t="shared" si="268"/>
        <v>-43.907274733905922</v>
      </c>
      <c r="YF12" s="133">
        <f t="shared" si="467"/>
        <v>-39.487193704380871</v>
      </c>
      <c r="YG12" s="133">
        <f t="shared" si="468"/>
        <v>-31.596087985410104</v>
      </c>
      <c r="YH12" s="134">
        <f t="shared" si="469"/>
        <v>-22.183827613834886</v>
      </c>
      <c r="YI12" s="133">
        <f t="shared" si="470"/>
        <v>-12.237399165787792</v>
      </c>
      <c r="YJ12" s="133">
        <f t="shared" si="269"/>
        <v>-2.9249431955246052</v>
      </c>
      <c r="YK12" s="133">
        <f t="shared" si="270"/>
        <v>2.8151119713707757</v>
      </c>
      <c r="YL12" s="133">
        <f t="shared" si="271"/>
        <v>7.882381000664104</v>
      </c>
      <c r="YM12" s="133">
        <f t="shared" si="272"/>
        <v>13.872017250011901</v>
      </c>
      <c r="YN12" s="81"/>
      <c r="YO12" s="81">
        <v>10</v>
      </c>
      <c r="YP12" s="133">
        <v>19.802054214479547</v>
      </c>
      <c r="YQ12" s="133">
        <v>22.096599723311428</v>
      </c>
      <c r="YR12" s="133">
        <v>24.281588311480981</v>
      </c>
      <c r="YS12" s="133">
        <v>27.070218338625125</v>
      </c>
      <c r="YT12" s="133">
        <v>32.452949593881172</v>
      </c>
      <c r="YU12" s="134">
        <v>39.723000181476074</v>
      </c>
      <c r="YV12" s="133">
        <v>48.621674244212812</v>
      </c>
      <c r="YW12" s="133">
        <v>58.289767879932441</v>
      </c>
      <c r="YX12" s="133">
        <v>64.984082720464698</v>
      </c>
      <c r="YY12" s="133">
        <v>71.409934703794292</v>
      </c>
      <c r="YZ12" s="133">
        <v>79.684497695383214</v>
      </c>
      <c r="ZA12" s="81"/>
      <c r="ZB12" s="81">
        <v>10</v>
      </c>
      <c r="ZC12" s="133">
        <v>20.563408674710544</v>
      </c>
      <c r="ZD12" s="133">
        <v>22.777197926098129</v>
      </c>
      <c r="ZE12" s="133">
        <v>24.870880057341157</v>
      </c>
      <c r="ZF12" s="133">
        <v>27.524713570246504</v>
      </c>
      <c r="ZG12" s="133">
        <v>32.596832275946412</v>
      </c>
      <c r="ZH12" s="134">
        <v>39.3590838059364</v>
      </c>
      <c r="ZI12" s="133">
        <v>47.524172438861541</v>
      </c>
      <c r="ZJ12" s="133">
        <v>56.281692962549208</v>
      </c>
      <c r="ZK12" s="133">
        <v>62.28719990893385</v>
      </c>
      <c r="ZL12" s="133">
        <v>68.012645061477116</v>
      </c>
      <c r="ZM12" s="133">
        <v>75.334663749006651</v>
      </c>
      <c r="ZN12" s="81"/>
      <c r="ZO12" s="81">
        <v>13</v>
      </c>
      <c r="ZP12" s="133">
        <v>21.349214982884234</v>
      </c>
      <c r="ZQ12" s="133">
        <v>23.904249536759085</v>
      </c>
      <c r="ZR12" s="133">
        <v>26.344982612509153</v>
      </c>
      <c r="ZS12" s="133">
        <v>29.46986527853452</v>
      </c>
      <c r="ZT12" s="133">
        <v>35.529197004048648</v>
      </c>
      <c r="ZU12" s="134">
        <v>43.762108517226906</v>
      </c>
      <c r="ZV12" s="133">
        <v>53.902770210520387</v>
      </c>
      <c r="ZW12" s="133">
        <v>64.985778651268404</v>
      </c>
      <c r="ZX12" s="133">
        <v>72.693999082929906</v>
      </c>
      <c r="ZY12" s="133">
        <v>80.116388465931095</v>
      </c>
      <c r="ZZ12" s="133">
        <v>89.704569625108263</v>
      </c>
      <c r="AAA12" s="81"/>
      <c r="AAB12" s="81">
        <v>10</v>
      </c>
      <c r="AAC12" s="133">
        <v>7.203318465365502</v>
      </c>
      <c r="AAD12" s="133">
        <v>7.9555421702936124</v>
      </c>
      <c r="AAE12" s="133">
        <v>8.6650300220195842</v>
      </c>
      <c r="AAF12" s="133">
        <v>9.5619038196352513</v>
      </c>
      <c r="AAG12" s="133">
        <v>11.269365594357792</v>
      </c>
      <c r="AAH12" s="134">
        <v>13.534156846549317</v>
      </c>
      <c r="AAI12" s="133">
        <v>16.254100553691032</v>
      </c>
      <c r="AAJ12" s="133">
        <v>19.15658272684707</v>
      </c>
      <c r="AAK12" s="133">
        <v>21.139384523944788</v>
      </c>
      <c r="AAL12" s="133">
        <v>23.024628318981978</v>
      </c>
      <c r="AAM12" s="133">
        <v>25.429030026607784</v>
      </c>
      <c r="AAN12" s="81"/>
      <c r="AAO12" s="81">
        <v>10</v>
      </c>
      <c r="AAP12" s="133">
        <v>7.2777117982214667</v>
      </c>
      <c r="AAQ12" s="133">
        <v>8.0225267242538418</v>
      </c>
      <c r="AAR12" s="133">
        <v>8.7237957562210209</v>
      </c>
      <c r="AAS12" s="133">
        <v>9.6087268136004624</v>
      </c>
      <c r="AAT12" s="133">
        <v>11.289199392199631</v>
      </c>
      <c r="AAU12" s="134">
        <v>13.510813201939383</v>
      </c>
      <c r="AAV12" s="133">
        <v>16.169620806221964</v>
      </c>
      <c r="AAW12" s="133">
        <v>18.997529737168133</v>
      </c>
      <c r="AAX12" s="133">
        <v>20.92461566944953</v>
      </c>
      <c r="AAY12" s="133">
        <v>22.753688414129574</v>
      </c>
      <c r="AAZ12" s="133">
        <v>25.082344346516901</v>
      </c>
      <c r="ABA12" s="81"/>
      <c r="ABB12" s="81">
        <v>13</v>
      </c>
      <c r="ABC12" s="133">
        <v>7.8439946479552569</v>
      </c>
      <c r="ABD12" s="133">
        <v>8.6709481095828664</v>
      </c>
      <c r="ABE12" s="133">
        <v>9.4515738413180017</v>
      </c>
      <c r="ABF12" s="133">
        <v>10.439201112367329</v>
      </c>
      <c r="ABG12" s="133">
        <v>12.321710616559965</v>
      </c>
      <c r="ABH12" s="134">
        <v>14.822645208546707</v>
      </c>
      <c r="ABI12" s="133">
        <v>17.83119388335324</v>
      </c>
      <c r="ABJ12" s="133">
        <v>21.046707369030489</v>
      </c>
      <c r="ABK12" s="133">
        <v>23.245949792824611</v>
      </c>
      <c r="ABL12" s="133">
        <v>25.338729767698066</v>
      </c>
      <c r="ABM12" s="133">
        <v>28.010066406116955</v>
      </c>
      <c r="ABN12" s="81"/>
      <c r="ABO12" s="81">
        <v>10</v>
      </c>
      <c r="ABP12" s="133">
        <f t="shared" si="273"/>
        <v>0.17255932668583238</v>
      </c>
      <c r="ABQ12" s="133">
        <f t="shared" si="274"/>
        <v>0.19495998158286768</v>
      </c>
      <c r="ABR12" s="133">
        <f t="shared" si="275"/>
        <v>0.21586027720177736</v>
      </c>
      <c r="ABS12" s="133">
        <f t="shared" si="471"/>
        <v>0.24193221852888863</v>
      </c>
      <c r="ABT12" s="133">
        <f t="shared" si="472"/>
        <v>0.29043093018545385</v>
      </c>
      <c r="ABU12" s="134">
        <f t="shared" si="473"/>
        <v>0.35244225973613508</v>
      </c>
      <c r="ABV12" s="133">
        <f t="shared" si="474"/>
        <v>0.42358852037935296</v>
      </c>
      <c r="ABW12" s="133">
        <f t="shared" si="276"/>
        <v>0.49585361923953264</v>
      </c>
      <c r="ABX12" s="133">
        <f t="shared" si="277"/>
        <v>0.5432557939386542</v>
      </c>
      <c r="ABY12" s="133">
        <f t="shared" si="278"/>
        <v>0.58697361192850683</v>
      </c>
      <c r="ABZ12" s="133">
        <f t="shared" si="279"/>
        <v>0.64096752741603236</v>
      </c>
      <c r="ACA12" s="81"/>
      <c r="ACB12" s="81">
        <v>10</v>
      </c>
      <c r="ACC12" s="133">
        <f t="shared" si="280"/>
        <v>0.18347492476764318</v>
      </c>
      <c r="ACD12" s="133">
        <f t="shared" si="281"/>
        <v>0.20484390535958938</v>
      </c>
      <c r="ACE12" s="133">
        <f t="shared" si="282"/>
        <v>0.22489884087383363</v>
      </c>
      <c r="ACF12" s="133">
        <f t="shared" si="475"/>
        <v>0.25009303919149367</v>
      </c>
      <c r="ACG12" s="133">
        <f t="shared" si="476"/>
        <v>0.2975257293474412</v>
      </c>
      <c r="ACH12" s="134">
        <f t="shared" si="477"/>
        <v>0.35931018169336715</v>
      </c>
      <c r="ACI12" s="133">
        <f t="shared" si="478"/>
        <v>0.43180809746294818</v>
      </c>
      <c r="ACJ12" s="133">
        <f t="shared" si="283"/>
        <v>0.50720853316840542</v>
      </c>
      <c r="ACK12" s="133">
        <f t="shared" si="284"/>
        <v>0.55761967205199703</v>
      </c>
      <c r="ACL12" s="133">
        <f t="shared" si="285"/>
        <v>0.60477103329530357</v>
      </c>
      <c r="ACM12" s="133">
        <f t="shared" si="286"/>
        <v>0.66386411469291229</v>
      </c>
      <c r="ACN12" s="81"/>
      <c r="ACO12" s="81">
        <v>13</v>
      </c>
      <c r="ACP12" s="133">
        <f t="shared" si="287"/>
        <v>0.15886943527942129</v>
      </c>
      <c r="ACQ12" s="133">
        <f t="shared" si="288"/>
        <v>0.18416680393242227</v>
      </c>
      <c r="ACR12" s="133">
        <f t="shared" si="289"/>
        <v>0.20746921560268042</v>
      </c>
      <c r="ACS12" s="133">
        <f t="shared" si="479"/>
        <v>0.23611651317935931</v>
      </c>
      <c r="ACT12" s="133">
        <f t="shared" si="480"/>
        <v>0.28821632112257778</v>
      </c>
      <c r="ACU12" s="134">
        <f t="shared" si="481"/>
        <v>0.35251283533980116</v>
      </c>
      <c r="ACV12" s="133">
        <f t="shared" si="482"/>
        <v>0.42350564246541933</v>
      </c>
      <c r="ACW12" s="133">
        <f t="shared" si="290"/>
        <v>0.49304423952226939</v>
      </c>
      <c r="ACX12" s="133">
        <f t="shared" si="291"/>
        <v>0.53731086665036309</v>
      </c>
      <c r="ACY12" s="133">
        <f t="shared" si="292"/>
        <v>0.57729764211817169</v>
      </c>
      <c r="ACZ12" s="133">
        <f t="shared" si="293"/>
        <v>0.62565529510519302</v>
      </c>
      <c r="ADA12" s="81"/>
      <c r="ADB12" s="81">
        <v>10</v>
      </c>
      <c r="ADC12" s="133">
        <f t="shared" si="294"/>
        <v>0.14448318535259413</v>
      </c>
      <c r="ADD12" s="133">
        <f t="shared" si="295"/>
        <v>0.16179888220073585</v>
      </c>
      <c r="ADE12" s="133">
        <f t="shared" si="296"/>
        <v>0.17703445041072238</v>
      </c>
      <c r="ADF12" s="133">
        <f t="shared" si="483"/>
        <v>0.19497292112908537</v>
      </c>
      <c r="ADG12" s="133">
        <f t="shared" si="484"/>
        <v>0.22573305368068133</v>
      </c>
      <c r="ADH12" s="134">
        <f t="shared" si="485"/>
        <v>0.2611640068582628</v>
      </c>
      <c r="ADI12" s="133">
        <f t="shared" si="486"/>
        <v>0.29771305115740093</v>
      </c>
      <c r="ADJ12" s="133">
        <f t="shared" si="297"/>
        <v>0.33139174867257043</v>
      </c>
      <c r="ADK12" s="133">
        <f t="shared" si="298"/>
        <v>0.35196177678032309</v>
      </c>
      <c r="ADL12" s="133">
        <f t="shared" si="299"/>
        <v>0.37002556387878099</v>
      </c>
      <c r="ADM12" s="133">
        <f t="shared" si="300"/>
        <v>0.39128059534777271</v>
      </c>
      <c r="ADN12" s="81"/>
      <c r="ADO12" s="81">
        <v>10</v>
      </c>
      <c r="ADP12" s="133">
        <f t="shared" si="301"/>
        <v>0.15292029152008554</v>
      </c>
      <c r="ADQ12" s="133">
        <f t="shared" si="302"/>
        <v>0.16895010313583206</v>
      </c>
      <c r="ADR12" s="133">
        <f t="shared" si="303"/>
        <v>0.18323277103617494</v>
      </c>
      <c r="ADS12" s="133">
        <f t="shared" si="487"/>
        <v>0.20025831333819208</v>
      </c>
      <c r="ADT12" s="133">
        <f t="shared" si="488"/>
        <v>0.22996177333174575</v>
      </c>
      <c r="ADU12" s="134">
        <f t="shared" si="489"/>
        <v>0.26493672018839576</v>
      </c>
      <c r="ADV12" s="133">
        <f t="shared" si="490"/>
        <v>0.30182337842426682</v>
      </c>
      <c r="ADW12" s="133">
        <f t="shared" si="304"/>
        <v>0.33650092976128487</v>
      </c>
      <c r="ADX12" s="133">
        <f t="shared" si="305"/>
        <v>0.35799123383113884</v>
      </c>
      <c r="ADY12" s="133">
        <f t="shared" si="306"/>
        <v>0.37705062212755358</v>
      </c>
      <c r="ADZ12" s="133">
        <f t="shared" si="307"/>
        <v>0.39969557092560359</v>
      </c>
      <c r="AEA12" s="81"/>
      <c r="AEB12" s="81">
        <v>13</v>
      </c>
      <c r="AEC12" s="133">
        <f t="shared" si="308"/>
        <v>0.13344431456764724</v>
      </c>
      <c r="AED12" s="133">
        <f t="shared" si="309"/>
        <v>0.15378916168178358</v>
      </c>
      <c r="AEE12" s="133">
        <f t="shared" si="310"/>
        <v>0.17120036406260608</v>
      </c>
      <c r="AEF12" s="133">
        <f t="shared" si="491"/>
        <v>0.1911871375485972</v>
      </c>
      <c r="AEG12" s="133">
        <f t="shared" si="492"/>
        <v>0.22434730456075763</v>
      </c>
      <c r="AEH12" s="134">
        <f t="shared" si="493"/>
        <v>0.26107805181400928</v>
      </c>
      <c r="AEI12" s="133">
        <f t="shared" si="494"/>
        <v>0.29760253443151607</v>
      </c>
      <c r="AEJ12" s="133">
        <f t="shared" si="311"/>
        <v>0.33021903136707048</v>
      </c>
      <c r="AEK12" s="133">
        <f t="shared" si="312"/>
        <v>0.34970872131569919</v>
      </c>
      <c r="AEL12" s="133">
        <f t="shared" si="313"/>
        <v>0.36657788771741728</v>
      </c>
      <c r="AEM12" s="133">
        <f t="shared" si="314"/>
        <v>0.38615308539186766</v>
      </c>
      <c r="AEN12" s="81"/>
    </row>
    <row r="13" spans="1:820">
      <c r="A13" s="81"/>
      <c r="B13" s="81">
        <v>12</v>
      </c>
      <c r="C13" s="133">
        <f t="shared" si="0"/>
        <v>1.6240341733199926</v>
      </c>
      <c r="D13" s="133">
        <f t="shared" si="1"/>
        <v>1.8918166347618715</v>
      </c>
      <c r="E13" s="133">
        <f t="shared" si="2"/>
        <v>2.164784381128988</v>
      </c>
      <c r="F13" s="133">
        <f t="shared" si="315"/>
        <v>2.5395394409332379</v>
      </c>
      <c r="G13" s="133">
        <f t="shared" si="316"/>
        <v>3.3509070260906757</v>
      </c>
      <c r="H13" s="134">
        <f t="shared" si="317"/>
        <v>4.6454607976787061</v>
      </c>
      <c r="I13" s="133">
        <f t="shared" si="318"/>
        <v>6.5761321636750392</v>
      </c>
      <c r="J13" s="133">
        <f t="shared" si="3"/>
        <v>9.1649949219538165</v>
      </c>
      <c r="K13" s="133">
        <f t="shared" si="4"/>
        <v>11.297189634579668</v>
      </c>
      <c r="L13" s="133">
        <f t="shared" si="5"/>
        <v>13.636197613737536</v>
      </c>
      <c r="M13" s="133">
        <f t="shared" si="6"/>
        <v>17.116466302264818</v>
      </c>
      <c r="N13" s="81"/>
      <c r="O13" s="75">
        <v>12</v>
      </c>
      <c r="P13" s="151">
        <f t="shared" si="7"/>
        <v>2.2689544156755868</v>
      </c>
      <c r="Q13" s="151">
        <f t="shared" si="8"/>
        <v>2.5229652605029127</v>
      </c>
      <c r="R13" s="151">
        <f t="shared" si="9"/>
        <v>2.7745176432541503</v>
      </c>
      <c r="S13" s="151">
        <f t="shared" si="319"/>
        <v>3.1104650753666432</v>
      </c>
      <c r="T13" s="151">
        <f t="shared" si="320"/>
        <v>3.8113967462992804</v>
      </c>
      <c r="U13" s="134">
        <f t="shared" si="321"/>
        <v>4.884342846362105</v>
      </c>
      <c r="V13" s="151">
        <f t="shared" si="322"/>
        <v>6.4343425895730642</v>
      </c>
      <c r="W13" s="151">
        <f t="shared" si="10"/>
        <v>8.4826199275764509</v>
      </c>
      <c r="X13" s="151">
        <f t="shared" si="11"/>
        <v>10.173289895591973</v>
      </c>
      <c r="Y13" s="151">
        <f t="shared" si="12"/>
        <v>12.048729072631067</v>
      </c>
      <c r="Z13" s="151">
        <f t="shared" si="13"/>
        <v>14.9003387486141</v>
      </c>
      <c r="AA13" s="81"/>
      <c r="AB13" s="75">
        <v>14</v>
      </c>
      <c r="AC13" s="151">
        <f t="shared" si="14"/>
        <v>1.2909514309038541</v>
      </c>
      <c r="AD13" s="151">
        <f t="shared" si="15"/>
        <v>1.5370422640499017</v>
      </c>
      <c r="AE13" s="151">
        <f t="shared" si="16"/>
        <v>1.79607607932049</v>
      </c>
      <c r="AF13" s="151">
        <f t="shared" si="323"/>
        <v>2.1645541321116757</v>
      </c>
      <c r="AG13" s="151">
        <f t="shared" si="324"/>
        <v>3.0104363760081672</v>
      </c>
      <c r="AH13" s="134">
        <f t="shared" si="325"/>
        <v>4.4867759861970553</v>
      </c>
      <c r="AI13" s="151">
        <f t="shared" si="326"/>
        <v>6.9558223816693232</v>
      </c>
      <c r="AJ13" s="151">
        <f t="shared" si="17"/>
        <v>10.735061902297725</v>
      </c>
      <c r="AK13" s="151">
        <f t="shared" si="18"/>
        <v>14.232445884448095</v>
      </c>
      <c r="AL13" s="151">
        <f t="shared" si="19"/>
        <v>18.458221225071881</v>
      </c>
      <c r="AM13" s="151">
        <f t="shared" si="20"/>
        <v>25.489234013963852</v>
      </c>
      <c r="AN13" s="81"/>
      <c r="AO13" s="81">
        <v>12</v>
      </c>
      <c r="AP13" s="133">
        <f t="shared" si="21"/>
        <v>2.3887224678896581</v>
      </c>
      <c r="AQ13" s="133">
        <f t="shared" si="22"/>
        <v>3.9521082934476572</v>
      </c>
      <c r="AR13" s="133">
        <f t="shared" si="23"/>
        <v>5.3981095329561262</v>
      </c>
      <c r="AS13" s="133">
        <f t="shared" si="327"/>
        <v>7.1824438616591069</v>
      </c>
      <c r="AT13" s="133">
        <f t="shared" si="328"/>
        <v>10.440548532211842</v>
      </c>
      <c r="AU13" s="134">
        <f t="shared" si="329"/>
        <v>14.490694449799559</v>
      </c>
      <c r="AV13" s="133">
        <f t="shared" si="330"/>
        <v>18.986689638384874</v>
      </c>
      <c r="AW13" s="133">
        <f t="shared" si="24"/>
        <v>23.403409899183018</v>
      </c>
      <c r="AX13" s="133">
        <f t="shared" si="25"/>
        <v>26.225934522295741</v>
      </c>
      <c r="AY13" s="133">
        <f t="shared" si="26"/>
        <v>28.780776257252686</v>
      </c>
      <c r="AZ13" s="133">
        <f t="shared" si="27"/>
        <v>31.87650229211398</v>
      </c>
      <c r="BA13" s="81"/>
      <c r="BB13" s="81">
        <v>12</v>
      </c>
      <c r="BC13" s="133">
        <f t="shared" si="28"/>
        <v>5.1477372503309313</v>
      </c>
      <c r="BD13" s="133">
        <f t="shared" si="29"/>
        <v>6.743471039309294</v>
      </c>
      <c r="BE13" s="133">
        <f t="shared" si="30"/>
        <v>8.1803077801091391</v>
      </c>
      <c r="BF13" s="133">
        <f t="shared" si="331"/>
        <v>9.909424189010128</v>
      </c>
      <c r="BG13" s="133">
        <f t="shared" si="332"/>
        <v>12.963051983539255</v>
      </c>
      <c r="BH13" s="134">
        <f t="shared" si="333"/>
        <v>16.609506929262295</v>
      </c>
      <c r="BI13" s="133">
        <f t="shared" si="334"/>
        <v>20.504922942360398</v>
      </c>
      <c r="BJ13" s="133">
        <f t="shared" si="31"/>
        <v>24.206345526687766</v>
      </c>
      <c r="BK13" s="133">
        <f t="shared" si="32"/>
        <v>26.51695393888458</v>
      </c>
      <c r="BL13" s="133">
        <f t="shared" si="33"/>
        <v>28.575946064568829</v>
      </c>
      <c r="BM13" s="133">
        <f t="shared" si="34"/>
        <v>31.033348548205996</v>
      </c>
      <c r="BN13" s="81"/>
      <c r="BO13" s="75">
        <v>14</v>
      </c>
      <c r="BP13" s="151">
        <f t="shared" si="35"/>
        <v>3.0552532066380893</v>
      </c>
      <c r="BQ13" s="151">
        <f t="shared" si="36"/>
        <v>3.8214860852518684</v>
      </c>
      <c r="BR13" s="151">
        <f t="shared" si="37"/>
        <v>4.6059270799582093</v>
      </c>
      <c r="BS13" s="151">
        <f t="shared" si="335"/>
        <v>5.6768040238374571</v>
      </c>
      <c r="BT13" s="151">
        <f t="shared" si="336"/>
        <v>7.9353818724655127</v>
      </c>
      <c r="BU13" s="134">
        <f t="shared" si="337"/>
        <v>11.314400054525224</v>
      </c>
      <c r="BV13" s="151">
        <f t="shared" si="338"/>
        <v>15.849239889097591</v>
      </c>
      <c r="BW13" s="151">
        <f t="shared" si="38"/>
        <v>21.154226459890264</v>
      </c>
      <c r="BX13" s="151">
        <f t="shared" si="39"/>
        <v>25.007574672604484</v>
      </c>
      <c r="BY13" s="151">
        <f t="shared" si="40"/>
        <v>28.819091923025024</v>
      </c>
      <c r="BZ13" s="151">
        <f t="shared" si="41"/>
        <v>33.862922566819954</v>
      </c>
      <c r="CA13" s="81"/>
      <c r="CB13" s="81">
        <v>12</v>
      </c>
      <c r="CC13" s="133">
        <f t="shared" si="42"/>
        <v>-2.7370742474649434</v>
      </c>
      <c r="CD13" s="133">
        <f t="shared" si="43"/>
        <v>-0.4843259781659377</v>
      </c>
      <c r="CE13" s="133">
        <f t="shared" si="44"/>
        <v>1.6591696259231794</v>
      </c>
      <c r="CF13" s="133">
        <f t="shared" si="339"/>
        <v>4.3374166685426703</v>
      </c>
      <c r="CG13" s="133">
        <f t="shared" si="340"/>
        <v>9.2389223501360576</v>
      </c>
      <c r="CH13" s="134">
        <f t="shared" si="341"/>
        <v>15.261959855388003</v>
      </c>
      <c r="CI13" s="133">
        <f t="shared" si="342"/>
        <v>21.804271162491162</v>
      </c>
      <c r="CJ13" s="133">
        <f t="shared" si="45"/>
        <v>28.071667435493605</v>
      </c>
      <c r="CK13" s="133">
        <f t="shared" si="46"/>
        <v>31.995759074064228</v>
      </c>
      <c r="CL13" s="133">
        <f t="shared" si="47"/>
        <v>35.495461835542386</v>
      </c>
      <c r="CM13" s="133">
        <f t="shared" si="48"/>
        <v>39.672546340771738</v>
      </c>
      <c r="CN13" s="81"/>
      <c r="CO13" s="81">
        <v>12</v>
      </c>
      <c r="CP13" s="133">
        <f t="shared" si="49"/>
        <v>2.3584551147875024</v>
      </c>
      <c r="CQ13" s="133">
        <f t="shared" si="50"/>
        <v>4.6708373758393309</v>
      </c>
      <c r="CR13" s="133">
        <f t="shared" si="51"/>
        <v>6.7907906433192986</v>
      </c>
      <c r="CS13" s="133">
        <f t="shared" si="343"/>
        <v>9.3740357684641111</v>
      </c>
      <c r="CT13" s="133">
        <f t="shared" si="344"/>
        <v>13.988318480153225</v>
      </c>
      <c r="CU13" s="134">
        <f t="shared" si="345"/>
        <v>19.541419735159334</v>
      </c>
      <c r="CV13" s="133">
        <f t="shared" si="346"/>
        <v>25.488241601349568</v>
      </c>
      <c r="CW13" s="133">
        <f t="shared" si="52"/>
        <v>31.132864281141398</v>
      </c>
      <c r="CX13" s="133">
        <f t="shared" si="53"/>
        <v>34.648602495956872</v>
      </c>
      <c r="CY13" s="133">
        <f t="shared" si="54"/>
        <v>37.774772678531392</v>
      </c>
      <c r="CZ13" s="133">
        <f t="shared" si="55"/>
        <v>41.496472579572384</v>
      </c>
      <c r="DA13" s="81"/>
      <c r="DB13" s="81">
        <v>14</v>
      </c>
      <c r="DC13" s="133">
        <f t="shared" si="56"/>
        <v>-4.7946875413097807</v>
      </c>
      <c r="DD13" s="133">
        <f t="shared" si="57"/>
        <v>-3.3222786695058941</v>
      </c>
      <c r="DE13" s="133">
        <f t="shared" si="58"/>
        <v>-1.8316310298434511</v>
      </c>
      <c r="DF13" s="133">
        <f t="shared" si="347"/>
        <v>0.12408400282777698</v>
      </c>
      <c r="DG13" s="133">
        <f t="shared" si="348"/>
        <v>3.9086661355575094</v>
      </c>
      <c r="DH13" s="134">
        <f t="shared" si="349"/>
        <v>8.8363209014507405</v>
      </c>
      <c r="DI13" s="133">
        <f t="shared" si="350"/>
        <v>14.455643638118691</v>
      </c>
      <c r="DJ13" s="133">
        <f t="shared" si="59"/>
        <v>20.049325874461985</v>
      </c>
      <c r="DK13" s="133">
        <f t="shared" si="60"/>
        <v>23.641476814352984</v>
      </c>
      <c r="DL13" s="133">
        <f t="shared" si="61"/>
        <v>26.897576833751994</v>
      </c>
      <c r="DM13" s="133">
        <f t="shared" si="62"/>
        <v>30.843634227441559</v>
      </c>
      <c r="DN13" s="81"/>
      <c r="DO13" s="81">
        <v>12</v>
      </c>
      <c r="DP13" s="133">
        <v>12.807216893227405</v>
      </c>
      <c r="DQ13" s="133">
        <v>14.102138789775223</v>
      </c>
      <c r="DR13" s="133">
        <v>15.320086940237731</v>
      </c>
      <c r="DS13" s="133">
        <v>16.855419925255312</v>
      </c>
      <c r="DT13" s="133">
        <v>19.766637431086551</v>
      </c>
      <c r="DU13" s="134">
        <v>23.607767759254894</v>
      </c>
      <c r="DV13" s="133">
        <v>28.1953215623017</v>
      </c>
      <c r="DW13" s="133">
        <v>33.06513282056202</v>
      </c>
      <c r="DX13" s="133">
        <v>36.378820874123981</v>
      </c>
      <c r="DY13" s="133">
        <v>39.520721422696901</v>
      </c>
      <c r="DZ13" s="133">
        <v>43.516612798962996</v>
      </c>
      <c r="EA13" s="81"/>
      <c r="EB13" s="81">
        <v>12</v>
      </c>
      <c r="EC13" s="133">
        <v>13.312237575779418</v>
      </c>
      <c r="ED13" s="133">
        <v>14.393192014624121</v>
      </c>
      <c r="EE13" s="133">
        <v>15.392818873615502</v>
      </c>
      <c r="EF13" s="133">
        <v>16.631790390020043</v>
      </c>
      <c r="EG13" s="133">
        <v>18.924504520954958</v>
      </c>
      <c r="EH13" s="134">
        <v>21.854300878571635</v>
      </c>
      <c r="EI13" s="133">
        <v>25.237673533924369</v>
      </c>
      <c r="EJ13" s="133">
        <v>28.716719949629017</v>
      </c>
      <c r="EK13" s="133">
        <v>31.028135315085045</v>
      </c>
      <c r="EL13" s="133">
        <v>33.183081724044492</v>
      </c>
      <c r="EM13" s="133">
        <v>35.877549823788591</v>
      </c>
      <c r="EN13" s="81"/>
      <c r="EO13" s="81">
        <v>14</v>
      </c>
      <c r="EP13" s="133">
        <v>14.514500677400315</v>
      </c>
      <c r="EQ13" s="133">
        <v>16.049521674978369</v>
      </c>
      <c r="ER13" s="133">
        <v>17.498952119930383</v>
      </c>
      <c r="ES13" s="133">
        <v>19.333245743786318</v>
      </c>
      <c r="ET13" s="133">
        <v>22.830987710266424</v>
      </c>
      <c r="EU13" s="134">
        <v>27.480230466724734</v>
      </c>
      <c r="EV13" s="133">
        <v>33.076232885217294</v>
      </c>
      <c r="EW13" s="133">
        <v>39.060335574900279</v>
      </c>
      <c r="EX13" s="133">
        <v>43.154759286655555</v>
      </c>
      <c r="EY13" s="133">
        <v>47.052060603253082</v>
      </c>
      <c r="EZ13" s="133">
        <v>52.028180871569809</v>
      </c>
      <c r="FA13" s="81"/>
      <c r="FB13" s="81">
        <v>12</v>
      </c>
      <c r="FC13" s="133">
        <v>6.2452396843772</v>
      </c>
      <c r="FD13" s="133">
        <v>7.002099121375025</v>
      </c>
      <c r="FE13" s="133">
        <v>7.7260052186428405</v>
      </c>
      <c r="FF13" s="133">
        <v>8.653987087085568</v>
      </c>
      <c r="FG13" s="133">
        <v>10.456653433879357</v>
      </c>
      <c r="FH13" s="134">
        <v>12.911772215176242</v>
      </c>
      <c r="FI13" s="133">
        <v>15.943328598464161</v>
      </c>
      <c r="FJ13" s="133">
        <v>19.264399179123579</v>
      </c>
      <c r="FK13" s="133">
        <v>21.578274544044685</v>
      </c>
      <c r="FL13" s="133">
        <v>23.809126212977556</v>
      </c>
      <c r="FM13" s="133">
        <v>26.694549795044836</v>
      </c>
      <c r="FN13" s="81"/>
      <c r="FO13" s="81">
        <v>12</v>
      </c>
      <c r="FP13" s="133">
        <v>6.0567817697750099</v>
      </c>
      <c r="FQ13" s="133">
        <v>6.7134663513271136</v>
      </c>
      <c r="FR13" s="133">
        <v>7.3349208773573435</v>
      </c>
      <c r="FS13" s="133">
        <v>8.1231461887212131</v>
      </c>
      <c r="FT13" s="133">
        <v>9.6310271760297237</v>
      </c>
      <c r="FU13" s="134">
        <v>11.643800314217163</v>
      </c>
      <c r="FV13" s="133">
        <v>14.077219727382616</v>
      </c>
      <c r="FW13" s="133">
        <v>16.69034172321194</v>
      </c>
      <c r="FX13" s="133">
        <v>18.483919325686085</v>
      </c>
      <c r="FY13" s="133">
        <v>20.194945302818532</v>
      </c>
      <c r="FZ13" s="133">
        <v>22.38450895390276</v>
      </c>
      <c r="GA13" s="81"/>
      <c r="GB13" s="81">
        <v>14</v>
      </c>
      <c r="GC13" s="133">
        <v>7.3527766653353135</v>
      </c>
      <c r="GD13" s="133">
        <v>8.2675673023525498</v>
      </c>
      <c r="GE13" s="133">
        <v>9.1448620543529024</v>
      </c>
      <c r="GF13" s="133">
        <v>10.272475956071032</v>
      </c>
      <c r="GG13" s="133">
        <v>12.471385037119777</v>
      </c>
      <c r="GH13" s="134">
        <v>15.481296277976341</v>
      </c>
      <c r="GI13" s="133">
        <v>19.217635710318444</v>
      </c>
      <c r="GJ13" s="133">
        <v>23.331330778617094</v>
      </c>
      <c r="GK13" s="133">
        <v>26.208217578569425</v>
      </c>
      <c r="GL13" s="133">
        <v>28.989245044099683</v>
      </c>
      <c r="GM13" s="133">
        <v>32.595921970051336</v>
      </c>
      <c r="GN13" s="81"/>
      <c r="GO13" s="81">
        <v>12</v>
      </c>
      <c r="GP13" s="133">
        <f t="shared" si="63"/>
        <v>0.34005132373421437</v>
      </c>
      <c r="GQ13" s="133">
        <f t="shared" si="64"/>
        <v>0.38518722327105298</v>
      </c>
      <c r="GR13" s="133">
        <f t="shared" si="65"/>
        <v>0.4199370072250328</v>
      </c>
      <c r="GS13" s="133">
        <f t="shared" si="351"/>
        <v>0.45655221878921415</v>
      </c>
      <c r="GT13" s="133">
        <f t="shared" si="352"/>
        <v>0.51304491568516786</v>
      </c>
      <c r="GU13" s="134">
        <f t="shared" si="353"/>
        <v>0.5662090524506882</v>
      </c>
      <c r="GV13" s="133">
        <f t="shared" si="354"/>
        <v>0.61454223201452807</v>
      </c>
      <c r="GW13" s="133">
        <f t="shared" si="66"/>
        <v>0.65692847144695499</v>
      </c>
      <c r="GX13" s="133">
        <f t="shared" si="67"/>
        <v>0.68032719871527025</v>
      </c>
      <c r="GY13" s="133">
        <f t="shared" si="68"/>
        <v>0.69995218691020711</v>
      </c>
      <c r="GZ13" s="133">
        <f t="shared" si="69"/>
        <v>0.722061264868054</v>
      </c>
      <c r="HA13" s="81"/>
      <c r="HB13" s="81">
        <v>12</v>
      </c>
      <c r="HC13" s="133">
        <f t="shared" si="70"/>
        <v>0.32792073145995243</v>
      </c>
      <c r="HD13" s="133">
        <f t="shared" si="71"/>
        <v>0.37491039282051486</v>
      </c>
      <c r="HE13" s="133">
        <f t="shared" si="72"/>
        <v>0.41089624996375868</v>
      </c>
      <c r="HF13" s="133">
        <f t="shared" si="355"/>
        <v>0.44868877238637778</v>
      </c>
      <c r="HG13" s="133">
        <f t="shared" si="356"/>
        <v>0.50526023835368783</v>
      </c>
      <c r="HH13" s="134">
        <f t="shared" si="357"/>
        <v>0.56140044129532451</v>
      </c>
      <c r="HI13" s="133">
        <f t="shared" si="358"/>
        <v>0.61222944568442861</v>
      </c>
      <c r="HJ13" s="133">
        <f t="shared" si="73"/>
        <v>0.65435741122141255</v>
      </c>
      <c r="HK13" s="133">
        <f t="shared" si="74"/>
        <v>0.67831043389015011</v>
      </c>
      <c r="HL13" s="133">
        <f t="shared" si="75"/>
        <v>0.69839539763586922</v>
      </c>
      <c r="HM13" s="133">
        <f t="shared" si="76"/>
        <v>0.72101821634751617</v>
      </c>
      <c r="HN13" s="81"/>
      <c r="HO13" s="81">
        <v>14</v>
      </c>
      <c r="HP13" s="83">
        <f t="shared" si="77"/>
        <v>0.368008081258687</v>
      </c>
      <c r="HQ13" s="83">
        <f t="shared" si="78"/>
        <v>0.40913687157234202</v>
      </c>
      <c r="HR13" s="83">
        <f t="shared" si="79"/>
        <v>0.44123252298494203</v>
      </c>
      <c r="HS13" s="83">
        <f t="shared" si="359"/>
        <v>0.47535801105291409</v>
      </c>
      <c r="HT13" s="83">
        <f t="shared" si="360"/>
        <v>0.52703997516515755</v>
      </c>
      <c r="HU13" s="84">
        <f t="shared" si="361"/>
        <v>0.57884524255382674</v>
      </c>
      <c r="HV13" s="83">
        <f t="shared" si="362"/>
        <v>0.62606813699468744</v>
      </c>
      <c r="HW13" s="83">
        <f t="shared" si="80"/>
        <v>0.66537881603785531</v>
      </c>
      <c r="HX13" s="83">
        <f t="shared" si="81"/>
        <v>0.68778545212166464</v>
      </c>
      <c r="HY13" s="83">
        <f t="shared" si="82"/>
        <v>0.70660012552737639</v>
      </c>
      <c r="HZ13" s="83">
        <f t="shared" si="83"/>
        <v>0.72781764318175035</v>
      </c>
      <c r="IA13" s="81"/>
      <c r="IB13" s="81">
        <v>12</v>
      </c>
      <c r="IC13" s="83">
        <f t="shared" si="84"/>
        <v>0.25327298367251727</v>
      </c>
      <c r="ID13" s="83">
        <f t="shared" si="85"/>
        <v>0.27862561989579637</v>
      </c>
      <c r="IE13" s="83">
        <f t="shared" si="86"/>
        <v>0.29642967888068456</v>
      </c>
      <c r="IF13" s="83">
        <f t="shared" si="363"/>
        <v>0.31399689986733259</v>
      </c>
      <c r="IG13" s="83">
        <f t="shared" si="364"/>
        <v>0.33860282562703875</v>
      </c>
      <c r="IH13" s="84">
        <f t="shared" si="365"/>
        <v>0.36144360844854567</v>
      </c>
      <c r="II13" s="83">
        <f t="shared" si="366"/>
        <v>0.38103726140870664</v>
      </c>
      <c r="IJ13" s="83">
        <f t="shared" si="87"/>
        <v>0.39661921899180269</v>
      </c>
      <c r="IK13" s="83">
        <f t="shared" si="88"/>
        <v>0.40524348109594149</v>
      </c>
      <c r="IL13" s="83">
        <f t="shared" si="89"/>
        <v>0.412354000737161</v>
      </c>
      <c r="IM13" s="83">
        <f t="shared" si="90"/>
        <v>0.42023844097763907</v>
      </c>
      <c r="IN13" s="81"/>
      <c r="IO13" s="81">
        <v>12</v>
      </c>
      <c r="IP13" s="133">
        <f t="shared" si="91"/>
        <v>0.24599693965809102</v>
      </c>
      <c r="IQ13" s="133">
        <f t="shared" si="92"/>
        <v>0.2731288286831135</v>
      </c>
      <c r="IR13" s="133">
        <f t="shared" si="93"/>
        <v>0.29191664004418011</v>
      </c>
      <c r="IS13" s="133">
        <f t="shared" si="367"/>
        <v>0.31030773923009025</v>
      </c>
      <c r="IT13" s="133">
        <f t="shared" si="368"/>
        <v>0.33589349125920792</v>
      </c>
      <c r="IU13" s="134">
        <f t="shared" si="369"/>
        <v>0.35951575947695136</v>
      </c>
      <c r="IV13" s="133">
        <f t="shared" si="370"/>
        <v>0.37971060345173818</v>
      </c>
      <c r="IW13" s="133">
        <f t="shared" si="94"/>
        <v>0.39573666923363243</v>
      </c>
      <c r="IX13" s="133">
        <f t="shared" si="95"/>
        <v>0.40459633484248797</v>
      </c>
      <c r="IY13" s="133">
        <f t="shared" si="96"/>
        <v>0.41189616549980101</v>
      </c>
      <c r="IZ13" s="133">
        <f t="shared" si="97"/>
        <v>0.41998602689935788</v>
      </c>
      <c r="JA13" s="81"/>
      <c r="JB13" s="81">
        <v>14</v>
      </c>
      <c r="JC13" s="133">
        <f t="shared" si="98"/>
        <v>0.26938589492346693</v>
      </c>
      <c r="JD13" s="133">
        <f t="shared" si="99"/>
        <v>0.29109014893472984</v>
      </c>
      <c r="JE13" s="133">
        <f t="shared" si="100"/>
        <v>0.30682650580926352</v>
      </c>
      <c r="JF13" s="133">
        <f t="shared" si="371"/>
        <v>0.32265780457570409</v>
      </c>
      <c r="JG13" s="133">
        <f t="shared" si="372"/>
        <v>0.34522377711699931</v>
      </c>
      <c r="JH13" s="134">
        <f t="shared" si="373"/>
        <v>0.36648103613337768</v>
      </c>
      <c r="JI13" s="133">
        <f t="shared" si="374"/>
        <v>0.38489599373910571</v>
      </c>
      <c r="JJ13" s="133">
        <f t="shared" si="101"/>
        <v>0.39963409903462421</v>
      </c>
      <c r="JK13" s="133">
        <f t="shared" si="102"/>
        <v>0.40782120023595797</v>
      </c>
      <c r="JL13" s="133">
        <f t="shared" si="103"/>
        <v>0.41458545788511425</v>
      </c>
      <c r="JM13" s="133">
        <f t="shared" si="104"/>
        <v>0.42209961921183392</v>
      </c>
      <c r="JN13" s="81"/>
      <c r="JO13" s="81">
        <v>11</v>
      </c>
      <c r="JP13" s="133">
        <f t="shared" si="105"/>
        <v>-7.5180769929445361</v>
      </c>
      <c r="JQ13" s="133">
        <f t="shared" si="106"/>
        <v>-6.3542576397496902</v>
      </c>
      <c r="JR13" s="133">
        <f t="shared" si="107"/>
        <v>-5.3400650308237001</v>
      </c>
      <c r="JS13" s="133">
        <f t="shared" si="375"/>
        <v>-4.1562755905643201</v>
      </c>
      <c r="JT13" s="133">
        <f t="shared" si="376"/>
        <v>-2.1488141067783779</v>
      </c>
      <c r="JU13" s="134">
        <f t="shared" si="377"/>
        <v>0.1338182723220136</v>
      </c>
      <c r="JV13" s="133">
        <f t="shared" si="378"/>
        <v>2.4607484485595101</v>
      </c>
      <c r="JW13" s="133">
        <f t="shared" si="108"/>
        <v>4.5837513298933779</v>
      </c>
      <c r="JX13" s="133">
        <f t="shared" si="109"/>
        <v>5.8716048036679354</v>
      </c>
      <c r="JY13" s="133">
        <f t="shared" si="110"/>
        <v>6.9975108587010695</v>
      </c>
      <c r="JZ13" s="133">
        <f t="shared" si="111"/>
        <v>8.3167003044752938</v>
      </c>
      <c r="KA13" s="81"/>
      <c r="KB13" s="81">
        <v>11</v>
      </c>
      <c r="KC13" s="133">
        <f t="shared" si="112"/>
        <v>-6.0600401464684355</v>
      </c>
      <c r="KD13" s="133">
        <f t="shared" si="113"/>
        <v>-5.1346020267910344</v>
      </c>
      <c r="KE13" s="133">
        <f t="shared" si="114"/>
        <v>-4.3053901714279688</v>
      </c>
      <c r="KF13" s="133">
        <f t="shared" si="379"/>
        <v>-3.3128752272738655</v>
      </c>
      <c r="KG13" s="133">
        <f t="shared" si="380"/>
        <v>-1.5745556940906038</v>
      </c>
      <c r="KH13" s="134">
        <f t="shared" si="381"/>
        <v>0.47772817762716357</v>
      </c>
      <c r="KI13" s="133">
        <f t="shared" si="382"/>
        <v>2.6435960691688738</v>
      </c>
      <c r="KJ13" s="133">
        <f t="shared" si="115"/>
        <v>4.6781393833223337</v>
      </c>
      <c r="KK13" s="133">
        <f t="shared" si="116"/>
        <v>5.9374165247492829</v>
      </c>
      <c r="KL13" s="133">
        <f t="shared" si="117"/>
        <v>7.0529735282531778</v>
      </c>
      <c r="KM13" s="133">
        <f t="shared" si="118"/>
        <v>8.3766391904865944</v>
      </c>
      <c r="KN13" s="81"/>
      <c r="KO13" s="81">
        <v>13</v>
      </c>
      <c r="KP13" s="133">
        <f t="shared" si="119"/>
        <v>-9.8201929414577105</v>
      </c>
      <c r="KQ13" s="133">
        <f t="shared" si="120"/>
        <v>-8.3405598580116251</v>
      </c>
      <c r="KR13" s="133">
        <f t="shared" si="121"/>
        <v>-7.0763050271768542</v>
      </c>
      <c r="KS13" s="133">
        <f t="shared" si="383"/>
        <v>-5.6271709525769502</v>
      </c>
      <c r="KT13" s="133">
        <f t="shared" si="384"/>
        <v>-3.2275316919608983</v>
      </c>
      <c r="KU13" s="134">
        <f t="shared" si="385"/>
        <v>-0.57559255715026936</v>
      </c>
      <c r="KV13" s="133">
        <f t="shared" si="386"/>
        <v>2.0557849854719414</v>
      </c>
      <c r="KW13" s="133">
        <f t="shared" si="122"/>
        <v>4.4013013972747217</v>
      </c>
      <c r="KX13" s="133">
        <f t="shared" si="123"/>
        <v>5.8010493870058504</v>
      </c>
      <c r="KY13" s="133">
        <f t="shared" si="124"/>
        <v>7.0115692591366034</v>
      </c>
      <c r="KZ13" s="133">
        <f t="shared" si="125"/>
        <v>8.4151348988051424</v>
      </c>
      <c r="LA13" s="81"/>
      <c r="LB13" s="81">
        <v>11</v>
      </c>
      <c r="LC13" s="133">
        <f t="shared" si="126"/>
        <v>-21.298046804587628</v>
      </c>
      <c r="LD13" s="133">
        <f t="shared" si="127"/>
        <v>-17.904429970320852</v>
      </c>
      <c r="LE13" s="133">
        <f t="shared" si="128"/>
        <v>-14.876169859841429</v>
      </c>
      <c r="LF13" s="133">
        <f t="shared" si="387"/>
        <v>-11.271161861214146</v>
      </c>
      <c r="LG13" s="133">
        <f t="shared" si="388"/>
        <v>-5.0140173223842872</v>
      </c>
      <c r="LH13" s="134">
        <f t="shared" si="389"/>
        <v>2.2788731167847729</v>
      </c>
      <c r="LI13" s="133">
        <f t="shared" si="390"/>
        <v>9.869568975923265</v>
      </c>
      <c r="LJ13" s="133">
        <f t="shared" si="129"/>
        <v>16.908253420862188</v>
      </c>
      <c r="LK13" s="133">
        <f t="shared" si="130"/>
        <v>21.223439460980828</v>
      </c>
      <c r="LL13" s="133">
        <f t="shared" si="131"/>
        <v>25.021230110345364</v>
      </c>
      <c r="LM13" s="133">
        <f t="shared" si="132"/>
        <v>29.498606253259091</v>
      </c>
      <c r="LN13" s="81"/>
      <c r="LO13" s="81">
        <v>11</v>
      </c>
      <c r="LP13" s="133">
        <f t="shared" si="133"/>
        <v>-19.038593134294885</v>
      </c>
      <c r="LQ13" s="133">
        <f t="shared" si="134"/>
        <v>-15.855576300951938</v>
      </c>
      <c r="LR13" s="133">
        <f t="shared" si="135"/>
        <v>-12.987889741242927</v>
      </c>
      <c r="LS13" s="133">
        <f t="shared" si="391"/>
        <v>-9.5471163225137516</v>
      </c>
      <c r="LT13" s="133">
        <f t="shared" si="392"/>
        <v>-3.5197395057004641</v>
      </c>
      <c r="LU13" s="134">
        <f t="shared" si="393"/>
        <v>3.5746126608829734</v>
      </c>
      <c r="LV13" s="133">
        <f t="shared" si="394"/>
        <v>11.020611035954442</v>
      </c>
      <c r="LW13" s="133">
        <f t="shared" si="136"/>
        <v>17.97101800254325</v>
      </c>
      <c r="LX13" s="133">
        <f t="shared" si="137"/>
        <v>22.25083742830596</v>
      </c>
      <c r="LY13" s="133">
        <f t="shared" si="138"/>
        <v>26.028096708570356</v>
      </c>
      <c r="LZ13" s="133">
        <f t="shared" si="139"/>
        <v>30.493024097758326</v>
      </c>
      <c r="MA13" s="81"/>
      <c r="MB13" s="81">
        <v>13</v>
      </c>
      <c r="MC13" s="133">
        <f t="shared" si="140"/>
        <v>-24.54462848015282</v>
      </c>
      <c r="MD13" s="133">
        <f t="shared" si="141"/>
        <v>-20.951890704725983</v>
      </c>
      <c r="ME13" s="133">
        <f t="shared" si="142"/>
        <v>-17.773573690494953</v>
      </c>
      <c r="MF13" s="133">
        <f t="shared" si="395"/>
        <v>-14.022883251858151</v>
      </c>
      <c r="MG13" s="133">
        <f t="shared" si="396"/>
        <v>-7.5910323400916653</v>
      </c>
      <c r="MH13" s="134">
        <f t="shared" si="397"/>
        <v>-0.20471438341821369</v>
      </c>
      <c r="MI13" s="133">
        <f t="shared" si="398"/>
        <v>7.3751522093247317</v>
      </c>
      <c r="MJ13" s="133">
        <f t="shared" si="143"/>
        <v>14.318677022900495</v>
      </c>
      <c r="MK13" s="133">
        <f t="shared" si="144"/>
        <v>18.539432235498573</v>
      </c>
      <c r="ML13" s="133">
        <f t="shared" si="145"/>
        <v>22.233263105382321</v>
      </c>
      <c r="MM13" s="133">
        <f t="shared" si="146"/>
        <v>26.564593634506537</v>
      </c>
      <c r="MN13" s="81"/>
      <c r="MO13" s="81">
        <v>11</v>
      </c>
      <c r="MP13" s="133">
        <f t="shared" si="147"/>
        <v>-22.672369087696453</v>
      </c>
      <c r="MQ13" s="133">
        <f t="shared" si="148"/>
        <v>-18.481172749054018</v>
      </c>
      <c r="MR13" s="133">
        <f t="shared" si="149"/>
        <v>-14.851631510811266</v>
      </c>
      <c r="MS13" s="133">
        <f t="shared" si="399"/>
        <v>-10.643322267280531</v>
      </c>
      <c r="MT13" s="133">
        <f t="shared" si="400"/>
        <v>-3.5762614565557911</v>
      </c>
      <c r="MU13" s="134">
        <f t="shared" si="401"/>
        <v>4.3573733640900443</v>
      </c>
      <c r="MV13" s="133">
        <f t="shared" si="402"/>
        <v>12.340303190291785</v>
      </c>
      <c r="MW13" s="133">
        <f t="shared" si="150"/>
        <v>19.538190992523838</v>
      </c>
      <c r="MX13" s="133">
        <f t="shared" si="151"/>
        <v>23.867384006296263</v>
      </c>
      <c r="MY13" s="133">
        <f t="shared" si="152"/>
        <v>27.630336541016213</v>
      </c>
      <c r="MZ13" s="133">
        <f t="shared" si="153"/>
        <v>32.014398970656138</v>
      </c>
      <c r="NA13" s="81"/>
      <c r="NB13" s="81">
        <v>11</v>
      </c>
      <c r="NC13" s="133">
        <f t="shared" si="154"/>
        <v>-20.648814852710931</v>
      </c>
      <c r="ND13" s="133">
        <f t="shared" si="155"/>
        <v>-16.505322570045308</v>
      </c>
      <c r="NE13" s="133">
        <f t="shared" si="156"/>
        <v>-12.8863592876481</v>
      </c>
      <c r="NF13" s="133">
        <f t="shared" si="403"/>
        <v>-8.6661368060775565</v>
      </c>
      <c r="NG13" s="133">
        <f t="shared" si="404"/>
        <v>-1.5378094028361105</v>
      </c>
      <c r="NH13" s="134">
        <f t="shared" si="405"/>
        <v>6.5084627785589539</v>
      </c>
      <c r="NI13" s="133">
        <f t="shared" si="406"/>
        <v>14.63887479022684</v>
      </c>
      <c r="NJ13" s="133">
        <f t="shared" si="157"/>
        <v>21.992615711893553</v>
      </c>
      <c r="NK13" s="133">
        <f t="shared" si="158"/>
        <v>26.424309243795403</v>
      </c>
      <c r="NL13" s="133">
        <f t="shared" si="159"/>
        <v>30.281097863227476</v>
      </c>
      <c r="NM13" s="133">
        <f t="shared" si="160"/>
        <v>34.779579965896502</v>
      </c>
      <c r="NN13" s="81"/>
      <c r="NO13" s="81">
        <v>13</v>
      </c>
      <c r="NP13" s="133">
        <f t="shared" si="161"/>
        <v>-25.64628616980292</v>
      </c>
      <c r="NQ13" s="133">
        <f t="shared" si="162"/>
        <v>-21.643637479265749</v>
      </c>
      <c r="NR13" s="133">
        <f t="shared" si="163"/>
        <v>-18.196871368032355</v>
      </c>
      <c r="NS13" s="133">
        <f t="shared" si="407"/>
        <v>-14.219053906349782</v>
      </c>
      <c r="NT13" s="133">
        <f t="shared" si="408"/>
        <v>-7.5758393787403762</v>
      </c>
      <c r="NU13" s="134">
        <f t="shared" si="409"/>
        <v>-0.16251815479130727</v>
      </c>
      <c r="NV13" s="133">
        <f t="shared" si="410"/>
        <v>7.2583207564142853</v>
      </c>
      <c r="NW13" s="133">
        <f t="shared" si="164"/>
        <v>13.921577292938473</v>
      </c>
      <c r="NX13" s="133">
        <f t="shared" si="165"/>
        <v>17.918044105930896</v>
      </c>
      <c r="NY13" s="133">
        <f t="shared" si="166"/>
        <v>21.385562396255068</v>
      </c>
      <c r="NZ13" s="133">
        <f t="shared" si="167"/>
        <v>25.418599321246845</v>
      </c>
      <c r="OA13" s="81"/>
      <c r="OB13" s="81">
        <v>11</v>
      </c>
      <c r="OC13" s="133">
        <v>15.075459672485289</v>
      </c>
      <c r="OD13" s="133">
        <v>16.734501813958101</v>
      </c>
      <c r="OE13" s="133">
        <v>18.306678162775729</v>
      </c>
      <c r="OF13" s="133">
        <v>20.303474070775081</v>
      </c>
      <c r="OG13" s="133">
        <v>24.130867612627295</v>
      </c>
      <c r="OH13" s="134">
        <v>29.252980842505423</v>
      </c>
      <c r="OI13" s="133">
        <v>35.462334049033359</v>
      </c>
      <c r="OJ13" s="133">
        <v>42.147313567570258</v>
      </c>
      <c r="OK13" s="133">
        <v>46.744520254473052</v>
      </c>
      <c r="OL13" s="133">
        <v>51.13608386347223</v>
      </c>
      <c r="OM13" s="133">
        <v>56.763568525464095</v>
      </c>
      <c r="ON13" s="81"/>
      <c r="OO13" s="81">
        <v>11</v>
      </c>
      <c r="OP13" s="133">
        <v>15.232469537328083</v>
      </c>
      <c r="OQ13" s="133">
        <v>16.876571632874882</v>
      </c>
      <c r="OR13" s="133">
        <v>18.431835656414972</v>
      </c>
      <c r="OS13" s="133">
        <v>20.40365868582143</v>
      </c>
      <c r="OT13" s="133">
        <v>25.323884330491587</v>
      </c>
      <c r="OU13" s="134">
        <v>29.201859475324266</v>
      </c>
      <c r="OV13" s="133">
        <v>35.276097599022002</v>
      </c>
      <c r="OW13" s="133">
        <v>41.793906178658219</v>
      </c>
      <c r="OX13" s="133">
        <v>46.264984818253687</v>
      </c>
      <c r="OY13" s="133">
        <v>50.528544266387932</v>
      </c>
      <c r="OZ13" s="133">
        <v>55.982294579803593</v>
      </c>
      <c r="PA13" s="81"/>
      <c r="PB13" s="81">
        <v>13</v>
      </c>
      <c r="PC13" s="133">
        <v>17.111569388281449</v>
      </c>
      <c r="PD13" s="133">
        <v>18.909535687334152</v>
      </c>
      <c r="PE13" s="133">
        <v>20.606274677999089</v>
      </c>
      <c r="PF13" s="133">
        <v>22.752310420257551</v>
      </c>
      <c r="PG13" s="133">
        <v>26.841112736498722</v>
      </c>
      <c r="PH13" s="134">
        <v>32.270098121400139</v>
      </c>
      <c r="PI13" s="133">
        <v>38.797170705547735</v>
      </c>
      <c r="PJ13" s="133">
        <v>45.769384011111981</v>
      </c>
      <c r="PK13" s="133">
        <v>50.536025993899379</v>
      </c>
      <c r="PL13" s="133">
        <v>55.0705871356909</v>
      </c>
      <c r="PM13" s="133">
        <v>60.857026561102465</v>
      </c>
      <c r="PN13" s="81"/>
      <c r="PO13" s="81">
        <v>11</v>
      </c>
      <c r="PP13" s="133">
        <v>7.0447059043535942</v>
      </c>
      <c r="PQ13" s="133">
        <v>7.6859823040434314</v>
      </c>
      <c r="PR13" s="133">
        <v>8.2840139573484954</v>
      </c>
      <c r="PS13" s="133">
        <v>9.0314827424044442</v>
      </c>
      <c r="PT13" s="133">
        <v>10.431484282505636</v>
      </c>
      <c r="PU13" s="134">
        <v>12.249124862130103</v>
      </c>
      <c r="PV13" s="133">
        <v>14.383481374715158</v>
      </c>
      <c r="PW13" s="133">
        <v>16.613114830368207</v>
      </c>
      <c r="PX13" s="133">
        <v>18.112120604885867</v>
      </c>
      <c r="PY13" s="133">
        <v>19.521390233896376</v>
      </c>
      <c r="PZ13" s="133">
        <v>21.298413578248763</v>
      </c>
      <c r="QA13" s="81"/>
      <c r="QB13" s="81">
        <v>11</v>
      </c>
      <c r="QC13" s="133">
        <v>7.0761402203078285</v>
      </c>
      <c r="QD13" s="133">
        <v>7.689461344158989</v>
      </c>
      <c r="QE13" s="133">
        <v>8.2593034856764032</v>
      </c>
      <c r="QF13" s="133">
        <v>8.9689013147817942</v>
      </c>
      <c r="QG13" s="133">
        <v>10.290891678679753</v>
      </c>
      <c r="QH13" s="134">
        <v>11.995253142690391</v>
      </c>
      <c r="QI13" s="133">
        <v>13.981888299856564</v>
      </c>
      <c r="QJ13" s="133">
        <v>16.042778586501196</v>
      </c>
      <c r="QK13" s="133">
        <v>17.421093462270335</v>
      </c>
      <c r="QL13" s="133">
        <v>18.712116690270047</v>
      </c>
      <c r="QM13" s="133">
        <v>20.333980599237528</v>
      </c>
      <c r="QN13" s="81"/>
      <c r="QO13" s="81">
        <v>13</v>
      </c>
      <c r="QP13" s="133">
        <v>7.457352723425732</v>
      </c>
      <c r="QQ13" s="133">
        <v>8.1551198725882745</v>
      </c>
      <c r="QR13" s="133">
        <v>8.8072376485870247</v>
      </c>
      <c r="QS13" s="133">
        <v>9.6240664248964034</v>
      </c>
      <c r="QT13" s="133">
        <v>11.158734510318977</v>
      </c>
      <c r="QU13" s="134">
        <v>13.15935079881687</v>
      </c>
      <c r="QV13" s="133">
        <v>15.518651625431684</v>
      </c>
      <c r="QW13" s="133">
        <v>17.993279119349616</v>
      </c>
      <c r="QX13" s="133">
        <v>19.662068897857463</v>
      </c>
      <c r="QY13" s="133">
        <v>21.234330843914616</v>
      </c>
      <c r="QZ13" s="133">
        <v>23.221177791731527</v>
      </c>
      <c r="RA13" s="81"/>
      <c r="RB13" s="81">
        <v>11</v>
      </c>
      <c r="RC13" s="133">
        <f t="shared" si="168"/>
        <v>0.26786178354094908</v>
      </c>
      <c r="RD13" s="133">
        <f t="shared" si="169"/>
        <v>0.28802947128078765</v>
      </c>
      <c r="RE13" s="133">
        <f t="shared" si="170"/>
        <v>0.30678627529468322</v>
      </c>
      <c r="RF13" s="133">
        <f t="shared" si="411"/>
        <v>0.3301864196186578</v>
      </c>
      <c r="RG13" s="133">
        <f t="shared" si="412"/>
        <v>0.37396461724053764</v>
      </c>
      <c r="RH13" s="134">
        <f t="shared" si="413"/>
        <v>0.43086918932662455</v>
      </c>
      <c r="RI13" s="133">
        <f t="shared" si="414"/>
        <v>0.4980032473287973</v>
      </c>
      <c r="RJ13" s="133">
        <f t="shared" si="171"/>
        <v>0.56868580817420944</v>
      </c>
      <c r="RK13" s="133">
        <f t="shared" si="172"/>
        <v>0.61659301132356881</v>
      </c>
      <c r="RL13" s="133">
        <f t="shared" si="173"/>
        <v>0.66194773803646334</v>
      </c>
      <c r="RM13" s="133">
        <f t="shared" si="174"/>
        <v>0.7196037769428133</v>
      </c>
      <c r="RN13" s="81"/>
      <c r="RO13" s="81">
        <v>11</v>
      </c>
      <c r="RP13" s="133">
        <f t="shared" si="175"/>
        <v>0.28385260174250765</v>
      </c>
      <c r="RQ13" s="133">
        <f t="shared" si="176"/>
        <v>0.30337288636686427</v>
      </c>
      <c r="RR13" s="133">
        <f t="shared" si="177"/>
        <v>0.32147941168138688</v>
      </c>
      <c r="RS13" s="133">
        <f t="shared" si="415"/>
        <v>0.34401299524496265</v>
      </c>
      <c r="RT13" s="133">
        <f t="shared" si="416"/>
        <v>0.38603767234760988</v>
      </c>
      <c r="RU13" s="134">
        <f t="shared" si="417"/>
        <v>0.44047595899925135</v>
      </c>
      <c r="RV13" s="133">
        <f t="shared" si="418"/>
        <v>0.50453032217403182</v>
      </c>
      <c r="RW13" s="133">
        <f t="shared" si="178"/>
        <v>0.57186838689112862</v>
      </c>
      <c r="RX13" s="133">
        <f t="shared" si="179"/>
        <v>0.61748806100476406</v>
      </c>
      <c r="RY13" s="133">
        <f t="shared" si="180"/>
        <v>0.66068086582795471</v>
      </c>
      <c r="RZ13" s="133">
        <f t="shared" si="181"/>
        <v>0.71561308120707778</v>
      </c>
      <c r="SA13" s="81"/>
      <c r="SB13" s="81">
        <v>13</v>
      </c>
      <c r="SC13" s="133">
        <f t="shared" si="182"/>
        <v>0.24157492823107238</v>
      </c>
      <c r="SD13" s="133">
        <f t="shared" si="183"/>
        <v>0.262417882174456</v>
      </c>
      <c r="SE13" s="133">
        <f t="shared" si="184"/>
        <v>0.28179680974279026</v>
      </c>
      <c r="SF13" s="133">
        <f t="shared" si="419"/>
        <v>0.30594728364044504</v>
      </c>
      <c r="SG13" s="133">
        <f t="shared" si="420"/>
        <v>0.3509968073481618</v>
      </c>
      <c r="SH13" s="134">
        <f t="shared" si="421"/>
        <v>0.40918679410581371</v>
      </c>
      <c r="SI13" s="133">
        <f t="shared" si="422"/>
        <v>0.47717003496727017</v>
      </c>
      <c r="SJ13" s="133">
        <f t="shared" si="185"/>
        <v>0.54786774248539682</v>
      </c>
      <c r="SK13" s="133">
        <f t="shared" si="186"/>
        <v>0.5952458988571786</v>
      </c>
      <c r="SL13" s="133">
        <f t="shared" si="187"/>
        <v>0.63969128498332739</v>
      </c>
      <c r="SM13" s="133">
        <f t="shared" si="188"/>
        <v>0.69561693152663129</v>
      </c>
      <c r="SN13" s="81"/>
      <c r="SO13" s="81">
        <v>11</v>
      </c>
      <c r="SP13" s="133">
        <f t="shared" si="189"/>
        <v>0.21038470935089795</v>
      </c>
      <c r="SQ13" s="133">
        <f t="shared" si="190"/>
        <v>0.22312750152813501</v>
      </c>
      <c r="SR13" s="133">
        <f t="shared" si="191"/>
        <v>0.23454062523704183</v>
      </c>
      <c r="SS13" s="133">
        <f t="shared" si="423"/>
        <v>0.24823426136792259</v>
      </c>
      <c r="ST13" s="133">
        <f t="shared" si="424"/>
        <v>0.27239572938162804</v>
      </c>
      <c r="SU13" s="134">
        <f t="shared" si="425"/>
        <v>0.30135035284453715</v>
      </c>
      <c r="SV13" s="133">
        <f t="shared" si="426"/>
        <v>0.33254449090874233</v>
      </c>
      <c r="SW13" s="133">
        <f t="shared" si="192"/>
        <v>0.36252926578250533</v>
      </c>
      <c r="SX13" s="133">
        <f t="shared" si="193"/>
        <v>0.38144531139315735</v>
      </c>
      <c r="SY13" s="133">
        <f t="shared" si="194"/>
        <v>0.39844082811226605</v>
      </c>
      <c r="SZ13" s="133">
        <f t="shared" si="195"/>
        <v>0.41890596078382247</v>
      </c>
      <c r="TA13" s="81"/>
      <c r="TB13" s="81">
        <v>11</v>
      </c>
      <c r="TC13" s="133">
        <f t="shared" si="196"/>
        <v>0.22035286411138222</v>
      </c>
      <c r="TD13" s="133">
        <f t="shared" si="197"/>
        <v>0.23234323879678104</v>
      </c>
      <c r="TE13" s="133">
        <f t="shared" si="198"/>
        <v>0.2430819672224199</v>
      </c>
      <c r="TF13" s="133">
        <f t="shared" si="427"/>
        <v>0.2559685820323907</v>
      </c>
      <c r="TG13" s="133">
        <f t="shared" si="428"/>
        <v>0.27871953586689724</v>
      </c>
      <c r="TH13" s="134">
        <f t="shared" si="429"/>
        <v>0.30602030109825074</v>
      </c>
      <c r="TI13" s="133">
        <f t="shared" si="430"/>
        <v>0.33549322390871533</v>
      </c>
      <c r="TJ13" s="133">
        <f t="shared" si="199"/>
        <v>0.36389486753107991</v>
      </c>
      <c r="TK13" s="133">
        <f t="shared" si="200"/>
        <v>0.38185218979186564</v>
      </c>
      <c r="TL13" s="133">
        <f t="shared" si="201"/>
        <v>0.39801439254059362</v>
      </c>
      <c r="TM13" s="133">
        <f t="shared" si="202"/>
        <v>0.41751278070106301</v>
      </c>
      <c r="TN13" s="81"/>
      <c r="TO13" s="81">
        <v>13</v>
      </c>
      <c r="TP13" s="133">
        <f t="shared" si="203"/>
        <v>0.19320633745896063</v>
      </c>
      <c r="TQ13" s="133">
        <f t="shared" si="204"/>
        <v>0.20707464744391965</v>
      </c>
      <c r="TR13" s="133">
        <f t="shared" si="205"/>
        <v>0.2194367305948127</v>
      </c>
      <c r="TS13" s="133">
        <f t="shared" si="431"/>
        <v>0.23419226641581142</v>
      </c>
      <c r="TT13" s="133">
        <f t="shared" si="432"/>
        <v>0.26001723413915362</v>
      </c>
      <c r="TU13" s="134">
        <f t="shared" si="433"/>
        <v>0.29060598247958119</v>
      </c>
      <c r="TV13" s="133">
        <f t="shared" si="434"/>
        <v>0.32312288896458585</v>
      </c>
      <c r="TW13" s="133">
        <f t="shared" si="206"/>
        <v>0.35395908207476134</v>
      </c>
      <c r="TX13" s="133">
        <f t="shared" si="207"/>
        <v>0.37320570351593729</v>
      </c>
      <c r="TY13" s="133">
        <f t="shared" si="208"/>
        <v>0.3903652691741617</v>
      </c>
      <c r="TZ13" s="133">
        <f t="shared" si="209"/>
        <v>0.41086471669823699</v>
      </c>
      <c r="UA13" s="81"/>
      <c r="UB13" s="81">
        <v>11</v>
      </c>
      <c r="UC13" s="133">
        <f t="shared" si="210"/>
        <v>-26.846426495067547</v>
      </c>
      <c r="UD13" s="133">
        <f t="shared" si="211"/>
        <v>-23.816970207819097</v>
      </c>
      <c r="UE13" s="133">
        <f t="shared" si="212"/>
        <v>-21.286411946755912</v>
      </c>
      <c r="UF13" s="133">
        <f t="shared" si="435"/>
        <v>-18.444762961178192</v>
      </c>
      <c r="UG13" s="133">
        <f t="shared" si="436"/>
        <v>-13.862242090022043</v>
      </c>
      <c r="UH13" s="134">
        <f t="shared" si="437"/>
        <v>-8.9535182015422521</v>
      </c>
      <c r="UI13" s="133">
        <f t="shared" si="438"/>
        <v>-4.2223780110828102</v>
      </c>
      <c r="UJ13" s="133">
        <f t="shared" si="213"/>
        <v>-0.1080058156236845</v>
      </c>
      <c r="UK13" s="133">
        <f t="shared" si="214"/>
        <v>2.3055947205214977</v>
      </c>
      <c r="UL13" s="133">
        <f t="shared" si="215"/>
        <v>4.3695036696268517</v>
      </c>
      <c r="UM13" s="133">
        <f t="shared" si="216"/>
        <v>6.7368448211062315</v>
      </c>
      <c r="UN13" s="81"/>
      <c r="UO13" s="81">
        <v>11</v>
      </c>
      <c r="UP13" s="133">
        <f t="shared" si="217"/>
        <v>-23.802668517969487</v>
      </c>
      <c r="UQ13" s="133">
        <f t="shared" si="218"/>
        <v>-21.274310152594971</v>
      </c>
      <c r="UR13" s="133">
        <f t="shared" si="219"/>
        <v>-19.107915705173575</v>
      </c>
      <c r="US13" s="133">
        <f t="shared" si="439"/>
        <v>-16.617971423899814</v>
      </c>
      <c r="UT13" s="133">
        <f t="shared" si="440"/>
        <v>-12.479718343884628</v>
      </c>
      <c r="UU13" s="134">
        <f t="shared" si="441"/>
        <v>-7.8859317060737553</v>
      </c>
      <c r="UV13" s="133">
        <f t="shared" si="442"/>
        <v>-3.3083359222165534</v>
      </c>
      <c r="UW13" s="133">
        <f t="shared" si="220"/>
        <v>0.78694969459461106</v>
      </c>
      <c r="UX13" s="133">
        <f t="shared" si="221"/>
        <v>3.2372010237659055</v>
      </c>
      <c r="UY13" s="133">
        <f t="shared" si="222"/>
        <v>5.3598091309904419</v>
      </c>
      <c r="UZ13" s="133">
        <f t="shared" si="223"/>
        <v>7.8249350729493088</v>
      </c>
      <c r="VA13" s="81"/>
      <c r="VB13" s="81">
        <v>14</v>
      </c>
      <c r="VC13" s="133">
        <f t="shared" si="224"/>
        <v>-31.270431099249336</v>
      </c>
      <c r="VD13" s="133">
        <f t="shared" si="225"/>
        <v>-27.429515455209248</v>
      </c>
      <c r="VE13" s="133">
        <f t="shared" si="226"/>
        <v>-24.322238183358998</v>
      </c>
      <c r="VF13" s="133">
        <f t="shared" si="443"/>
        <v>-20.922659605877136</v>
      </c>
      <c r="VG13" s="133">
        <f t="shared" si="444"/>
        <v>-15.603361701230398</v>
      </c>
      <c r="VH13" s="134">
        <f t="shared" si="445"/>
        <v>-10.084621701002781</v>
      </c>
      <c r="VI13" s="133">
        <f t="shared" si="446"/>
        <v>-4.9063182727653754</v>
      </c>
      <c r="VJ13" s="133">
        <f t="shared" si="227"/>
        <v>-0.49646771351890351</v>
      </c>
      <c r="VK13" s="133">
        <f t="shared" si="228"/>
        <v>2.0551517699165771</v>
      </c>
      <c r="VL13" s="133">
        <f t="shared" si="229"/>
        <v>4.218235495208134</v>
      </c>
      <c r="VM13" s="133">
        <f t="shared" si="230"/>
        <v>6.6793826615614336</v>
      </c>
      <c r="VN13" s="81"/>
      <c r="VO13" s="81">
        <v>11</v>
      </c>
      <c r="VP13" s="133">
        <f t="shared" si="231"/>
        <v>-47.093140752492914</v>
      </c>
      <c r="VQ13" s="133">
        <f t="shared" si="232"/>
        <v>-44.023628931260291</v>
      </c>
      <c r="VR13" s="133">
        <f t="shared" si="233"/>
        <v>-41.058098182293847</v>
      </c>
      <c r="VS13" s="133">
        <f t="shared" si="447"/>
        <v>-37.281858433041634</v>
      </c>
      <c r="VT13" s="133">
        <f t="shared" si="448"/>
        <v>-30.170053832488691</v>
      </c>
      <c r="VU13" s="134">
        <f t="shared" si="449"/>
        <v>-21.105516687462057</v>
      </c>
      <c r="VV13" s="133">
        <f t="shared" si="450"/>
        <v>-10.901360168463611</v>
      </c>
      <c r="VW13" s="133">
        <f t="shared" si="234"/>
        <v>-0.81777631483292623</v>
      </c>
      <c r="VX13" s="133">
        <f t="shared" si="235"/>
        <v>5.6345243661848912</v>
      </c>
      <c r="VY13" s="133">
        <f t="shared" si="236"/>
        <v>11.472763724914167</v>
      </c>
      <c r="VZ13" s="133">
        <f t="shared" si="237"/>
        <v>18.53861318222274</v>
      </c>
      <c r="WA13" s="81"/>
      <c r="WB13" s="81">
        <v>11</v>
      </c>
      <c r="WC13" s="133">
        <f t="shared" si="238"/>
        <v>-44.120721708636566</v>
      </c>
      <c r="WD13" s="133">
        <f t="shared" si="239"/>
        <v>-41.38673725609398</v>
      </c>
      <c r="WE13" s="133">
        <f t="shared" si="240"/>
        <v>-38.643703780580744</v>
      </c>
      <c r="WF13" s="133">
        <f t="shared" si="451"/>
        <v>-35.056542406280684</v>
      </c>
      <c r="WG13" s="133">
        <f t="shared" si="452"/>
        <v>-28.116062000204032</v>
      </c>
      <c r="WH13" s="134">
        <f t="shared" si="453"/>
        <v>-19.05190138907642</v>
      </c>
      <c r="WI13" s="133">
        <f t="shared" si="454"/>
        <v>-8.666235262171881</v>
      </c>
      <c r="WJ13" s="133">
        <f t="shared" si="241"/>
        <v>1.7233928185930125</v>
      </c>
      <c r="WK13" s="133">
        <f t="shared" si="242"/>
        <v>8.4206594309658698</v>
      </c>
      <c r="WL13" s="133">
        <f t="shared" si="243"/>
        <v>14.507361876329277</v>
      </c>
      <c r="WM13" s="133">
        <f t="shared" si="244"/>
        <v>21.903034462621967</v>
      </c>
      <c r="WN13" s="81"/>
      <c r="WO13" s="81">
        <v>14</v>
      </c>
      <c r="WP13" s="133">
        <f t="shared" si="245"/>
        <v>-49.499521706907515</v>
      </c>
      <c r="WQ13" s="133">
        <f t="shared" si="246"/>
        <v>-46.283374289470601</v>
      </c>
      <c r="WR13" s="133">
        <f t="shared" si="247"/>
        <v>-43.146282062941488</v>
      </c>
      <c r="WS13" s="133">
        <f t="shared" si="455"/>
        <v>-39.149344830583161</v>
      </c>
      <c r="WT13" s="133">
        <f t="shared" si="456"/>
        <v>-31.669782792657234</v>
      </c>
      <c r="WU13" s="134">
        <f t="shared" si="457"/>
        <v>-22.263899864614203</v>
      </c>
      <c r="WV13" s="133">
        <f t="shared" si="458"/>
        <v>-11.84672822165745</v>
      </c>
      <c r="WW13" s="133">
        <f t="shared" si="248"/>
        <v>-1.7133515490537903</v>
      </c>
      <c r="WX13" s="133">
        <f t="shared" si="249"/>
        <v>4.6957735190686094</v>
      </c>
      <c r="WY13" s="133">
        <f t="shared" si="250"/>
        <v>10.448890457190878</v>
      </c>
      <c r="WZ13" s="133">
        <f t="shared" si="251"/>
        <v>17.35743191010652</v>
      </c>
      <c r="XA13" s="81"/>
      <c r="XB13" s="81">
        <v>11</v>
      </c>
      <c r="XC13" s="133">
        <f t="shared" si="252"/>
        <v>-48.419430454838178</v>
      </c>
      <c r="XD13" s="133">
        <f t="shared" si="253"/>
        <v>-44.585301600275905</v>
      </c>
      <c r="XE13" s="133">
        <f t="shared" si="254"/>
        <v>-41.016267632998712</v>
      </c>
      <c r="XF13" s="133">
        <f t="shared" si="459"/>
        <v>-36.63609429689096</v>
      </c>
      <c r="XG13" s="133">
        <f t="shared" si="460"/>
        <v>-28.787005929731407</v>
      </c>
      <c r="XH13" s="134">
        <f t="shared" si="461"/>
        <v>-19.3560986118299</v>
      </c>
      <c r="XI13" s="133">
        <f t="shared" si="462"/>
        <v>-9.3073324715778369</v>
      </c>
      <c r="XJ13" s="133">
        <f t="shared" si="255"/>
        <v>0.17238868062332813</v>
      </c>
      <c r="XK13" s="133">
        <f t="shared" si="256"/>
        <v>6.0473023844131006</v>
      </c>
      <c r="XL13" s="133">
        <f t="shared" si="257"/>
        <v>11.252472930064847</v>
      </c>
      <c r="XM13" s="133">
        <f t="shared" si="258"/>
        <v>17.426726584243532</v>
      </c>
      <c r="XN13" s="81"/>
      <c r="XO13" s="81">
        <v>11</v>
      </c>
      <c r="XP13" s="133">
        <f t="shared" si="259"/>
        <v>-46.607577289650401</v>
      </c>
      <c r="XQ13" s="133">
        <f t="shared" si="260"/>
        <v>-42.729525537397073</v>
      </c>
      <c r="XR13" s="133">
        <f t="shared" si="261"/>
        <v>-39.073084310617801</v>
      </c>
      <c r="XS13" s="133">
        <f t="shared" si="463"/>
        <v>-34.559786154555496</v>
      </c>
      <c r="XT13" s="133">
        <f t="shared" si="464"/>
        <v>-26.445699549446992</v>
      </c>
      <c r="XU13" s="134">
        <f t="shared" si="465"/>
        <v>-16.688951598981504</v>
      </c>
      <c r="XV13" s="133">
        <f t="shared" si="466"/>
        <v>-6.3034956542213294</v>
      </c>
      <c r="XW13" s="133">
        <f t="shared" si="262"/>
        <v>3.4778034230011983</v>
      </c>
      <c r="XX13" s="133">
        <f t="shared" si="263"/>
        <v>9.5310085138121536</v>
      </c>
      <c r="XY13" s="133">
        <f t="shared" si="264"/>
        <v>14.88856927913293</v>
      </c>
      <c r="XZ13" s="133">
        <f t="shared" si="265"/>
        <v>21.236855857470267</v>
      </c>
      <c r="YA13" s="81"/>
      <c r="YB13" s="81">
        <v>14</v>
      </c>
      <c r="YC13" s="133">
        <f t="shared" si="266"/>
        <v>-51.957994442952952</v>
      </c>
      <c r="YD13" s="133">
        <f t="shared" si="267"/>
        <v>-48.124095507393335</v>
      </c>
      <c r="YE13" s="133">
        <f t="shared" si="268"/>
        <v>-44.496057200445591</v>
      </c>
      <c r="YF13" s="133">
        <f t="shared" si="467"/>
        <v>-40.023155822357992</v>
      </c>
      <c r="YG13" s="133">
        <f t="shared" si="468"/>
        <v>-32.012577756726586</v>
      </c>
      <c r="YH13" s="134">
        <f t="shared" si="469"/>
        <v>-22.435330881883829</v>
      </c>
      <c r="YI13" s="133">
        <f t="shared" si="470"/>
        <v>-12.299762406475907</v>
      </c>
      <c r="YJ13" s="133">
        <f t="shared" si="269"/>
        <v>-2.801579317856735</v>
      </c>
      <c r="YK13" s="133">
        <f t="shared" si="270"/>
        <v>3.055945831744431</v>
      </c>
      <c r="YL13" s="133">
        <f t="shared" si="271"/>
        <v>8.228426937966681</v>
      </c>
      <c r="YM13" s="133">
        <f t="shared" si="272"/>
        <v>14.343973108770534</v>
      </c>
      <c r="YN13" s="81"/>
      <c r="YO13" s="81">
        <v>11</v>
      </c>
      <c r="YP13" s="133">
        <v>20.264663261562617</v>
      </c>
      <c r="YQ13" s="133">
        <v>22.629341342421583</v>
      </c>
      <c r="YR13" s="133">
        <v>24.882640638498714</v>
      </c>
      <c r="YS13" s="133">
        <v>27.760404111087706</v>
      </c>
      <c r="YT13" s="133">
        <v>33.320621336915217</v>
      </c>
      <c r="YU13" s="134">
        <v>40.840024751071901</v>
      </c>
      <c r="YV13" s="133">
        <v>50.056318122145171</v>
      </c>
      <c r="YW13" s="133">
        <v>60.082252945373781</v>
      </c>
      <c r="YX13" s="133">
        <v>67.030973356081844</v>
      </c>
      <c r="YY13" s="133">
        <v>73.705531081519453</v>
      </c>
      <c r="YZ13" s="133">
        <v>82.306209589566762</v>
      </c>
      <c r="ZA13" s="81"/>
      <c r="ZB13" s="81">
        <v>11</v>
      </c>
      <c r="ZC13" s="133">
        <v>20.902948704898446</v>
      </c>
      <c r="ZD13" s="133">
        <v>23.18815250075242</v>
      </c>
      <c r="ZE13" s="133">
        <v>25.35239356389318</v>
      </c>
      <c r="ZF13" s="133">
        <v>28.09949604541367</v>
      </c>
      <c r="ZG13" s="133">
        <v>33.360453467892938</v>
      </c>
      <c r="ZH13" s="134">
        <v>40.393008902522695</v>
      </c>
      <c r="ZI13" s="133">
        <v>48.908063248288045</v>
      </c>
      <c r="ZJ13" s="133">
        <v>58.064926344669558</v>
      </c>
      <c r="ZK13" s="133">
        <v>64.35665193060872</v>
      </c>
      <c r="ZL13" s="133">
        <v>70.363310235532339</v>
      </c>
      <c r="ZM13" s="133">
        <v>78.055741858895075</v>
      </c>
      <c r="ZN13" s="81"/>
      <c r="ZO13" s="81">
        <v>14</v>
      </c>
      <c r="ZP13" s="133">
        <v>21.685762495905447</v>
      </c>
      <c r="ZQ13" s="133">
        <v>24.272474211292462</v>
      </c>
      <c r="ZR13" s="133">
        <v>26.742655506553334</v>
      </c>
      <c r="ZS13" s="133">
        <v>29.904201218703609</v>
      </c>
      <c r="ZT13" s="133">
        <v>36.03171673438456</v>
      </c>
      <c r="ZU13" s="134">
        <v>44.352095660940527</v>
      </c>
      <c r="ZV13" s="133">
        <v>54.593801456038754</v>
      </c>
      <c r="ZW13" s="133">
        <v>65.780335516432075</v>
      </c>
      <c r="ZX13" s="133">
        <v>73.55695806032341</v>
      </c>
      <c r="ZY13" s="133">
        <v>81.042763601003116</v>
      </c>
      <c r="ZZ13" s="133">
        <v>90.709671374877232</v>
      </c>
      <c r="AAA13" s="81"/>
      <c r="AAB13" s="81">
        <v>11</v>
      </c>
      <c r="AAC13" s="133">
        <v>7.3891307328433689</v>
      </c>
      <c r="AAD13" s="133">
        <v>8.1629036803464494</v>
      </c>
      <c r="AAE13" s="133">
        <v>8.8928945217656477</v>
      </c>
      <c r="AAF13" s="133">
        <v>9.8159115254851059</v>
      </c>
      <c r="AAG13" s="133">
        <v>11.573762381506375</v>
      </c>
      <c r="AAH13" s="134">
        <v>13.906465600682832</v>
      </c>
      <c r="AAI13" s="133">
        <v>16.709327453619661</v>
      </c>
      <c r="AAJ13" s="133">
        <v>19.701663467613372</v>
      </c>
      <c r="AAK13" s="133">
        <v>21.746551140311759</v>
      </c>
      <c r="AAL13" s="133">
        <v>23.691298228667449</v>
      </c>
      <c r="AAM13" s="133">
        <v>26.17219704117451</v>
      </c>
      <c r="AAN13" s="81"/>
      <c r="AAO13" s="81">
        <v>11</v>
      </c>
      <c r="AAP13" s="133">
        <v>7.4225887315598928</v>
      </c>
      <c r="AAQ13" s="133">
        <v>8.1865263226931457</v>
      </c>
      <c r="AAR13" s="133">
        <v>8.9061503955446568</v>
      </c>
      <c r="AAS13" s="133">
        <v>9.8146859924238097</v>
      </c>
      <c r="AAT13" s="133">
        <v>11.541194541978946</v>
      </c>
      <c r="AAU13" s="134">
        <v>13.825771313600761</v>
      </c>
      <c r="AAV13" s="133">
        <v>16.562579525083482</v>
      </c>
      <c r="AAW13" s="133">
        <v>19.476114932616333</v>
      </c>
      <c r="AAX13" s="133">
        <v>21.462915392896392</v>
      </c>
      <c r="AAY13" s="133">
        <v>23.349580137073552</v>
      </c>
      <c r="AAZ13" s="133">
        <v>25.752733895013233</v>
      </c>
      <c r="ABA13" s="81"/>
      <c r="ABB13" s="81">
        <v>14</v>
      </c>
      <c r="ABC13" s="133">
        <v>8.0287492693872</v>
      </c>
      <c r="ABD13" s="133">
        <v>8.8717806765810518</v>
      </c>
      <c r="ABE13" s="133">
        <v>9.6673007725667475</v>
      </c>
      <c r="ABF13" s="133">
        <v>10.673414266825468</v>
      </c>
      <c r="ABG13" s="133">
        <v>12.590177748545745</v>
      </c>
      <c r="ABH13" s="134">
        <v>15.134907976501152</v>
      </c>
      <c r="ABI13" s="133">
        <v>18.193979785838756</v>
      </c>
      <c r="ABJ13" s="133">
        <v>21.461308793112902</v>
      </c>
      <c r="ABK13" s="133">
        <v>23.694870455172509</v>
      </c>
      <c r="ABL13" s="133">
        <v>25.819556164392676</v>
      </c>
      <c r="ABM13" s="133">
        <v>28.53065051247286</v>
      </c>
      <c r="ABN13" s="81"/>
      <c r="ABO13" s="81">
        <v>11</v>
      </c>
      <c r="ABP13" s="133">
        <f t="shared" si="273"/>
        <v>0.17130929637512185</v>
      </c>
      <c r="ABQ13" s="133">
        <f t="shared" si="274"/>
        <v>0.19378981469234979</v>
      </c>
      <c r="ABR13" s="133">
        <f t="shared" si="275"/>
        <v>0.21478184414753437</v>
      </c>
      <c r="ABS13" s="133">
        <f t="shared" si="471"/>
        <v>0.24098842540981452</v>
      </c>
      <c r="ABT13" s="133">
        <f t="shared" si="472"/>
        <v>0.2897879255384252</v>
      </c>
      <c r="ABU13" s="134">
        <f t="shared" si="473"/>
        <v>0.35226120426482804</v>
      </c>
      <c r="ABV13" s="133">
        <f t="shared" si="474"/>
        <v>0.42402187339270997</v>
      </c>
      <c r="ABW13" s="133">
        <f t="shared" si="276"/>
        <v>0.4969847939790355</v>
      </c>
      <c r="ABX13" s="133">
        <f t="shared" si="277"/>
        <v>0.54487840964369438</v>
      </c>
      <c r="ABY13" s="133">
        <f t="shared" si="278"/>
        <v>0.58907012684173721</v>
      </c>
      <c r="ABZ13" s="133">
        <f t="shared" si="279"/>
        <v>0.64367387987388491</v>
      </c>
      <c r="ACA13" s="81"/>
      <c r="ACB13" s="81">
        <v>11</v>
      </c>
      <c r="ACC13" s="133">
        <f t="shared" si="280"/>
        <v>0.18169464823479239</v>
      </c>
      <c r="ACD13" s="133">
        <f t="shared" si="281"/>
        <v>0.20314268141828928</v>
      </c>
      <c r="ACE13" s="133">
        <f t="shared" si="282"/>
        <v>0.22329413464543515</v>
      </c>
      <c r="ACF13" s="133">
        <f t="shared" si="475"/>
        <v>0.24863684439117315</v>
      </c>
      <c r="ACG13" s="133">
        <f t="shared" si="476"/>
        <v>0.2964205603908181</v>
      </c>
      <c r="ACH13" s="134">
        <f t="shared" si="477"/>
        <v>0.35877921726882284</v>
      </c>
      <c r="ACI13" s="133">
        <f t="shared" si="478"/>
        <v>0.43208817222769064</v>
      </c>
      <c r="ACJ13" s="133">
        <f t="shared" si="283"/>
        <v>0.50846078586529408</v>
      </c>
      <c r="ACK13" s="133">
        <f t="shared" si="284"/>
        <v>0.55958403250187394</v>
      </c>
      <c r="ACL13" s="133">
        <f t="shared" si="285"/>
        <v>0.60744119701171451</v>
      </c>
      <c r="ACM13" s="133">
        <f t="shared" si="286"/>
        <v>0.66746783477643323</v>
      </c>
      <c r="ACN13" s="81"/>
      <c r="ACO13" s="81">
        <v>14</v>
      </c>
      <c r="ACP13" s="133">
        <f t="shared" si="287"/>
        <v>0.15929909792238622</v>
      </c>
      <c r="ACQ13" s="133">
        <f t="shared" si="288"/>
        <v>0.18478266478665545</v>
      </c>
      <c r="ACR13" s="133">
        <f t="shared" si="289"/>
        <v>0.20826331615828836</v>
      </c>
      <c r="ACS13" s="133">
        <f t="shared" si="479"/>
        <v>0.2371370043215186</v>
      </c>
      <c r="ACT13" s="133">
        <f t="shared" si="480"/>
        <v>0.28966496644305878</v>
      </c>
      <c r="ACU13" s="134">
        <f t="shared" si="481"/>
        <v>0.35451229441172616</v>
      </c>
      <c r="ACV13" s="133">
        <f t="shared" si="482"/>
        <v>0.42613485238301779</v>
      </c>
      <c r="ACW13" s="133">
        <f t="shared" si="290"/>
        <v>0.4963071577395094</v>
      </c>
      <c r="ACX13" s="133">
        <f t="shared" si="291"/>
        <v>0.54098426145307477</v>
      </c>
      <c r="ACY13" s="133">
        <f t="shared" si="292"/>
        <v>0.58134589149831306</v>
      </c>
      <c r="ACZ13" s="133">
        <f t="shared" si="293"/>
        <v>0.6301614528811107</v>
      </c>
      <c r="ADA13" s="81"/>
      <c r="ADB13" s="81">
        <v>11</v>
      </c>
      <c r="ADC13" s="133">
        <f t="shared" si="294"/>
        <v>0.14348128862313286</v>
      </c>
      <c r="ADD13" s="133">
        <f t="shared" si="295"/>
        <v>0.16092163655864808</v>
      </c>
      <c r="ADE13" s="133">
        <f t="shared" si="296"/>
        <v>0.17627140117197138</v>
      </c>
      <c r="ADF13" s="133">
        <f t="shared" si="483"/>
        <v>0.19434886785570804</v>
      </c>
      <c r="ADG13" s="133">
        <f t="shared" si="484"/>
        <v>0.22535671272241628</v>
      </c>
      <c r="ADH13" s="134">
        <f t="shared" si="485"/>
        <v>0.26108462273187233</v>
      </c>
      <c r="ADI13" s="133">
        <f t="shared" si="486"/>
        <v>0.29795014772246337</v>
      </c>
      <c r="ADJ13" s="133">
        <f t="shared" si="297"/>
        <v>0.33192774640734002</v>
      </c>
      <c r="ADK13" s="133">
        <f t="shared" si="298"/>
        <v>0.35268321452105539</v>
      </c>
      <c r="ADL13" s="133">
        <f t="shared" si="299"/>
        <v>0.37091143177680164</v>
      </c>
      <c r="ADM13" s="133">
        <f t="shared" si="300"/>
        <v>0.39236166159780617</v>
      </c>
      <c r="ADN13" s="81"/>
      <c r="ADO13" s="81">
        <v>11</v>
      </c>
      <c r="ADP13" s="133">
        <f t="shared" si="301"/>
        <v>0.15157208068958167</v>
      </c>
      <c r="ADQ13" s="133">
        <f t="shared" si="302"/>
        <v>0.16773502891606856</v>
      </c>
      <c r="ADR13" s="133">
        <f t="shared" si="303"/>
        <v>0.18214445914078739</v>
      </c>
      <c r="ADS13" s="133">
        <f t="shared" si="487"/>
        <v>0.19932977602957996</v>
      </c>
      <c r="ADT13" s="133">
        <f t="shared" si="488"/>
        <v>0.22933109248318956</v>
      </c>
      <c r="ADU13" s="134">
        <f t="shared" si="489"/>
        <v>0.26468227192801086</v>
      </c>
      <c r="ADV13" s="133">
        <f t="shared" si="490"/>
        <v>0.30198972033315447</v>
      </c>
      <c r="ADW13" s="133">
        <f t="shared" si="304"/>
        <v>0.33708118602790488</v>
      </c>
      <c r="ADX13" s="133">
        <f t="shared" si="305"/>
        <v>0.35883559322920539</v>
      </c>
      <c r="ADY13" s="133">
        <f t="shared" si="306"/>
        <v>0.37813352774873027</v>
      </c>
      <c r="ADZ13" s="133">
        <f t="shared" si="307"/>
        <v>0.40106671005693656</v>
      </c>
      <c r="AEA13" s="81"/>
      <c r="AEB13" s="81">
        <v>14</v>
      </c>
      <c r="AEC13" s="133">
        <f t="shared" si="308"/>
        <v>0.13381597053566713</v>
      </c>
      <c r="AED13" s="133">
        <f t="shared" si="309"/>
        <v>0.15427345459849293</v>
      </c>
      <c r="AEE13" s="133">
        <f t="shared" si="310"/>
        <v>0.17178084381398723</v>
      </c>
      <c r="AEF13" s="133">
        <f t="shared" si="491"/>
        <v>0.19187784712672151</v>
      </c>
      <c r="AEG13" s="133">
        <f t="shared" si="492"/>
        <v>0.2252205590971802</v>
      </c>
      <c r="AEH13" s="134">
        <f t="shared" si="493"/>
        <v>0.26215313812323421</v>
      </c>
      <c r="AEI13" s="133">
        <f t="shared" si="494"/>
        <v>0.29887803429491694</v>
      </c>
      <c r="AEJ13" s="133">
        <f t="shared" si="311"/>
        <v>0.33167331655116605</v>
      </c>
      <c r="AEK13" s="133">
        <f t="shared" si="312"/>
        <v>0.35126976977532398</v>
      </c>
      <c r="AEL13" s="133">
        <f t="shared" si="313"/>
        <v>0.36823130859358988</v>
      </c>
      <c r="AEM13" s="133">
        <f t="shared" si="314"/>
        <v>0.38791365897295788</v>
      </c>
      <c r="AEN13" s="81"/>
    </row>
    <row r="14" spans="1:820">
      <c r="A14" s="81"/>
      <c r="B14" s="81">
        <v>13</v>
      </c>
      <c r="C14" s="133">
        <f t="shared" si="0"/>
        <v>1.6210536798371689</v>
      </c>
      <c r="D14" s="133">
        <f t="shared" si="1"/>
        <v>1.8917650099696983</v>
      </c>
      <c r="E14" s="133">
        <f t="shared" si="2"/>
        <v>2.1682814676406159</v>
      </c>
      <c r="F14" s="133">
        <f t="shared" si="315"/>
        <v>2.5487304520574061</v>
      </c>
      <c r="G14" s="133">
        <f t="shared" si="316"/>
        <v>3.3752131474454137</v>
      </c>
      <c r="H14" s="134">
        <f t="shared" si="317"/>
        <v>4.7002884227844639</v>
      </c>
      <c r="I14" s="133">
        <f t="shared" si="318"/>
        <v>6.6878041610768033</v>
      </c>
      <c r="J14" s="133">
        <f t="shared" si="3"/>
        <v>9.369181817319193</v>
      </c>
      <c r="K14" s="133">
        <f t="shared" si="4"/>
        <v>11.588714909880002</v>
      </c>
      <c r="L14" s="133">
        <f t="shared" si="5"/>
        <v>14.033126361673029</v>
      </c>
      <c r="M14" s="133">
        <f t="shared" si="6"/>
        <v>17.685970726137501</v>
      </c>
      <c r="N14" s="81"/>
      <c r="O14" s="75">
        <v>13</v>
      </c>
      <c r="P14" s="151">
        <f t="shared" si="7"/>
        <v>2.269420590834438</v>
      </c>
      <c r="Q14" s="151">
        <f t="shared" si="8"/>
        <v>2.525163723802442</v>
      </c>
      <c r="R14" s="151">
        <f t="shared" si="9"/>
        <v>2.7786600920840865</v>
      </c>
      <c r="S14" s="151">
        <f t="shared" si="319"/>
        <v>3.1175370787533891</v>
      </c>
      <c r="T14" s="151">
        <f t="shared" si="320"/>
        <v>3.8257118322399735</v>
      </c>
      <c r="U14" s="134">
        <f t="shared" si="321"/>
        <v>4.9123900812674952</v>
      </c>
      <c r="V14" s="151">
        <f t="shared" si="322"/>
        <v>6.4871236056933244</v>
      </c>
      <c r="W14" s="151">
        <f t="shared" si="10"/>
        <v>8.5756814294083643</v>
      </c>
      <c r="X14" s="151">
        <f t="shared" si="11"/>
        <v>10.305268776728171</v>
      </c>
      <c r="Y14" s="151">
        <f t="shared" si="12"/>
        <v>12.229208225217878</v>
      </c>
      <c r="Z14" s="151">
        <f t="shared" si="13"/>
        <v>15.164197268001809</v>
      </c>
      <c r="AA14" s="81"/>
      <c r="AB14" s="75">
        <v>15</v>
      </c>
      <c r="AC14" s="151">
        <f t="shared" si="14"/>
        <v>1.2921167106880298</v>
      </c>
      <c r="AD14" s="151">
        <f t="shared" si="15"/>
        <v>1.54134125115967</v>
      </c>
      <c r="AE14" s="151">
        <f t="shared" si="16"/>
        <v>1.804258418766405</v>
      </c>
      <c r="AF14" s="151">
        <f t="shared" si="323"/>
        <v>2.179167171119536</v>
      </c>
      <c r="AG14" s="151">
        <f t="shared" si="324"/>
        <v>3.0431914428790829</v>
      </c>
      <c r="AH14" s="134">
        <f t="shared" si="325"/>
        <v>4.5600674820286615</v>
      </c>
      <c r="AI14" s="151">
        <f t="shared" si="326"/>
        <v>7.115588380383846</v>
      </c>
      <c r="AJ14" s="151">
        <f t="shared" si="17"/>
        <v>11.060031226654145</v>
      </c>
      <c r="AK14" s="151">
        <f t="shared" si="18"/>
        <v>14.737031840733074</v>
      </c>
      <c r="AL14" s="151">
        <f t="shared" si="19"/>
        <v>19.206908982211562</v>
      </c>
      <c r="AM14" s="151">
        <f t="shared" si="20"/>
        <v>26.696916497528118</v>
      </c>
      <c r="AN14" s="81"/>
      <c r="AO14" s="81">
        <v>13</v>
      </c>
      <c r="AP14" s="133">
        <f t="shared" si="21"/>
        <v>2.1691509709115726</v>
      </c>
      <c r="AQ14" s="133">
        <f t="shared" si="22"/>
        <v>3.7268591020305708</v>
      </c>
      <c r="AR14" s="133">
        <f t="shared" si="23"/>
        <v>5.1695046979696313</v>
      </c>
      <c r="AS14" s="133">
        <f t="shared" si="327"/>
        <v>6.9517496675197572</v>
      </c>
      <c r="AT14" s="133">
        <f t="shared" si="328"/>
        <v>10.210680257036376</v>
      </c>
      <c r="AU14" s="134">
        <f t="shared" si="329"/>
        <v>14.268217775857092</v>
      </c>
      <c r="AV14" s="133">
        <f t="shared" si="330"/>
        <v>18.778557822988962</v>
      </c>
      <c r="AW14" s="133">
        <f t="shared" si="24"/>
        <v>23.214165336648758</v>
      </c>
      <c r="AX14" s="133">
        <f t="shared" si="25"/>
        <v>26.050774768171532</v>
      </c>
      <c r="AY14" s="133">
        <f t="shared" si="26"/>
        <v>28.619525098194327</v>
      </c>
      <c r="AZ14" s="133">
        <f t="shared" si="27"/>
        <v>31.733412832855844</v>
      </c>
      <c r="BA14" s="81"/>
      <c r="BB14" s="81">
        <v>13</v>
      </c>
      <c r="BC14" s="133">
        <f t="shared" si="28"/>
        <v>4.9569905332496473</v>
      </c>
      <c r="BD14" s="133">
        <f t="shared" si="29"/>
        <v>6.5471057184242989</v>
      </c>
      <c r="BE14" s="133">
        <f t="shared" si="30"/>
        <v>7.9796225717393705</v>
      </c>
      <c r="BF14" s="133">
        <f t="shared" si="331"/>
        <v>9.7043201151564027</v>
      </c>
      <c r="BG14" s="133">
        <f t="shared" si="332"/>
        <v>12.751848691495628</v>
      </c>
      <c r="BH14" s="134">
        <f t="shared" si="333"/>
        <v>16.393273424916373</v>
      </c>
      <c r="BI14" s="133">
        <f t="shared" si="334"/>
        <v>20.285410715944174</v>
      </c>
      <c r="BJ14" s="133">
        <f t="shared" si="31"/>
        <v>23.985302460742105</v>
      </c>
      <c r="BK14" s="133">
        <f t="shared" si="32"/>
        <v>26.295606685246401</v>
      </c>
      <c r="BL14" s="133">
        <f t="shared" si="33"/>
        <v>28.354696325808117</v>
      </c>
      <c r="BM14" s="133">
        <f t="shared" si="34"/>
        <v>30.812624682022172</v>
      </c>
      <c r="BN14" s="81"/>
      <c r="BO14" s="75">
        <v>15</v>
      </c>
      <c r="BP14" s="151">
        <f t="shared" si="35"/>
        <v>2.9727944497038541</v>
      </c>
      <c r="BQ14" s="151">
        <f t="shared" si="36"/>
        <v>3.7303029124749933</v>
      </c>
      <c r="BR14" s="151">
        <f t="shared" si="37"/>
        <v>4.5077181585796282</v>
      </c>
      <c r="BS14" s="151">
        <f t="shared" si="335"/>
        <v>5.571466247235751</v>
      </c>
      <c r="BT14" s="151">
        <f t="shared" si="336"/>
        <v>7.8220262471762085</v>
      </c>
      <c r="BU14" s="134">
        <f t="shared" si="337"/>
        <v>11.201591091697107</v>
      </c>
      <c r="BV14" s="151">
        <f t="shared" si="338"/>
        <v>15.75316167102566</v>
      </c>
      <c r="BW14" s="151">
        <f t="shared" si="38"/>
        <v>21.093813132414631</v>
      </c>
      <c r="BX14" s="151">
        <f t="shared" si="39"/>
        <v>24.981179325846337</v>
      </c>
      <c r="BY14" s="151">
        <f t="shared" si="40"/>
        <v>28.831723196522532</v>
      </c>
      <c r="BZ14" s="151">
        <f t="shared" si="41"/>
        <v>33.934074747415522</v>
      </c>
      <c r="CA14" s="81"/>
      <c r="CB14" s="81">
        <v>13</v>
      </c>
      <c r="CC14" s="133">
        <f t="shared" si="42"/>
        <v>-3.4482970340388466</v>
      </c>
      <c r="CD14" s="133">
        <f t="shared" si="43"/>
        <v>-1.2709658430317372</v>
      </c>
      <c r="CE14" s="133">
        <f t="shared" si="44"/>
        <v>0.82395554926036407</v>
      </c>
      <c r="CF14" s="133">
        <f t="shared" si="339"/>
        <v>3.4596316958818152</v>
      </c>
      <c r="CG14" s="133">
        <f t="shared" si="340"/>
        <v>8.3137898606778826</v>
      </c>
      <c r="CH14" s="134">
        <f t="shared" si="341"/>
        <v>14.309919983540492</v>
      </c>
      <c r="CI14" s="133">
        <f t="shared" si="342"/>
        <v>20.845963040679379</v>
      </c>
      <c r="CJ14" s="133">
        <f t="shared" si="45"/>
        <v>27.121834350311811</v>
      </c>
      <c r="CK14" s="133">
        <f t="shared" si="46"/>
        <v>31.056487046627158</v>
      </c>
      <c r="CL14" s="133">
        <f t="shared" si="47"/>
        <v>34.568346952266801</v>
      </c>
      <c r="CM14" s="133">
        <f t="shared" si="48"/>
        <v>38.762811115359156</v>
      </c>
      <c r="CN14" s="81"/>
      <c r="CO14" s="81">
        <v>13</v>
      </c>
      <c r="CP14" s="133">
        <f t="shared" si="49"/>
        <v>1.7187895440277483</v>
      </c>
      <c r="CQ14" s="133">
        <f t="shared" si="50"/>
        <v>3.9852952733640263</v>
      </c>
      <c r="CR14" s="133">
        <f t="shared" si="51"/>
        <v>6.069842253258563</v>
      </c>
      <c r="CS14" s="133">
        <f t="shared" si="343"/>
        <v>8.6160281195100943</v>
      </c>
      <c r="CT14" s="133">
        <f t="shared" si="344"/>
        <v>13.175702225398119</v>
      </c>
      <c r="CU14" s="134">
        <f t="shared" si="345"/>
        <v>18.676330646126143</v>
      </c>
      <c r="CV14" s="133">
        <f t="shared" si="346"/>
        <v>24.577650666434526</v>
      </c>
      <c r="CW14" s="133">
        <f t="shared" si="52"/>
        <v>30.186296828484</v>
      </c>
      <c r="CX14" s="133">
        <f t="shared" si="53"/>
        <v>33.682362544498929</v>
      </c>
      <c r="CY14" s="133">
        <f t="shared" si="54"/>
        <v>36.79250524573574</v>
      </c>
      <c r="CZ14" s="133">
        <f t="shared" si="55"/>
        <v>40.496688358127763</v>
      </c>
      <c r="DA14" s="81"/>
      <c r="DB14" s="81">
        <v>15</v>
      </c>
      <c r="DC14" s="133">
        <f t="shared" si="56"/>
        <v>-5.181656835570851</v>
      </c>
      <c r="DD14" s="133">
        <f t="shared" si="57"/>
        <v>-3.7841734813127119</v>
      </c>
      <c r="DE14" s="133">
        <f t="shared" si="58"/>
        <v>-2.34637558863965</v>
      </c>
      <c r="DF14" s="133">
        <f t="shared" si="347"/>
        <v>-0.44115559562282947</v>
      </c>
      <c r="DG14" s="133">
        <f t="shared" si="348"/>
        <v>3.2792517084409818</v>
      </c>
      <c r="DH14" s="134">
        <f t="shared" si="349"/>
        <v>8.1594301441201225</v>
      </c>
      <c r="DI14" s="133">
        <f t="shared" si="350"/>
        <v>13.752334211684616</v>
      </c>
      <c r="DJ14" s="133">
        <f t="shared" si="59"/>
        <v>19.337852303503794</v>
      </c>
      <c r="DK14" s="133">
        <f t="shared" si="60"/>
        <v>22.931497475682676</v>
      </c>
      <c r="DL14" s="133">
        <f t="shared" si="61"/>
        <v>26.192525096984692</v>
      </c>
      <c r="DM14" s="133">
        <f t="shared" si="62"/>
        <v>30.148357130725213</v>
      </c>
      <c r="DN14" s="81"/>
      <c r="DO14" s="81">
        <v>13</v>
      </c>
      <c r="DP14" s="133">
        <v>12.93262872365983</v>
      </c>
      <c r="DQ14" s="133">
        <v>14.259089690149663</v>
      </c>
      <c r="DR14" s="133">
        <v>15.5082352360672</v>
      </c>
      <c r="DS14" s="133">
        <v>17.084830035993697</v>
      </c>
      <c r="DT14" s="133">
        <v>20.079580536860959</v>
      </c>
      <c r="DU14" s="134">
        <v>24.040110830379184</v>
      </c>
      <c r="DV14" s="133">
        <v>28.781822791367031</v>
      </c>
      <c r="DW14" s="133">
        <v>33.826905361034278</v>
      </c>
      <c r="DX14" s="133">
        <v>37.265808774478813</v>
      </c>
      <c r="DY14" s="133">
        <v>40.530422438969083</v>
      </c>
      <c r="DZ14" s="133">
        <v>44.687506390685741</v>
      </c>
      <c r="EA14" s="81"/>
      <c r="EB14" s="81">
        <v>13</v>
      </c>
      <c r="EC14" s="133">
        <v>13.462994109393666</v>
      </c>
      <c r="ED14" s="133">
        <v>14.551908285986343</v>
      </c>
      <c r="EE14" s="133">
        <v>15.558621036120195</v>
      </c>
      <c r="EF14" s="133">
        <v>16.806034661920496</v>
      </c>
      <c r="EG14" s="133">
        <v>19.113464994636765</v>
      </c>
      <c r="EH14" s="134">
        <v>22.060546327023552</v>
      </c>
      <c r="EI14" s="133">
        <v>25.462034454941104</v>
      </c>
      <c r="EJ14" s="133">
        <v>28.95791387063214</v>
      </c>
      <c r="EK14" s="133">
        <v>31.279616819313638</v>
      </c>
      <c r="EL14" s="133">
        <v>33.443565935295148</v>
      </c>
      <c r="EM14" s="133">
        <v>36.148549148304582</v>
      </c>
      <c r="EN14" s="81"/>
      <c r="EO14" s="81">
        <v>15</v>
      </c>
      <c r="EP14" s="133">
        <v>14.811992138811259</v>
      </c>
      <c r="EQ14" s="133">
        <v>16.370930280882359</v>
      </c>
      <c r="ER14" s="133">
        <v>17.842315101991822</v>
      </c>
      <c r="ES14" s="133">
        <v>19.703596674191083</v>
      </c>
      <c r="ET14" s="133">
        <v>23.250614273595311</v>
      </c>
      <c r="EU14" s="134">
        <v>27.961545009511511</v>
      </c>
      <c r="EV14" s="133">
        <v>33.626982501139686</v>
      </c>
      <c r="EW14" s="133">
        <v>39.680471146826122</v>
      </c>
      <c r="EX14" s="133">
        <v>43.81987398214131</v>
      </c>
      <c r="EY14" s="133">
        <v>47.758312197564265</v>
      </c>
      <c r="EZ14" s="133">
        <v>52.784797074682075</v>
      </c>
      <c r="FA14" s="81"/>
      <c r="FB14" s="81">
        <v>13</v>
      </c>
      <c r="FC14" s="133">
        <v>6.3512437787175289</v>
      </c>
      <c r="FD14" s="133">
        <v>7.1305873352104507</v>
      </c>
      <c r="FE14" s="133">
        <v>7.8769342888639393</v>
      </c>
      <c r="FF14" s="133">
        <v>8.8348850750735881</v>
      </c>
      <c r="FG14" s="133">
        <v>10.699142773711555</v>
      </c>
      <c r="FH14" s="134">
        <v>13.244179814048366</v>
      </c>
      <c r="FI14" s="133">
        <v>16.39461241491562</v>
      </c>
      <c r="FJ14" s="133">
        <v>19.854055537376095</v>
      </c>
      <c r="FK14" s="133">
        <v>22.268600005313058</v>
      </c>
      <c r="FL14" s="133">
        <v>24.59941807047079</v>
      </c>
      <c r="FM14" s="133">
        <v>27.617944619701767</v>
      </c>
      <c r="FN14" s="81"/>
      <c r="FO14" s="81">
        <v>13</v>
      </c>
      <c r="FP14" s="133">
        <v>6.1517137238996948</v>
      </c>
      <c r="FQ14" s="133">
        <v>6.8202908332148677</v>
      </c>
      <c r="FR14" s="133">
        <v>7.4531376047261944</v>
      </c>
      <c r="FS14" s="133">
        <v>8.2559870883981219</v>
      </c>
      <c r="FT14" s="133">
        <v>9.7923263757610375</v>
      </c>
      <c r="FU14" s="134">
        <v>11.843931006121863</v>
      </c>
      <c r="FV14" s="133">
        <v>14.325370325176957</v>
      </c>
      <c r="FW14" s="133">
        <v>16.991148384292412</v>
      </c>
      <c r="FX14" s="133">
        <v>18.821429190951882</v>
      </c>
      <c r="FY14" s="133">
        <v>20.567847487473184</v>
      </c>
      <c r="FZ14" s="133">
        <v>22.803190781259133</v>
      </c>
      <c r="GA14" s="81"/>
      <c r="GB14" s="81">
        <v>15</v>
      </c>
      <c r="GC14" s="133">
        <v>7.5486977133309212</v>
      </c>
      <c r="GD14" s="133">
        <v>8.4864863553046899</v>
      </c>
      <c r="GE14" s="133">
        <v>9.3857010979264093</v>
      </c>
      <c r="GF14" s="133">
        <v>10.541315346220534</v>
      </c>
      <c r="GG14" s="133">
        <v>12.794336640856677</v>
      </c>
      <c r="GH14" s="134">
        <v>15.877439335131376</v>
      </c>
      <c r="GI14" s="133">
        <v>19.703489670246594</v>
      </c>
      <c r="GJ14" s="133">
        <v>23.91476505170316</v>
      </c>
      <c r="GK14" s="133">
        <v>26.859269990653356</v>
      </c>
      <c r="GL14" s="133">
        <v>29.705235981814781</v>
      </c>
      <c r="GM14" s="133">
        <v>33.39557224494277</v>
      </c>
      <c r="GN14" s="81"/>
      <c r="GO14" s="81">
        <v>13</v>
      </c>
      <c r="GP14" s="133">
        <f t="shared" si="63"/>
        <v>0.34571540291902453</v>
      </c>
      <c r="GQ14" s="133">
        <f t="shared" si="64"/>
        <v>0.39019478058018003</v>
      </c>
      <c r="GR14" s="133">
        <f t="shared" si="65"/>
        <v>0.42453877395480472</v>
      </c>
      <c r="GS14" s="133">
        <f t="shared" si="351"/>
        <v>0.46079638765022801</v>
      </c>
      <c r="GT14" s="133">
        <f t="shared" si="352"/>
        <v>0.51684311982472764</v>
      </c>
      <c r="GU14" s="134">
        <f t="shared" si="353"/>
        <v>0.56967442428089865</v>
      </c>
      <c r="GV14" s="133">
        <f t="shared" si="354"/>
        <v>0.61775921279172241</v>
      </c>
      <c r="GW14" s="133">
        <f t="shared" si="66"/>
        <v>0.65996072973959019</v>
      </c>
      <c r="GX14" s="133">
        <f t="shared" si="67"/>
        <v>0.683268492543886</v>
      </c>
      <c r="GY14" s="133">
        <f t="shared" si="68"/>
        <v>0.7028224810934498</v>
      </c>
      <c r="GZ14" s="133">
        <f t="shared" si="69"/>
        <v>0.72485683007899471</v>
      </c>
      <c r="HA14" s="81"/>
      <c r="HB14" s="81">
        <v>13</v>
      </c>
      <c r="HC14" s="133">
        <f t="shared" si="70"/>
        <v>0.33073770990568779</v>
      </c>
      <c r="HD14" s="133">
        <f t="shared" si="71"/>
        <v>0.37769338687478421</v>
      </c>
      <c r="HE14" s="133">
        <f t="shared" si="72"/>
        <v>0.41368574801675712</v>
      </c>
      <c r="HF14" s="133">
        <f t="shared" si="355"/>
        <v>0.45150725892804427</v>
      </c>
      <c r="HG14" s="133">
        <f t="shared" si="356"/>
        <v>0.5081535261650042</v>
      </c>
      <c r="HH14" s="134">
        <f t="shared" si="357"/>
        <v>0.56439513648894712</v>
      </c>
      <c r="HI14" s="133">
        <f t="shared" si="358"/>
        <v>0.61533301792230433</v>
      </c>
      <c r="HJ14" s="133">
        <f t="shared" si="73"/>
        <v>0.65756068719176819</v>
      </c>
      <c r="HK14" s="133">
        <f t="shared" si="74"/>
        <v>0.68157355889388882</v>
      </c>
      <c r="HL14" s="133">
        <f t="shared" si="75"/>
        <v>0.701710252528431</v>
      </c>
      <c r="HM14" s="133">
        <f t="shared" si="76"/>
        <v>0.72439286807109671</v>
      </c>
      <c r="HN14" s="81"/>
      <c r="HO14" s="81">
        <v>15</v>
      </c>
      <c r="HP14" s="83">
        <f t="shared" si="77"/>
        <v>0.37505470763034354</v>
      </c>
      <c r="HQ14" s="83">
        <f t="shared" si="78"/>
        <v>0.41526568616156273</v>
      </c>
      <c r="HR14" s="83">
        <f t="shared" si="79"/>
        <v>0.44675383641636235</v>
      </c>
      <c r="HS14" s="83">
        <f t="shared" si="359"/>
        <v>0.48031451066203201</v>
      </c>
      <c r="HT14" s="83">
        <f t="shared" si="360"/>
        <v>0.5312647122314309</v>
      </c>
      <c r="HU14" s="84">
        <f t="shared" si="361"/>
        <v>0.58245032534340824</v>
      </c>
      <c r="HV14" s="83">
        <f t="shared" si="362"/>
        <v>0.629183649031957</v>
      </c>
      <c r="HW14" s="83">
        <f t="shared" si="80"/>
        <v>0.66813005830534899</v>
      </c>
      <c r="HX14" s="83">
        <f t="shared" si="81"/>
        <v>0.69034383966962498</v>
      </c>
      <c r="HY14" s="83">
        <f t="shared" si="82"/>
        <v>0.70900390449455686</v>
      </c>
      <c r="HZ14" s="83">
        <f t="shared" si="83"/>
        <v>0.73005439789479132</v>
      </c>
      <c r="IA14" s="81"/>
      <c r="IB14" s="81">
        <v>13</v>
      </c>
      <c r="IC14" s="83">
        <f t="shared" si="84"/>
        <v>0.25670990291806489</v>
      </c>
      <c r="ID14" s="83">
        <f t="shared" si="85"/>
        <v>0.28132399284647136</v>
      </c>
      <c r="IE14" s="83">
        <f t="shared" si="86"/>
        <v>0.29873494523074917</v>
      </c>
      <c r="IF14" s="83">
        <f t="shared" si="363"/>
        <v>0.31598820312060411</v>
      </c>
      <c r="IG14" s="83">
        <f t="shared" si="364"/>
        <v>0.34024681501329213</v>
      </c>
      <c r="IH14" s="84">
        <f t="shared" si="365"/>
        <v>0.3628369846594337</v>
      </c>
      <c r="II14" s="83">
        <f t="shared" si="366"/>
        <v>0.3822567858135652</v>
      </c>
      <c r="IJ14" s="83">
        <f t="shared" si="87"/>
        <v>0.39772182511157134</v>
      </c>
      <c r="IK14" s="83">
        <f t="shared" si="88"/>
        <v>0.40628820557324641</v>
      </c>
      <c r="IL14" s="83">
        <f t="shared" si="89"/>
        <v>0.41335424904370055</v>
      </c>
      <c r="IM14" s="83">
        <f t="shared" si="90"/>
        <v>0.42119251379610245</v>
      </c>
      <c r="IN14" s="81"/>
      <c r="IO14" s="81">
        <v>13</v>
      </c>
      <c r="IP14" s="133">
        <f t="shared" si="91"/>
        <v>0.24781479126345668</v>
      </c>
      <c r="IQ14" s="133">
        <f t="shared" si="92"/>
        <v>0.27468696564218426</v>
      </c>
      <c r="IR14" s="133">
        <f t="shared" si="93"/>
        <v>0.29335160478308814</v>
      </c>
      <c r="IS14" s="133">
        <f t="shared" si="367"/>
        <v>0.31165379057491016</v>
      </c>
      <c r="IT14" s="133">
        <f t="shared" si="368"/>
        <v>0.33715403162950802</v>
      </c>
      <c r="IU14" s="134">
        <f t="shared" si="369"/>
        <v>0.36072617370445725</v>
      </c>
      <c r="IV14" s="133">
        <f t="shared" si="370"/>
        <v>0.38089432143674951</v>
      </c>
      <c r="IW14" s="133">
        <f t="shared" si="94"/>
        <v>0.3969074642623896</v>
      </c>
      <c r="IX14" s="133">
        <f t="shared" si="95"/>
        <v>0.40576260765674377</v>
      </c>
      <c r="IY14" s="133">
        <f t="shared" si="96"/>
        <v>0.41305995182780936</v>
      </c>
      <c r="IZ14" s="133">
        <f t="shared" si="97"/>
        <v>0.42114825301022596</v>
      </c>
      <c r="JA14" s="81"/>
      <c r="JB14" s="81">
        <v>15</v>
      </c>
      <c r="JC14" s="133">
        <f t="shared" si="98"/>
        <v>0.27332002071698719</v>
      </c>
      <c r="JD14" s="133">
        <f t="shared" si="99"/>
        <v>0.29421322336370392</v>
      </c>
      <c r="JE14" s="133">
        <f t="shared" si="100"/>
        <v>0.30947748111590956</v>
      </c>
      <c r="JF14" s="133">
        <f t="shared" si="371"/>
        <v>0.324909273190853</v>
      </c>
      <c r="JG14" s="133">
        <f t="shared" si="372"/>
        <v>0.34700742681432778</v>
      </c>
      <c r="JH14" s="134">
        <f t="shared" si="373"/>
        <v>0.3679078243771573</v>
      </c>
      <c r="JI14" s="133">
        <f t="shared" si="374"/>
        <v>0.38606402453057487</v>
      </c>
      <c r="JJ14" s="133">
        <f t="shared" si="101"/>
        <v>0.40062202960343468</v>
      </c>
      <c r="JK14" s="133">
        <f t="shared" si="102"/>
        <v>0.40871789463094493</v>
      </c>
      <c r="JL14" s="133">
        <f t="shared" si="103"/>
        <v>0.41541101083754628</v>
      </c>
      <c r="JM14" s="133">
        <f t="shared" si="104"/>
        <v>0.42285028089616045</v>
      </c>
      <c r="JN14" s="81"/>
      <c r="JO14" s="81">
        <v>12</v>
      </c>
      <c r="JP14" s="133">
        <f t="shared" si="105"/>
        <v>-7.8106702776245687</v>
      </c>
      <c r="JQ14" s="133">
        <f t="shared" si="106"/>
        <v>-6.6185280578940464</v>
      </c>
      <c r="JR14" s="133">
        <f t="shared" si="107"/>
        <v>-5.5790572557969469</v>
      </c>
      <c r="JS14" s="133">
        <f t="shared" si="375"/>
        <v>-4.365149828761016</v>
      </c>
      <c r="JT14" s="133">
        <f t="shared" si="376"/>
        <v>-2.3053242478660074</v>
      </c>
      <c r="JU14" s="134">
        <f t="shared" si="377"/>
        <v>3.8488569307478571E-2</v>
      </c>
      <c r="JV14" s="133">
        <f t="shared" si="378"/>
        <v>2.4292505003326639</v>
      </c>
      <c r="JW14" s="133">
        <f t="shared" si="108"/>
        <v>4.6115603936901834</v>
      </c>
      <c r="JX14" s="133">
        <f t="shared" si="109"/>
        <v>5.9358199765322048</v>
      </c>
      <c r="JY14" s="133">
        <f t="shared" si="110"/>
        <v>7.0937925135803788</v>
      </c>
      <c r="JZ14" s="133">
        <f t="shared" si="111"/>
        <v>8.4508135856540818</v>
      </c>
      <c r="KA14" s="81"/>
      <c r="KB14" s="81">
        <v>12</v>
      </c>
      <c r="KC14" s="133">
        <f t="shared" si="112"/>
        <v>-6.2512110961120513</v>
      </c>
      <c r="KD14" s="133">
        <f t="shared" si="113"/>
        <v>-5.3124511786185922</v>
      </c>
      <c r="KE14" s="133">
        <f t="shared" si="114"/>
        <v>-4.4698314573257942</v>
      </c>
      <c r="KF14" s="133">
        <f t="shared" si="379"/>
        <v>-3.4597926900679212</v>
      </c>
      <c r="KG14" s="133">
        <f t="shared" si="380"/>
        <v>-1.687727611540021</v>
      </c>
      <c r="KH14" s="134">
        <f t="shared" si="381"/>
        <v>0.40819913610451231</v>
      </c>
      <c r="KI14" s="133">
        <f t="shared" si="382"/>
        <v>2.6234536594740039</v>
      </c>
      <c r="KJ14" s="133">
        <f t="shared" si="115"/>
        <v>4.7067813106685801</v>
      </c>
      <c r="KK14" s="133">
        <f t="shared" si="116"/>
        <v>5.9972015782196753</v>
      </c>
      <c r="KL14" s="133">
        <f t="shared" si="117"/>
        <v>7.140870091052113</v>
      </c>
      <c r="KM14" s="133">
        <f t="shared" si="118"/>
        <v>8.4984606347912983</v>
      </c>
      <c r="KN14" s="81"/>
      <c r="KO14" s="81">
        <v>14</v>
      </c>
      <c r="KP14" s="133">
        <f t="shared" si="119"/>
        <v>-10.053063916076761</v>
      </c>
      <c r="KQ14" s="133">
        <f t="shared" si="120"/>
        <v>-8.5425671270022807</v>
      </c>
      <c r="KR14" s="133">
        <f t="shared" si="121"/>
        <v>-7.2522596751937556</v>
      </c>
      <c r="KS14" s="133">
        <f t="shared" si="383"/>
        <v>-5.7735521584191467</v>
      </c>
      <c r="KT14" s="133">
        <f t="shared" si="384"/>
        <v>-3.3254770110053187</v>
      </c>
      <c r="KU14" s="134">
        <f t="shared" si="385"/>
        <v>-0.6206032481925412</v>
      </c>
      <c r="KV14" s="133">
        <f t="shared" si="386"/>
        <v>2.0628334010202423</v>
      </c>
      <c r="KW14" s="133">
        <f t="shared" si="122"/>
        <v>4.4544484658209775</v>
      </c>
      <c r="KX14" s="133">
        <f t="shared" si="123"/>
        <v>5.8815934779458843</v>
      </c>
      <c r="KY14" s="133">
        <f t="shared" si="124"/>
        <v>7.1157468105990453</v>
      </c>
      <c r="KZ14" s="133">
        <f t="shared" si="125"/>
        <v>8.546652054697276</v>
      </c>
      <c r="LA14" s="81"/>
      <c r="LB14" s="81">
        <v>12</v>
      </c>
      <c r="LC14" s="133">
        <f t="shared" si="126"/>
        <v>-21.849617377363288</v>
      </c>
      <c r="LD14" s="133">
        <f t="shared" si="127"/>
        <v>-18.453653413045604</v>
      </c>
      <c r="LE14" s="133">
        <f t="shared" si="128"/>
        <v>-15.4195909465097</v>
      </c>
      <c r="LF14" s="133">
        <f t="shared" si="387"/>
        <v>-11.804340556514724</v>
      </c>
      <c r="LG14" s="133">
        <f t="shared" si="388"/>
        <v>-5.523212246405059</v>
      </c>
      <c r="LH14" s="134">
        <f t="shared" si="389"/>
        <v>1.8045637495814546</v>
      </c>
      <c r="LI14" s="133">
        <f t="shared" si="390"/>
        <v>9.4370415001017918</v>
      </c>
      <c r="LJ14" s="133">
        <f t="shared" si="129"/>
        <v>16.518091941134429</v>
      </c>
      <c r="LK14" s="133">
        <f t="shared" si="130"/>
        <v>20.860608022707808</v>
      </c>
      <c r="LL14" s="133">
        <f t="shared" si="131"/>
        <v>24.683171570212771</v>
      </c>
      <c r="LM14" s="133">
        <f t="shared" si="132"/>
        <v>29.190514942173756</v>
      </c>
      <c r="LN14" s="81"/>
      <c r="LO14" s="81">
        <v>12</v>
      </c>
      <c r="LP14" s="133">
        <f t="shared" si="133"/>
        <v>-19.466378732502793</v>
      </c>
      <c r="LQ14" s="133">
        <f t="shared" si="134"/>
        <v>-16.290997751768632</v>
      </c>
      <c r="LR14" s="133">
        <f t="shared" si="135"/>
        <v>-13.426423669981414</v>
      </c>
      <c r="LS14" s="133">
        <f t="shared" si="391"/>
        <v>-9.9860490200532084</v>
      </c>
      <c r="LT14" s="133">
        <f t="shared" si="392"/>
        <v>-3.9532324183568157</v>
      </c>
      <c r="LU14" s="134">
        <f t="shared" si="393"/>
        <v>3.1543062470369954</v>
      </c>
      <c r="LV14" s="133">
        <f t="shared" si="394"/>
        <v>10.619450809017319</v>
      </c>
      <c r="LW14" s="133">
        <f t="shared" si="136"/>
        <v>17.591220637927517</v>
      </c>
      <c r="LX14" s="133">
        <f t="shared" si="137"/>
        <v>21.885496610764672</v>
      </c>
      <c r="LY14" s="133">
        <f t="shared" si="138"/>
        <v>25.676203977867562</v>
      </c>
      <c r="LZ14" s="133">
        <f t="shared" si="139"/>
        <v>30.157755997175368</v>
      </c>
      <c r="MA14" s="81"/>
      <c r="MB14" s="81">
        <v>14</v>
      </c>
      <c r="MC14" s="133">
        <f t="shared" si="140"/>
        <v>-24.84249826752561</v>
      </c>
      <c r="MD14" s="133">
        <f t="shared" si="141"/>
        <v>-21.249267025320151</v>
      </c>
      <c r="ME14" s="133">
        <f t="shared" si="142"/>
        <v>-18.068617598940175</v>
      </c>
      <c r="MF14" s="133">
        <f t="shared" si="395"/>
        <v>-14.313651575583116</v>
      </c>
      <c r="MG14" s="133">
        <f t="shared" si="396"/>
        <v>-7.8719021511261538</v>
      </c>
      <c r="MH14" s="134">
        <f t="shared" si="397"/>
        <v>-0.47160509908072612</v>
      </c>
      <c r="MI14" s="133">
        <f t="shared" si="398"/>
        <v>7.1245052783983311</v>
      </c>
      <c r="MJ14" s="133">
        <f t="shared" si="143"/>
        <v>14.084092035127725</v>
      </c>
      <c r="MK14" s="133">
        <f t="shared" si="144"/>
        <v>18.315035963343149</v>
      </c>
      <c r="ML14" s="133">
        <f t="shared" si="145"/>
        <v>22.018003154651645</v>
      </c>
      <c r="MM14" s="133">
        <f t="shared" si="146"/>
        <v>26.360274551869452</v>
      </c>
      <c r="MN14" s="81"/>
      <c r="MO14" s="81">
        <v>12</v>
      </c>
      <c r="MP14" s="133">
        <f t="shared" si="147"/>
        <v>-23.9413450265973</v>
      </c>
      <c r="MQ14" s="133">
        <f t="shared" si="148"/>
        <v>-19.723431407157459</v>
      </c>
      <c r="MR14" s="133">
        <f t="shared" si="149"/>
        <v>-16.06870975008875</v>
      </c>
      <c r="MS14" s="133">
        <f t="shared" si="399"/>
        <v>-11.829630872890377</v>
      </c>
      <c r="MT14" s="133">
        <f t="shared" si="400"/>
        <v>-4.708350017711723</v>
      </c>
      <c r="MU14" s="134">
        <f t="shared" si="401"/>
        <v>3.2886527965798962</v>
      </c>
      <c r="MV14" s="133">
        <f t="shared" si="402"/>
        <v>11.337102973532645</v>
      </c>
      <c r="MW14" s="133">
        <f t="shared" si="150"/>
        <v>18.595135799300458</v>
      </c>
      <c r="MX14" s="133">
        <f t="shared" si="151"/>
        <v>22.960881300487543</v>
      </c>
      <c r="MY14" s="133">
        <f t="shared" si="152"/>
        <v>26.755798477694327</v>
      </c>
      <c r="MZ14" s="133">
        <f t="shared" si="153"/>
        <v>31.177300035922777</v>
      </c>
      <c r="NA14" s="81"/>
      <c r="NB14" s="81">
        <v>12</v>
      </c>
      <c r="NC14" s="133">
        <f t="shared" si="154"/>
        <v>-21.76831660673858</v>
      </c>
      <c r="ND14" s="133">
        <f t="shared" si="155"/>
        <v>-17.617003085133977</v>
      </c>
      <c r="NE14" s="133">
        <f t="shared" si="156"/>
        <v>-13.984632519981348</v>
      </c>
      <c r="NF14" s="133">
        <f t="shared" si="403"/>
        <v>-9.7447334093163605</v>
      </c>
      <c r="NG14" s="133">
        <f t="shared" si="404"/>
        <v>-2.5775478951363517</v>
      </c>
      <c r="NH14" s="134">
        <f t="shared" si="405"/>
        <v>5.5174670497913176</v>
      </c>
      <c r="NI14" s="133">
        <f t="shared" si="406"/>
        <v>13.700252647312762</v>
      </c>
      <c r="NJ14" s="133">
        <f t="shared" si="157"/>
        <v>21.103143963898408</v>
      </c>
      <c r="NK14" s="133">
        <f t="shared" si="158"/>
        <v>25.565063933035642</v>
      </c>
      <c r="NL14" s="133">
        <f t="shared" si="159"/>
        <v>29.448460251958263</v>
      </c>
      <c r="NM14" s="133">
        <f t="shared" si="160"/>
        <v>33.978283119497206</v>
      </c>
      <c r="NN14" s="81"/>
      <c r="NO14" s="81">
        <v>14</v>
      </c>
      <c r="NP14" s="133">
        <f t="shared" si="161"/>
        <v>-26.464754545234999</v>
      </c>
      <c r="NQ14" s="133">
        <f t="shared" si="162"/>
        <v>-22.453431954409517</v>
      </c>
      <c r="NR14" s="133">
        <f t="shared" si="163"/>
        <v>-18.998939081652029</v>
      </c>
      <c r="NS14" s="133">
        <f t="shared" si="407"/>
        <v>-15.012019533466582</v>
      </c>
      <c r="NT14" s="133">
        <f t="shared" si="408"/>
        <v>-8.3533204741781688</v>
      </c>
      <c r="NU14" s="134">
        <f t="shared" si="409"/>
        <v>-0.92245434080322752</v>
      </c>
      <c r="NV14" s="133">
        <f t="shared" si="410"/>
        <v>6.5161269154756098</v>
      </c>
      <c r="NW14" s="133">
        <f t="shared" si="164"/>
        <v>13.195420699017532</v>
      </c>
      <c r="NX14" s="133">
        <f t="shared" si="165"/>
        <v>17.201543240989075</v>
      </c>
      <c r="NY14" s="133">
        <f t="shared" si="166"/>
        <v>20.677457956235251</v>
      </c>
      <c r="NZ14" s="133">
        <f t="shared" si="167"/>
        <v>24.720279723200747</v>
      </c>
      <c r="OA14" s="81"/>
      <c r="OB14" s="81">
        <v>12</v>
      </c>
      <c r="OC14" s="133">
        <v>15.459396556984114</v>
      </c>
      <c r="OD14" s="133">
        <v>17.170039394779401</v>
      </c>
      <c r="OE14" s="133">
        <v>18.791933988037918</v>
      </c>
      <c r="OF14" s="133">
        <v>20.852917567232826</v>
      </c>
      <c r="OG14" s="133">
        <v>24.806224046405951</v>
      </c>
      <c r="OH14" s="134">
        <v>30.101902120780878</v>
      </c>
      <c r="OI14" s="133">
        <v>36.528111235065481</v>
      </c>
      <c r="OJ14" s="133">
        <v>43.45312872252029</v>
      </c>
      <c r="OK14" s="133">
        <v>48.218800250462252</v>
      </c>
      <c r="OL14" s="133">
        <v>52.773583709108003</v>
      </c>
      <c r="OM14" s="133">
        <v>58.613187646041155</v>
      </c>
      <c r="ON14" s="81"/>
      <c r="OO14" s="81">
        <v>12</v>
      </c>
      <c r="OP14" s="133">
        <v>15.630263584377097</v>
      </c>
      <c r="OQ14" s="133">
        <v>17.308536707786985</v>
      </c>
      <c r="OR14" s="133">
        <v>18.895379841601297</v>
      </c>
      <c r="OS14" s="133">
        <v>20.906295245936732</v>
      </c>
      <c r="OT14" s="133">
        <v>25.300502015210963</v>
      </c>
      <c r="OU14" s="134">
        <v>29.868300417128729</v>
      </c>
      <c r="OV14" s="133">
        <v>36.047503281889121</v>
      </c>
      <c r="OW14" s="133">
        <v>42.672092750686687</v>
      </c>
      <c r="OX14" s="133">
        <v>47.21341287057448</v>
      </c>
      <c r="OY14" s="133">
        <v>51.541928983892419</v>
      </c>
      <c r="OZ14" s="133">
        <v>57.07615645711487</v>
      </c>
      <c r="PA14" s="81"/>
      <c r="PB14" s="81">
        <v>14</v>
      </c>
      <c r="PC14" s="133">
        <v>17.620137137754877</v>
      </c>
      <c r="PD14" s="133">
        <v>19.463663830173502</v>
      </c>
      <c r="PE14" s="133">
        <v>21.20274513474001</v>
      </c>
      <c r="PF14" s="133">
        <v>23.401509876826289</v>
      </c>
      <c r="PG14" s="133">
        <v>27.58850954701181</v>
      </c>
      <c r="PH14" s="134">
        <v>33.143933573661272</v>
      </c>
      <c r="PI14" s="133">
        <v>39.818038407016985</v>
      </c>
      <c r="PJ14" s="133">
        <v>46.942284430249437</v>
      </c>
      <c r="PK14" s="133">
        <v>51.810288043097835</v>
      </c>
      <c r="PL14" s="133">
        <v>56.439545109297093</v>
      </c>
      <c r="PM14" s="133">
        <v>62.344596080439068</v>
      </c>
      <c r="PN14" s="81"/>
      <c r="PO14" s="81">
        <v>12</v>
      </c>
      <c r="PP14" s="133">
        <v>7.1711112212141606</v>
      </c>
      <c r="PQ14" s="133">
        <v>7.826204571569078</v>
      </c>
      <c r="PR14" s="133">
        <v>8.4372888560763055</v>
      </c>
      <c r="PS14" s="133">
        <v>9.2012810910237324</v>
      </c>
      <c r="PT14" s="133">
        <v>10.632795273342648</v>
      </c>
      <c r="PU14" s="134">
        <v>12.492311720153586</v>
      </c>
      <c r="PV14" s="133">
        <v>14.677029708710496</v>
      </c>
      <c r="PW14" s="133">
        <v>16.960448286459595</v>
      </c>
      <c r="PX14" s="133">
        <v>18.496208293390115</v>
      </c>
      <c r="PY14" s="133">
        <v>19.940425871361867</v>
      </c>
      <c r="PZ14" s="133">
        <v>21.76201808888748</v>
      </c>
      <c r="QA14" s="81"/>
      <c r="QB14" s="81">
        <v>12</v>
      </c>
      <c r="QC14" s="133">
        <v>7.1592510354205805</v>
      </c>
      <c r="QD14" s="133">
        <v>7.7859782796452262</v>
      </c>
      <c r="QE14" s="133">
        <v>8.3687070743638756</v>
      </c>
      <c r="QF14" s="133">
        <v>9.0948886317004245</v>
      </c>
      <c r="QG14" s="133">
        <v>10.449214904018</v>
      </c>
      <c r="QH14" s="134">
        <v>12.197706836363221</v>
      </c>
      <c r="QI14" s="133">
        <v>14.238778074001587</v>
      </c>
      <c r="QJ14" s="133">
        <v>16.359084546376092</v>
      </c>
      <c r="QK14" s="133">
        <v>17.778618697461283</v>
      </c>
      <c r="QL14" s="133">
        <v>19.109230301197485</v>
      </c>
      <c r="QM14" s="133">
        <v>20.782069427339405</v>
      </c>
      <c r="QN14" s="81"/>
      <c r="QO14" s="81">
        <v>14</v>
      </c>
      <c r="QP14" s="133">
        <v>7.6259432389423036</v>
      </c>
      <c r="QQ14" s="133">
        <v>8.3335981011201845</v>
      </c>
      <c r="QR14" s="133">
        <v>8.9945234156473131</v>
      </c>
      <c r="QS14" s="133">
        <v>9.821842212057307</v>
      </c>
      <c r="QT14" s="133">
        <v>11.374753467589203</v>
      </c>
      <c r="QU14" s="134">
        <v>13.396646190149944</v>
      </c>
      <c r="QV14" s="133">
        <v>15.777935728931135</v>
      </c>
      <c r="QW14" s="133">
        <v>18.272552670795424</v>
      </c>
      <c r="QX14" s="133">
        <v>19.953267210561037</v>
      </c>
      <c r="QY14" s="133">
        <v>21.535731261138569</v>
      </c>
      <c r="QZ14" s="133">
        <v>23.534154860684605</v>
      </c>
      <c r="RA14" s="81"/>
      <c r="RB14" s="81">
        <v>12</v>
      </c>
      <c r="RC14" s="133">
        <f t="shared" si="168"/>
        <v>0.2633989777962345</v>
      </c>
      <c r="RD14" s="133">
        <f t="shared" si="169"/>
        <v>0.2835020281440106</v>
      </c>
      <c r="RE14" s="133">
        <f t="shared" si="170"/>
        <v>0.30221810736872984</v>
      </c>
      <c r="RF14" s="133">
        <f t="shared" si="411"/>
        <v>0.32559217415852604</v>
      </c>
      <c r="RG14" s="133">
        <f t="shared" si="412"/>
        <v>0.36939012484205097</v>
      </c>
      <c r="RH14" s="134">
        <f t="shared" si="413"/>
        <v>0.42644180800108766</v>
      </c>
      <c r="RI14" s="133">
        <f t="shared" si="414"/>
        <v>0.49390693750005848</v>
      </c>
      <c r="RJ14" s="133">
        <f t="shared" si="171"/>
        <v>0.56510224763688466</v>
      </c>
      <c r="RK14" s="133">
        <f t="shared" si="172"/>
        <v>0.61344382623628035</v>
      </c>
      <c r="RL14" s="133">
        <f t="shared" si="173"/>
        <v>0.65926961867490452</v>
      </c>
      <c r="RM14" s="133">
        <f t="shared" si="174"/>
        <v>0.71760322424237466</v>
      </c>
      <c r="RN14" s="81"/>
      <c r="RO14" s="81">
        <v>12</v>
      </c>
      <c r="RP14" s="133">
        <f t="shared" si="175"/>
        <v>0.28042147807937762</v>
      </c>
      <c r="RQ14" s="133">
        <f t="shared" si="176"/>
        <v>0.29985877944218459</v>
      </c>
      <c r="RR14" s="133">
        <f t="shared" si="177"/>
        <v>0.31789885022221948</v>
      </c>
      <c r="RS14" s="133">
        <f t="shared" si="415"/>
        <v>0.34036318572783109</v>
      </c>
      <c r="RT14" s="133">
        <f t="shared" si="416"/>
        <v>0.382296150610134</v>
      </c>
      <c r="RU14" s="134">
        <f t="shared" si="417"/>
        <v>0.43668237555825906</v>
      </c>
      <c r="RV14" s="133">
        <f t="shared" si="418"/>
        <v>0.50076284716180908</v>
      </c>
      <c r="RW14" s="133">
        <f t="shared" si="178"/>
        <v>0.56822040884240288</v>
      </c>
      <c r="RX14" s="133">
        <f t="shared" si="179"/>
        <v>0.61397023120573946</v>
      </c>
      <c r="RY14" s="133">
        <f t="shared" si="180"/>
        <v>0.65732045006687989</v>
      </c>
      <c r="RZ14" s="133">
        <f t="shared" si="181"/>
        <v>0.71249820909236761</v>
      </c>
      <c r="SA14" s="81"/>
      <c r="SB14" s="81">
        <v>14</v>
      </c>
      <c r="SC14" s="133">
        <f t="shared" si="182"/>
        <v>0.23855654926918166</v>
      </c>
      <c r="SD14" s="133">
        <f t="shared" si="183"/>
        <v>0.25936965504694148</v>
      </c>
      <c r="SE14" s="133">
        <f t="shared" si="184"/>
        <v>0.2787370364902434</v>
      </c>
      <c r="SF14" s="133">
        <f t="shared" si="419"/>
        <v>0.30289336106072323</v>
      </c>
      <c r="SG14" s="133">
        <f t="shared" si="420"/>
        <v>0.34800834185861779</v>
      </c>
      <c r="SH14" s="134">
        <f t="shared" si="421"/>
        <v>0.406375842591297</v>
      </c>
      <c r="SI14" s="133">
        <f t="shared" si="422"/>
        <v>0.47468129441464213</v>
      </c>
      <c r="SJ14" s="133">
        <f t="shared" si="185"/>
        <v>0.54582766717638531</v>
      </c>
      <c r="SK14" s="133">
        <f t="shared" si="186"/>
        <v>0.59356395319161026</v>
      </c>
      <c r="SL14" s="133">
        <f t="shared" si="187"/>
        <v>0.63838344456492224</v>
      </c>
      <c r="SM14" s="133">
        <f t="shared" si="188"/>
        <v>0.69482837162124733</v>
      </c>
      <c r="SN14" s="81"/>
      <c r="SO14" s="81">
        <v>12</v>
      </c>
      <c r="SP14" s="133">
        <f t="shared" si="189"/>
        <v>0.20751488723791006</v>
      </c>
      <c r="SQ14" s="133">
        <f t="shared" si="190"/>
        <v>0.22032926703351099</v>
      </c>
      <c r="SR14" s="133">
        <f t="shared" si="191"/>
        <v>0.23181526827323293</v>
      </c>
      <c r="SS14" s="133">
        <f t="shared" si="423"/>
        <v>0.24560654393867443</v>
      </c>
      <c r="ST14" s="133">
        <f t="shared" si="424"/>
        <v>0.26996525814450129</v>
      </c>
      <c r="SU14" s="134">
        <f t="shared" si="425"/>
        <v>0.29919407103877649</v>
      </c>
      <c r="SV14" s="133">
        <f t="shared" si="426"/>
        <v>0.33072446506306635</v>
      </c>
      <c r="SW14" s="133">
        <f t="shared" si="192"/>
        <v>0.3610679494859117</v>
      </c>
      <c r="SX14" s="133">
        <f t="shared" si="193"/>
        <v>0.38022652841834736</v>
      </c>
      <c r="SY14" s="133">
        <f t="shared" si="194"/>
        <v>0.39744989966804928</v>
      </c>
      <c r="SZ14" s="133">
        <f t="shared" si="195"/>
        <v>0.41820116823679826</v>
      </c>
      <c r="TA14" s="81"/>
      <c r="TB14" s="81">
        <v>12</v>
      </c>
      <c r="TC14" s="133">
        <f t="shared" si="196"/>
        <v>0.21822601419203944</v>
      </c>
      <c r="TD14" s="133">
        <f t="shared" si="197"/>
        <v>0.23024282979853206</v>
      </c>
      <c r="TE14" s="133">
        <f t="shared" si="198"/>
        <v>0.24101029880701913</v>
      </c>
      <c r="TF14" s="133">
        <f t="shared" si="427"/>
        <v>0.25393735681153495</v>
      </c>
      <c r="TG14" s="133">
        <f t="shared" si="428"/>
        <v>0.27677447877665018</v>
      </c>
      <c r="TH14" s="134">
        <f t="shared" si="429"/>
        <v>0.30420138682760156</v>
      </c>
      <c r="TI14" s="133">
        <f t="shared" si="430"/>
        <v>0.33383555409417176</v>
      </c>
      <c r="TJ14" s="133">
        <f t="shared" si="199"/>
        <v>0.36241478227495605</v>
      </c>
      <c r="TK14" s="133">
        <f t="shared" si="200"/>
        <v>0.38049470686906522</v>
      </c>
      <c r="TL14" s="133">
        <f t="shared" si="201"/>
        <v>0.39677365621562488</v>
      </c>
      <c r="TM14" s="133">
        <f t="shared" si="202"/>
        <v>0.41642053972309023</v>
      </c>
      <c r="TN14" s="81"/>
      <c r="TO14" s="81">
        <v>14</v>
      </c>
      <c r="TP14" s="133">
        <f t="shared" si="203"/>
        <v>0.1911547193977533</v>
      </c>
      <c r="TQ14" s="133">
        <f t="shared" si="204"/>
        <v>0.20509327835993282</v>
      </c>
      <c r="TR14" s="133">
        <f t="shared" si="205"/>
        <v>0.21752469203341782</v>
      </c>
      <c r="TS14" s="133">
        <f t="shared" si="431"/>
        <v>0.23237053543199213</v>
      </c>
      <c r="TT14" s="133">
        <f t="shared" si="432"/>
        <v>0.2583712891982749</v>
      </c>
      <c r="TU14" s="134">
        <f t="shared" si="433"/>
        <v>0.28919375338953007</v>
      </c>
      <c r="TV14" s="133">
        <f t="shared" si="434"/>
        <v>0.32198510573101541</v>
      </c>
      <c r="TW14" s="133">
        <f t="shared" si="206"/>
        <v>0.35310292237871466</v>
      </c>
      <c r="TX14" s="133">
        <f t="shared" si="207"/>
        <v>0.37253468059810518</v>
      </c>
      <c r="TY14" s="133">
        <f t="shared" si="208"/>
        <v>0.38986485149326644</v>
      </c>
      <c r="TZ14" s="133">
        <f t="shared" si="209"/>
        <v>0.4105744899393321</v>
      </c>
      <c r="UA14" s="81"/>
      <c r="UB14" s="81">
        <v>12</v>
      </c>
      <c r="UC14" s="133">
        <f t="shared" si="210"/>
        <v>-27.600956291420715</v>
      </c>
      <c r="UD14" s="133">
        <f t="shared" si="211"/>
        <v>-24.455178888665245</v>
      </c>
      <c r="UE14" s="133">
        <f t="shared" si="212"/>
        <v>-21.831647956943328</v>
      </c>
      <c r="UF14" s="133">
        <f t="shared" si="435"/>
        <v>-18.889431122648851</v>
      </c>
      <c r="UG14" s="133">
        <f t="shared" si="436"/>
        <v>-14.151832650075946</v>
      </c>
      <c r="UH14" s="134">
        <f t="shared" si="437"/>
        <v>-9.0848637312412777</v>
      </c>
      <c r="UI14" s="133">
        <f t="shared" si="438"/>
        <v>-4.2073554380073759</v>
      </c>
      <c r="UJ14" s="133">
        <f t="shared" si="213"/>
        <v>3.0285033900156577E-2</v>
      </c>
      <c r="UK14" s="133">
        <f t="shared" si="214"/>
        <v>2.5147052388427653</v>
      </c>
      <c r="UL14" s="133">
        <f t="shared" si="215"/>
        <v>4.6383891796756984</v>
      </c>
      <c r="UM14" s="133">
        <f t="shared" si="216"/>
        <v>7.0734747376645828</v>
      </c>
      <c r="UN14" s="81"/>
      <c r="UO14" s="81">
        <v>12</v>
      </c>
      <c r="UP14" s="133">
        <f t="shared" si="217"/>
        <v>-24.304395239713926</v>
      </c>
      <c r="UQ14" s="133">
        <f t="shared" si="218"/>
        <v>-21.708450251250316</v>
      </c>
      <c r="UR14" s="133">
        <f t="shared" si="219"/>
        <v>-19.484681115270085</v>
      </c>
      <c r="US14" s="133">
        <f t="shared" si="439"/>
        <v>-16.929216205165496</v>
      </c>
      <c r="UT14" s="133">
        <f t="shared" si="440"/>
        <v>-12.682763958928764</v>
      </c>
      <c r="UU14" s="134">
        <f t="shared" si="441"/>
        <v>-7.9695580653255611</v>
      </c>
      <c r="UV14" s="133">
        <f t="shared" si="442"/>
        <v>-3.273454208866422</v>
      </c>
      <c r="UW14" s="133">
        <f t="shared" si="220"/>
        <v>0.92755374172830329</v>
      </c>
      <c r="UX14" s="133">
        <f t="shared" si="221"/>
        <v>3.4409535005453193</v>
      </c>
      <c r="UY14" s="133">
        <f t="shared" si="222"/>
        <v>5.6182115658855381</v>
      </c>
      <c r="UZ14" s="133">
        <f t="shared" si="223"/>
        <v>8.1467502397721603</v>
      </c>
      <c r="VA14" s="81"/>
      <c r="VB14" s="81">
        <v>15</v>
      </c>
      <c r="VC14" s="133">
        <f t="shared" si="224"/>
        <v>-31.682319598684636</v>
      </c>
      <c r="VD14" s="133">
        <f t="shared" si="225"/>
        <v>-27.743574422911138</v>
      </c>
      <c r="VE14" s="133">
        <f t="shared" si="226"/>
        <v>-24.563724232639458</v>
      </c>
      <c r="VF14" s="133">
        <f t="shared" si="443"/>
        <v>-21.089998518455026</v>
      </c>
      <c r="VG14" s="133">
        <f t="shared" si="444"/>
        <v>-15.663238916874363</v>
      </c>
      <c r="VH14" s="134">
        <f t="shared" si="445"/>
        <v>-10.041386795760772</v>
      </c>
      <c r="VI14" s="133">
        <f t="shared" si="446"/>
        <v>-4.7721812276320605</v>
      </c>
      <c r="VJ14" s="133">
        <f t="shared" si="227"/>
        <v>-0.28842278021871692</v>
      </c>
      <c r="VK14" s="133">
        <f t="shared" si="228"/>
        <v>2.3047322101876802</v>
      </c>
      <c r="VL14" s="133">
        <f t="shared" si="229"/>
        <v>4.5024057894233493</v>
      </c>
      <c r="VM14" s="133">
        <f t="shared" si="230"/>
        <v>7.0022790126568566</v>
      </c>
      <c r="VN14" s="81"/>
      <c r="VO14" s="81">
        <v>12</v>
      </c>
      <c r="VP14" s="133">
        <f t="shared" si="231"/>
        <v>-47.42209917299941</v>
      </c>
      <c r="VQ14" s="133">
        <f t="shared" si="232"/>
        <v>-44.341051173659686</v>
      </c>
      <c r="VR14" s="133">
        <f t="shared" si="233"/>
        <v>-41.351643137368107</v>
      </c>
      <c r="VS14" s="133">
        <f t="shared" si="447"/>
        <v>-37.533139105045151</v>
      </c>
      <c r="VT14" s="133">
        <f t="shared" si="448"/>
        <v>-30.318449937867161</v>
      </c>
      <c r="VU14" s="134">
        <f t="shared" si="449"/>
        <v>-21.095340156288451</v>
      </c>
      <c r="VV14" s="133">
        <f t="shared" si="450"/>
        <v>-10.689876286036395</v>
      </c>
      <c r="VW14" s="133">
        <f t="shared" si="234"/>
        <v>-0.39158878084480619</v>
      </c>
      <c r="VX14" s="133">
        <f t="shared" si="235"/>
        <v>6.204177623137312</v>
      </c>
      <c r="VY14" s="133">
        <f t="shared" si="236"/>
        <v>12.175530122478555</v>
      </c>
      <c r="VZ14" s="133">
        <f t="shared" si="237"/>
        <v>19.406051870766071</v>
      </c>
      <c r="WA14" s="81"/>
      <c r="WB14" s="81">
        <v>12</v>
      </c>
      <c r="WC14" s="133">
        <f t="shared" si="238"/>
        <v>-44.372295675485063</v>
      </c>
      <c r="WD14" s="133">
        <f t="shared" si="239"/>
        <v>-41.641229118764123</v>
      </c>
      <c r="WE14" s="133">
        <f t="shared" si="240"/>
        <v>-38.885114176943475</v>
      </c>
      <c r="WF14" s="133">
        <f t="shared" si="451"/>
        <v>-35.266835270604183</v>
      </c>
      <c r="WG14" s="133">
        <f t="shared" si="452"/>
        <v>-28.239876078980362</v>
      </c>
      <c r="WH14" s="134">
        <f t="shared" si="453"/>
        <v>-19.033152047866153</v>
      </c>
      <c r="WI14" s="133">
        <f t="shared" si="454"/>
        <v>-8.4604475514879809</v>
      </c>
      <c r="WJ14" s="133">
        <f t="shared" si="241"/>
        <v>2.1322422729980133</v>
      </c>
      <c r="WK14" s="133">
        <f t="shared" si="242"/>
        <v>8.9664428611957234</v>
      </c>
      <c r="WL14" s="133">
        <f t="shared" si="243"/>
        <v>15.180837521812045</v>
      </c>
      <c r="WM14" s="133">
        <f t="shared" si="244"/>
        <v>22.735144780457595</v>
      </c>
      <c r="WN14" s="81"/>
      <c r="WO14" s="81">
        <v>15</v>
      </c>
      <c r="WP14" s="133">
        <f t="shared" si="245"/>
        <v>-49.546202533065568</v>
      </c>
      <c r="WQ14" s="133">
        <f t="shared" si="246"/>
        <v>-46.300477620271351</v>
      </c>
      <c r="WR14" s="133">
        <f t="shared" si="247"/>
        <v>-43.129556525273443</v>
      </c>
      <c r="WS14" s="133">
        <f t="shared" si="455"/>
        <v>-39.085520873270511</v>
      </c>
      <c r="WT14" s="133">
        <f t="shared" si="456"/>
        <v>-31.51089404344528</v>
      </c>
      <c r="WU14" s="134">
        <f t="shared" si="457"/>
        <v>-21.978195833132318</v>
      </c>
      <c r="WV14" s="133">
        <f t="shared" si="458"/>
        <v>-11.415121170323516</v>
      </c>
      <c r="WW14" s="133">
        <f t="shared" si="248"/>
        <v>-1.1363180544735059</v>
      </c>
      <c r="WX14" s="133">
        <f t="shared" si="249"/>
        <v>5.3660692764404416</v>
      </c>
      <c r="WY14" s="133">
        <f t="shared" si="250"/>
        <v>11.203576730350086</v>
      </c>
      <c r="WZ14" s="133">
        <f t="shared" si="251"/>
        <v>18.214168498220353</v>
      </c>
      <c r="XA14" s="81"/>
      <c r="XB14" s="81">
        <v>12</v>
      </c>
      <c r="XC14" s="133">
        <f t="shared" si="252"/>
        <v>-49.381966206335008</v>
      </c>
      <c r="XD14" s="133">
        <f t="shared" si="253"/>
        <v>-45.553864783058394</v>
      </c>
      <c r="XE14" s="133">
        <f t="shared" si="254"/>
        <v>-41.96222796414299</v>
      </c>
      <c r="XF14" s="133">
        <f t="shared" si="459"/>
        <v>-37.53301992201142</v>
      </c>
      <c r="XG14" s="133">
        <f t="shared" si="460"/>
        <v>-29.561320097146435</v>
      </c>
      <c r="XH14" s="134">
        <f t="shared" si="461"/>
        <v>-19.948590337341614</v>
      </c>
      <c r="XI14" s="133">
        <f t="shared" si="462"/>
        <v>-9.6814217827455593</v>
      </c>
      <c r="XJ14" s="133">
        <f t="shared" si="255"/>
        <v>1.9579557791864488E-2</v>
      </c>
      <c r="XK14" s="133">
        <f t="shared" si="256"/>
        <v>6.0370895233357729</v>
      </c>
      <c r="XL14" s="133">
        <f t="shared" si="257"/>
        <v>11.371419801402986</v>
      </c>
      <c r="XM14" s="133">
        <f t="shared" si="258"/>
        <v>17.701811531826529</v>
      </c>
      <c r="XN14" s="81"/>
      <c r="XO14" s="81">
        <v>12</v>
      </c>
      <c r="XP14" s="133">
        <f t="shared" si="259"/>
        <v>-47.422113471484423</v>
      </c>
      <c r="XQ14" s="133">
        <f t="shared" si="260"/>
        <v>-43.57156747198507</v>
      </c>
      <c r="XR14" s="133">
        <f t="shared" si="261"/>
        <v>-39.90605580031</v>
      </c>
      <c r="XS14" s="133">
        <f t="shared" si="463"/>
        <v>-35.358322466055228</v>
      </c>
      <c r="XT14" s="133">
        <f t="shared" si="464"/>
        <v>-27.147525380035599</v>
      </c>
      <c r="XU14" s="134">
        <f t="shared" si="465"/>
        <v>-17.242250123107105</v>
      </c>
      <c r="XV14" s="133">
        <f t="shared" si="466"/>
        <v>-6.6768746939917847</v>
      </c>
      <c r="XW14" s="133">
        <f t="shared" si="262"/>
        <v>3.2868783264815562</v>
      </c>
      <c r="XX14" s="133">
        <f t="shared" si="263"/>
        <v>9.4575486364039918</v>
      </c>
      <c r="XY14" s="133">
        <f t="shared" si="264"/>
        <v>14.921392842759936</v>
      </c>
      <c r="XZ14" s="133">
        <f t="shared" si="265"/>
        <v>21.398003356373643</v>
      </c>
      <c r="YA14" s="81"/>
      <c r="YB14" s="81">
        <v>15</v>
      </c>
      <c r="YC14" s="133">
        <f t="shared" si="266"/>
        <v>-52.42231136083219</v>
      </c>
      <c r="YD14" s="133">
        <f t="shared" si="267"/>
        <v>-48.587062390395161</v>
      </c>
      <c r="YE14" s="133">
        <f t="shared" si="268"/>
        <v>-44.932302762123619</v>
      </c>
      <c r="YF14" s="133">
        <f t="shared" si="467"/>
        <v>-40.411447844679103</v>
      </c>
      <c r="YG14" s="133">
        <f t="shared" si="468"/>
        <v>-32.294069908653604</v>
      </c>
      <c r="YH14" s="134">
        <f t="shared" si="469"/>
        <v>-22.570799687036875</v>
      </c>
      <c r="YI14" s="133">
        <f t="shared" si="470"/>
        <v>-12.268797127787138</v>
      </c>
      <c r="YJ14" s="133">
        <f t="shared" si="269"/>
        <v>-2.6077522398081214</v>
      </c>
      <c r="YK14" s="133">
        <f t="shared" si="270"/>
        <v>3.3525832999229053</v>
      </c>
      <c r="YL14" s="133">
        <f t="shared" si="271"/>
        <v>8.6170464093106389</v>
      </c>
      <c r="YM14" s="133">
        <f t="shared" si="272"/>
        <v>14.842566658419891</v>
      </c>
      <c r="YN14" s="81"/>
      <c r="YO14" s="81">
        <v>12</v>
      </c>
      <c r="YP14" s="133">
        <v>20.585762042798336</v>
      </c>
      <c r="YQ14" s="133">
        <v>23.004837493146578</v>
      </c>
      <c r="YR14" s="133">
        <v>25.311546603258073</v>
      </c>
      <c r="YS14" s="133">
        <v>28.259534854348441</v>
      </c>
      <c r="YT14" s="133">
        <v>33.961052840050144</v>
      </c>
      <c r="YU14" s="134">
        <v>41.681513371884606</v>
      </c>
      <c r="YV14" s="133">
        <v>51.157087654295175</v>
      </c>
      <c r="YW14" s="133">
        <v>61.478313989420144</v>
      </c>
      <c r="YX14" s="133">
        <v>68.638577650050266</v>
      </c>
      <c r="YY14" s="133">
        <v>75.5210097653666</v>
      </c>
      <c r="YZ14" s="133">
        <v>84.395639731898342</v>
      </c>
      <c r="ZA14" s="81"/>
      <c r="ZB14" s="81">
        <v>12</v>
      </c>
      <c r="ZC14" s="133">
        <v>21.035748011526834</v>
      </c>
      <c r="ZD14" s="133">
        <v>23.375629808624595</v>
      </c>
      <c r="ZE14" s="133">
        <v>25.595192597898741</v>
      </c>
      <c r="ZF14" s="133">
        <v>28.417014644546061</v>
      </c>
      <c r="ZG14" s="133">
        <v>33.833515626342084</v>
      </c>
      <c r="ZH14" s="134">
        <v>41.095871920251156</v>
      </c>
      <c r="ZI14" s="133">
        <v>49.917091310805645</v>
      </c>
      <c r="ZJ14" s="133">
        <v>59.431671835022428</v>
      </c>
      <c r="ZK14" s="133">
        <v>65.983902345174641</v>
      </c>
      <c r="ZL14" s="133">
        <v>72.24920580589307</v>
      </c>
      <c r="ZM14" s="133">
        <v>80.285744436577517</v>
      </c>
      <c r="ZN14" s="81"/>
      <c r="ZO14" s="81">
        <v>15</v>
      </c>
      <c r="ZP14" s="133">
        <v>21.959139156437697</v>
      </c>
      <c r="ZQ14" s="133">
        <v>24.567559029178625</v>
      </c>
      <c r="ZR14" s="133">
        <v>27.057445787525094</v>
      </c>
      <c r="ZS14" s="133">
        <v>30.242900459811835</v>
      </c>
      <c r="ZT14" s="133">
        <v>36.413088017875218</v>
      </c>
      <c r="ZU14" s="134">
        <v>44.784889464813602</v>
      </c>
      <c r="ZV14" s="133">
        <v>55.081467503963928</v>
      </c>
      <c r="ZW14" s="133">
        <v>66.319244975885198</v>
      </c>
      <c r="ZX14" s="133">
        <v>74.126964537809343</v>
      </c>
      <c r="ZY14" s="133">
        <v>81.639625735444099</v>
      </c>
      <c r="ZZ14" s="133">
        <v>91.337201794978881</v>
      </c>
      <c r="AAA14" s="81"/>
      <c r="AAB14" s="81">
        <v>12</v>
      </c>
      <c r="AAC14" s="133">
        <v>7.5478009989518142</v>
      </c>
      <c r="AAD14" s="133">
        <v>8.3407744093860341</v>
      </c>
      <c r="AAE14" s="133">
        <v>9.0890944848760622</v>
      </c>
      <c r="AAF14" s="133">
        <v>10.035559544481316</v>
      </c>
      <c r="AAG14" s="133">
        <v>11.838813706390969</v>
      </c>
      <c r="AAH14" s="134">
        <v>14.233069649764584</v>
      </c>
      <c r="AAI14" s="133">
        <v>17.111534709401706</v>
      </c>
      <c r="AAJ14" s="133">
        <v>20.186245794979246</v>
      </c>
      <c r="AAK14" s="133">
        <v>22.288278771019097</v>
      </c>
      <c r="AAL14" s="133">
        <v>24.287945184931779</v>
      </c>
      <c r="AAM14" s="133">
        <v>26.839641331718028</v>
      </c>
      <c r="AAN14" s="81"/>
      <c r="AAO14" s="81">
        <v>12</v>
      </c>
      <c r="AAP14" s="133">
        <v>7.5313736608714663</v>
      </c>
      <c r="AAQ14" s="133">
        <v>8.3126757520726766</v>
      </c>
      <c r="AAR14" s="133">
        <v>9.0491641743861351</v>
      </c>
      <c r="AAS14" s="133">
        <v>9.9796318686947618</v>
      </c>
      <c r="AAT14" s="133">
        <v>11.74957445612033</v>
      </c>
      <c r="AAU14" s="134">
        <v>14.09467663569095</v>
      </c>
      <c r="AAV14" s="133">
        <v>16.907838680166901</v>
      </c>
      <c r="AAW14" s="133">
        <v>19.906536842092454</v>
      </c>
      <c r="AAX14" s="133">
        <v>21.953398748914694</v>
      </c>
      <c r="AAY14" s="133">
        <v>23.898431189879929</v>
      </c>
      <c r="AAZ14" s="133">
        <v>26.377646151964399</v>
      </c>
      <c r="ABA14" s="81"/>
      <c r="ABB14" s="81">
        <v>15</v>
      </c>
      <c r="ABC14" s="133">
        <v>8.2002216465301068</v>
      </c>
      <c r="ABD14" s="133">
        <v>9.0573673397202228</v>
      </c>
      <c r="ABE14" s="133">
        <v>9.8658840320958312</v>
      </c>
      <c r="ABF14" s="133">
        <v>10.888027262889985</v>
      </c>
      <c r="ABG14" s="133">
        <v>12.834211128517772</v>
      </c>
      <c r="ABH14" s="134">
        <v>15.416054379896575</v>
      </c>
      <c r="ABI14" s="133">
        <v>18.517284020352182</v>
      </c>
      <c r="ABJ14" s="133">
        <v>21.827161790266139</v>
      </c>
      <c r="ABK14" s="133">
        <v>24.08853903723038</v>
      </c>
      <c r="ABL14" s="133">
        <v>26.238831189027312</v>
      </c>
      <c r="ABM14" s="133">
        <v>28.981501096923537</v>
      </c>
      <c r="ABN14" s="81"/>
      <c r="ABO14" s="81">
        <v>12</v>
      </c>
      <c r="ABP14" s="133">
        <f t="shared" si="273"/>
        <v>0.17065243576586195</v>
      </c>
      <c r="ABQ14" s="133">
        <f t="shared" si="274"/>
        <v>0.19324653653770318</v>
      </c>
      <c r="ABR14" s="133">
        <f t="shared" si="275"/>
        <v>0.21435895214029435</v>
      </c>
      <c r="ABS14" s="133">
        <f t="shared" si="471"/>
        <v>0.24073263570061113</v>
      </c>
      <c r="ABT14" s="133">
        <f t="shared" si="472"/>
        <v>0.28988518572284305</v>
      </c>
      <c r="ABU14" s="134">
        <f t="shared" si="473"/>
        <v>0.35287483061845082</v>
      </c>
      <c r="ABV14" s="133">
        <f t="shared" si="474"/>
        <v>0.42529890124552244</v>
      </c>
      <c r="ABW14" s="133">
        <f t="shared" si="276"/>
        <v>0.49899774037659494</v>
      </c>
      <c r="ABX14" s="133">
        <f t="shared" si="277"/>
        <v>0.54740248165114636</v>
      </c>
      <c r="ABY14" s="133">
        <f t="shared" si="278"/>
        <v>0.59208301380529471</v>
      </c>
      <c r="ABZ14" s="133">
        <f t="shared" si="279"/>
        <v>0.64731118825793321</v>
      </c>
      <c r="ACA14" s="81"/>
      <c r="ACB14" s="81">
        <v>12</v>
      </c>
      <c r="ACC14" s="133">
        <f t="shared" si="280"/>
        <v>0.18071466149971185</v>
      </c>
      <c r="ACD14" s="133">
        <f t="shared" si="281"/>
        <v>0.20227483075051683</v>
      </c>
      <c r="ACE14" s="133">
        <f t="shared" si="282"/>
        <v>0.22254958217855619</v>
      </c>
      <c r="ACF14" s="133">
        <f t="shared" si="475"/>
        <v>0.24806927154639175</v>
      </c>
      <c r="ACG14" s="133">
        <f t="shared" si="476"/>
        <v>0.29624416553024879</v>
      </c>
      <c r="ACH14" s="134">
        <f t="shared" si="477"/>
        <v>0.35920754291851503</v>
      </c>
      <c r="ACI14" s="133">
        <f t="shared" si="478"/>
        <v>0.4333380875486546</v>
      </c>
      <c r="ACJ14" s="133">
        <f t="shared" si="283"/>
        <v>0.51067045233148534</v>
      </c>
      <c r="ACK14" s="133">
        <f t="shared" si="284"/>
        <v>0.56248630608562322</v>
      </c>
      <c r="ACL14" s="133">
        <f t="shared" si="285"/>
        <v>0.61102392613389989</v>
      </c>
      <c r="ACM14" s="133">
        <f t="shared" si="286"/>
        <v>0.67194363953153891</v>
      </c>
      <c r="ACN14" s="81"/>
      <c r="ACO14" s="81">
        <v>15</v>
      </c>
      <c r="ACP14" s="133">
        <f t="shared" si="287"/>
        <v>0.15999261619419847</v>
      </c>
      <c r="ACQ14" s="133">
        <f t="shared" si="288"/>
        <v>0.18567356929115589</v>
      </c>
      <c r="ACR14" s="133">
        <f t="shared" si="289"/>
        <v>0.20934104271616208</v>
      </c>
      <c r="ACS14" s="133">
        <f t="shared" si="479"/>
        <v>0.23844981003121954</v>
      </c>
      <c r="ACT14" s="133">
        <f t="shared" si="480"/>
        <v>0.29141751938307198</v>
      </c>
      <c r="ACU14" s="134">
        <f t="shared" si="481"/>
        <v>0.35682422241768569</v>
      </c>
      <c r="ACV14" s="133">
        <f t="shared" si="482"/>
        <v>0.42908045834228969</v>
      </c>
      <c r="ACW14" s="133">
        <f t="shared" si="290"/>
        <v>0.499886000802997</v>
      </c>
      <c r="ACX14" s="133">
        <f t="shared" si="291"/>
        <v>0.54497146959404996</v>
      </c>
      <c r="ACY14" s="133">
        <f t="shared" si="292"/>
        <v>0.58570500592078079</v>
      </c>
      <c r="ACZ14" s="133">
        <f t="shared" si="293"/>
        <v>0.63497373688292036</v>
      </c>
      <c r="ADA14" s="81"/>
      <c r="ADB14" s="81">
        <v>12</v>
      </c>
      <c r="ADC14" s="133">
        <f t="shared" si="294"/>
        <v>0.14295855064784674</v>
      </c>
      <c r="ADD14" s="133">
        <f t="shared" si="295"/>
        <v>0.1605181146619819</v>
      </c>
      <c r="ADE14" s="133">
        <f t="shared" si="296"/>
        <v>0.17597620883679826</v>
      </c>
      <c r="ADF14" s="133">
        <f t="shared" si="483"/>
        <v>0.19418467003183598</v>
      </c>
      <c r="ADG14" s="133">
        <f t="shared" si="484"/>
        <v>0.22542424130319427</v>
      </c>
      <c r="ADH14" s="134">
        <f t="shared" si="485"/>
        <v>0.26142787112186694</v>
      </c>
      <c r="ADI14" s="133">
        <f t="shared" si="486"/>
        <v>0.29858549492216913</v>
      </c>
      <c r="ADJ14" s="133">
        <f t="shared" si="297"/>
        <v>0.33283774880286449</v>
      </c>
      <c r="ADK14" s="133">
        <f t="shared" si="298"/>
        <v>0.35376314248524693</v>
      </c>
      <c r="ADL14" s="133">
        <f t="shared" si="299"/>
        <v>0.37214177691875366</v>
      </c>
      <c r="ADM14" s="133">
        <f t="shared" si="300"/>
        <v>0.393770294081145</v>
      </c>
      <c r="ADN14" s="81"/>
      <c r="ADO14" s="81">
        <v>12</v>
      </c>
      <c r="ADP14" s="133">
        <f t="shared" si="301"/>
        <v>0.15083879785477342</v>
      </c>
      <c r="ADQ14" s="133">
        <f t="shared" si="302"/>
        <v>0.16712490620959058</v>
      </c>
      <c r="ADR14" s="133">
        <f t="shared" si="303"/>
        <v>0.18165016871679121</v>
      </c>
      <c r="ADS14" s="133">
        <f t="shared" si="487"/>
        <v>0.19898005342460393</v>
      </c>
      <c r="ADT14" s="133">
        <f t="shared" si="488"/>
        <v>0.22924788797565718</v>
      </c>
      <c r="ADU14" s="134">
        <f t="shared" si="489"/>
        <v>0.26493196764130245</v>
      </c>
      <c r="ADV14" s="133">
        <f t="shared" si="490"/>
        <v>0.30260844532055137</v>
      </c>
      <c r="ADW14" s="133">
        <f t="shared" si="304"/>
        <v>0.33806052849889739</v>
      </c>
      <c r="ADX14" s="133">
        <f t="shared" si="305"/>
        <v>0.36004408662710186</v>
      </c>
      <c r="ADY14" s="133">
        <f t="shared" si="306"/>
        <v>0.37954847435822309</v>
      </c>
      <c r="ADZ14" s="133">
        <f t="shared" si="307"/>
        <v>0.40273053943150539</v>
      </c>
      <c r="AEA14" s="81"/>
      <c r="AEB14" s="81">
        <v>15</v>
      </c>
      <c r="AEC14" s="133">
        <f t="shared" si="308"/>
        <v>0.13441326853149474</v>
      </c>
      <c r="AED14" s="133">
        <f t="shared" si="309"/>
        <v>0.15497270730996568</v>
      </c>
      <c r="AEE14" s="133">
        <f t="shared" si="310"/>
        <v>0.17256730913710522</v>
      </c>
      <c r="AEF14" s="133">
        <f t="shared" si="491"/>
        <v>0.19276438989139225</v>
      </c>
      <c r="AEG14" s="133">
        <f t="shared" si="492"/>
        <v>0.22627307500435387</v>
      </c>
      <c r="AEH14" s="134">
        <f t="shared" si="493"/>
        <v>0.26338942669213361</v>
      </c>
      <c r="AEI14" s="133">
        <f t="shared" si="494"/>
        <v>0.30029700803205361</v>
      </c>
      <c r="AEJ14" s="133">
        <f t="shared" si="311"/>
        <v>0.33325539282472799</v>
      </c>
      <c r="AEK14" s="133">
        <f t="shared" si="312"/>
        <v>0.35294929318299106</v>
      </c>
      <c r="AEL14" s="133">
        <f t="shared" si="313"/>
        <v>0.36999516972149388</v>
      </c>
      <c r="AEM14" s="133">
        <f t="shared" si="314"/>
        <v>0.38977537938483037</v>
      </c>
      <c r="AEN14" s="81"/>
    </row>
    <row r="15" spans="1:820">
      <c r="A15" s="81"/>
      <c r="B15" s="81">
        <v>14</v>
      </c>
      <c r="C15" s="133">
        <f t="shared" si="0"/>
        <v>1.6204134802635799</v>
      </c>
      <c r="D15" s="133">
        <f t="shared" si="1"/>
        <v>1.8941720972854443</v>
      </c>
      <c r="E15" s="133">
        <f t="shared" si="2"/>
        <v>2.1743268155270714</v>
      </c>
      <c r="F15" s="133">
        <f t="shared" si="315"/>
        <v>2.5605508500642529</v>
      </c>
      <c r="G15" s="133">
        <f t="shared" si="316"/>
        <v>3.4021992628936824</v>
      </c>
      <c r="H15" s="134">
        <f t="shared" si="317"/>
        <v>4.7576436272692124</v>
      </c>
      <c r="I15" s="133">
        <f t="shared" si="318"/>
        <v>6.8014893136693502</v>
      </c>
      <c r="J15" s="133">
        <f t="shared" si="3"/>
        <v>9.5744812382475573</v>
      </c>
      <c r="K15" s="133">
        <f t="shared" si="4"/>
        <v>11.880594721670505</v>
      </c>
      <c r="L15" s="133">
        <f t="shared" si="5"/>
        <v>14.429659730093896</v>
      </c>
      <c r="M15" s="133">
        <f t="shared" si="6"/>
        <v>18.254241910914114</v>
      </c>
      <c r="N15" s="81"/>
      <c r="O15" s="75">
        <v>14</v>
      </c>
      <c r="P15" s="151">
        <f t="shared" si="7"/>
        <v>2.2719481975245026</v>
      </c>
      <c r="Q15" s="151">
        <f t="shared" si="8"/>
        <v>2.529730157653534</v>
      </c>
      <c r="R15" s="151">
        <f t="shared" si="9"/>
        <v>2.7854877054522453</v>
      </c>
      <c r="S15" s="151">
        <f t="shared" si="319"/>
        <v>3.127738626286253</v>
      </c>
      <c r="T15" s="151">
        <f t="shared" si="320"/>
        <v>3.8441583188727764</v>
      </c>
      <c r="U15" s="134">
        <f t="shared" si="321"/>
        <v>4.9462916768227405</v>
      </c>
      <c r="V15" s="151">
        <f t="shared" si="322"/>
        <v>6.5486365018686232</v>
      </c>
      <c r="W15" s="151">
        <f t="shared" si="10"/>
        <v>8.6819518054457507</v>
      </c>
      <c r="X15" s="151">
        <f t="shared" si="11"/>
        <v>10.454708849086972</v>
      </c>
      <c r="Y15" s="151">
        <f t="shared" si="12"/>
        <v>12.432436496599376</v>
      </c>
      <c r="Z15" s="151">
        <f t="shared" si="13"/>
        <v>15.45996314515191</v>
      </c>
      <c r="AA15" s="81"/>
      <c r="AB15" s="75">
        <v>16</v>
      </c>
      <c r="AC15" s="151">
        <f t="shared" si="14"/>
        <v>1.2949304184527675</v>
      </c>
      <c r="AD15" s="151">
        <f t="shared" si="15"/>
        <v>1.5472794844971254</v>
      </c>
      <c r="AE15" s="151">
        <f t="shared" si="16"/>
        <v>1.8140171523286399</v>
      </c>
      <c r="AF15" s="151">
        <f t="shared" si="323"/>
        <v>2.1951890650928534</v>
      </c>
      <c r="AG15" s="151">
        <f t="shared" si="324"/>
        <v>3.0767020215518777</v>
      </c>
      <c r="AH15" s="134">
        <f t="shared" si="325"/>
        <v>4.6323553128399748</v>
      </c>
      <c r="AI15" s="151">
        <f t="shared" si="326"/>
        <v>7.2703562277329361</v>
      </c>
      <c r="AJ15" s="151">
        <f t="shared" si="17"/>
        <v>11.372564886964952</v>
      </c>
      <c r="AK15" s="151">
        <f t="shared" si="18"/>
        <v>15.221641451342716</v>
      </c>
      <c r="AL15" s="151">
        <f t="shared" si="19"/>
        <v>19.926234544299245</v>
      </c>
      <c r="AM15" s="151">
        <f t="shared" si="20"/>
        <v>27.859840671672579</v>
      </c>
      <c r="AN15" s="81"/>
      <c r="AO15" s="81">
        <v>14</v>
      </c>
      <c r="AP15" s="133">
        <f t="shared" si="21"/>
        <v>1.9822845206753561</v>
      </c>
      <c r="AQ15" s="133">
        <f t="shared" si="22"/>
        <v>3.5389297374174022</v>
      </c>
      <c r="AR15" s="133">
        <f t="shared" si="23"/>
        <v>4.9825067553665727</v>
      </c>
      <c r="AS15" s="133">
        <f t="shared" si="327"/>
        <v>6.7679733358285494</v>
      </c>
      <c r="AT15" s="133">
        <f t="shared" si="328"/>
        <v>10.03747570381681</v>
      </c>
      <c r="AU15" s="134">
        <f t="shared" si="329"/>
        <v>14.114587894539294</v>
      </c>
      <c r="AV15" s="133">
        <f t="shared" si="330"/>
        <v>18.652864322447865</v>
      </c>
      <c r="AW15" s="133">
        <f t="shared" si="24"/>
        <v>23.120764652700981</v>
      </c>
      <c r="AX15" s="133">
        <f t="shared" si="25"/>
        <v>25.980048676928622</v>
      </c>
      <c r="AY15" s="133">
        <f t="shared" si="26"/>
        <v>28.57049606135794</v>
      </c>
      <c r="AZ15" s="133">
        <f t="shared" si="27"/>
        <v>31.711997981764927</v>
      </c>
      <c r="BA15" s="81"/>
      <c r="BB15" s="81">
        <v>14</v>
      </c>
      <c r="BC15" s="133">
        <f t="shared" si="28"/>
        <v>4.7938859399542446</v>
      </c>
      <c r="BD15" s="133">
        <f t="shared" si="29"/>
        <v>6.3845582158331835</v>
      </c>
      <c r="BE15" s="133">
        <f t="shared" si="30"/>
        <v>7.8184335158796836</v>
      </c>
      <c r="BF15" s="133">
        <f t="shared" si="331"/>
        <v>9.5456692393464522</v>
      </c>
      <c r="BG15" s="133">
        <f t="shared" si="332"/>
        <v>12.599654089753969</v>
      </c>
      <c r="BH15" s="134">
        <f t="shared" si="333"/>
        <v>16.251396258952802</v>
      </c>
      <c r="BI15" s="133">
        <f t="shared" si="334"/>
        <v>20.156978826865462</v>
      </c>
      <c r="BJ15" s="133">
        <f t="shared" si="31"/>
        <v>23.871478542632286</v>
      </c>
      <c r="BK15" s="133">
        <f t="shared" si="32"/>
        <v>26.191654793738063</v>
      </c>
      <c r="BL15" s="133">
        <f t="shared" si="33"/>
        <v>28.259967394652382</v>
      </c>
      <c r="BM15" s="133">
        <f t="shared" si="34"/>
        <v>30.729376497240263</v>
      </c>
      <c r="BN15" s="81"/>
      <c r="BO15" s="75">
        <v>16</v>
      </c>
      <c r="BP15" s="151">
        <f t="shared" si="35"/>
        <v>2.9078431835038683</v>
      </c>
      <c r="BQ15" s="151">
        <f t="shared" si="36"/>
        <v>3.6593779885436333</v>
      </c>
      <c r="BR15" s="151">
        <f t="shared" si="37"/>
        <v>4.4323707709790554</v>
      </c>
      <c r="BS15" s="151">
        <f t="shared" si="335"/>
        <v>5.4922773772585396</v>
      </c>
      <c r="BT15" s="151">
        <f t="shared" si="336"/>
        <v>7.741021172124956</v>
      </c>
      <c r="BU15" s="134">
        <f t="shared" si="337"/>
        <v>11.129161777752183</v>
      </c>
      <c r="BV15" s="151">
        <f t="shared" si="338"/>
        <v>15.706726510983867</v>
      </c>
      <c r="BW15" s="151">
        <f t="shared" si="38"/>
        <v>21.092432235938183</v>
      </c>
      <c r="BX15" s="151">
        <f t="shared" si="39"/>
        <v>25.019935698069396</v>
      </c>
      <c r="BY15" s="151">
        <f t="shared" si="40"/>
        <v>28.915108353916118</v>
      </c>
      <c r="BZ15" s="151">
        <f t="shared" si="41"/>
        <v>34.082831672881959</v>
      </c>
      <c r="CA15" s="81"/>
      <c r="CB15" s="81">
        <v>14</v>
      </c>
      <c r="CC15" s="133">
        <f t="shared" si="42"/>
        <v>-4.02703398943195</v>
      </c>
      <c r="CD15" s="133">
        <f t="shared" si="43"/>
        <v>-1.919652381916789</v>
      </c>
      <c r="CE15" s="133">
        <f t="shared" si="44"/>
        <v>0.13153630310927156</v>
      </c>
      <c r="CF15" s="133">
        <f t="shared" si="339"/>
        <v>2.7299105649041477</v>
      </c>
      <c r="CG15" s="133">
        <f t="shared" si="340"/>
        <v>7.544481310265966</v>
      </c>
      <c r="CH15" s="134">
        <f t="shared" si="341"/>
        <v>13.520854259483311</v>
      </c>
      <c r="CI15" s="133">
        <f t="shared" si="342"/>
        <v>20.056385371684112</v>
      </c>
      <c r="CJ15" s="133">
        <f t="shared" si="45"/>
        <v>26.344871486453425</v>
      </c>
      <c r="CK15" s="133">
        <f t="shared" si="46"/>
        <v>30.292154718537699</v>
      </c>
      <c r="CL15" s="133">
        <f t="shared" si="47"/>
        <v>33.81773767555957</v>
      </c>
      <c r="CM15" s="133">
        <f t="shared" si="48"/>
        <v>38.031152101854779</v>
      </c>
      <c r="CN15" s="81"/>
      <c r="CO15" s="81">
        <v>14</v>
      </c>
      <c r="CP15" s="133">
        <f t="shared" si="49"/>
        <v>1.1852716471706017</v>
      </c>
      <c r="CQ15" s="133">
        <f t="shared" si="50"/>
        <v>3.4127673643288228</v>
      </c>
      <c r="CR15" s="133">
        <f t="shared" si="51"/>
        <v>5.4676315582415898</v>
      </c>
      <c r="CS15" s="133">
        <f t="shared" si="343"/>
        <v>7.9831685507279628</v>
      </c>
      <c r="CT15" s="133">
        <f t="shared" si="344"/>
        <v>12.49854317375166</v>
      </c>
      <c r="CU15" s="134">
        <f t="shared" si="345"/>
        <v>17.957729035129333</v>
      </c>
      <c r="CV15" s="133">
        <f t="shared" si="346"/>
        <v>23.824198103402829</v>
      </c>
      <c r="CW15" s="133">
        <f t="shared" si="52"/>
        <v>29.406168910524062</v>
      </c>
      <c r="CX15" s="133">
        <f t="shared" si="53"/>
        <v>32.88804253718466</v>
      </c>
      <c r="CY15" s="133">
        <f t="shared" si="54"/>
        <v>35.986861231811645</v>
      </c>
      <c r="CZ15" s="133">
        <f t="shared" si="55"/>
        <v>39.678944369280792</v>
      </c>
      <c r="DA15" s="81"/>
      <c r="DB15" s="81">
        <v>16</v>
      </c>
      <c r="DC15" s="133">
        <f t="shared" si="56"/>
        <v>-5.4904536914859916</v>
      </c>
      <c r="DD15" s="133">
        <f t="shared" si="57"/>
        <v>-4.1602077552271437</v>
      </c>
      <c r="DE15" s="133">
        <f t="shared" si="58"/>
        <v>-2.7688708585235506</v>
      </c>
      <c r="DF15" s="133">
        <f t="shared" si="347"/>
        <v>-0.90718404088844373</v>
      </c>
      <c r="DG15" s="133">
        <f t="shared" si="348"/>
        <v>2.7596586291850196</v>
      </c>
      <c r="DH15" s="134">
        <f t="shared" si="349"/>
        <v>7.6028123416919167</v>
      </c>
      <c r="DI15" s="133">
        <f t="shared" si="350"/>
        <v>13.178464724795106</v>
      </c>
      <c r="DJ15" s="133">
        <f t="shared" si="59"/>
        <v>18.763072209672231</v>
      </c>
      <c r="DK15" s="133">
        <f t="shared" si="60"/>
        <v>22.362158128298883</v>
      </c>
      <c r="DL15" s="133">
        <f t="shared" si="61"/>
        <v>25.631308030832859</v>
      </c>
      <c r="DM15" s="133">
        <f t="shared" si="62"/>
        <v>29.600375372285978</v>
      </c>
      <c r="DN15" s="81"/>
      <c r="DO15" s="81">
        <v>14</v>
      </c>
      <c r="DP15" s="133">
        <v>13.025547116484677</v>
      </c>
      <c r="DQ15" s="133">
        <v>14.375821584439423</v>
      </c>
      <c r="DR15" s="133">
        <v>15.648566020630371</v>
      </c>
      <c r="DS15" s="133">
        <v>17.256428120427714</v>
      </c>
      <c r="DT15" s="133">
        <v>20.314633396544114</v>
      </c>
      <c r="DU15" s="134">
        <v>24.366141289479071</v>
      </c>
      <c r="DV15" s="133">
        <v>29.225673422187263</v>
      </c>
      <c r="DW15" s="133">
        <v>34.40508297519807</v>
      </c>
      <c r="DX15" s="133">
        <v>37.940143560511395</v>
      </c>
      <c r="DY15" s="133">
        <v>41.299124217115704</v>
      </c>
      <c r="DZ15" s="133">
        <v>45.580338087102689</v>
      </c>
      <c r="EA15" s="81"/>
      <c r="EB15" s="81">
        <v>14</v>
      </c>
      <c r="EC15" s="133">
        <v>13.570633926396914</v>
      </c>
      <c r="ED15" s="133">
        <v>14.662299669630865</v>
      </c>
      <c r="EE15" s="133">
        <v>15.67117591816355</v>
      </c>
      <c r="EF15" s="133">
        <v>16.920799689811933</v>
      </c>
      <c r="EG15" s="133">
        <v>19.231066420913091</v>
      </c>
      <c r="EH15" s="134">
        <v>22.179670714162537</v>
      </c>
      <c r="EI15" s="133">
        <v>25.580369919252878</v>
      </c>
      <c r="EJ15" s="133">
        <v>29.0729635718622</v>
      </c>
      <c r="EK15" s="133">
        <v>31.3912494861667</v>
      </c>
      <c r="EL15" s="133">
        <v>33.551203022238063</v>
      </c>
      <c r="EM15" s="133">
        <v>36.250170453112489</v>
      </c>
      <c r="EN15" s="81"/>
      <c r="EO15" s="81">
        <v>16</v>
      </c>
      <c r="EP15" s="133">
        <v>15.079486969329537</v>
      </c>
      <c r="EQ15" s="133">
        <v>16.653508309454573</v>
      </c>
      <c r="ER15" s="133">
        <v>18.138048185675025</v>
      </c>
      <c r="ES15" s="133">
        <v>20.014604250696916</v>
      </c>
      <c r="ET15" s="133">
        <v>23.586979998977373</v>
      </c>
      <c r="EU15" s="134">
        <v>28.325063952441379</v>
      </c>
      <c r="EV15" s="133">
        <v>34.014920432572488</v>
      </c>
      <c r="EW15" s="133">
        <v>40.086190956384129</v>
      </c>
      <c r="EX15" s="133">
        <v>44.233494127749516</v>
      </c>
      <c r="EY15" s="133">
        <v>48.176590361708044</v>
      </c>
      <c r="EZ15" s="133">
        <v>53.205341106214455</v>
      </c>
      <c r="FA15" s="81"/>
      <c r="FB15" s="81">
        <v>14</v>
      </c>
      <c r="FC15" s="133">
        <v>6.4473266322058889</v>
      </c>
      <c r="FD15" s="133">
        <v>7.2451622777701621</v>
      </c>
      <c r="FE15" s="133">
        <v>8.0098745116440373</v>
      </c>
      <c r="FF15" s="133">
        <v>8.9922409766253679</v>
      </c>
      <c r="FG15" s="133">
        <v>10.906385757496601</v>
      </c>
      <c r="FH15" s="134">
        <v>13.523775851562942</v>
      </c>
      <c r="FI15" s="133">
        <v>16.769305373010877</v>
      </c>
      <c r="FJ15" s="133">
        <v>20.338924830721499</v>
      </c>
      <c r="FK15" s="133">
        <v>22.833380600088582</v>
      </c>
      <c r="FL15" s="133">
        <v>25.243397769636388</v>
      </c>
      <c r="FM15" s="133">
        <v>28.367185923189709</v>
      </c>
      <c r="FN15" s="81"/>
      <c r="FO15" s="81">
        <v>14</v>
      </c>
      <c r="FP15" s="133">
        <v>6.2397558394169765</v>
      </c>
      <c r="FQ15" s="133">
        <v>6.9175311384730174</v>
      </c>
      <c r="FR15" s="133">
        <v>7.559052660857617</v>
      </c>
      <c r="FS15" s="133">
        <v>8.3728667791066513</v>
      </c>
      <c r="FT15" s="133">
        <v>9.9300765355964558</v>
      </c>
      <c r="FU15" s="134">
        <v>12.009355950019676</v>
      </c>
      <c r="FV15" s="133">
        <v>14.5240200130653</v>
      </c>
      <c r="FW15" s="133">
        <v>17.225238874475583</v>
      </c>
      <c r="FX15" s="133">
        <v>19.079722923627564</v>
      </c>
      <c r="FY15" s="133">
        <v>20.849147975951038</v>
      </c>
      <c r="FZ15" s="133">
        <v>23.113825932610357</v>
      </c>
      <c r="GA15" s="81"/>
      <c r="GB15" s="81">
        <v>16</v>
      </c>
      <c r="GC15" s="133">
        <v>7.734519043292587</v>
      </c>
      <c r="GD15" s="133">
        <v>8.6903980782330219</v>
      </c>
      <c r="GE15" s="133">
        <v>9.6064708041391729</v>
      </c>
      <c r="GF15" s="133">
        <v>10.783122202487164</v>
      </c>
      <c r="GG15" s="133">
        <v>13.0753927843404</v>
      </c>
      <c r="GH15" s="134">
        <v>16.209043354216877</v>
      </c>
      <c r="GI15" s="133">
        <v>20.093705083455834</v>
      </c>
      <c r="GJ15" s="133">
        <v>24.365214594181452</v>
      </c>
      <c r="GK15" s="133">
        <v>27.349595061037167</v>
      </c>
      <c r="GL15" s="133">
        <v>30.232572097813801</v>
      </c>
      <c r="GM15" s="133">
        <v>33.96889774118867</v>
      </c>
      <c r="GN15" s="81"/>
      <c r="GO15" s="81">
        <v>14</v>
      </c>
      <c r="GP15" s="133">
        <f t="shared" si="63"/>
        <v>0.35120525033074568</v>
      </c>
      <c r="GQ15" s="133">
        <f t="shared" si="64"/>
        <v>0.39506960659276252</v>
      </c>
      <c r="GR15" s="133">
        <f t="shared" si="65"/>
        <v>0.42903052992710805</v>
      </c>
      <c r="GS15" s="133">
        <f t="shared" si="351"/>
        <v>0.46494893696225958</v>
      </c>
      <c r="GT15" s="133">
        <f t="shared" si="352"/>
        <v>0.52057080417085333</v>
      </c>
      <c r="GU15" s="134">
        <f t="shared" si="353"/>
        <v>0.57308395442008619</v>
      </c>
      <c r="GV15" s="133">
        <f t="shared" si="354"/>
        <v>0.62093088141560482</v>
      </c>
      <c r="GW15" s="133">
        <f t="shared" si="66"/>
        <v>0.66295536709152536</v>
      </c>
      <c r="GX15" s="133">
        <f t="shared" si="67"/>
        <v>0.68617593625344842</v>
      </c>
      <c r="GY15" s="133">
        <f t="shared" si="68"/>
        <v>0.70566187101817412</v>
      </c>
      <c r="GZ15" s="133">
        <f t="shared" si="69"/>
        <v>0.7276246021248084</v>
      </c>
      <c r="HA15" s="81"/>
      <c r="HB15" s="81">
        <v>14</v>
      </c>
      <c r="HC15" s="133">
        <f t="shared" si="70"/>
        <v>0.3338900022621179</v>
      </c>
      <c r="HD15" s="133">
        <f t="shared" si="71"/>
        <v>0.38073337209238495</v>
      </c>
      <c r="HE15" s="133">
        <f t="shared" si="72"/>
        <v>0.41668094352032176</v>
      </c>
      <c r="HF15" s="133">
        <f t="shared" si="355"/>
        <v>0.45448363983986412</v>
      </c>
      <c r="HG15" s="133">
        <f t="shared" si="356"/>
        <v>0.51114190863689291</v>
      </c>
      <c r="HH15" s="134">
        <f t="shared" si="357"/>
        <v>0.56743029968673808</v>
      </c>
      <c r="HI15" s="133">
        <f t="shared" si="358"/>
        <v>0.6184324916695948</v>
      </c>
      <c r="HJ15" s="133">
        <f t="shared" si="73"/>
        <v>0.66072566400491595</v>
      </c>
      <c r="HK15" s="133">
        <f t="shared" si="74"/>
        <v>0.68477985758995319</v>
      </c>
      <c r="HL15" s="133">
        <f t="shared" si="75"/>
        <v>0.70495319664313749</v>
      </c>
      <c r="HM15" s="133">
        <f t="shared" si="76"/>
        <v>0.72767906596069809</v>
      </c>
      <c r="HN15" s="81"/>
      <c r="HO15" s="81">
        <v>16</v>
      </c>
      <c r="HP15" s="83">
        <f t="shared" si="77"/>
        <v>0.38159570735711723</v>
      </c>
      <c r="HQ15" s="83">
        <f t="shared" si="78"/>
        <v>0.42099850833675834</v>
      </c>
      <c r="HR15" s="83">
        <f t="shared" si="79"/>
        <v>0.45194769389305794</v>
      </c>
      <c r="HS15" s="83">
        <f t="shared" si="359"/>
        <v>0.4850049153541186</v>
      </c>
      <c r="HT15" s="83">
        <f t="shared" si="360"/>
        <v>0.53530023616368505</v>
      </c>
      <c r="HU15" s="84">
        <f t="shared" si="361"/>
        <v>0.58592974346952076</v>
      </c>
      <c r="HV15" s="83">
        <f t="shared" si="362"/>
        <v>0.63222321290947014</v>
      </c>
      <c r="HW15" s="83">
        <f t="shared" si="80"/>
        <v>0.6708423189622541</v>
      </c>
      <c r="HX15" s="83">
        <f t="shared" si="81"/>
        <v>0.6928828737277245</v>
      </c>
      <c r="HY15" s="83">
        <f t="shared" si="82"/>
        <v>0.71140411693252503</v>
      </c>
      <c r="HZ15" s="83">
        <f t="shared" si="83"/>
        <v>0.73230470894427691</v>
      </c>
      <c r="IA15" s="81"/>
      <c r="IB15" s="81">
        <v>14</v>
      </c>
      <c r="IC15" s="83">
        <f t="shared" si="84"/>
        <v>0.25998003327368074</v>
      </c>
      <c r="ID15" s="83">
        <f t="shared" si="85"/>
        <v>0.2839175943947802</v>
      </c>
      <c r="IE15" s="83">
        <f t="shared" si="86"/>
        <v>0.30096238440690459</v>
      </c>
      <c r="IF15" s="83">
        <f t="shared" si="363"/>
        <v>0.31792034394929558</v>
      </c>
      <c r="IG15" s="83">
        <f t="shared" si="364"/>
        <v>0.34184951046232043</v>
      </c>
      <c r="IH15" s="84">
        <f t="shared" si="365"/>
        <v>0.36420027585745024</v>
      </c>
      <c r="II15" s="83">
        <f t="shared" si="366"/>
        <v>0.38345324205678022</v>
      </c>
      <c r="IJ15" s="83">
        <f t="shared" si="87"/>
        <v>0.39880576290692638</v>
      </c>
      <c r="IK15" s="83">
        <f t="shared" si="88"/>
        <v>0.40731635240178571</v>
      </c>
      <c r="IL15" s="83">
        <f t="shared" si="89"/>
        <v>0.41433948935995807</v>
      </c>
      <c r="IM15" s="83">
        <f t="shared" si="90"/>
        <v>0.42213317626233154</v>
      </c>
      <c r="IN15" s="81"/>
      <c r="IO15" s="81">
        <v>14</v>
      </c>
      <c r="IP15" s="133">
        <f t="shared" si="91"/>
        <v>0.24980854005535738</v>
      </c>
      <c r="IQ15" s="133">
        <f t="shared" si="92"/>
        <v>0.27636497514264191</v>
      </c>
      <c r="IR15" s="133">
        <f t="shared" si="93"/>
        <v>0.29487511502823011</v>
      </c>
      <c r="IS15" s="133">
        <f t="shared" si="367"/>
        <v>0.31306236842833718</v>
      </c>
      <c r="IT15" s="133">
        <f t="shared" si="368"/>
        <v>0.33844688550026364</v>
      </c>
      <c r="IU15" s="134">
        <f t="shared" si="369"/>
        <v>0.36194575355569669</v>
      </c>
      <c r="IV15" s="133">
        <f t="shared" si="370"/>
        <v>0.38207017731713971</v>
      </c>
      <c r="IW15" s="133">
        <f t="shared" si="94"/>
        <v>0.39805833045328964</v>
      </c>
      <c r="IX15" s="133">
        <f t="shared" si="95"/>
        <v>0.40690274622090783</v>
      </c>
      <c r="IY15" s="133">
        <f t="shared" si="96"/>
        <v>0.41419271293126159</v>
      </c>
      <c r="IZ15" s="133">
        <f t="shared" si="97"/>
        <v>0.42227424879449299</v>
      </c>
      <c r="JA15" s="81"/>
      <c r="JB15" s="81">
        <v>16</v>
      </c>
      <c r="JC15" s="133">
        <f t="shared" si="98"/>
        <v>0.2769117522602132</v>
      </c>
      <c r="JD15" s="133">
        <f t="shared" si="99"/>
        <v>0.29710084548658278</v>
      </c>
      <c r="JE15" s="133">
        <f t="shared" si="100"/>
        <v>0.31194852026217829</v>
      </c>
      <c r="JF15" s="133">
        <f t="shared" si="371"/>
        <v>0.32702420094173384</v>
      </c>
      <c r="JG15" s="133">
        <f t="shared" si="372"/>
        <v>0.34870154135612502</v>
      </c>
      <c r="JH15" s="134">
        <f t="shared" si="373"/>
        <v>0.3692784970155279</v>
      </c>
      <c r="JI15" s="133">
        <f t="shared" si="374"/>
        <v>0.38719906103011537</v>
      </c>
      <c r="JJ15" s="133">
        <f t="shared" si="101"/>
        <v>0.40159260732632146</v>
      </c>
      <c r="JK15" s="133">
        <f t="shared" si="102"/>
        <v>0.40960504423740562</v>
      </c>
      <c r="JL15" s="133">
        <f t="shared" si="103"/>
        <v>0.41623306240613073</v>
      </c>
      <c r="JM15" s="133">
        <f t="shared" si="104"/>
        <v>0.42360376724829324</v>
      </c>
      <c r="JN15" s="81"/>
      <c r="JO15" s="81">
        <v>13</v>
      </c>
      <c r="JP15" s="133">
        <f t="shared" si="105"/>
        <v>-8.0315862499124382</v>
      </c>
      <c r="JQ15" s="133">
        <f t="shared" si="106"/>
        <v>-6.8146054046162359</v>
      </c>
      <c r="JR15" s="133">
        <f t="shared" si="107"/>
        <v>-5.7529616824754886</v>
      </c>
      <c r="JS15" s="133">
        <f t="shared" si="375"/>
        <v>-4.5126336377042122</v>
      </c>
      <c r="JT15" s="133">
        <f t="shared" si="376"/>
        <v>-2.4068716483804096</v>
      </c>
      <c r="JU15" s="134">
        <f t="shared" si="377"/>
        <v>-9.3934992646467208E-3</v>
      </c>
      <c r="JV15" s="133">
        <f t="shared" si="378"/>
        <v>2.437349414673232</v>
      </c>
      <c r="JW15" s="133">
        <f t="shared" si="108"/>
        <v>4.6716615817443987</v>
      </c>
      <c r="JX15" s="133">
        <f t="shared" si="109"/>
        <v>6.027838094967386</v>
      </c>
      <c r="JY15" s="133">
        <f t="shared" si="110"/>
        <v>7.213919873603114</v>
      </c>
      <c r="JZ15" s="133">
        <f t="shared" si="111"/>
        <v>8.6041001325475719</v>
      </c>
      <c r="KA15" s="81"/>
      <c r="KB15" s="81">
        <v>13</v>
      </c>
      <c r="KC15" s="133">
        <f t="shared" si="112"/>
        <v>-6.3883045112651731</v>
      </c>
      <c r="KD15" s="133">
        <f t="shared" si="113"/>
        <v>-5.4368578731553976</v>
      </c>
      <c r="KE15" s="133">
        <f t="shared" si="114"/>
        <v>-4.5816174400058092</v>
      </c>
      <c r="KF15" s="133">
        <f t="shared" si="379"/>
        <v>-3.5552200031449743</v>
      </c>
      <c r="KG15" s="133">
        <f t="shared" si="380"/>
        <v>-1.7519202231743289</v>
      </c>
      <c r="KH15" s="134">
        <f t="shared" si="381"/>
        <v>0.38408851125840826</v>
      </c>
      <c r="KI15" s="133">
        <f t="shared" si="382"/>
        <v>2.6444401683065983</v>
      </c>
      <c r="KJ15" s="133">
        <f t="shared" si="115"/>
        <v>4.7721353536550577</v>
      </c>
      <c r="KK15" s="133">
        <f t="shared" si="116"/>
        <v>6.0908099467969112</v>
      </c>
      <c r="KL15" s="133">
        <f t="shared" si="117"/>
        <v>7.259944847522517</v>
      </c>
      <c r="KM15" s="133">
        <f t="shared" si="118"/>
        <v>8.6482276186312195</v>
      </c>
      <c r="KN15" s="81"/>
      <c r="KO15" s="81">
        <v>15</v>
      </c>
      <c r="KP15" s="133">
        <f t="shared" si="119"/>
        <v>-10.219435021904793</v>
      </c>
      <c r="KQ15" s="133">
        <f t="shared" si="120"/>
        <v>-8.6831240918980015</v>
      </c>
      <c r="KR15" s="133">
        <f t="shared" si="121"/>
        <v>-7.3710233702125016</v>
      </c>
      <c r="KS15" s="133">
        <f t="shared" si="383"/>
        <v>-5.8675727734361214</v>
      </c>
      <c r="KT15" s="133">
        <f t="shared" si="384"/>
        <v>-3.3789613317348355</v>
      </c>
      <c r="KU15" s="134">
        <f t="shared" si="385"/>
        <v>-0.6297698541706076</v>
      </c>
      <c r="KV15" s="133">
        <f t="shared" si="386"/>
        <v>2.097266885699355</v>
      </c>
      <c r="KW15" s="133">
        <f t="shared" si="122"/>
        <v>4.5275014639423183</v>
      </c>
      <c r="KX15" s="133">
        <f t="shared" si="123"/>
        <v>5.9776031128053759</v>
      </c>
      <c r="KY15" s="133">
        <f t="shared" si="124"/>
        <v>7.2315620199178419</v>
      </c>
      <c r="KZ15" s="133">
        <f t="shared" si="125"/>
        <v>8.6853814272433034</v>
      </c>
      <c r="LA15" s="81"/>
      <c r="LB15" s="81">
        <v>13</v>
      </c>
      <c r="LC15" s="133">
        <f t="shared" si="126"/>
        <v>-22.239251321235805</v>
      </c>
      <c r="LD15" s="133">
        <f t="shared" si="127"/>
        <v>-18.839642969333596</v>
      </c>
      <c r="LE15" s="133">
        <f t="shared" si="128"/>
        <v>-15.799492297906276</v>
      </c>
      <c r="LF15" s="133">
        <f t="shared" si="387"/>
        <v>-12.174457557911083</v>
      </c>
      <c r="LG15" s="133">
        <f t="shared" si="388"/>
        <v>-5.8716493777360625</v>
      </c>
      <c r="LH15" s="134">
        <f t="shared" si="389"/>
        <v>1.4866171823894732</v>
      </c>
      <c r="LI15" s="133">
        <f t="shared" si="390"/>
        <v>9.1549356421570351</v>
      </c>
      <c r="LJ15" s="133">
        <f t="shared" si="129"/>
        <v>16.271929773483613</v>
      </c>
      <c r="LK15" s="133">
        <f t="shared" si="130"/>
        <v>20.637494492437199</v>
      </c>
      <c r="LL15" s="133">
        <f t="shared" si="131"/>
        <v>24.48087964163652</v>
      </c>
      <c r="LM15" s="133">
        <f t="shared" si="132"/>
        <v>29.013337535046567</v>
      </c>
      <c r="LN15" s="81"/>
      <c r="LO15" s="81">
        <v>13</v>
      </c>
      <c r="LP15" s="133">
        <f t="shared" si="133"/>
        <v>-19.74703218584127</v>
      </c>
      <c r="LQ15" s="133">
        <f t="shared" si="134"/>
        <v>-16.574872892184999</v>
      </c>
      <c r="LR15" s="133">
        <f t="shared" si="135"/>
        <v>-13.71054002610283</v>
      </c>
      <c r="LS15" s="133">
        <f t="shared" si="391"/>
        <v>-10.268109381170984</v>
      </c>
      <c r="LT15" s="133">
        <f t="shared" si="392"/>
        <v>-4.2273928485633974</v>
      </c>
      <c r="LU15" s="134">
        <f t="shared" si="393"/>
        <v>2.8941764367827894</v>
      </c>
      <c r="LV15" s="133">
        <f t="shared" si="394"/>
        <v>10.377736177395082</v>
      </c>
      <c r="LW15" s="133">
        <f t="shared" si="136"/>
        <v>17.369116772093459</v>
      </c>
      <c r="LX15" s="133">
        <f t="shared" si="137"/>
        <v>21.676369992449683</v>
      </c>
      <c r="LY15" s="133">
        <f t="shared" si="138"/>
        <v>25.479007445352405</v>
      </c>
      <c r="LZ15" s="133">
        <f t="shared" si="139"/>
        <v>29.975164905321481</v>
      </c>
      <c r="MA15" s="81"/>
      <c r="MB15" s="81">
        <v>15</v>
      </c>
      <c r="MC15" s="133">
        <f t="shared" si="140"/>
        <v>-25.016704606991812</v>
      </c>
      <c r="MD15" s="133">
        <f t="shared" si="141"/>
        <v>-21.423557260425653</v>
      </c>
      <c r="ME15" s="133">
        <f t="shared" si="142"/>
        <v>-18.241842652543376</v>
      </c>
      <c r="MF15" s="133">
        <f t="shared" si="395"/>
        <v>-14.484708913176963</v>
      </c>
      <c r="MG15" s="133">
        <f t="shared" si="396"/>
        <v>-8.0377137812484065</v>
      </c>
      <c r="MH15" s="134">
        <f t="shared" si="397"/>
        <v>-0.62984277875209926</v>
      </c>
      <c r="MI15" s="133">
        <f t="shared" si="398"/>
        <v>6.9751632166167283</v>
      </c>
      <c r="MJ15" s="133">
        <f t="shared" si="143"/>
        <v>13.943596605730939</v>
      </c>
      <c r="MK15" s="133">
        <f t="shared" si="144"/>
        <v>18.180168830211812</v>
      </c>
      <c r="ML15" s="133">
        <f t="shared" si="145"/>
        <v>21.888191046319662</v>
      </c>
      <c r="MM15" s="133">
        <f t="shared" si="146"/>
        <v>26.236524004886192</v>
      </c>
      <c r="MN15" s="81"/>
      <c r="MO15" s="81">
        <v>13</v>
      </c>
      <c r="MP15" s="133">
        <f t="shared" si="147"/>
        <v>-24.948869570796539</v>
      </c>
      <c r="MQ15" s="133">
        <f t="shared" si="148"/>
        <v>-20.709168386042375</v>
      </c>
      <c r="MR15" s="133">
        <f t="shared" si="149"/>
        <v>-17.033699365065804</v>
      </c>
      <c r="MS15" s="133">
        <f t="shared" si="399"/>
        <v>-12.769155566474758</v>
      </c>
      <c r="MT15" s="133">
        <f t="shared" si="400"/>
        <v>-5.602875717227775</v>
      </c>
      <c r="MU15" s="134">
        <f t="shared" si="401"/>
        <v>2.4467986037543952</v>
      </c>
      <c r="MV15" s="133">
        <f t="shared" si="402"/>
        <v>10.549742052915413</v>
      </c>
      <c r="MW15" s="133">
        <f t="shared" si="150"/>
        <v>17.857807945794647</v>
      </c>
      <c r="MX15" s="133">
        <f t="shared" si="151"/>
        <v>22.25396217205649</v>
      </c>
      <c r="MY15" s="133">
        <f t="shared" si="152"/>
        <v>26.075471580849893</v>
      </c>
      <c r="MZ15" s="133">
        <f t="shared" si="153"/>
        <v>30.528119541070772</v>
      </c>
      <c r="NA15" s="81"/>
      <c r="NB15" s="81">
        <v>13</v>
      </c>
      <c r="NC15" s="133">
        <f t="shared" si="154"/>
        <v>-22.622006610014466</v>
      </c>
      <c r="ND15" s="133">
        <f t="shared" si="155"/>
        <v>-18.467491686375855</v>
      </c>
      <c r="NE15" s="133">
        <f t="shared" si="156"/>
        <v>-14.826160062377117</v>
      </c>
      <c r="NF15" s="133">
        <f t="shared" si="403"/>
        <v>-10.572241095258786</v>
      </c>
      <c r="NG15" s="133">
        <f t="shared" si="404"/>
        <v>-3.3765773155692322</v>
      </c>
      <c r="NH15" s="134">
        <f t="shared" si="405"/>
        <v>4.7546427499080401</v>
      </c>
      <c r="NI15" s="133">
        <f t="shared" si="406"/>
        <v>12.97655975360318</v>
      </c>
      <c r="NJ15" s="133">
        <f t="shared" si="157"/>
        <v>20.416280247044487</v>
      </c>
      <c r="NK15" s="133">
        <f t="shared" si="158"/>
        <v>24.900880753193182</v>
      </c>
      <c r="NL15" s="133">
        <f t="shared" si="159"/>
        <v>28.804256603696647</v>
      </c>
      <c r="NM15" s="133">
        <f t="shared" si="160"/>
        <v>33.357626695924992</v>
      </c>
      <c r="NN15" s="81"/>
      <c r="NO15" s="81">
        <v>15</v>
      </c>
      <c r="NP15" s="133">
        <f t="shared" si="161"/>
        <v>-27.107399087743591</v>
      </c>
      <c r="NQ15" s="133">
        <f t="shared" si="162"/>
        <v>-23.089688737528903</v>
      </c>
      <c r="NR15" s="133">
        <f t="shared" si="163"/>
        <v>-19.629470489763769</v>
      </c>
      <c r="NS15" s="133">
        <f t="shared" si="407"/>
        <v>-15.635785852119785</v>
      </c>
      <c r="NT15" s="133">
        <f t="shared" si="408"/>
        <v>-8.9655509755404417</v>
      </c>
      <c r="NU15" s="134">
        <f t="shared" si="409"/>
        <v>-1.5215922725055648</v>
      </c>
      <c r="NV15" s="133">
        <f t="shared" si="410"/>
        <v>5.9302418087563353</v>
      </c>
      <c r="NW15" s="133">
        <f t="shared" si="164"/>
        <v>12.621521709369567</v>
      </c>
      <c r="NX15" s="133">
        <f t="shared" si="165"/>
        <v>16.634863132291329</v>
      </c>
      <c r="NY15" s="133">
        <f t="shared" si="166"/>
        <v>20.117056335939502</v>
      </c>
      <c r="NZ15" s="133">
        <f t="shared" si="167"/>
        <v>24.167195878191741</v>
      </c>
      <c r="OA15" s="81"/>
      <c r="OB15" s="81">
        <v>13</v>
      </c>
      <c r="OC15" s="133">
        <v>15.743143517435961</v>
      </c>
      <c r="OD15" s="133">
        <v>17.492676194763227</v>
      </c>
      <c r="OE15" s="133">
        <v>19.152102411196758</v>
      </c>
      <c r="OF15" s="133">
        <v>21.261616824750618</v>
      </c>
      <c r="OG15" s="133">
        <v>25.310333842838656</v>
      </c>
      <c r="OH15" s="134">
        <v>30.737898163247397</v>
      </c>
      <c r="OI15" s="133">
        <v>37.329352878587045</v>
      </c>
      <c r="OJ15" s="133">
        <v>44.437748609706198</v>
      </c>
      <c r="OK15" s="133">
        <v>49.332358568728473</v>
      </c>
      <c r="OL15" s="133">
        <v>54.012226201101114</v>
      </c>
      <c r="OM15" s="133">
        <v>60.014595080566728</v>
      </c>
      <c r="ON15" s="81"/>
      <c r="OO15" s="81">
        <v>13</v>
      </c>
      <c r="OP15" s="133">
        <v>15.885945703736835</v>
      </c>
      <c r="OQ15" s="133">
        <v>17.584171684975562</v>
      </c>
      <c r="OR15" s="133">
        <v>19.189245451769246</v>
      </c>
      <c r="OS15" s="133">
        <v>21.222458774986244</v>
      </c>
      <c r="OT15" s="133">
        <v>25.277740104411116</v>
      </c>
      <c r="OU15" s="134">
        <v>30.274800877083813</v>
      </c>
      <c r="OV15" s="133">
        <v>36.509383877684797</v>
      </c>
      <c r="OW15" s="133">
        <v>43.188377834305363</v>
      </c>
      <c r="OX15" s="133">
        <v>47.764440266856226</v>
      </c>
      <c r="OY15" s="133">
        <v>52.124352774047026</v>
      </c>
      <c r="OZ15" s="133">
        <v>57.696506411417005</v>
      </c>
      <c r="PA15" s="81"/>
      <c r="PB15" s="81">
        <v>15</v>
      </c>
      <c r="PC15" s="133">
        <v>18.074614284717587</v>
      </c>
      <c r="PD15" s="133">
        <v>19.953722546051523</v>
      </c>
      <c r="PE15" s="133">
        <v>21.725383529285931</v>
      </c>
      <c r="PF15" s="133">
        <v>23.964093700978211</v>
      </c>
      <c r="PG15" s="133">
        <v>28.22374219473981</v>
      </c>
      <c r="PH15" s="134">
        <v>33.869616035613873</v>
      </c>
      <c r="PI15" s="133">
        <v>40.644889769922592</v>
      </c>
      <c r="PJ15" s="133">
        <v>47.869571230773737</v>
      </c>
      <c r="PK15" s="133">
        <v>52.802330916439161</v>
      </c>
      <c r="PL15" s="133">
        <v>57.490570381159948</v>
      </c>
      <c r="PM15" s="133">
        <v>63.467517056220061</v>
      </c>
      <c r="PN15" s="81"/>
      <c r="PO15" s="81">
        <v>13</v>
      </c>
      <c r="PP15" s="133">
        <v>7.2787025143192814</v>
      </c>
      <c r="PQ15" s="133">
        <v>7.9453948829085279</v>
      </c>
      <c r="PR15" s="133">
        <v>8.5674276045998994</v>
      </c>
      <c r="PS15" s="133">
        <v>9.3452686072600191</v>
      </c>
      <c r="PT15" s="133">
        <v>10.803165483745412</v>
      </c>
      <c r="PU15" s="134">
        <v>12.697692926708042</v>
      </c>
      <c r="PV15" s="133">
        <v>14.924459493244123</v>
      </c>
      <c r="PW15" s="133">
        <v>17.252731027518699</v>
      </c>
      <c r="PX15" s="133">
        <v>18.819115036864204</v>
      </c>
      <c r="PY15" s="133">
        <v>20.292434553227686</v>
      </c>
      <c r="PZ15" s="133">
        <v>22.15111901383294</v>
      </c>
      <c r="QA15" s="81"/>
      <c r="QB15" s="81">
        <v>13</v>
      </c>
      <c r="QC15" s="133">
        <v>7.2269004079378369</v>
      </c>
      <c r="QD15" s="133">
        <v>7.8647439695882539</v>
      </c>
      <c r="QE15" s="133">
        <v>8.4581724723581306</v>
      </c>
      <c r="QF15" s="133">
        <v>9.1981410321871202</v>
      </c>
      <c r="QG15" s="133">
        <v>10.579397884117038</v>
      </c>
      <c r="QH15" s="134">
        <v>12.364725461833249</v>
      </c>
      <c r="QI15" s="133">
        <v>14.451336212246783</v>
      </c>
      <c r="QJ15" s="133">
        <v>16.621449400646391</v>
      </c>
      <c r="QK15" s="133">
        <v>18.075587397413635</v>
      </c>
      <c r="QL15" s="133">
        <v>19.439467621285019</v>
      </c>
      <c r="QM15" s="133">
        <v>21.155187855997173</v>
      </c>
      <c r="QN15" s="81"/>
      <c r="QO15" s="81">
        <v>15</v>
      </c>
      <c r="QP15" s="133">
        <v>7.7803177961181902</v>
      </c>
      <c r="QQ15" s="133">
        <v>8.4961416981080333</v>
      </c>
      <c r="QR15" s="133">
        <v>9.1642473232307644</v>
      </c>
      <c r="QS15" s="133">
        <v>9.9999924070256956</v>
      </c>
      <c r="QT15" s="133">
        <v>11.567203074466548</v>
      </c>
      <c r="QU15" s="134">
        <v>13.605123171258963</v>
      </c>
      <c r="QV15" s="133">
        <v>16.002085838167407</v>
      </c>
      <c r="QW15" s="133">
        <v>18.509951705071529</v>
      </c>
      <c r="QX15" s="133">
        <v>20.197990077800803</v>
      </c>
      <c r="QY15" s="133">
        <v>21.786286420616854</v>
      </c>
      <c r="QZ15" s="133">
        <v>23.790721838827537</v>
      </c>
      <c r="RA15" s="81"/>
      <c r="RB15" s="81">
        <v>13</v>
      </c>
      <c r="RC15" s="133">
        <f t="shared" si="168"/>
        <v>0.26000329127187272</v>
      </c>
      <c r="RD15" s="133">
        <f t="shared" si="169"/>
        <v>0.28008714561202275</v>
      </c>
      <c r="RE15" s="133">
        <f t="shared" si="170"/>
        <v>0.29880271046260759</v>
      </c>
      <c r="RF15" s="133">
        <f t="shared" si="411"/>
        <v>0.32219829855436266</v>
      </c>
      <c r="RG15" s="133">
        <f t="shared" si="412"/>
        <v>0.36609812130212416</v>
      </c>
      <c r="RH15" s="134">
        <f t="shared" si="413"/>
        <v>0.42339179996660303</v>
      </c>
      <c r="RI15" s="133">
        <f t="shared" si="414"/>
        <v>0.49128523811269292</v>
      </c>
      <c r="RJ15" s="133">
        <f t="shared" si="171"/>
        <v>0.56308108138504387</v>
      </c>
      <c r="RK15" s="133">
        <f t="shared" si="172"/>
        <v>0.61190915136187352</v>
      </c>
      <c r="RL15" s="133">
        <f t="shared" si="173"/>
        <v>0.6582504505079193</v>
      </c>
      <c r="RM15" s="133">
        <f t="shared" si="174"/>
        <v>0.71731188090771181</v>
      </c>
      <c r="RN15" s="81"/>
      <c r="RO15" s="81">
        <v>13</v>
      </c>
      <c r="RP15" s="133">
        <f t="shared" si="175"/>
        <v>0.27792875065841044</v>
      </c>
      <c r="RQ15" s="133">
        <f t="shared" si="176"/>
        <v>0.29734191015485245</v>
      </c>
      <c r="RR15" s="133">
        <f t="shared" si="177"/>
        <v>0.31536987581879194</v>
      </c>
      <c r="RS15" s="133">
        <f t="shared" si="415"/>
        <v>0.33783232507054245</v>
      </c>
      <c r="RT15" s="133">
        <f t="shared" si="416"/>
        <v>0.37979850448600433</v>
      </c>
      <c r="RU15" s="134">
        <f t="shared" si="417"/>
        <v>0.43429340390835547</v>
      </c>
      <c r="RV15" s="133">
        <f t="shared" si="418"/>
        <v>0.49858794030638437</v>
      </c>
      <c r="RW15" s="133">
        <f t="shared" si="178"/>
        <v>0.56636164128235489</v>
      </c>
      <c r="RX15" s="133">
        <f t="shared" si="179"/>
        <v>0.61237445832207094</v>
      </c>
      <c r="RY15" s="133">
        <f t="shared" si="180"/>
        <v>0.65600768721951452</v>
      </c>
      <c r="RZ15" s="133">
        <f t="shared" si="181"/>
        <v>0.711590565021604</v>
      </c>
      <c r="SA15" s="81"/>
      <c r="SB15" s="81">
        <v>15</v>
      </c>
      <c r="SC15" s="133">
        <f t="shared" si="182"/>
        <v>0.23634101596174509</v>
      </c>
      <c r="SD15" s="133">
        <f t="shared" si="183"/>
        <v>0.25715310298632493</v>
      </c>
      <c r="SE15" s="133">
        <f t="shared" si="184"/>
        <v>0.2765331754506643</v>
      </c>
      <c r="SF15" s="133">
        <f t="shared" si="419"/>
        <v>0.30072237648026151</v>
      </c>
      <c r="SG15" s="133">
        <f t="shared" si="420"/>
        <v>0.34594475125007035</v>
      </c>
      <c r="SH15" s="134">
        <f t="shared" si="421"/>
        <v>0.40452968844659737</v>
      </c>
      <c r="SI15" s="133">
        <f t="shared" si="422"/>
        <v>0.47318668944585029</v>
      </c>
      <c r="SJ15" s="133">
        <f t="shared" si="185"/>
        <v>0.54479541084437222</v>
      </c>
      <c r="SK15" s="133">
        <f t="shared" si="186"/>
        <v>0.59289060903048374</v>
      </c>
      <c r="SL15" s="133">
        <f t="shared" si="187"/>
        <v>0.63807943586630089</v>
      </c>
      <c r="SM15" s="133">
        <f t="shared" si="188"/>
        <v>0.69503070451696891</v>
      </c>
      <c r="SN15" s="81"/>
      <c r="SO15" s="81">
        <v>13</v>
      </c>
      <c r="SP15" s="133">
        <f t="shared" si="189"/>
        <v>0.20531702039244154</v>
      </c>
      <c r="SQ15" s="133">
        <f t="shared" si="190"/>
        <v>0.21820508395537586</v>
      </c>
      <c r="SR15" s="133">
        <f t="shared" si="191"/>
        <v>0.22976472436543943</v>
      </c>
      <c r="SS15" s="133">
        <f t="shared" si="423"/>
        <v>0.24365326254660791</v>
      </c>
      <c r="ST15" s="133">
        <f t="shared" si="424"/>
        <v>0.26820542228793964</v>
      </c>
      <c r="SU15" s="134">
        <f t="shared" si="425"/>
        <v>0.29769916690378728</v>
      </c>
      <c r="SV15" s="133">
        <f t="shared" si="426"/>
        <v>0.32955081719045848</v>
      </c>
      <c r="SW15" s="133">
        <f t="shared" si="192"/>
        <v>0.36023427381308759</v>
      </c>
      <c r="SX15" s="133">
        <f t="shared" si="193"/>
        <v>0.37962160620496621</v>
      </c>
      <c r="SY15" s="133">
        <f t="shared" si="194"/>
        <v>0.39705925914435436</v>
      </c>
      <c r="SZ15" s="133">
        <f t="shared" si="195"/>
        <v>0.41807891710037992</v>
      </c>
      <c r="TA15" s="81"/>
      <c r="TB15" s="81">
        <v>13</v>
      </c>
      <c r="TC15" s="133">
        <f t="shared" si="196"/>
        <v>0.21667682766722496</v>
      </c>
      <c r="TD15" s="133">
        <f t="shared" si="197"/>
        <v>0.22873433805376378</v>
      </c>
      <c r="TE15" s="133">
        <f t="shared" si="198"/>
        <v>0.23954280148544344</v>
      </c>
      <c r="TF15" s="133">
        <f t="shared" si="427"/>
        <v>0.25252440863960668</v>
      </c>
      <c r="TG15" s="133">
        <f t="shared" si="428"/>
        <v>0.27547112862439055</v>
      </c>
      <c r="TH15" s="134">
        <f t="shared" si="429"/>
        <v>0.30305004704006677</v>
      </c>
      <c r="TI15" s="133">
        <f t="shared" si="430"/>
        <v>0.33287093475958485</v>
      </c>
      <c r="TJ15" s="133">
        <f t="shared" si="199"/>
        <v>0.36165015166091535</v>
      </c>
      <c r="TK15" s="133">
        <f t="shared" si="200"/>
        <v>0.37986585532988898</v>
      </c>
      <c r="TL15" s="133">
        <f t="shared" si="201"/>
        <v>0.39627280210763632</v>
      </c>
      <c r="TM15" s="133">
        <f t="shared" si="202"/>
        <v>0.41608103075236486</v>
      </c>
      <c r="TN15" s="81"/>
      <c r="TO15" s="81">
        <v>15</v>
      </c>
      <c r="TP15" s="133">
        <f t="shared" si="203"/>
        <v>0.18964294700550108</v>
      </c>
      <c r="TQ15" s="133">
        <f t="shared" si="204"/>
        <v>0.20364691328442777</v>
      </c>
      <c r="TR15" s="133">
        <f t="shared" si="205"/>
        <v>0.21614214534615309</v>
      </c>
      <c r="TS15" s="133">
        <f t="shared" si="431"/>
        <v>0.23107037179849471</v>
      </c>
      <c r="TT15" s="133">
        <f t="shared" si="432"/>
        <v>0.2572298883409152</v>
      </c>
      <c r="TU15" s="134">
        <f t="shared" si="433"/>
        <v>0.28826137466282714</v>
      </c>
      <c r="TV15" s="133">
        <f t="shared" si="434"/>
        <v>0.32129631142421028</v>
      </c>
      <c r="TW15" s="133">
        <f t="shared" si="206"/>
        <v>0.35266270139545114</v>
      </c>
      <c r="TX15" s="133">
        <f t="shared" si="207"/>
        <v>0.37225731184310751</v>
      </c>
      <c r="TY15" s="133">
        <f t="shared" si="208"/>
        <v>0.38973723969981733</v>
      </c>
      <c r="TZ15" s="133">
        <f t="shared" si="209"/>
        <v>0.41063103572395138</v>
      </c>
      <c r="UA15" s="81"/>
      <c r="UB15" s="81">
        <v>13</v>
      </c>
      <c r="UC15" s="133">
        <f t="shared" si="210"/>
        <v>-28.185046073344964</v>
      </c>
      <c r="UD15" s="133">
        <f t="shared" si="211"/>
        <v>-24.939255988880014</v>
      </c>
      <c r="UE15" s="133">
        <f t="shared" si="212"/>
        <v>-22.235997352090386</v>
      </c>
      <c r="UF15" s="133">
        <f t="shared" si="435"/>
        <v>-19.207699867769406</v>
      </c>
      <c r="UG15" s="133">
        <f t="shared" si="436"/>
        <v>-14.33760015276814</v>
      </c>
      <c r="UH15" s="134">
        <f t="shared" si="437"/>
        <v>-9.1356186761906244</v>
      </c>
      <c r="UI15" s="133">
        <f t="shared" si="438"/>
        <v>-4.133332570785015</v>
      </c>
      <c r="UJ15" s="133">
        <f t="shared" si="213"/>
        <v>0.20935394074732017</v>
      </c>
      <c r="UK15" s="133">
        <f t="shared" si="214"/>
        <v>2.754117358770884</v>
      </c>
      <c r="UL15" s="133">
        <f t="shared" si="215"/>
        <v>4.9287323197769268</v>
      </c>
      <c r="UM15" s="133">
        <f t="shared" si="216"/>
        <v>7.4215396972446115</v>
      </c>
      <c r="UN15" s="81"/>
      <c r="UO15" s="81">
        <v>13</v>
      </c>
      <c r="UP15" s="133">
        <f t="shared" si="217"/>
        <v>-24.670234087407533</v>
      </c>
      <c r="UQ15" s="133">
        <f t="shared" si="218"/>
        <v>-22.016536258380807</v>
      </c>
      <c r="UR15" s="133">
        <f t="shared" si="219"/>
        <v>-19.743744299147789</v>
      </c>
      <c r="US15" s="133">
        <f t="shared" si="439"/>
        <v>-17.132292474476401</v>
      </c>
      <c r="UT15" s="133">
        <f t="shared" si="440"/>
        <v>-12.79336933090546</v>
      </c>
      <c r="UU15" s="134">
        <f t="shared" si="441"/>
        <v>-7.9780802583804658</v>
      </c>
      <c r="UV15" s="133">
        <f t="shared" si="442"/>
        <v>-3.1806510193453121</v>
      </c>
      <c r="UW15" s="133">
        <f t="shared" si="220"/>
        <v>1.1107652674871105</v>
      </c>
      <c r="UX15" s="133">
        <f t="shared" si="221"/>
        <v>3.6781720639893578</v>
      </c>
      <c r="UY15" s="133">
        <f t="shared" si="222"/>
        <v>5.9021720101473676</v>
      </c>
      <c r="UZ15" s="133">
        <f t="shared" si="223"/>
        <v>8.4849505863131895</v>
      </c>
      <c r="VA15" s="81"/>
      <c r="VB15" s="81">
        <v>16</v>
      </c>
      <c r="VC15" s="133">
        <f t="shared" si="224"/>
        <v>-31.970004396044295</v>
      </c>
      <c r="VD15" s="133">
        <f t="shared" si="225"/>
        <v>-27.950251548503417</v>
      </c>
      <c r="VE15" s="133">
        <f t="shared" si="226"/>
        <v>-24.710321116402199</v>
      </c>
      <c r="VF15" s="133">
        <f t="shared" si="443"/>
        <v>-21.175173748186324</v>
      </c>
      <c r="VG15" s="133">
        <f t="shared" si="444"/>
        <v>-15.65926015079561</v>
      </c>
      <c r="VH15" s="134">
        <f t="shared" si="445"/>
        <v>-9.9516573151594869</v>
      </c>
      <c r="VI15" s="133">
        <f t="shared" si="446"/>
        <v>-4.6066623407876506</v>
      </c>
      <c r="VJ15" s="133">
        <f t="shared" si="227"/>
        <v>-6.1143981674796066E-2</v>
      </c>
      <c r="VK15" s="133">
        <f t="shared" si="228"/>
        <v>2.566774449324015</v>
      </c>
      <c r="VL15" s="133">
        <f t="shared" si="229"/>
        <v>4.7934280707583099</v>
      </c>
      <c r="VM15" s="133">
        <f t="shared" si="230"/>
        <v>7.3257783641075065</v>
      </c>
      <c r="VN15" s="81"/>
      <c r="VO15" s="81">
        <v>13</v>
      </c>
      <c r="VP15" s="133">
        <f t="shared" si="231"/>
        <v>-47.631559566534811</v>
      </c>
      <c r="VQ15" s="133">
        <f t="shared" si="232"/>
        <v>-44.533306321884254</v>
      </c>
      <c r="VR15" s="133">
        <f t="shared" si="233"/>
        <v>-41.517654161754976</v>
      </c>
      <c r="VS15" s="133">
        <f t="shared" si="447"/>
        <v>-37.656793214873105</v>
      </c>
      <c r="VT15" s="133">
        <f t="shared" si="448"/>
        <v>-30.344821269281756</v>
      </c>
      <c r="VU15" s="134">
        <f t="shared" si="449"/>
        <v>-20.977127322762684</v>
      </c>
      <c r="VV15" s="133">
        <f t="shared" si="450"/>
        <v>-10.391824336029998</v>
      </c>
      <c r="VW15" s="133">
        <f t="shared" si="234"/>
        <v>9.5978416984145554E-2</v>
      </c>
      <c r="VX15" s="133">
        <f t="shared" si="235"/>
        <v>6.8175573294215965</v>
      </c>
      <c r="VY15" s="133">
        <f t="shared" si="236"/>
        <v>12.905214873174536</v>
      </c>
      <c r="VZ15" s="133">
        <f t="shared" si="237"/>
        <v>20.279162771445591</v>
      </c>
      <c r="WA15" s="81"/>
      <c r="WB15" s="81">
        <v>13</v>
      </c>
      <c r="WC15" s="133">
        <f t="shared" si="238"/>
        <v>-44.518703172034179</v>
      </c>
      <c r="WD15" s="133">
        <f t="shared" si="239"/>
        <v>-41.77966633405287</v>
      </c>
      <c r="WE15" s="133">
        <f t="shared" si="240"/>
        <v>-39.004385429031906</v>
      </c>
      <c r="WF15" s="133">
        <f t="shared" si="451"/>
        <v>-35.35130060919586</v>
      </c>
      <c r="WG15" s="133">
        <f t="shared" si="452"/>
        <v>-28.238777629365835</v>
      </c>
      <c r="WH15" s="134">
        <f t="shared" si="453"/>
        <v>-18.899808632907362</v>
      </c>
      <c r="WI15" s="133">
        <f t="shared" si="454"/>
        <v>-8.1592140001830202</v>
      </c>
      <c r="WJ15" s="133">
        <f t="shared" si="241"/>
        <v>2.6124358368492295</v>
      </c>
      <c r="WK15" s="133">
        <f t="shared" si="242"/>
        <v>9.5661587110954116</v>
      </c>
      <c r="WL15" s="133">
        <f t="shared" si="243"/>
        <v>15.891413224500205</v>
      </c>
      <c r="WM15" s="133">
        <f t="shared" si="244"/>
        <v>23.582819574099922</v>
      </c>
      <c r="WN15" s="81"/>
      <c r="WO15" s="81">
        <v>16</v>
      </c>
      <c r="WP15" s="133">
        <f t="shared" si="245"/>
        <v>-49.528851161113906</v>
      </c>
      <c r="WQ15" s="133">
        <f t="shared" si="246"/>
        <v>-46.249233144764688</v>
      </c>
      <c r="WR15" s="133">
        <f t="shared" si="247"/>
        <v>-43.043134227383277</v>
      </c>
      <c r="WS15" s="133">
        <f t="shared" si="455"/>
        <v>-38.952581462378078</v>
      </c>
      <c r="WT15" s="133">
        <f t="shared" si="456"/>
        <v>-31.287967952538629</v>
      </c>
      <c r="WU15" s="134">
        <f t="shared" si="457"/>
        <v>-21.63902911217108</v>
      </c>
      <c r="WV15" s="133">
        <f t="shared" si="458"/>
        <v>-10.944908113469147</v>
      </c>
      <c r="WW15" s="133">
        <f t="shared" si="248"/>
        <v>-0.53714902703753609</v>
      </c>
      <c r="WX15" s="133">
        <f t="shared" si="249"/>
        <v>6.0473426337547806</v>
      </c>
      <c r="WY15" s="133">
        <f t="shared" si="250"/>
        <v>11.958835590815589</v>
      </c>
      <c r="WZ15" s="133">
        <f t="shared" si="251"/>
        <v>19.058572344816987</v>
      </c>
      <c r="XA15" s="81"/>
      <c r="XB15" s="81">
        <v>13</v>
      </c>
      <c r="XC15" s="133">
        <f t="shared" si="252"/>
        <v>-50.110229046360757</v>
      </c>
      <c r="XD15" s="133">
        <f t="shared" si="253"/>
        <v>-46.288097790491015</v>
      </c>
      <c r="XE15" s="133">
        <f t="shared" si="254"/>
        <v>-42.676432571135422</v>
      </c>
      <c r="XF15" s="133">
        <f t="shared" si="459"/>
        <v>-38.203867881218031</v>
      </c>
      <c r="XG15" s="133">
        <f t="shared" si="460"/>
        <v>-30.124424054393973</v>
      </c>
      <c r="XH15" s="134">
        <f t="shared" si="461"/>
        <v>-20.352852412646847</v>
      </c>
      <c r="XI15" s="133">
        <f t="shared" si="462"/>
        <v>-9.8956770370076583</v>
      </c>
      <c r="XJ15" s="133">
        <f t="shared" si="255"/>
        <v>-2.7003553325499752E-3</v>
      </c>
      <c r="XK15" s="133">
        <f t="shared" si="256"/>
        <v>6.1383208668761569</v>
      </c>
      <c r="XL15" s="133">
        <f t="shared" si="257"/>
        <v>11.584417730337783</v>
      </c>
      <c r="XM15" s="133">
        <f t="shared" si="258"/>
        <v>18.049808295546946</v>
      </c>
      <c r="XN15" s="81"/>
      <c r="XO15" s="81">
        <v>13</v>
      </c>
      <c r="XP15" s="133">
        <f t="shared" si="259"/>
        <v>-48.007033624148463</v>
      </c>
      <c r="XQ15" s="133">
        <f t="shared" si="260"/>
        <v>-44.179054588490146</v>
      </c>
      <c r="XR15" s="133">
        <f t="shared" si="261"/>
        <v>-40.504484483645427</v>
      </c>
      <c r="XS15" s="133">
        <f t="shared" si="463"/>
        <v>-35.926192160810686</v>
      </c>
      <c r="XT15" s="133">
        <f t="shared" si="464"/>
        <v>-27.632087339196023</v>
      </c>
      <c r="XU15" s="134">
        <f t="shared" si="465"/>
        <v>-17.600798918810071</v>
      </c>
      <c r="XV15" s="133">
        <f t="shared" si="466"/>
        <v>-6.8840145455675454</v>
      </c>
      <c r="XW15" s="133">
        <f t="shared" si="262"/>
        <v>3.2325525985032186</v>
      </c>
      <c r="XX15" s="133">
        <f t="shared" si="263"/>
        <v>9.5013526449869232</v>
      </c>
      <c r="XY15" s="133">
        <f t="shared" si="264"/>
        <v>15.053856524816119</v>
      </c>
      <c r="XZ15" s="133">
        <f t="shared" si="265"/>
        <v>21.637379286077653</v>
      </c>
      <c r="YA15" s="81"/>
      <c r="YB15" s="81">
        <v>16</v>
      </c>
      <c r="YC15" s="133">
        <f t="shared" si="266"/>
        <v>-52.762268479034155</v>
      </c>
      <c r="YD15" s="133">
        <f t="shared" si="267"/>
        <v>-48.922321767182041</v>
      </c>
      <c r="YE15" s="133">
        <f t="shared" si="268"/>
        <v>-45.241463188724765</v>
      </c>
      <c r="YF15" s="133">
        <f t="shared" si="467"/>
        <v>-40.676081055807984</v>
      </c>
      <c r="YG15" s="133">
        <f t="shared" si="468"/>
        <v>-32.462045971551021</v>
      </c>
      <c r="YH15" s="134">
        <f t="shared" si="469"/>
        <v>-22.60857263833465</v>
      </c>
      <c r="YI15" s="133">
        <f t="shared" si="470"/>
        <v>-12.159358373148194</v>
      </c>
      <c r="YJ15" s="133">
        <f t="shared" si="269"/>
        <v>-2.3549312852262005</v>
      </c>
      <c r="YK15" s="133">
        <f t="shared" si="270"/>
        <v>3.6956909918303325</v>
      </c>
      <c r="YL15" s="133">
        <f t="shared" si="271"/>
        <v>9.0408182204945504</v>
      </c>
      <c r="YM15" s="133">
        <f t="shared" si="272"/>
        <v>15.362665430978403</v>
      </c>
      <c r="YN15" s="81"/>
      <c r="YO15" s="81">
        <v>13</v>
      </c>
      <c r="YP15" s="133">
        <v>20.793990282579561</v>
      </c>
      <c r="YQ15" s="133">
        <v>23.25433656648811</v>
      </c>
      <c r="YR15" s="133">
        <v>25.601972920640005</v>
      </c>
      <c r="YS15" s="133">
        <v>28.604279685431631</v>
      </c>
      <c r="YT15" s="133">
        <v>34.416474522750867</v>
      </c>
      <c r="YU15" s="134">
        <v>42.296793222962293</v>
      </c>
      <c r="YV15" s="133">
        <v>51.981463579699451</v>
      </c>
      <c r="YW15" s="133">
        <v>62.54374298602557</v>
      </c>
      <c r="YX15" s="133">
        <v>69.878158315828216</v>
      </c>
      <c r="YY15" s="133">
        <v>76.932692181130122</v>
      </c>
      <c r="YZ15" s="133">
        <v>86.035373328264086</v>
      </c>
      <c r="ZA15" s="81"/>
      <c r="ZB15" s="81">
        <v>13</v>
      </c>
      <c r="ZC15" s="133">
        <v>21.012016182429658</v>
      </c>
      <c r="ZD15" s="133">
        <v>23.392291203024971</v>
      </c>
      <c r="ZE15" s="133">
        <v>25.654030421910971</v>
      </c>
      <c r="ZF15" s="133">
        <v>28.534390592582788</v>
      </c>
      <c r="ZG15" s="133">
        <v>34.076897996454257</v>
      </c>
      <c r="ZH15" s="134">
        <v>41.532251963780979</v>
      </c>
      <c r="ZI15" s="133">
        <v>50.618690508815369</v>
      </c>
      <c r="ZJ15" s="133">
        <v>60.450842557379346</v>
      </c>
      <c r="ZK15" s="133">
        <v>67.238087926711771</v>
      </c>
      <c r="ZL15" s="133">
        <v>73.739162111658771</v>
      </c>
      <c r="ZM15" s="133">
        <v>82.092453109063442</v>
      </c>
      <c r="ZN15" s="81"/>
      <c r="ZO15" s="81">
        <v>16</v>
      </c>
      <c r="ZP15" s="133">
        <v>22.178716216027137</v>
      </c>
      <c r="ZQ15" s="133">
        <v>24.800556006613814</v>
      </c>
      <c r="ZR15" s="133">
        <v>27.302068129122208</v>
      </c>
      <c r="ZS15" s="133">
        <v>30.50088002634611</v>
      </c>
      <c r="ZT15" s="133">
        <v>36.692706215562431</v>
      </c>
      <c r="ZU15" s="134">
        <v>45.086344186875245</v>
      </c>
      <c r="ZV15" s="133">
        <v>55.400068345877933</v>
      </c>
      <c r="ZW15" s="133">
        <v>66.646550210403817</v>
      </c>
      <c r="ZX15" s="133">
        <v>74.455108035170454</v>
      </c>
      <c r="ZY15" s="133">
        <v>81.965034638549085</v>
      </c>
      <c r="ZZ15" s="133">
        <v>91.654467839234997</v>
      </c>
      <c r="AAA15" s="81"/>
      <c r="AAB15" s="81">
        <v>13</v>
      </c>
      <c r="AAC15" s="133">
        <v>7.6844144575734772</v>
      </c>
      <c r="AAD15" s="133">
        <v>8.4946150237330063</v>
      </c>
      <c r="AAE15" s="133">
        <v>9.2594323126314926</v>
      </c>
      <c r="AAF15" s="133">
        <v>10.227066643683472</v>
      </c>
      <c r="AAG15" s="133">
        <v>12.071488319594634</v>
      </c>
      <c r="AAH15" s="134">
        <v>14.5218586704628</v>
      </c>
      <c r="AAI15" s="133">
        <v>17.46962542328642</v>
      </c>
      <c r="AAJ15" s="133">
        <v>20.620221476227869</v>
      </c>
      <c r="AAK15" s="133">
        <v>22.775087297437473</v>
      </c>
      <c r="AAL15" s="133">
        <v>24.825654683079595</v>
      </c>
      <c r="AAM15" s="133">
        <v>27.443129259777962</v>
      </c>
      <c r="AAN15" s="81"/>
      <c r="AAO15" s="81">
        <v>13</v>
      </c>
      <c r="AAP15" s="133">
        <v>7.6122096508036785</v>
      </c>
      <c r="AAQ15" s="133">
        <v>8.4093666996296541</v>
      </c>
      <c r="AAR15" s="133">
        <v>9.1614204821521508</v>
      </c>
      <c r="AAS15" s="133">
        <v>10.112336865308606</v>
      </c>
      <c r="AAT15" s="133">
        <v>11.923327881139675</v>
      </c>
      <c r="AAU15" s="134">
        <v>14.326561079688897</v>
      </c>
      <c r="AAV15" s="133">
        <v>17.214183356873193</v>
      </c>
      <c r="AAW15" s="133">
        <v>20.297024822639045</v>
      </c>
      <c r="AAX15" s="133">
        <v>22.403769455830108</v>
      </c>
      <c r="AAY15" s="133">
        <v>24.407349530743591</v>
      </c>
      <c r="AAZ15" s="133">
        <v>26.963307867957486</v>
      </c>
      <c r="ABA15" s="81"/>
      <c r="ABB15" s="81">
        <v>16</v>
      </c>
      <c r="ABC15" s="133">
        <v>8.3597167831420549</v>
      </c>
      <c r="ABD15" s="133">
        <v>9.2293041374074534</v>
      </c>
      <c r="ABE15" s="133">
        <v>10.049207965562445</v>
      </c>
      <c r="ABF15" s="133">
        <v>11.085306463539194</v>
      </c>
      <c r="ABG15" s="133">
        <v>13.056852974020405</v>
      </c>
      <c r="ABH15" s="134">
        <v>15.670241088182971</v>
      </c>
      <c r="ABI15" s="133">
        <v>18.806710640792897</v>
      </c>
      <c r="ABJ15" s="133">
        <v>22.151526127801731</v>
      </c>
      <c r="ABK15" s="133">
        <v>24.4354039246947</v>
      </c>
      <c r="ABL15" s="133">
        <v>26.606172264549045</v>
      </c>
      <c r="ABM15" s="133">
        <v>29.373776903179223</v>
      </c>
      <c r="ABN15" s="81"/>
      <c r="ABO15" s="81">
        <v>13</v>
      </c>
      <c r="ABP15" s="133">
        <f t="shared" si="273"/>
        <v>0.17047090850410257</v>
      </c>
      <c r="ABQ15" s="133">
        <f t="shared" si="274"/>
        <v>0.19320606856929975</v>
      </c>
      <c r="ABR15" s="133">
        <f t="shared" si="275"/>
        <v>0.21446220990868053</v>
      </c>
      <c r="ABS15" s="133">
        <f t="shared" si="471"/>
        <v>0.24102942345611172</v>
      </c>
      <c r="ABT15" s="133">
        <f t="shared" si="472"/>
        <v>0.29057751415966782</v>
      </c>
      <c r="ABU15" s="134">
        <f t="shared" si="473"/>
        <v>0.35412764701147009</v>
      </c>
      <c r="ABV15" s="133">
        <f t="shared" si="474"/>
        <v>0.42725465287543307</v>
      </c>
      <c r="ABW15" s="133">
        <f t="shared" si="276"/>
        <v>0.50171991870031263</v>
      </c>
      <c r="ABX15" s="133">
        <f t="shared" si="277"/>
        <v>0.55065140259758594</v>
      </c>
      <c r="ABY15" s="133">
        <f t="shared" si="278"/>
        <v>0.5958324660518608</v>
      </c>
      <c r="ABZ15" s="133">
        <f t="shared" si="279"/>
        <v>0.65169634522072262</v>
      </c>
      <c r="ACA15" s="81"/>
      <c r="ACB15" s="81">
        <v>13</v>
      </c>
      <c r="ACC15" s="133">
        <f t="shared" si="280"/>
        <v>0.18037312890288426</v>
      </c>
      <c r="ACD15" s="133">
        <f t="shared" si="281"/>
        <v>0.20207292590539472</v>
      </c>
      <c r="ACE15" s="133">
        <f t="shared" si="282"/>
        <v>0.22249329898297993</v>
      </c>
      <c r="ACF15" s="133">
        <f t="shared" si="475"/>
        <v>0.24821378201085428</v>
      </c>
      <c r="ACG15" s="133">
        <f t="shared" si="476"/>
        <v>0.29681365574394147</v>
      </c>
      <c r="ACH15" s="134">
        <f t="shared" si="477"/>
        <v>0.3604078184615862</v>
      </c>
      <c r="ACI15" s="133">
        <f t="shared" si="478"/>
        <v>0.43536959253788865</v>
      </c>
      <c r="ACJ15" s="133">
        <f t="shared" si="283"/>
        <v>0.51365222439093405</v>
      </c>
      <c r="ACK15" s="133">
        <f t="shared" si="284"/>
        <v>0.56614497149570642</v>
      </c>
      <c r="ACL15" s="133">
        <f t="shared" si="285"/>
        <v>0.61534237689812721</v>
      </c>
      <c r="ACM15" s="133">
        <f t="shared" si="286"/>
        <v>0.67712191985081116</v>
      </c>
      <c r="ACN15" s="81"/>
      <c r="ACO15" s="81">
        <v>16</v>
      </c>
      <c r="ACP15" s="133">
        <f t="shared" si="287"/>
        <v>0.16090829266290796</v>
      </c>
      <c r="ACQ15" s="133">
        <f t="shared" si="288"/>
        <v>0.1867959402164058</v>
      </c>
      <c r="ACR15" s="133">
        <f t="shared" si="289"/>
        <v>0.21065732841699522</v>
      </c>
      <c r="ACS15" s="133">
        <f t="shared" si="479"/>
        <v>0.24000829346807462</v>
      </c>
      <c r="ACT15" s="133">
        <f t="shared" si="480"/>
        <v>0.29342507813351909</v>
      </c>
      <c r="ACU15" s="134">
        <f t="shared" si="481"/>
        <v>0.35939772787632412</v>
      </c>
      <c r="ACV15" s="133">
        <f t="shared" si="482"/>
        <v>0.43229014631406709</v>
      </c>
      <c r="ACW15" s="133">
        <f t="shared" si="290"/>
        <v>0.50372766610238118</v>
      </c>
      <c r="ACX15" s="133">
        <f t="shared" si="291"/>
        <v>0.5492191401525921</v>
      </c>
      <c r="ACY15" s="133">
        <f t="shared" si="292"/>
        <v>0.59032155590070612</v>
      </c>
      <c r="ACZ15" s="133">
        <f t="shared" si="293"/>
        <v>0.64003878686433335</v>
      </c>
      <c r="ADA15" s="81"/>
      <c r="ADB15" s="81">
        <v>13</v>
      </c>
      <c r="ADC15" s="133">
        <f t="shared" si="294"/>
        <v>0.14282188657406938</v>
      </c>
      <c r="ADD15" s="133">
        <f t="shared" si="295"/>
        <v>0.16049615621815522</v>
      </c>
      <c r="ADE15" s="133">
        <f t="shared" si="296"/>
        <v>0.17605769238285893</v>
      </c>
      <c r="ADF15" s="133">
        <f t="shared" si="483"/>
        <v>0.19439046919122191</v>
      </c>
      <c r="ADG15" s="133">
        <f t="shared" si="484"/>
        <v>0.22584840499163911</v>
      </c>
      <c r="ADH15" s="134">
        <f t="shared" si="485"/>
        <v>0.26210999063481644</v>
      </c>
      <c r="ADI15" s="133">
        <f t="shared" si="486"/>
        <v>0.29953931452493671</v>
      </c>
      <c r="ADJ15" s="133">
        <f t="shared" si="297"/>
        <v>0.33404593920056447</v>
      </c>
      <c r="ADK15" s="133">
        <f t="shared" si="298"/>
        <v>0.35512828009124153</v>
      </c>
      <c r="ADL15" s="133">
        <f t="shared" si="299"/>
        <v>0.37364561032052729</v>
      </c>
      <c r="ADM15" s="133">
        <f t="shared" si="300"/>
        <v>0.39543827062158282</v>
      </c>
      <c r="ADN15" s="81"/>
      <c r="ADO15" s="81">
        <v>13</v>
      </c>
      <c r="ADP15" s="133">
        <f t="shared" si="301"/>
        <v>0.15059973161457552</v>
      </c>
      <c r="ADQ15" s="133">
        <f t="shared" si="302"/>
        <v>0.16700119435092434</v>
      </c>
      <c r="ADR15" s="133">
        <f t="shared" si="303"/>
        <v>0.18163360087425179</v>
      </c>
      <c r="ADS15" s="133">
        <f t="shared" si="487"/>
        <v>0.1990958492891324</v>
      </c>
      <c r="ADT15" s="133">
        <f t="shared" si="488"/>
        <v>0.22960483651514565</v>
      </c>
      <c r="ADU15" s="134">
        <f t="shared" si="489"/>
        <v>0.26558650691637298</v>
      </c>
      <c r="ADV15" s="133">
        <f t="shared" si="490"/>
        <v>0.30358965419621409</v>
      </c>
      <c r="ADW15" s="133">
        <f t="shared" si="304"/>
        <v>0.3393586198348712</v>
      </c>
      <c r="ADX15" s="133">
        <f t="shared" si="305"/>
        <v>0.36154260398109911</v>
      </c>
      <c r="ADY15" s="133">
        <f t="shared" si="306"/>
        <v>0.38122704703578864</v>
      </c>
      <c r="ADZ15" s="133">
        <f t="shared" si="307"/>
        <v>0.40462560314781942</v>
      </c>
      <c r="AEA15" s="81"/>
      <c r="AEB15" s="81">
        <v>16</v>
      </c>
      <c r="AEC15" s="133">
        <f t="shared" si="308"/>
        <v>0.13519895856196248</v>
      </c>
      <c r="AED15" s="133">
        <f t="shared" si="309"/>
        <v>0.15585114216579576</v>
      </c>
      <c r="AEE15" s="133">
        <f t="shared" si="310"/>
        <v>0.17352521624634296</v>
      </c>
      <c r="AEF15" s="133">
        <f t="shared" si="491"/>
        <v>0.19381361508268702</v>
      </c>
      <c r="AEG15" s="133">
        <f t="shared" si="492"/>
        <v>0.22747397007097447</v>
      </c>
      <c r="AEH15" s="134">
        <f t="shared" si="493"/>
        <v>0.2647585014939865</v>
      </c>
      <c r="AEI15" s="133">
        <f t="shared" si="494"/>
        <v>0.30183345590031901</v>
      </c>
      <c r="AEJ15" s="133">
        <f t="shared" si="311"/>
        <v>0.33494139478467999</v>
      </c>
      <c r="AEK15" s="133">
        <f t="shared" si="312"/>
        <v>0.35472469283203401</v>
      </c>
      <c r="AEL15" s="133">
        <f t="shared" si="313"/>
        <v>0.37184796423129352</v>
      </c>
      <c r="AEM15" s="133">
        <f t="shared" si="314"/>
        <v>0.39171800198606727</v>
      </c>
      <c r="AEN15" s="81"/>
    </row>
    <row r="16" spans="1:820">
      <c r="A16" s="81"/>
      <c r="B16" s="81">
        <v>15</v>
      </c>
      <c r="C16" s="133">
        <f t="shared" si="0"/>
        <v>1.621715479216808</v>
      </c>
      <c r="D16" s="133">
        <f t="shared" si="1"/>
        <v>1.8986245740647949</v>
      </c>
      <c r="E16" s="133">
        <f t="shared" si="2"/>
        <v>2.1824971793324104</v>
      </c>
      <c r="F16" s="133">
        <f t="shared" si="315"/>
        <v>2.5745712853802916</v>
      </c>
      <c r="G16" s="133">
        <f t="shared" si="316"/>
        <v>3.4314454585241254</v>
      </c>
      <c r="H16" s="134">
        <f t="shared" si="317"/>
        <v>4.8171650185991082</v>
      </c>
      <c r="I16" s="133">
        <f t="shared" si="318"/>
        <v>6.9169723549719588</v>
      </c>
      <c r="J16" s="133">
        <f t="shared" si="3"/>
        <v>9.780933005169695</v>
      </c>
      <c r="K16" s="133">
        <f t="shared" si="4"/>
        <v>12.173105535110791</v>
      </c>
      <c r="L16" s="133">
        <f t="shared" si="5"/>
        <v>14.826347832724172</v>
      </c>
      <c r="M16" s="133">
        <f t="shared" si="6"/>
        <v>18.822249151613715</v>
      </c>
      <c r="N16" s="81"/>
      <c r="O16" s="75">
        <v>15</v>
      </c>
      <c r="P16" s="151">
        <f t="shared" si="7"/>
        <v>2.2761898938664427</v>
      </c>
      <c r="Q16" s="151">
        <f t="shared" si="8"/>
        <v>2.5362682887020962</v>
      </c>
      <c r="R16" s="151">
        <f t="shared" si="9"/>
        <v>2.7945547562218227</v>
      </c>
      <c r="S16" s="151">
        <f t="shared" si="319"/>
        <v>3.1405566129226532</v>
      </c>
      <c r="T16" s="151">
        <f t="shared" si="320"/>
        <v>3.8660786045367361</v>
      </c>
      <c r="U16" s="134">
        <f t="shared" si="321"/>
        <v>4.9851619010572019</v>
      </c>
      <c r="V16" s="151">
        <f t="shared" si="322"/>
        <v>6.6176593474918999</v>
      </c>
      <c r="W16" s="151">
        <f t="shared" si="10"/>
        <v>8.7997674929964305</v>
      </c>
      <c r="X16" s="151">
        <f t="shared" si="11"/>
        <v>10.619594593355318</v>
      </c>
      <c r="Y16" s="151">
        <f t="shared" si="12"/>
        <v>12.65602996080278</v>
      </c>
      <c r="Z16" s="151">
        <f t="shared" si="13"/>
        <v>15.784752186525525</v>
      </c>
      <c r="AA16" s="81"/>
      <c r="AB16" s="75">
        <v>17</v>
      </c>
      <c r="AC16" s="151">
        <f t="shared" si="14"/>
        <v>1.2991532026691281</v>
      </c>
      <c r="AD16" s="151">
        <f t="shared" si="15"/>
        <v>1.554624405413602</v>
      </c>
      <c r="AE16" s="151">
        <f t="shared" si="16"/>
        <v>1.8251336763777819</v>
      </c>
      <c r="AF16" s="151">
        <f t="shared" si="323"/>
        <v>2.2124303581972806</v>
      </c>
      <c r="AG16" s="151">
        <f t="shared" si="324"/>
        <v>3.1108738954793047</v>
      </c>
      <c r="AH16" s="134">
        <f t="shared" si="325"/>
        <v>4.7037625636547657</v>
      </c>
      <c r="AI16" s="151">
        <f t="shared" si="326"/>
        <v>7.4206567891808195</v>
      </c>
      <c r="AJ16" s="151">
        <f t="shared" si="17"/>
        <v>11.673774326248113</v>
      </c>
      <c r="AK16" s="151">
        <f t="shared" si="18"/>
        <v>15.687800476967354</v>
      </c>
      <c r="AL16" s="151">
        <f t="shared" si="19"/>
        <v>20.61802665564424</v>
      </c>
      <c r="AM16" s="151">
        <f t="shared" si="20"/>
        <v>28.979829376221332</v>
      </c>
      <c r="AN16" s="81"/>
      <c r="AO16" s="81">
        <v>15</v>
      </c>
      <c r="AP16" s="133">
        <f t="shared" si="21"/>
        <v>1.822566247871733</v>
      </c>
      <c r="AQ16" s="133">
        <f t="shared" si="22"/>
        <v>3.3819398366423323</v>
      </c>
      <c r="AR16" s="133">
        <f t="shared" si="23"/>
        <v>4.8299779399445297</v>
      </c>
      <c r="AS16" s="133">
        <f t="shared" si="327"/>
        <v>6.6230471052751492</v>
      </c>
      <c r="AT16" s="133">
        <f t="shared" si="328"/>
        <v>9.9111794644074998</v>
      </c>
      <c r="AU16" s="134">
        <f t="shared" si="329"/>
        <v>14.017965886236983</v>
      </c>
      <c r="AV16" s="133">
        <f t="shared" si="330"/>
        <v>18.595471260181935</v>
      </c>
      <c r="AW16" s="133">
        <f t="shared" si="24"/>
        <v>23.106822426494389</v>
      </c>
      <c r="AX16" s="133">
        <f t="shared" si="25"/>
        <v>25.995939096985591</v>
      </c>
      <c r="AY16" s="133">
        <f t="shared" si="26"/>
        <v>28.614578679216212</v>
      </c>
      <c r="AZ16" s="133">
        <f t="shared" si="27"/>
        <v>31.791583118789209</v>
      </c>
      <c r="BA16" s="81"/>
      <c r="BB16" s="81">
        <v>15</v>
      </c>
      <c r="BC16" s="133">
        <f t="shared" si="28"/>
        <v>4.6539275325086491</v>
      </c>
      <c r="BD16" s="133">
        <f t="shared" si="29"/>
        <v>6.2502316580821295</v>
      </c>
      <c r="BE16" s="133">
        <f t="shared" si="30"/>
        <v>7.6901400391705463</v>
      </c>
      <c r="BF16" s="133">
        <f t="shared" si="331"/>
        <v>9.425649889909721</v>
      </c>
      <c r="BG16" s="133">
        <f t="shared" si="332"/>
        <v>12.49646077507769</v>
      </c>
      <c r="BH16" s="134">
        <f t="shared" si="333"/>
        <v>16.171218773381543</v>
      </c>
      <c r="BI16" s="133">
        <f t="shared" si="334"/>
        <v>20.104103581772584</v>
      </c>
      <c r="BJ16" s="133">
        <f t="shared" si="31"/>
        <v>23.846597617824671</v>
      </c>
      <c r="BK16" s="133">
        <f t="shared" si="32"/>
        <v>26.185092207688523</v>
      </c>
      <c r="BL16" s="133">
        <f t="shared" si="33"/>
        <v>28.27020504904576</v>
      </c>
      <c r="BM16" s="133">
        <f t="shared" si="34"/>
        <v>30.760194632602538</v>
      </c>
      <c r="BN16" s="81"/>
      <c r="BO16" s="75">
        <v>17</v>
      </c>
      <c r="BP16" s="151">
        <f t="shared" si="35"/>
        <v>2.857308726979034</v>
      </c>
      <c r="BQ16" s="151">
        <f t="shared" si="36"/>
        <v>3.6051974888981402</v>
      </c>
      <c r="BR16" s="151">
        <f t="shared" si="37"/>
        <v>4.3759783079205476</v>
      </c>
      <c r="BS16" s="151">
        <f t="shared" si="335"/>
        <v>5.4348443395170154</v>
      </c>
      <c r="BT16" s="151">
        <f t="shared" si="336"/>
        <v>7.6870813662620927</v>
      </c>
      <c r="BU16" s="134">
        <f t="shared" si="337"/>
        <v>11.090714536905633</v>
      </c>
      <c r="BV16" s="151">
        <f t="shared" si="338"/>
        <v>15.702305353085258</v>
      </c>
      <c r="BW16" s="151">
        <f t="shared" si="38"/>
        <v>21.141256745008402</v>
      </c>
      <c r="BX16" s="151">
        <f t="shared" si="39"/>
        <v>25.114261187770211</v>
      </c>
      <c r="BY16" s="151">
        <f t="shared" si="40"/>
        <v>29.058989685612143</v>
      </c>
      <c r="BZ16" s="151">
        <f t="shared" si="41"/>
        <v>34.298131040458607</v>
      </c>
      <c r="CA16" s="81"/>
      <c r="CB16" s="81">
        <v>15</v>
      </c>
      <c r="CC16" s="133">
        <f t="shared" si="42"/>
        <v>-4.4996986490850857</v>
      </c>
      <c r="CD16" s="133">
        <f t="shared" si="43"/>
        <v>-2.4569328554613543</v>
      </c>
      <c r="CE16" s="133">
        <f t="shared" si="44"/>
        <v>-0.44484199845447581</v>
      </c>
      <c r="CF16" s="133">
        <f t="shared" si="339"/>
        <v>2.1211931775630601</v>
      </c>
      <c r="CG16" s="133">
        <f t="shared" si="340"/>
        <v>6.9033681138591012</v>
      </c>
      <c r="CH16" s="134">
        <f t="shared" si="341"/>
        <v>12.866515004756746</v>
      </c>
      <c r="CI16" s="133">
        <f t="shared" si="342"/>
        <v>19.40673783779333</v>
      </c>
      <c r="CJ16" s="133">
        <f t="shared" si="45"/>
        <v>25.711553640157593</v>
      </c>
      <c r="CK16" s="133">
        <f t="shared" si="46"/>
        <v>29.673315698112308</v>
      </c>
      <c r="CL16" s="133">
        <f t="shared" si="47"/>
        <v>33.214015999567373</v>
      </c>
      <c r="CM16" s="133">
        <f t="shared" si="48"/>
        <v>37.44777498535236</v>
      </c>
      <c r="CN16" s="81"/>
      <c r="CO16" s="81">
        <v>15</v>
      </c>
      <c r="CP16" s="133">
        <f t="shared" si="49"/>
        <v>0.73850018883189072</v>
      </c>
      <c r="CQ16" s="133">
        <f t="shared" si="50"/>
        <v>2.9329774881172517</v>
      </c>
      <c r="CR16" s="133">
        <f t="shared" si="51"/>
        <v>4.9631226826335899</v>
      </c>
      <c r="CS16" s="133">
        <f t="shared" si="343"/>
        <v>7.4535436189409845</v>
      </c>
      <c r="CT16" s="133">
        <f t="shared" si="344"/>
        <v>11.933469148217448</v>
      </c>
      <c r="CU16" s="134">
        <f t="shared" si="345"/>
        <v>17.360631177264079</v>
      </c>
      <c r="CV16" s="133">
        <f t="shared" si="346"/>
        <v>23.201305310482741</v>
      </c>
      <c r="CW16" s="133">
        <f t="shared" si="52"/>
        <v>28.764484046651756</v>
      </c>
      <c r="CX16" s="133">
        <f t="shared" si="53"/>
        <v>32.236801216511267</v>
      </c>
      <c r="CY16" s="133">
        <f t="shared" si="54"/>
        <v>35.328269433771723</v>
      </c>
      <c r="CZ16" s="133">
        <f t="shared" si="55"/>
        <v>39.012823577737869</v>
      </c>
      <c r="DA16" s="81"/>
      <c r="DB16" s="81">
        <v>17</v>
      </c>
      <c r="DC16" s="133">
        <f t="shared" si="56"/>
        <v>-5.7374222554857193</v>
      </c>
      <c r="DD16" s="133">
        <f t="shared" si="57"/>
        <v>-4.4671883714156913</v>
      </c>
      <c r="DE16" s="133">
        <f t="shared" si="58"/>
        <v>-3.1163777971282607</v>
      </c>
      <c r="DF16" s="133">
        <f t="shared" si="347"/>
        <v>-1.2918150878681516</v>
      </c>
      <c r="DG16" s="133">
        <f t="shared" si="348"/>
        <v>2.3311422888469808</v>
      </c>
      <c r="DH16" s="134">
        <f t="shared" si="349"/>
        <v>7.1467267019442984</v>
      </c>
      <c r="DI16" s="133">
        <f t="shared" si="350"/>
        <v>12.713369134015913</v>
      </c>
      <c r="DJ16" s="133">
        <f t="shared" si="59"/>
        <v>18.303557415684629</v>
      </c>
      <c r="DK16" s="133">
        <f t="shared" si="60"/>
        <v>21.911605218926411</v>
      </c>
      <c r="DL16" s="133">
        <f t="shared" si="61"/>
        <v>25.19172214367207</v>
      </c>
      <c r="DM16" s="133">
        <f t="shared" si="62"/>
        <v>29.177100516837402</v>
      </c>
      <c r="DN16" s="81"/>
      <c r="DO16" s="81">
        <v>15</v>
      </c>
      <c r="DP16" s="133">
        <v>13.092479467539722</v>
      </c>
      <c r="DQ16" s="133">
        <v>14.460199234321427</v>
      </c>
      <c r="DR16" s="133">
        <v>15.75025707833632</v>
      </c>
      <c r="DS16" s="133">
        <v>17.381090742419563</v>
      </c>
      <c r="DT16" s="133">
        <v>20.486005354659977</v>
      </c>
      <c r="DU16" s="134">
        <v>24.604642507061143</v>
      </c>
      <c r="DV16" s="133">
        <v>29.55131673645549</v>
      </c>
      <c r="DW16" s="133">
        <v>34.830290105027444</v>
      </c>
      <c r="DX16" s="133">
        <v>38.436733438018699</v>
      </c>
      <c r="DY16" s="133">
        <v>41.865843138826513</v>
      </c>
      <c r="DZ16" s="133">
        <v>46.23940288783529</v>
      </c>
      <c r="EA16" s="81"/>
      <c r="EB16" s="81">
        <v>15</v>
      </c>
      <c r="EC16" s="133">
        <v>13.64350793242601</v>
      </c>
      <c r="ED16" s="133">
        <v>14.733944605735399</v>
      </c>
      <c r="EE16" s="133">
        <v>15.741234937681677</v>
      </c>
      <c r="EF16" s="133">
        <v>16.988337722909797</v>
      </c>
      <c r="EG16" s="133">
        <v>19.29246412677422</v>
      </c>
      <c r="EH16" s="134">
        <v>22.230751756145878</v>
      </c>
      <c r="EI16" s="133">
        <v>25.616547497295596</v>
      </c>
      <c r="EJ16" s="133">
        <v>29.090917057583344</v>
      </c>
      <c r="EK16" s="133">
        <v>31.395651332306997</v>
      </c>
      <c r="EL16" s="133">
        <v>33.542024004285061</v>
      </c>
      <c r="EM16" s="133">
        <v>36.222819387147617</v>
      </c>
      <c r="EN16" s="81"/>
      <c r="EO16" s="81">
        <v>17</v>
      </c>
      <c r="EP16" s="133">
        <v>15.319204847051695</v>
      </c>
      <c r="EQ16" s="133">
        <v>16.900609544624917</v>
      </c>
      <c r="ER16" s="133">
        <v>18.390670102795234</v>
      </c>
      <c r="ES16" s="133">
        <v>20.272382585429639</v>
      </c>
      <c r="ET16" s="133">
        <v>23.849580987384886</v>
      </c>
      <c r="EU16" s="134">
        <v>28.585386624565473</v>
      </c>
      <c r="EV16" s="133">
        <v>34.261580063318526</v>
      </c>
      <c r="EW16" s="133">
        <v>40.307266550068867</v>
      </c>
      <c r="EX16" s="133">
        <v>44.431460295277141</v>
      </c>
      <c r="EY16" s="133">
        <v>48.348808149098119</v>
      </c>
      <c r="EZ16" s="133">
        <v>53.33986565452507</v>
      </c>
      <c r="FA16" s="81"/>
      <c r="FB16" s="81">
        <v>15</v>
      </c>
      <c r="FC16" s="133">
        <v>6.5352612488420343</v>
      </c>
      <c r="FD16" s="133">
        <v>7.3482326681515726</v>
      </c>
      <c r="FE16" s="133">
        <v>8.1278709313482089</v>
      </c>
      <c r="FF16" s="133">
        <v>9.1299502007016997</v>
      </c>
      <c r="FG16" s="133">
        <v>11.084021151145594</v>
      </c>
      <c r="FH16" s="134">
        <v>13.7587236141232</v>
      </c>
      <c r="FI16" s="133">
        <v>17.078862707715594</v>
      </c>
      <c r="FJ16" s="133">
        <v>20.734228700971684</v>
      </c>
      <c r="FK16" s="133">
        <v>23.290536610235119</v>
      </c>
      <c r="FL16" s="133">
        <v>25.761633312224696</v>
      </c>
      <c r="FM16" s="133">
        <v>28.966321051568261</v>
      </c>
      <c r="FN16" s="81"/>
      <c r="FO16" s="81">
        <v>15</v>
      </c>
      <c r="FP16" s="133">
        <v>6.3221529963984819</v>
      </c>
      <c r="FQ16" s="133">
        <v>7.006933127964313</v>
      </c>
      <c r="FR16" s="133">
        <v>7.6549178917019125</v>
      </c>
      <c r="FS16" s="133">
        <v>8.4767193704366885</v>
      </c>
      <c r="FT16" s="133">
        <v>10.048628815865664</v>
      </c>
      <c r="FU16" s="134">
        <v>12.146514090251062</v>
      </c>
      <c r="FV16" s="133">
        <v>14.682381770508009</v>
      </c>
      <c r="FW16" s="133">
        <v>17.405059445428709</v>
      </c>
      <c r="FX16" s="133">
        <v>19.2735972654392</v>
      </c>
      <c r="FY16" s="133">
        <v>21.055974397108439</v>
      </c>
      <c r="FZ16" s="133">
        <v>23.336639374073176</v>
      </c>
      <c r="GA16" s="81"/>
      <c r="GB16" s="81">
        <v>17</v>
      </c>
      <c r="GC16" s="133">
        <v>7.9107462690520158</v>
      </c>
      <c r="GD16" s="133">
        <v>8.8803152425821263</v>
      </c>
      <c r="GE16" s="133">
        <v>9.8087234293424039</v>
      </c>
      <c r="GF16" s="133">
        <v>11.000211766199822</v>
      </c>
      <c r="GG16" s="133">
        <v>13.318556748749895</v>
      </c>
      <c r="GH16" s="134">
        <v>16.482791104696055</v>
      </c>
      <c r="GI16" s="133">
        <v>20.398787025219388</v>
      </c>
      <c r="GJ16" s="133">
        <v>24.697924765034223</v>
      </c>
      <c r="GK16" s="133">
        <v>27.698038848594756</v>
      </c>
      <c r="GL16" s="133">
        <v>30.593779069722579</v>
      </c>
      <c r="GM16" s="133">
        <v>34.343460573866253</v>
      </c>
      <c r="GN16" s="81"/>
      <c r="GO16" s="81">
        <v>15</v>
      </c>
      <c r="GP16" s="133">
        <f t="shared" si="63"/>
        <v>0.35652875496362252</v>
      </c>
      <c r="GQ16" s="133">
        <f t="shared" si="64"/>
        <v>0.39981573038110491</v>
      </c>
      <c r="GR16" s="133">
        <f t="shared" si="65"/>
        <v>0.43341442984418754</v>
      </c>
      <c r="GS16" s="133">
        <f t="shared" si="351"/>
        <v>0.46901061562936897</v>
      </c>
      <c r="GT16" s="133">
        <f t="shared" si="352"/>
        <v>0.52422720115992927</v>
      </c>
      <c r="GU16" s="134">
        <f t="shared" si="353"/>
        <v>0.57643585292255617</v>
      </c>
      <c r="GV16" s="133">
        <f t="shared" si="354"/>
        <v>0.62405471030465132</v>
      </c>
      <c r="GW16" s="133">
        <f t="shared" si="66"/>
        <v>0.6659093032394503</v>
      </c>
      <c r="GX16" s="133">
        <f t="shared" si="67"/>
        <v>0.68904617125026546</v>
      </c>
      <c r="GY16" s="133">
        <f t="shared" si="68"/>
        <v>0.70846677621106402</v>
      </c>
      <c r="GZ16" s="133">
        <f t="shared" si="69"/>
        <v>0.73036076122063964</v>
      </c>
      <c r="HA16" s="81"/>
      <c r="HB16" s="81">
        <v>15</v>
      </c>
      <c r="HC16" s="133">
        <f t="shared" si="70"/>
        <v>0.33729966017333596</v>
      </c>
      <c r="HD16" s="133">
        <f t="shared" si="71"/>
        <v>0.38396972399787271</v>
      </c>
      <c r="HE16" s="133">
        <f t="shared" si="72"/>
        <v>0.41983194919446476</v>
      </c>
      <c r="HF16" s="133">
        <f t="shared" si="355"/>
        <v>0.45757766248157067</v>
      </c>
      <c r="HG16" s="133">
        <f t="shared" si="356"/>
        <v>0.51419731845989658</v>
      </c>
      <c r="HH16" s="134">
        <f t="shared" si="357"/>
        <v>0.57048808943993157</v>
      </c>
      <c r="HI16" s="133">
        <f t="shared" si="358"/>
        <v>0.62151814831870467</v>
      </c>
      <c r="HJ16" s="133">
        <f t="shared" si="73"/>
        <v>0.6638487396286491</v>
      </c>
      <c r="HK16" s="133">
        <f t="shared" si="74"/>
        <v>0.68792900311884175</v>
      </c>
      <c r="HL16" s="133">
        <f t="shared" si="75"/>
        <v>0.70812655122630075</v>
      </c>
      <c r="HM16" s="133">
        <f t="shared" si="76"/>
        <v>0.73088201736431535</v>
      </c>
      <c r="HN16" s="81"/>
      <c r="HO16" s="81">
        <v>17</v>
      </c>
      <c r="HP16" s="83">
        <f t="shared" si="77"/>
        <v>0.38769987383879695</v>
      </c>
      <c r="HQ16" s="83">
        <f t="shared" si="78"/>
        <v>0.42638580948635496</v>
      </c>
      <c r="HR16" s="83">
        <f t="shared" si="79"/>
        <v>0.45685383844905597</v>
      </c>
      <c r="HS16" s="83">
        <f t="shared" si="359"/>
        <v>0.48945979284341506</v>
      </c>
      <c r="HT16" s="83">
        <f t="shared" si="360"/>
        <v>0.53916612087397398</v>
      </c>
      <c r="HU16" s="84">
        <f t="shared" si="361"/>
        <v>0.58929433308201051</v>
      </c>
      <c r="HV16" s="83">
        <f t="shared" si="362"/>
        <v>0.63519100010797358</v>
      </c>
      <c r="HW16" s="83">
        <f t="shared" si="80"/>
        <v>0.67351488804408877</v>
      </c>
      <c r="HX16" s="83">
        <f t="shared" si="81"/>
        <v>0.69539927241961219</v>
      </c>
      <c r="HY16" s="83">
        <f t="shared" si="82"/>
        <v>0.71379542055465817</v>
      </c>
      <c r="HZ16" s="83">
        <f t="shared" si="83"/>
        <v>0.73456100622382414</v>
      </c>
      <c r="IA16" s="81"/>
      <c r="IB16" s="81">
        <v>15</v>
      </c>
      <c r="IC16" s="83">
        <f t="shared" si="84"/>
        <v>0.2630975220249066</v>
      </c>
      <c r="ID16" s="83">
        <f t="shared" si="85"/>
        <v>0.28641294439615345</v>
      </c>
      <c r="IE16" s="83">
        <f t="shared" si="86"/>
        <v>0.3031158226299594</v>
      </c>
      <c r="IF16" s="83">
        <f t="shared" si="363"/>
        <v>0.31979553374930003</v>
      </c>
      <c r="IG16" s="83">
        <f t="shared" si="364"/>
        <v>0.34341178509396164</v>
      </c>
      <c r="IH16" s="84">
        <f t="shared" si="365"/>
        <v>0.36553362202209244</v>
      </c>
      <c r="II16" s="83">
        <f t="shared" si="366"/>
        <v>0.38462635059885319</v>
      </c>
      <c r="IJ16" s="83">
        <f t="shared" si="87"/>
        <v>0.39987050296755888</v>
      </c>
      <c r="IK16" s="83">
        <f t="shared" si="88"/>
        <v>0.40832727622672044</v>
      </c>
      <c r="IL16" s="83">
        <f t="shared" si="89"/>
        <v>0.41530899015347572</v>
      </c>
      <c r="IM16" s="83">
        <f t="shared" si="90"/>
        <v>0.42305960965995199</v>
      </c>
      <c r="IN16" s="81"/>
      <c r="IO16" s="81">
        <v>15</v>
      </c>
      <c r="IP16" s="133">
        <f t="shared" si="91"/>
        <v>0.25192758594569703</v>
      </c>
      <c r="IQ16" s="133">
        <f t="shared" si="92"/>
        <v>0.27812928842536039</v>
      </c>
      <c r="IR16" s="133">
        <f t="shared" si="93"/>
        <v>0.29646201371385855</v>
      </c>
      <c r="IS16" s="133">
        <f t="shared" si="367"/>
        <v>0.31451479569319313</v>
      </c>
      <c r="IT16" s="133">
        <f t="shared" si="368"/>
        <v>0.33976039688253157</v>
      </c>
      <c r="IU16" s="134">
        <f t="shared" si="369"/>
        <v>0.36316789947949063</v>
      </c>
      <c r="IV16" s="133">
        <f t="shared" si="370"/>
        <v>0.38323513170777102</v>
      </c>
      <c r="IW16" s="133">
        <f t="shared" si="94"/>
        <v>0.39918867645363132</v>
      </c>
      <c r="IX16" s="133">
        <f t="shared" si="95"/>
        <v>0.40801739536028719</v>
      </c>
      <c r="IY16" s="133">
        <f t="shared" si="96"/>
        <v>0.41529605752151827</v>
      </c>
      <c r="IZ16" s="133">
        <f t="shared" si="97"/>
        <v>0.42336663894076471</v>
      </c>
      <c r="JA16" s="81"/>
      <c r="JB16" s="81">
        <v>17</v>
      </c>
      <c r="JC16" s="133">
        <f t="shared" si="98"/>
        <v>0.28021441290998422</v>
      </c>
      <c r="JD16" s="133">
        <f t="shared" si="99"/>
        <v>0.29978597903658122</v>
      </c>
      <c r="JE16" s="133">
        <f t="shared" si="100"/>
        <v>0.31426310586427436</v>
      </c>
      <c r="JF16" s="133">
        <f t="shared" si="371"/>
        <v>0.32901919612029762</v>
      </c>
      <c r="JG16" s="133">
        <f t="shared" si="372"/>
        <v>0.35031581386189897</v>
      </c>
      <c r="JH16" s="134">
        <f t="shared" si="373"/>
        <v>0.37059815397338108</v>
      </c>
      <c r="JI16" s="133">
        <f t="shared" si="374"/>
        <v>0.38830316980902052</v>
      </c>
      <c r="JJ16" s="133">
        <f t="shared" si="101"/>
        <v>0.40254590642420957</v>
      </c>
      <c r="JK16" s="133">
        <f t="shared" si="102"/>
        <v>0.41048174475597476</v>
      </c>
      <c r="JL16" s="133">
        <f t="shared" si="103"/>
        <v>0.41704995755243901</v>
      </c>
      <c r="JM16" s="133">
        <f t="shared" si="104"/>
        <v>0.42435764306890267</v>
      </c>
      <c r="JN16" s="81"/>
      <c r="JO16" s="81">
        <v>14</v>
      </c>
      <c r="JP16" s="133">
        <f t="shared" si="105"/>
        <v>-8.1936126889764438</v>
      </c>
      <c r="JQ16" s="133">
        <f t="shared" si="106"/>
        <v>-6.9546352203363284</v>
      </c>
      <c r="JR16" s="133">
        <f t="shared" si="107"/>
        <v>-5.8733635130789921</v>
      </c>
      <c r="JS16" s="133">
        <f t="shared" si="375"/>
        <v>-4.6096566651422783</v>
      </c>
      <c r="JT16" s="133">
        <f t="shared" si="376"/>
        <v>-2.4632692220440262</v>
      </c>
      <c r="JU16" s="134">
        <f t="shared" si="377"/>
        <v>-1.8361992783216152E-2</v>
      </c>
      <c r="JV16" s="133">
        <f t="shared" si="378"/>
        <v>2.4778253109505961</v>
      </c>
      <c r="JW16" s="133">
        <f t="shared" si="108"/>
        <v>4.7580432077699442</v>
      </c>
      <c r="JX16" s="133">
        <f t="shared" si="109"/>
        <v>6.1423845230210219</v>
      </c>
      <c r="JY16" s="133">
        <f t="shared" si="110"/>
        <v>7.3532651400175837</v>
      </c>
      <c r="JZ16" s="133">
        <f t="shared" si="111"/>
        <v>8.7726928627620104</v>
      </c>
      <c r="KA16" s="81"/>
      <c r="KB16" s="81">
        <v>14</v>
      </c>
      <c r="KC16" s="133">
        <f t="shared" si="112"/>
        <v>-6.4815554960661164</v>
      </c>
      <c r="KD16" s="133">
        <f t="shared" si="113"/>
        <v>-5.517814806508504</v>
      </c>
      <c r="KE16" s="133">
        <f t="shared" si="114"/>
        <v>-4.6505120368605448</v>
      </c>
      <c r="KF16" s="133">
        <f t="shared" si="379"/>
        <v>-3.6086335142777415</v>
      </c>
      <c r="KG16" s="133">
        <f t="shared" si="380"/>
        <v>-1.7760733778627102</v>
      </c>
      <c r="KH16" s="134">
        <f t="shared" si="381"/>
        <v>0.39713652381360021</v>
      </c>
      <c r="KI16" s="133">
        <f t="shared" si="382"/>
        <v>2.6990593123199922</v>
      </c>
      <c r="KJ16" s="133">
        <f t="shared" si="115"/>
        <v>4.8674582095784675</v>
      </c>
      <c r="KK16" s="133">
        <f t="shared" si="116"/>
        <v>6.2119793679413515</v>
      </c>
      <c r="KL16" s="133">
        <f t="shared" si="117"/>
        <v>7.404370234544734</v>
      </c>
      <c r="KM16" s="133">
        <f t="shared" si="118"/>
        <v>8.8206379260464249</v>
      </c>
      <c r="KN16" s="81"/>
      <c r="KO16" s="81">
        <v>16</v>
      </c>
      <c r="KP16" s="133">
        <f t="shared" si="119"/>
        <v>-10.329369325369289</v>
      </c>
      <c r="KQ16" s="133">
        <f t="shared" si="120"/>
        <v>-8.771587682525567</v>
      </c>
      <c r="KR16" s="133">
        <f t="shared" si="121"/>
        <v>-7.4413495126997322</v>
      </c>
      <c r="KS16" s="133">
        <f t="shared" si="383"/>
        <v>-5.9172953358836491</v>
      </c>
      <c r="KT16" s="133">
        <f t="shared" si="384"/>
        <v>-3.3949067897494949</v>
      </c>
      <c r="KU16" s="134">
        <f t="shared" si="385"/>
        <v>-0.60876030689670557</v>
      </c>
      <c r="KV16" s="133">
        <f t="shared" si="386"/>
        <v>2.1546556702351261</v>
      </c>
      <c r="KW16" s="133">
        <f t="shared" si="122"/>
        <v>4.6171293538313414</v>
      </c>
      <c r="KX16" s="133">
        <f t="shared" si="123"/>
        <v>6.0864009189193204</v>
      </c>
      <c r="KY16" s="133">
        <f t="shared" si="124"/>
        <v>7.3569016730073464</v>
      </c>
      <c r="KZ16" s="133">
        <f t="shared" si="125"/>
        <v>8.8298626832258442</v>
      </c>
      <c r="LA16" s="81"/>
      <c r="LB16" s="81">
        <v>14</v>
      </c>
      <c r="LC16" s="133">
        <f t="shared" si="126"/>
        <v>-22.497075285935459</v>
      </c>
      <c r="LD16" s="133">
        <f t="shared" si="127"/>
        <v>-19.092436457842741</v>
      </c>
      <c r="LE16" s="133">
        <f t="shared" si="128"/>
        <v>-16.045757209933967</v>
      </c>
      <c r="LF16" s="133">
        <f t="shared" si="387"/>
        <v>-12.411133756593888</v>
      </c>
      <c r="LG16" s="133">
        <f t="shared" si="388"/>
        <v>-6.0883304375669098</v>
      </c>
      <c r="LH16" s="134">
        <f t="shared" si="389"/>
        <v>1.2969550644502306</v>
      </c>
      <c r="LI16" s="133">
        <f t="shared" si="390"/>
        <v>8.9963066484437491</v>
      </c>
      <c r="LJ16" s="133">
        <f t="shared" si="129"/>
        <v>16.143994079834421</v>
      </c>
      <c r="LK16" s="133">
        <f t="shared" si="130"/>
        <v>20.52909135149153</v>
      </c>
      <c r="LL16" s="133">
        <f t="shared" si="131"/>
        <v>24.390045774997631</v>
      </c>
      <c r="LM16" s="133">
        <f t="shared" si="132"/>
        <v>28.94361681766042</v>
      </c>
      <c r="LN16" s="81"/>
      <c r="LO16" s="81">
        <v>14</v>
      </c>
      <c r="LP16" s="133">
        <f t="shared" si="133"/>
        <v>-19.908212091532228</v>
      </c>
      <c r="LQ16" s="133">
        <f t="shared" si="134"/>
        <v>-16.735351812876807</v>
      </c>
      <c r="LR16" s="133">
        <f t="shared" si="135"/>
        <v>-13.868711093441618</v>
      </c>
      <c r="LS16" s="133">
        <f t="shared" si="391"/>
        <v>-10.422038773644147</v>
      </c>
      <c r="LT16" s="133">
        <f t="shared" si="392"/>
        <v>-4.371200430317618</v>
      </c>
      <c r="LU16" s="134">
        <f t="shared" si="393"/>
        <v>2.7652381320108539</v>
      </c>
      <c r="LV16" s="133">
        <f t="shared" si="394"/>
        <v>10.266703290580342</v>
      </c>
      <c r="LW16" s="133">
        <f t="shared" si="136"/>
        <v>17.276304127778079</v>
      </c>
      <c r="LX16" s="133">
        <f t="shared" si="137"/>
        <v>21.59533716775459</v>
      </c>
      <c r="LY16" s="133">
        <f t="shared" si="138"/>
        <v>25.408667297391357</v>
      </c>
      <c r="LZ16" s="133">
        <f t="shared" si="139"/>
        <v>29.917776654973391</v>
      </c>
      <c r="MA16" s="81"/>
      <c r="MB16" s="81">
        <v>16</v>
      </c>
      <c r="MC16" s="133">
        <f t="shared" si="140"/>
        <v>-25.087051106111566</v>
      </c>
      <c r="MD16" s="133">
        <f t="shared" si="141"/>
        <v>-21.494337552183957</v>
      </c>
      <c r="ME16" s="133">
        <f t="shared" si="142"/>
        <v>-18.31254686244635</v>
      </c>
      <c r="MF16" s="133">
        <f t="shared" si="395"/>
        <v>-14.554956789249594</v>
      </c>
      <c r="MG16" s="133">
        <f t="shared" si="396"/>
        <v>-8.1065652446597554</v>
      </c>
      <c r="MH16" s="134">
        <f t="shared" si="397"/>
        <v>-0.69646929398259516</v>
      </c>
      <c r="MI16" s="133">
        <f t="shared" si="398"/>
        <v>6.9112695506471198</v>
      </c>
      <c r="MJ16" s="133">
        <f t="shared" si="143"/>
        <v>13.882485387274251</v>
      </c>
      <c r="MK16" s="133">
        <f t="shared" si="144"/>
        <v>18.120849151764226</v>
      </c>
      <c r="ML16" s="133">
        <f t="shared" si="145"/>
        <v>21.830490922735798</v>
      </c>
      <c r="MM16" s="133">
        <f t="shared" si="146"/>
        <v>26.1807764990062</v>
      </c>
      <c r="MN16" s="81"/>
      <c r="MO16" s="81">
        <v>14</v>
      </c>
      <c r="MP16" s="133">
        <f t="shared" si="147"/>
        <v>-25.740546042097556</v>
      </c>
      <c r="MQ16" s="133">
        <f t="shared" si="148"/>
        <v>-21.482914622005765</v>
      </c>
      <c r="MR16" s="133">
        <f t="shared" si="149"/>
        <v>-17.790245146191754</v>
      </c>
      <c r="MS16" s="133">
        <f t="shared" si="399"/>
        <v>-13.504533322121254</v>
      </c>
      <c r="MT16" s="133">
        <f t="shared" si="400"/>
        <v>-6.3007966087070351</v>
      </c>
      <c r="MU16" s="134">
        <f t="shared" si="401"/>
        <v>1.7927408107673699</v>
      </c>
      <c r="MV16" s="133">
        <f t="shared" si="402"/>
        <v>9.9410626450379809</v>
      </c>
      <c r="MW16" s="133">
        <f t="shared" si="150"/>
        <v>17.290785674878947</v>
      </c>
      <c r="MX16" s="133">
        <f t="shared" si="151"/>
        <v>21.71225420328355</v>
      </c>
      <c r="MY16" s="133">
        <f t="shared" si="152"/>
        <v>25.555898498812027</v>
      </c>
      <c r="MZ16" s="133">
        <f t="shared" si="153"/>
        <v>30.034469522780874</v>
      </c>
      <c r="NA16" s="81"/>
      <c r="NB16" s="81">
        <v>14</v>
      </c>
      <c r="NC16" s="133">
        <f t="shared" si="154"/>
        <v>-23.258182690837948</v>
      </c>
      <c r="ND16" s="133">
        <f t="shared" si="155"/>
        <v>-19.103386640901917</v>
      </c>
      <c r="NE16" s="133">
        <f t="shared" si="156"/>
        <v>-15.456355252438311</v>
      </c>
      <c r="NF16" s="133">
        <f t="shared" si="403"/>
        <v>-11.192796438080066</v>
      </c>
      <c r="NG16" s="133">
        <f t="shared" si="404"/>
        <v>-3.9769437550133873</v>
      </c>
      <c r="NH16" s="134">
        <f t="shared" si="405"/>
        <v>4.180302029519769</v>
      </c>
      <c r="NI16" s="133">
        <f t="shared" si="406"/>
        <v>12.430517912141131</v>
      </c>
      <c r="NJ16" s="133">
        <f t="shared" si="157"/>
        <v>19.896951296950267</v>
      </c>
      <c r="NK16" s="133">
        <f t="shared" si="158"/>
        <v>24.398026009550012</v>
      </c>
      <c r="NL16" s="133">
        <f t="shared" si="159"/>
        <v>28.315925027847438</v>
      </c>
      <c r="NM16" s="133">
        <f t="shared" si="160"/>
        <v>32.88642208194149</v>
      </c>
      <c r="NN16" s="81"/>
      <c r="NO16" s="81">
        <v>16</v>
      </c>
      <c r="NP16" s="133">
        <f t="shared" si="161"/>
        <v>-27.60082086067273</v>
      </c>
      <c r="NQ16" s="133">
        <f t="shared" si="162"/>
        <v>-23.578633563086456</v>
      </c>
      <c r="NR16" s="133">
        <f t="shared" si="163"/>
        <v>-20.114372225011643</v>
      </c>
      <c r="NS16" s="133">
        <f t="shared" si="407"/>
        <v>-16.11589241133747</v>
      </c>
      <c r="NT16" s="133">
        <f t="shared" si="408"/>
        <v>-9.4374571523981743</v>
      </c>
      <c r="NU16" s="134">
        <f t="shared" si="409"/>
        <v>-1.9841720051263749</v>
      </c>
      <c r="NV16" s="133">
        <f t="shared" si="410"/>
        <v>5.4771144389012179</v>
      </c>
      <c r="NW16" s="133">
        <f t="shared" si="164"/>
        <v>12.176949671957694</v>
      </c>
      <c r="NX16" s="133">
        <f t="shared" si="165"/>
        <v>16.195445843733467</v>
      </c>
      <c r="NY16" s="133">
        <f t="shared" si="166"/>
        <v>19.682123336343629</v>
      </c>
      <c r="NZ16" s="133">
        <f t="shared" si="167"/>
        <v>23.737490498141177</v>
      </c>
      <c r="OA16" s="81"/>
      <c r="OB16" s="81">
        <v>14</v>
      </c>
      <c r="OC16" s="133">
        <v>15.944796185574027</v>
      </c>
      <c r="OD16" s="133">
        <v>17.722577007632427</v>
      </c>
      <c r="OE16" s="133">
        <v>19.409312029474659</v>
      </c>
      <c r="OF16" s="133">
        <v>21.554197964874778</v>
      </c>
      <c r="OG16" s="133">
        <v>25.672617932961305</v>
      </c>
      <c r="OH16" s="134">
        <v>31.19681656385222</v>
      </c>
      <c r="OI16" s="133">
        <v>37.909704661209908</v>
      </c>
      <c r="OJ16" s="133">
        <v>45.153216338861739</v>
      </c>
      <c r="OK16" s="133">
        <v>50.143011882167485</v>
      </c>
      <c r="OL16" s="133">
        <v>54.915341222639704</v>
      </c>
      <c r="OM16" s="133">
        <v>61.038181510227098</v>
      </c>
      <c r="ON16" s="81"/>
      <c r="OO16" s="81">
        <v>14</v>
      </c>
      <c r="OP16" s="133">
        <v>16.027815299914181</v>
      </c>
      <c r="OQ16" s="133">
        <v>17.734612253572376</v>
      </c>
      <c r="OR16" s="133">
        <v>19.347230448535548</v>
      </c>
      <c r="OS16" s="133">
        <v>21.389295997005831</v>
      </c>
      <c r="OT16" s="133">
        <v>25.262677808168785</v>
      </c>
      <c r="OU16" s="134">
        <v>30.473145172642813</v>
      </c>
      <c r="OV16" s="133">
        <v>36.723391474781884</v>
      </c>
      <c r="OW16" s="133">
        <v>43.414826595646474</v>
      </c>
      <c r="OX16" s="133">
        <v>47.997183844122404</v>
      </c>
      <c r="OY16" s="133">
        <v>52.361594571987787</v>
      </c>
      <c r="OZ16" s="133">
        <v>57.937564124409128</v>
      </c>
      <c r="PA16" s="81"/>
      <c r="PB16" s="81">
        <v>16</v>
      </c>
      <c r="PC16" s="133">
        <v>18.479260117702367</v>
      </c>
      <c r="PD16" s="133">
        <v>20.385020239599129</v>
      </c>
      <c r="PE16" s="133">
        <v>22.180549168420399</v>
      </c>
      <c r="PF16" s="133">
        <v>24.447828524992058</v>
      </c>
      <c r="PG16" s="133">
        <v>28.757477264659343</v>
      </c>
      <c r="PH16" s="134">
        <v>34.462052150091658</v>
      </c>
      <c r="PI16" s="133">
        <v>41.298234454492416</v>
      </c>
      <c r="PJ16" s="133">
        <v>48.57826277624477</v>
      </c>
      <c r="PK16" s="133">
        <v>53.54389692418129</v>
      </c>
      <c r="PL16" s="133">
        <v>58.260086300458447</v>
      </c>
      <c r="PM16" s="133">
        <v>64.268430166093822</v>
      </c>
      <c r="PN16" s="81"/>
      <c r="PO16" s="81">
        <v>14</v>
      </c>
      <c r="PP16" s="133">
        <v>7.3711584454105123</v>
      </c>
      <c r="PQ16" s="133">
        <v>8.0476378507887461</v>
      </c>
      <c r="PR16" s="133">
        <v>8.678897999736062</v>
      </c>
      <c r="PS16" s="133">
        <v>9.4683977271028787</v>
      </c>
      <c r="PT16" s="133">
        <v>10.948470283132696</v>
      </c>
      <c r="PU16" s="134">
        <v>12.872367654596479</v>
      </c>
      <c r="PV16" s="133">
        <v>15.134337925762754</v>
      </c>
      <c r="PW16" s="133">
        <v>17.50009387129975</v>
      </c>
      <c r="PX16" s="133">
        <v>19.092037841686892</v>
      </c>
      <c r="PY16" s="133">
        <v>20.589625441316496</v>
      </c>
      <c r="PZ16" s="133">
        <v>22.479214123835536</v>
      </c>
      <c r="QA16" s="81"/>
      <c r="QB16" s="81">
        <v>14</v>
      </c>
      <c r="QC16" s="133">
        <v>7.2826767255907123</v>
      </c>
      <c r="QD16" s="133">
        <v>7.9297874819537428</v>
      </c>
      <c r="QE16" s="133">
        <v>8.5321441885858995</v>
      </c>
      <c r="QF16" s="133">
        <v>9.2836275479190196</v>
      </c>
      <c r="QG16" s="133">
        <v>10.687405227486749</v>
      </c>
      <c r="QH16" s="134">
        <v>12.503586332792556</v>
      </c>
      <c r="QI16" s="133">
        <v>14.628403045812233</v>
      </c>
      <c r="QJ16" s="133">
        <v>16.840364434551365</v>
      </c>
      <c r="QK16" s="133">
        <v>18.323608664600897</v>
      </c>
      <c r="QL16" s="133">
        <v>19.715493200465655</v>
      </c>
      <c r="QM16" s="133">
        <v>21.467336402868511</v>
      </c>
      <c r="QN16" s="81"/>
      <c r="QO16" s="81">
        <v>16</v>
      </c>
      <c r="QP16" s="133">
        <v>7.9220146316826963</v>
      </c>
      <c r="QQ16" s="133">
        <v>8.6445842895494813</v>
      </c>
      <c r="QR16" s="133">
        <v>9.3185307918098701</v>
      </c>
      <c r="QS16" s="133">
        <v>10.161013629727881</v>
      </c>
      <c r="QT16" s="133">
        <v>11.739324781822647</v>
      </c>
      <c r="QU16" s="134">
        <v>13.789062631306303</v>
      </c>
      <c r="QV16" s="133">
        <v>16.196693743791887</v>
      </c>
      <c r="QW16" s="133">
        <v>18.712527625571145</v>
      </c>
      <c r="QX16" s="133">
        <v>20.404316141467486</v>
      </c>
      <c r="QY16" s="133">
        <v>21.995071351198209</v>
      </c>
      <c r="QZ16" s="133">
        <v>24.001249314746733</v>
      </c>
      <c r="RA16" s="81"/>
      <c r="RB16" s="81">
        <v>14</v>
      </c>
      <c r="RC16" s="133">
        <f t="shared" si="168"/>
        <v>0.25746199816849785</v>
      </c>
      <c r="RD16" s="133">
        <f t="shared" si="169"/>
        <v>0.27756415730194295</v>
      </c>
      <c r="RE16" s="133">
        <f t="shared" si="170"/>
        <v>0.29631247269450872</v>
      </c>
      <c r="RF16" s="133">
        <f t="shared" si="411"/>
        <v>0.31976906226568358</v>
      </c>
      <c r="RG16" s="133">
        <f t="shared" si="412"/>
        <v>0.36383915114613274</v>
      </c>
      <c r="RH16" s="134">
        <f t="shared" si="413"/>
        <v>0.42145434738407112</v>
      </c>
      <c r="RI16" s="133">
        <f t="shared" si="414"/>
        <v>0.48985824040309212</v>
      </c>
      <c r="RJ16" s="133">
        <f t="shared" si="171"/>
        <v>0.56232948159728779</v>
      </c>
      <c r="RK16" s="133">
        <f t="shared" si="172"/>
        <v>0.61168888718178727</v>
      </c>
      <c r="RL16" s="133">
        <f t="shared" si="173"/>
        <v>0.65858422548203721</v>
      </c>
      <c r="RM16" s="133">
        <f t="shared" si="174"/>
        <v>0.7184174602340504</v>
      </c>
      <c r="RN16" s="81"/>
      <c r="RO16" s="81">
        <v>14</v>
      </c>
      <c r="RP16" s="133">
        <f t="shared" si="175"/>
        <v>0.27619140131870268</v>
      </c>
      <c r="RQ16" s="133">
        <f t="shared" si="176"/>
        <v>0.29562824731598891</v>
      </c>
      <c r="RR16" s="133">
        <f t="shared" si="177"/>
        <v>0.31368833830472659</v>
      </c>
      <c r="RS16" s="133">
        <f t="shared" si="415"/>
        <v>0.33620379244343618</v>
      </c>
      <c r="RT16" s="133">
        <f t="shared" si="416"/>
        <v>0.37830519303422666</v>
      </c>
      <c r="RU16" s="134">
        <f t="shared" si="417"/>
        <v>0.43304040729347737</v>
      </c>
      <c r="RV16" s="133">
        <f t="shared" si="418"/>
        <v>0.49770349770757782</v>
      </c>
      <c r="RW16" s="133">
        <f t="shared" si="178"/>
        <v>0.56595559701473475</v>
      </c>
      <c r="RX16" s="133">
        <f t="shared" si="179"/>
        <v>0.61234138469893695</v>
      </c>
      <c r="RY16" s="133">
        <f t="shared" si="180"/>
        <v>0.6563618580604853</v>
      </c>
      <c r="RZ16" s="133">
        <f t="shared" si="181"/>
        <v>0.71248264801189654</v>
      </c>
      <c r="SA16" s="81"/>
      <c r="SB16" s="81">
        <v>16</v>
      </c>
      <c r="SC16" s="133">
        <f t="shared" si="182"/>
        <v>0.23479025718465502</v>
      </c>
      <c r="SD16" s="133">
        <f t="shared" si="183"/>
        <v>0.25562614282071289</v>
      </c>
      <c r="SE16" s="133">
        <f t="shared" si="184"/>
        <v>0.27503983886138217</v>
      </c>
      <c r="SF16" s="133">
        <f t="shared" si="419"/>
        <v>0.29928534317189992</v>
      </c>
      <c r="SG16" s="133">
        <f t="shared" si="420"/>
        <v>0.34465169381958749</v>
      </c>
      <c r="SH16" s="134">
        <f t="shared" si="421"/>
        <v>0.40348929882194562</v>
      </c>
      <c r="SI16" s="133">
        <f t="shared" si="422"/>
        <v>0.47252432505320946</v>
      </c>
      <c r="SJ16" s="133">
        <f t="shared" si="185"/>
        <v>0.54460856372325328</v>
      </c>
      <c r="SK16" s="133">
        <f t="shared" si="186"/>
        <v>0.59306430245413699</v>
      </c>
      <c r="SL16" s="133">
        <f t="shared" si="187"/>
        <v>0.63861925085760518</v>
      </c>
      <c r="SM16" s="133">
        <f t="shared" si="188"/>
        <v>0.69606682091898797</v>
      </c>
      <c r="SN16" s="81"/>
      <c r="SO16" s="81">
        <v>14</v>
      </c>
      <c r="SP16" s="133">
        <f t="shared" si="189"/>
        <v>0.20366561258176524</v>
      </c>
      <c r="SQ16" s="133">
        <f t="shared" si="190"/>
        <v>0.21662955740338935</v>
      </c>
      <c r="SR16" s="133">
        <f t="shared" si="191"/>
        <v>0.22826385656849491</v>
      </c>
      <c r="SS16" s="133">
        <f t="shared" si="423"/>
        <v>0.24224978124748439</v>
      </c>
      <c r="ST16" s="133">
        <f t="shared" si="424"/>
        <v>0.26699292950612608</v>
      </c>
      <c r="SU16" s="134">
        <f t="shared" si="425"/>
        <v>0.29674463743310087</v>
      </c>
      <c r="SV16" s="133">
        <f t="shared" si="426"/>
        <v>0.32890572354539516</v>
      </c>
      <c r="SW16" s="133">
        <f t="shared" si="192"/>
        <v>0.3599140729570694</v>
      </c>
      <c r="SX16" s="133">
        <f t="shared" si="193"/>
        <v>0.37951895565173321</v>
      </c>
      <c r="SY16" s="133">
        <f t="shared" si="194"/>
        <v>0.39715979439209981</v>
      </c>
      <c r="SZ16" s="133">
        <f t="shared" si="195"/>
        <v>0.41843326658514618</v>
      </c>
      <c r="TA16" s="81"/>
      <c r="TB16" s="81">
        <v>14</v>
      </c>
      <c r="TC16" s="133">
        <f t="shared" si="196"/>
        <v>0.21559812561254812</v>
      </c>
      <c r="TD16" s="133">
        <f t="shared" si="197"/>
        <v>0.22770813893377576</v>
      </c>
      <c r="TE16" s="133">
        <f t="shared" si="198"/>
        <v>0.23856774966872263</v>
      </c>
      <c r="TF16" s="133">
        <f t="shared" si="427"/>
        <v>0.2516155949065858</v>
      </c>
      <c r="TG16" s="133">
        <f t="shared" si="428"/>
        <v>0.27469133068091678</v>
      </c>
      <c r="TH16" s="134">
        <f t="shared" si="429"/>
        <v>0.30244369909283247</v>
      </c>
      <c r="TI16" s="133">
        <f t="shared" si="430"/>
        <v>0.33247242113278097</v>
      </c>
      <c r="TJ16" s="133">
        <f t="shared" si="199"/>
        <v>0.36147019084435927</v>
      </c>
      <c r="TK16" s="133">
        <f t="shared" si="200"/>
        <v>0.37983258881840987</v>
      </c>
      <c r="TL16" s="133">
        <f t="shared" si="201"/>
        <v>0.39637685039943715</v>
      </c>
      <c r="TM16" s="133">
        <f t="shared" si="202"/>
        <v>0.41635706213512341</v>
      </c>
      <c r="TN16" s="81"/>
      <c r="TO16" s="81">
        <v>16</v>
      </c>
      <c r="TP16" s="133">
        <f t="shared" si="203"/>
        <v>0.18858365244410119</v>
      </c>
      <c r="TQ16" s="133">
        <f t="shared" si="204"/>
        <v>0.20264934343111793</v>
      </c>
      <c r="TR16" s="133">
        <f t="shared" si="205"/>
        <v>0.21520406008888809</v>
      </c>
      <c r="TS16" s="133">
        <f t="shared" si="431"/>
        <v>0.23020831422539109</v>
      </c>
      <c r="TT16" s="133">
        <f t="shared" si="432"/>
        <v>0.25651269645968455</v>
      </c>
      <c r="TU16" s="134">
        <f t="shared" si="433"/>
        <v>0.28773275707955015</v>
      </c>
      <c r="TV16" s="133">
        <f t="shared" si="434"/>
        <v>0.32098548015301015</v>
      </c>
      <c r="TW16" s="133">
        <f t="shared" si="206"/>
        <v>0.35257264381452014</v>
      </c>
      <c r="TX16" s="133">
        <f t="shared" si="207"/>
        <v>0.37231129485975156</v>
      </c>
      <c r="TY16" s="133">
        <f t="shared" si="208"/>
        <v>0.38992334325434169</v>
      </c>
      <c r="TZ16" s="133">
        <f t="shared" si="209"/>
        <v>0.41097923307401429</v>
      </c>
      <c r="UA16" s="81"/>
      <c r="UB16" s="81">
        <v>14</v>
      </c>
      <c r="UC16" s="133">
        <f t="shared" si="210"/>
        <v>-28.625848440793384</v>
      </c>
      <c r="UD16" s="133">
        <f t="shared" si="211"/>
        <v>-25.294300233016124</v>
      </c>
      <c r="UE16" s="133">
        <f t="shared" si="212"/>
        <v>-22.522785266539003</v>
      </c>
      <c r="UF16" s="133">
        <f t="shared" si="435"/>
        <v>-19.420865698434518</v>
      </c>
      <c r="UG16" s="133">
        <f t="shared" si="436"/>
        <v>-14.437530795970986</v>
      </c>
      <c r="UH16" s="134">
        <f t="shared" si="437"/>
        <v>-9.1202149003986079</v>
      </c>
      <c r="UI16" s="133">
        <f t="shared" si="438"/>
        <v>-4.0113355676140188</v>
      </c>
      <c r="UJ16" s="133">
        <f t="shared" si="213"/>
        <v>0.42110934625044649</v>
      </c>
      <c r="UK16" s="133">
        <f t="shared" si="214"/>
        <v>3.0174472818124087</v>
      </c>
      <c r="UL16" s="133">
        <f t="shared" si="215"/>
        <v>5.2356011019871289</v>
      </c>
      <c r="UM16" s="133">
        <f t="shared" si="216"/>
        <v>7.7777630985298885</v>
      </c>
      <c r="UN16" s="81"/>
      <c r="UO16" s="81">
        <v>14</v>
      </c>
      <c r="UP16" s="133">
        <f t="shared" si="217"/>
        <v>-24.923633308713409</v>
      </c>
      <c r="UQ16" s="133">
        <f t="shared" si="218"/>
        <v>-22.220467813924621</v>
      </c>
      <c r="UR16" s="133">
        <f t="shared" si="219"/>
        <v>-19.905668911554777</v>
      </c>
      <c r="US16" s="133">
        <f t="shared" si="439"/>
        <v>-17.246225092896417</v>
      </c>
      <c r="UT16" s="133">
        <f t="shared" si="440"/>
        <v>-12.828001706350893</v>
      </c>
      <c r="UU16" s="134">
        <f t="shared" si="441"/>
        <v>-7.9251309073646823</v>
      </c>
      <c r="UV16" s="133">
        <f t="shared" si="442"/>
        <v>-3.0407404055308547</v>
      </c>
      <c r="UW16" s="133">
        <f t="shared" si="220"/>
        <v>1.3282868799521239</v>
      </c>
      <c r="UX16" s="133">
        <f t="shared" si="221"/>
        <v>3.9420630298186339</v>
      </c>
      <c r="UY16" s="133">
        <f t="shared" si="222"/>
        <v>6.2061982819725969</v>
      </c>
      <c r="UZ16" s="133">
        <f t="shared" si="223"/>
        <v>8.8355542247516539</v>
      </c>
      <c r="VA16" s="81"/>
      <c r="VB16" s="81">
        <v>17</v>
      </c>
      <c r="VC16" s="133">
        <f t="shared" si="224"/>
        <v>-32.149876180895447</v>
      </c>
      <c r="VD16" s="133">
        <f t="shared" si="225"/>
        <v>-28.064272298725726</v>
      </c>
      <c r="VE16" s="133">
        <f t="shared" si="226"/>
        <v>-24.775375611059907</v>
      </c>
      <c r="VF16" s="133">
        <f t="shared" si="443"/>
        <v>-21.190029324814205</v>
      </c>
      <c r="VG16" s="133">
        <f t="shared" si="444"/>
        <v>-15.600970695735555</v>
      </c>
      <c r="VH16" s="134">
        <f t="shared" si="445"/>
        <v>-9.8226851598260438</v>
      </c>
      <c r="VI16" s="133">
        <f t="shared" si="446"/>
        <v>-4.4149503127935645</v>
      </c>
      <c r="VJ16" s="133">
        <f t="shared" si="227"/>
        <v>0.18187291728570187</v>
      </c>
      <c r="VK16" s="133">
        <f t="shared" si="228"/>
        <v>2.8387372819747299</v>
      </c>
      <c r="VL16" s="133">
        <f t="shared" si="229"/>
        <v>5.0895568885136981</v>
      </c>
      <c r="VM16" s="133">
        <f t="shared" si="230"/>
        <v>7.6490264491495452</v>
      </c>
      <c r="VN16" s="81"/>
      <c r="VO16" s="81">
        <v>14</v>
      </c>
      <c r="VP16" s="133">
        <f t="shared" si="231"/>
        <v>-47.745522810695725</v>
      </c>
      <c r="VQ16" s="133">
        <f t="shared" si="232"/>
        <v>-44.624637440543353</v>
      </c>
      <c r="VR16" s="133">
        <f t="shared" si="233"/>
        <v>-41.580287542104628</v>
      </c>
      <c r="VS16" s="133">
        <f t="shared" si="447"/>
        <v>-37.676548549866347</v>
      </c>
      <c r="VT16" s="133">
        <f t="shared" si="448"/>
        <v>-30.271432165338194</v>
      </c>
      <c r="VU16" s="134">
        <f t="shared" si="449"/>
        <v>-20.770469102255518</v>
      </c>
      <c r="VV16" s="133">
        <f t="shared" si="450"/>
        <v>-10.02308927430807</v>
      </c>
      <c r="VW16" s="133">
        <f t="shared" si="234"/>
        <v>0.63319684894990047</v>
      </c>
      <c r="VX16" s="133">
        <f t="shared" si="235"/>
        <v>7.4657884355360977</v>
      </c>
      <c r="VY16" s="133">
        <f t="shared" si="236"/>
        <v>13.65563098515269</v>
      </c>
      <c r="VZ16" s="133">
        <f t="shared" si="237"/>
        <v>21.155127846782868</v>
      </c>
      <c r="WA16" s="81"/>
      <c r="WB16" s="81">
        <v>14</v>
      </c>
      <c r="WC16" s="133">
        <f t="shared" si="238"/>
        <v>-44.5816597477965</v>
      </c>
      <c r="WD16" s="133">
        <f t="shared" si="239"/>
        <v>-41.82480488351419</v>
      </c>
      <c r="WE16" s="133">
        <f t="shared" si="240"/>
        <v>-39.02477999955449</v>
      </c>
      <c r="WF16" s="133">
        <f t="shared" si="451"/>
        <v>-35.333359782050827</v>
      </c>
      <c r="WG16" s="133">
        <f t="shared" si="452"/>
        <v>-28.135503854507064</v>
      </c>
      <c r="WH16" s="134">
        <f t="shared" si="453"/>
        <v>-18.672550885508425</v>
      </c>
      <c r="WI16" s="133">
        <f t="shared" si="454"/>
        <v>-7.7798961749365318</v>
      </c>
      <c r="WJ16" s="133">
        <f t="shared" si="241"/>
        <v>3.1505921521360136</v>
      </c>
      <c r="WK16" s="133">
        <f t="shared" si="242"/>
        <v>10.2092447194646</v>
      </c>
      <c r="WL16" s="133">
        <f t="shared" si="243"/>
        <v>16.631225974844945</v>
      </c>
      <c r="WM16" s="133">
        <f t="shared" si="244"/>
        <v>24.44162367513659</v>
      </c>
      <c r="WN16" s="81"/>
      <c r="WO16" s="81">
        <v>17</v>
      </c>
      <c r="WP16" s="133">
        <f t="shared" si="245"/>
        <v>-49.456899696560122</v>
      </c>
      <c r="WQ16" s="133">
        <f t="shared" si="246"/>
        <v>-46.139596898612261</v>
      </c>
      <c r="WR16" s="133">
        <f t="shared" si="247"/>
        <v>-42.897133195876762</v>
      </c>
      <c r="WS16" s="133">
        <f t="shared" si="455"/>
        <v>-38.760563692702782</v>
      </c>
      <c r="WT16" s="133">
        <f t="shared" si="456"/>
        <v>-31.010383364061259</v>
      </c>
      <c r="WU16" s="134">
        <f t="shared" si="457"/>
        <v>-21.254411560462231</v>
      </c>
      <c r="WV16" s="133">
        <f t="shared" si="458"/>
        <v>-10.442177793254011</v>
      </c>
      <c r="WW16" s="133">
        <f t="shared" si="248"/>
        <v>8.0201962597122645E-2</v>
      </c>
      <c r="WX16" s="133">
        <f t="shared" si="249"/>
        <v>6.7370879308363172</v>
      </c>
      <c r="WY16" s="133">
        <f t="shared" si="250"/>
        <v>12.713512426664586</v>
      </c>
      <c r="WZ16" s="133">
        <f t="shared" si="251"/>
        <v>19.891165491890952</v>
      </c>
      <c r="XA16" s="81"/>
      <c r="XB16" s="81">
        <v>14</v>
      </c>
      <c r="XC16" s="133">
        <f t="shared" si="252"/>
        <v>-50.653996644046046</v>
      </c>
      <c r="XD16" s="133">
        <f t="shared" si="253"/>
        <v>-46.834971860319342</v>
      </c>
      <c r="XE16" s="133">
        <f t="shared" si="254"/>
        <v>-43.203832583130307</v>
      </c>
      <c r="XF16" s="133">
        <f t="shared" si="459"/>
        <v>-38.691352283435378</v>
      </c>
      <c r="XG16" s="133">
        <f t="shared" si="460"/>
        <v>-30.515156960679594</v>
      </c>
      <c r="XH16" s="134">
        <f t="shared" si="461"/>
        <v>-20.602977437427938</v>
      </c>
      <c r="XI16" s="133">
        <f t="shared" si="462"/>
        <v>-9.9789380964016061</v>
      </c>
      <c r="XJ16" s="133">
        <f t="shared" si="255"/>
        <v>8.1839796818179877E-2</v>
      </c>
      <c r="XK16" s="133">
        <f t="shared" si="256"/>
        <v>6.3305420585909076</v>
      </c>
      <c r="XL16" s="133">
        <f t="shared" si="257"/>
        <v>11.873938782475655</v>
      </c>
      <c r="XM16" s="133">
        <f t="shared" si="258"/>
        <v>18.456707305686926</v>
      </c>
      <c r="XN16" s="81"/>
      <c r="XO16" s="81">
        <v>14</v>
      </c>
      <c r="XP16" s="133">
        <f t="shared" si="259"/>
        <v>-48.412915890963767</v>
      </c>
      <c r="XQ16" s="133">
        <f t="shared" si="260"/>
        <v>-44.599509640884044</v>
      </c>
      <c r="XR16" s="133">
        <f t="shared" si="261"/>
        <v>-40.91402915510421</v>
      </c>
      <c r="XS16" s="133">
        <f t="shared" si="463"/>
        <v>-36.307020706336274</v>
      </c>
      <c r="XT16" s="133">
        <f t="shared" si="464"/>
        <v>-27.939360362498761</v>
      </c>
      <c r="XU16" s="134">
        <f t="shared" si="465"/>
        <v>-17.799905111746213</v>
      </c>
      <c r="XV16" s="133">
        <f t="shared" si="466"/>
        <v>-6.9549208706025851</v>
      </c>
      <c r="XW16" s="133">
        <f t="shared" si="262"/>
        <v>3.2900669804990841</v>
      </c>
      <c r="XX16" s="133">
        <f t="shared" si="263"/>
        <v>9.6410083436496876</v>
      </c>
      <c r="XY16" s="133">
        <f t="shared" si="264"/>
        <v>15.267565150615745</v>
      </c>
      <c r="XZ16" s="133">
        <f t="shared" si="265"/>
        <v>21.940222052261355</v>
      </c>
      <c r="YA16" s="81"/>
      <c r="YB16" s="81">
        <v>17</v>
      </c>
      <c r="YC16" s="133">
        <f t="shared" si="266"/>
        <v>-53.000035000558711</v>
      </c>
      <c r="YD16" s="133">
        <f t="shared" si="267"/>
        <v>-49.150565041162338</v>
      </c>
      <c r="YE16" s="133">
        <f t="shared" si="268"/>
        <v>-45.44336872259624</v>
      </c>
      <c r="YF16" s="133">
        <f t="shared" si="467"/>
        <v>-40.835897575309396</v>
      </c>
      <c r="YG16" s="133">
        <f t="shared" si="468"/>
        <v>-32.533490783687697</v>
      </c>
      <c r="YH16" s="134">
        <f t="shared" si="469"/>
        <v>-22.5632169186254</v>
      </c>
      <c r="YI16" s="133">
        <f t="shared" si="470"/>
        <v>-11.983270441304846</v>
      </c>
      <c r="YJ16" s="133">
        <f t="shared" si="269"/>
        <v>-2.0522434180540685</v>
      </c>
      <c r="YK16" s="133">
        <f t="shared" si="270"/>
        <v>4.0778531816848584</v>
      </c>
      <c r="YL16" s="133">
        <f t="shared" si="271"/>
        <v>9.493863046573999</v>
      </c>
      <c r="YM16" s="133">
        <f t="shared" si="272"/>
        <v>15.900233291362433</v>
      </c>
      <c r="YN16" s="81"/>
      <c r="YO16" s="81">
        <v>14</v>
      </c>
      <c r="YP16" s="133">
        <v>20.9124896883324</v>
      </c>
      <c r="YQ16" s="133">
        <v>23.403156705165802</v>
      </c>
      <c r="YR16" s="133">
        <v>25.781261201211905</v>
      </c>
      <c r="YS16" s="133">
        <v>28.824499771709373</v>
      </c>
      <c r="YT16" s="133">
        <v>34.721434643280432</v>
      </c>
      <c r="YU16" s="134">
        <v>42.726428740437555</v>
      </c>
      <c r="YV16" s="133">
        <v>52.576966696996259</v>
      </c>
      <c r="YW16" s="133">
        <v>63.333196668461319</v>
      </c>
      <c r="YX16" s="133">
        <v>70.809092645392937</v>
      </c>
      <c r="YY16" s="133">
        <v>78.004336590573402</v>
      </c>
      <c r="YZ16" s="133">
        <v>87.294613894308583</v>
      </c>
      <c r="ZA16" s="81"/>
      <c r="ZB16" s="81">
        <v>14</v>
      </c>
      <c r="ZC16" s="133">
        <v>20.871917369792644</v>
      </c>
      <c r="ZD16" s="133">
        <v>23.280446317159491</v>
      </c>
      <c r="ZE16" s="133">
        <v>25.57306376845737</v>
      </c>
      <c r="ZF16" s="133">
        <v>28.497892729672081</v>
      </c>
      <c r="ZG16" s="133">
        <v>34.140280325425159</v>
      </c>
      <c r="ZH16" s="134">
        <v>41.755295870343893</v>
      </c>
      <c r="ZI16" s="133">
        <v>51.068846435965668</v>
      </c>
      <c r="ZJ16" s="133">
        <v>61.180128290840834</v>
      </c>
      <c r="ZK16" s="133">
        <v>68.177389655221987</v>
      </c>
      <c r="ZL16" s="133">
        <v>74.891379205855642</v>
      </c>
      <c r="ZM16" s="133">
        <v>83.533520295710048</v>
      </c>
      <c r="ZN16" s="81"/>
      <c r="ZO16" s="81">
        <v>17</v>
      </c>
      <c r="ZP16" s="133">
        <v>22.352343801428464</v>
      </c>
      <c r="ZQ16" s="133">
        <v>24.980718996295789</v>
      </c>
      <c r="ZR16" s="133">
        <v>27.487164548876851</v>
      </c>
      <c r="ZS16" s="133">
        <v>30.690620113793187</v>
      </c>
      <c r="ZT16" s="133">
        <v>36.886787628766086</v>
      </c>
      <c r="ZU16" s="134">
        <v>45.278061307571967</v>
      </c>
      <c r="ZV16" s="133">
        <v>55.578242714024739</v>
      </c>
      <c r="ZW16" s="133">
        <v>66.799003349263529</v>
      </c>
      <c r="ZX16" s="133">
        <v>74.584005641135306</v>
      </c>
      <c r="ZY16" s="133">
        <v>82.06740711010923</v>
      </c>
      <c r="ZZ16" s="133">
        <v>91.717577985769452</v>
      </c>
      <c r="AAA16" s="81"/>
      <c r="AAB16" s="81">
        <v>14</v>
      </c>
      <c r="AAC16" s="133">
        <v>7.8030000676368241</v>
      </c>
      <c r="AAD16" s="133">
        <v>8.6287549752130914</v>
      </c>
      <c r="AAE16" s="133">
        <v>9.4085111817811864</v>
      </c>
      <c r="AAF16" s="133">
        <v>10.395369794695998</v>
      </c>
      <c r="AAG16" s="133">
        <v>12.277325232179688</v>
      </c>
      <c r="AAH16" s="134">
        <v>14.779112289263088</v>
      </c>
      <c r="AAI16" s="133">
        <v>17.790695931565622</v>
      </c>
      <c r="AAJ16" s="133">
        <v>21.011485341299949</v>
      </c>
      <c r="AAK16" s="133">
        <v>23.215379759722644</v>
      </c>
      <c r="AAL16" s="133">
        <v>25.313288033567449</v>
      </c>
      <c r="AAM16" s="133">
        <v>27.992074607888274</v>
      </c>
      <c r="AAN16" s="81"/>
      <c r="AAO16" s="81">
        <v>14</v>
      </c>
      <c r="AAP16" s="133">
        <v>7.671460258067853</v>
      </c>
      <c r="AAQ16" s="133">
        <v>8.4831611200715216</v>
      </c>
      <c r="AAR16" s="133">
        <v>9.2496349448598636</v>
      </c>
      <c r="AAS16" s="133">
        <v>10.21966919319496</v>
      </c>
      <c r="AAT16" s="133">
        <v>12.06950126740446</v>
      </c>
      <c r="AAU16" s="134">
        <v>14.528516918600804</v>
      </c>
      <c r="AAV16" s="133">
        <v>17.488527419448364</v>
      </c>
      <c r="AAW16" s="133">
        <v>20.654074008053176</v>
      </c>
      <c r="AAX16" s="133">
        <v>22.820122644015076</v>
      </c>
      <c r="AAY16" s="133">
        <v>24.881975111217763</v>
      </c>
      <c r="AAZ16" s="133">
        <v>27.51468387417966</v>
      </c>
      <c r="ABA16" s="81"/>
      <c r="ABB16" s="81">
        <v>17</v>
      </c>
      <c r="ABC16" s="133">
        <v>8.5083408213607505</v>
      </c>
      <c r="ABD16" s="133">
        <v>9.3889402572036431</v>
      </c>
      <c r="ABE16" s="133">
        <v>10.218862184196212</v>
      </c>
      <c r="ABF16" s="133">
        <v>11.267159609765578</v>
      </c>
      <c r="ABG16" s="133">
        <v>13.260655887641537</v>
      </c>
      <c r="ABH16" s="134">
        <v>15.900944771010453</v>
      </c>
      <c r="ABI16" s="133">
        <v>19.066933547861883</v>
      </c>
      <c r="ABJ16" s="133">
        <v>22.440442255879709</v>
      </c>
      <c r="ABK16" s="133">
        <v>24.742485029473205</v>
      </c>
      <c r="ABL16" s="133">
        <v>26.929561556932232</v>
      </c>
      <c r="ABM16" s="133">
        <v>29.716727376030018</v>
      </c>
      <c r="ABN16" s="81"/>
      <c r="ABO16" s="81">
        <v>14</v>
      </c>
      <c r="ABP16" s="133">
        <f t="shared" si="273"/>
        <v>0.17067784721351484</v>
      </c>
      <c r="ABQ16" s="133">
        <f t="shared" si="274"/>
        <v>0.19357682621181391</v>
      </c>
      <c r="ABR16" s="133">
        <f t="shared" si="275"/>
        <v>0.21499601626169151</v>
      </c>
      <c r="ABS16" s="133">
        <f t="shared" si="471"/>
        <v>0.24177862359630301</v>
      </c>
      <c r="ABT16" s="133">
        <f t="shared" si="472"/>
        <v>0.29175735499965172</v>
      </c>
      <c r="ABU16" s="134">
        <f t="shared" si="473"/>
        <v>0.35590431199199229</v>
      </c>
      <c r="ABV16" s="133">
        <f t="shared" si="474"/>
        <v>0.42976664134004255</v>
      </c>
      <c r="ABW16" s="133">
        <f t="shared" si="276"/>
        <v>0.5050231224265419</v>
      </c>
      <c r="ABX16" s="133">
        <f t="shared" si="277"/>
        <v>0.55449390907730478</v>
      </c>
      <c r="ABY16" s="133">
        <f t="shared" si="278"/>
        <v>0.6001848230797765</v>
      </c>
      <c r="ABZ16" s="133">
        <f t="shared" si="279"/>
        <v>0.65669322809573649</v>
      </c>
      <c r="ACA16" s="81"/>
      <c r="ACB16" s="81">
        <v>14</v>
      </c>
      <c r="ACC16" s="133">
        <f t="shared" si="280"/>
        <v>0.18055235270860537</v>
      </c>
      <c r="ACD16" s="133">
        <f t="shared" si="281"/>
        <v>0.20241493485927708</v>
      </c>
      <c r="ACE16" s="133">
        <f t="shared" si="282"/>
        <v>0.22299977548331512</v>
      </c>
      <c r="ACF16" s="133">
        <f t="shared" si="475"/>
        <v>0.24894120568590028</v>
      </c>
      <c r="ACG16" s="133">
        <f t="shared" si="476"/>
        <v>0.2979947860062882</v>
      </c>
      <c r="ACH16" s="134">
        <f t="shared" si="477"/>
        <v>0.36224208502881999</v>
      </c>
      <c r="ACI16" s="133">
        <f t="shared" si="478"/>
        <v>0.43804366534337175</v>
      </c>
      <c r="ACJ16" s="133">
        <f t="shared" si="283"/>
        <v>0.51726896995600036</v>
      </c>
      <c r="ACK16" s="133">
        <f t="shared" si="284"/>
        <v>0.57042557031498453</v>
      </c>
      <c r="ACL16" s="133">
        <f t="shared" si="285"/>
        <v>0.62026547633423934</v>
      </c>
      <c r="ACM16" s="133">
        <f t="shared" si="286"/>
        <v>0.68287691933041128</v>
      </c>
      <c r="ACN16" s="81"/>
      <c r="ACO16" s="81">
        <v>17</v>
      </c>
      <c r="ACP16" s="133">
        <f t="shared" si="287"/>
        <v>0.16201323746886626</v>
      </c>
      <c r="ACQ16" s="133">
        <f t="shared" si="288"/>
        <v>0.18811537757095517</v>
      </c>
      <c r="ACR16" s="133">
        <f t="shared" si="289"/>
        <v>0.21217657900183168</v>
      </c>
      <c r="ACS16" s="133">
        <f t="shared" si="479"/>
        <v>0.24177560476410093</v>
      </c>
      <c r="ACT16" s="133">
        <f t="shared" si="480"/>
        <v>0.29564898958536423</v>
      </c>
      <c r="ACU16" s="134">
        <f t="shared" si="481"/>
        <v>0.36219258782806341</v>
      </c>
      <c r="ACV16" s="133">
        <f t="shared" si="482"/>
        <v>0.43572259026570292</v>
      </c>
      <c r="ACW16" s="133">
        <f t="shared" si="290"/>
        <v>0.50779023950233171</v>
      </c>
      <c r="ACX16" s="133">
        <f t="shared" si="291"/>
        <v>0.55368519116136805</v>
      </c>
      <c r="ACY16" s="133">
        <f t="shared" si="292"/>
        <v>0.59515342653106806</v>
      </c>
      <c r="ACZ16" s="133">
        <f t="shared" si="293"/>
        <v>0.64531458182885482</v>
      </c>
      <c r="ADA16" s="81"/>
      <c r="ADB16" s="81">
        <v>14</v>
      </c>
      <c r="ADC16" s="133">
        <f t="shared" si="294"/>
        <v>0.14300126512708311</v>
      </c>
      <c r="ADD16" s="133">
        <f t="shared" si="295"/>
        <v>0.16078638753277058</v>
      </c>
      <c r="ADE16" s="133">
        <f t="shared" si="296"/>
        <v>0.17644719330337602</v>
      </c>
      <c r="ADF16" s="133">
        <f t="shared" si="483"/>
        <v>0.19489858779210789</v>
      </c>
      <c r="ADG16" s="133">
        <f t="shared" si="484"/>
        <v>0.22656349843109902</v>
      </c>
      <c r="ADH16" s="134">
        <f t="shared" si="485"/>
        <v>0.26306791226526666</v>
      </c>
      <c r="ADI16" s="133">
        <f t="shared" si="486"/>
        <v>0.30075157936297142</v>
      </c>
      <c r="ADJ16" s="133">
        <f t="shared" si="297"/>
        <v>0.33549532661043935</v>
      </c>
      <c r="ADK16" s="133">
        <f t="shared" si="298"/>
        <v>0.35672358371578805</v>
      </c>
      <c r="ADL16" s="133">
        <f t="shared" si="299"/>
        <v>0.37536964983732635</v>
      </c>
      <c r="ADM16" s="133">
        <f t="shared" si="300"/>
        <v>0.39731443769041808</v>
      </c>
      <c r="ADN16" s="81"/>
      <c r="ADO16" s="81">
        <v>14</v>
      </c>
      <c r="ADP16" s="133">
        <f t="shared" si="301"/>
        <v>0.15076492487755708</v>
      </c>
      <c r="ADQ16" s="133">
        <f t="shared" si="302"/>
        <v>0.16727541134600649</v>
      </c>
      <c r="ADR16" s="133">
        <f t="shared" si="303"/>
        <v>0.1820078434800918</v>
      </c>
      <c r="ADS16" s="133">
        <f t="shared" si="487"/>
        <v>0.19959239648410948</v>
      </c>
      <c r="ADT16" s="133">
        <f t="shared" si="488"/>
        <v>0.23032151971557741</v>
      </c>
      <c r="ADU16" s="134">
        <f t="shared" si="489"/>
        <v>0.26657140675188296</v>
      </c>
      <c r="ADV16" s="133">
        <f t="shared" si="490"/>
        <v>0.30486589476958809</v>
      </c>
      <c r="ADW16" s="133">
        <f t="shared" si="304"/>
        <v>0.34091520955736077</v>
      </c>
      <c r="ADX16" s="133">
        <f t="shared" si="305"/>
        <v>0.36327560407499832</v>
      </c>
      <c r="ADY16" s="133">
        <f t="shared" si="306"/>
        <v>0.38311802152276597</v>
      </c>
      <c r="ADZ16" s="133">
        <f t="shared" si="307"/>
        <v>0.40670596276809073</v>
      </c>
      <c r="AEA16" s="81"/>
      <c r="AEB16" s="81">
        <v>17</v>
      </c>
      <c r="AEC16" s="133">
        <f t="shared" si="308"/>
        <v>0.13614326469971444</v>
      </c>
      <c r="AED16" s="133">
        <f t="shared" si="309"/>
        <v>0.15688018550520244</v>
      </c>
      <c r="AEE16" s="133">
        <f t="shared" si="310"/>
        <v>0.17462699812995403</v>
      </c>
      <c r="AEF16" s="133">
        <f t="shared" si="491"/>
        <v>0.19499909152156616</v>
      </c>
      <c r="AEG16" s="133">
        <f t="shared" si="492"/>
        <v>0.22879866181629058</v>
      </c>
      <c r="AEH16" s="134">
        <f t="shared" si="493"/>
        <v>0.26623778892201361</v>
      </c>
      <c r="AEI16" s="133">
        <f t="shared" si="494"/>
        <v>0.30346677199536121</v>
      </c>
      <c r="AEJ16" s="133">
        <f t="shared" si="311"/>
        <v>0.33671245436587799</v>
      </c>
      <c r="AEK16" s="133">
        <f t="shared" si="312"/>
        <v>0.35657813196024729</v>
      </c>
      <c r="AEL16" s="133">
        <f t="shared" si="313"/>
        <v>0.3737727442652734</v>
      </c>
      <c r="AEM16" s="133">
        <f t="shared" si="314"/>
        <v>0.3937256065155309</v>
      </c>
      <c r="AEN16" s="81"/>
    </row>
    <row r="17" spans="1:820">
      <c r="A17" s="81"/>
      <c r="B17" s="81">
        <v>16</v>
      </c>
      <c r="C17" s="133">
        <f t="shared" si="0"/>
        <v>1.6246531440229699</v>
      </c>
      <c r="D17" s="133">
        <f t="shared" si="1"/>
        <v>1.9048040428336781</v>
      </c>
      <c r="E17" s="133">
        <f t="shared" si="2"/>
        <v>2.1924664663439071</v>
      </c>
      <c r="F17" s="133">
        <f t="shared" si="315"/>
        <v>2.5904610322198476</v>
      </c>
      <c r="G17" s="133">
        <f t="shared" si="316"/>
        <v>3.4626289491026583</v>
      </c>
      <c r="H17" s="134">
        <f t="shared" si="317"/>
        <v>4.8785772620235406</v>
      </c>
      <c r="I17" s="133">
        <f t="shared" si="318"/>
        <v>7.0340964208121726</v>
      </c>
      <c r="J17" s="133">
        <f t="shared" si="3"/>
        <v>9.9885879949152159</v>
      </c>
      <c r="K17" s="133">
        <f t="shared" si="4"/>
        <v>12.466491911086264</v>
      </c>
      <c r="L17" s="133">
        <f t="shared" si="5"/>
        <v>15.223660233723541</v>
      </c>
      <c r="M17" s="133">
        <f t="shared" si="6"/>
        <v>19.390808686212335</v>
      </c>
      <c r="N17" s="81"/>
      <c r="O17" s="75">
        <v>16</v>
      </c>
      <c r="P17" s="151">
        <f t="shared" si="7"/>
        <v>2.2818771670661802</v>
      </c>
      <c r="Q17" s="151">
        <f t="shared" si="8"/>
        <v>2.544472274989857</v>
      </c>
      <c r="R17" s="151">
        <f t="shared" si="9"/>
        <v>2.8055177557536624</v>
      </c>
      <c r="S17" s="151">
        <f t="shared" si="319"/>
        <v>3.155596390870699</v>
      </c>
      <c r="T17" s="151">
        <f t="shared" si="320"/>
        <v>3.8909688597582166</v>
      </c>
      <c r="U17" s="134">
        <f t="shared" si="321"/>
        <v>5.0283261553271483</v>
      </c>
      <c r="V17" s="151">
        <f t="shared" si="322"/>
        <v>6.6932700645178409</v>
      </c>
      <c r="W17" s="151">
        <f t="shared" si="10"/>
        <v>8.9278909421140327</v>
      </c>
      <c r="X17" s="151">
        <f t="shared" si="11"/>
        <v>10.798447462017803</v>
      </c>
      <c r="Y17" s="151">
        <f t="shared" si="12"/>
        <v>12.898271591574185</v>
      </c>
      <c r="Z17" s="151">
        <f t="shared" si="13"/>
        <v>16.136558372164838</v>
      </c>
      <c r="AA17" s="81"/>
      <c r="AB17" s="75">
        <v>18</v>
      </c>
      <c r="AC17" s="151">
        <f t="shared" si="14"/>
        <v>1.3045960321303038</v>
      </c>
      <c r="AD17" s="151">
        <f t="shared" si="15"/>
        <v>1.5631919404135617</v>
      </c>
      <c r="AE17" s="151">
        <f t="shared" si="16"/>
        <v>1.8374346976766167</v>
      </c>
      <c r="AF17" s="151">
        <f t="shared" si="323"/>
        <v>2.2307407794424594</v>
      </c>
      <c r="AG17" s="151">
        <f t="shared" si="324"/>
        <v>3.1456335134119366</v>
      </c>
      <c r="AH17" s="134">
        <f t="shared" si="325"/>
        <v>4.7743943053216151</v>
      </c>
      <c r="AI17" s="151">
        <f t="shared" si="326"/>
        <v>7.5669380671995867</v>
      </c>
      <c r="AJ17" s="151">
        <f t="shared" si="17"/>
        <v>11.964610632647146</v>
      </c>
      <c r="AK17" s="151">
        <f t="shared" si="18"/>
        <v>16.136833369036029</v>
      </c>
      <c r="AL17" s="151">
        <f t="shared" si="19"/>
        <v>21.28390266550802</v>
      </c>
      <c r="AM17" s="151">
        <f t="shared" si="20"/>
        <v>30.058562867456732</v>
      </c>
      <c r="AN17" s="81"/>
      <c r="AO17" s="81">
        <v>16</v>
      </c>
      <c r="AP17" s="133">
        <f t="shared" si="21"/>
        <v>1.6856663354282313</v>
      </c>
      <c r="AQ17" s="133">
        <f t="shared" si="22"/>
        <v>3.2509274386804696</v>
      </c>
      <c r="AR17" s="133">
        <f t="shared" si="23"/>
        <v>4.706374922037301</v>
      </c>
      <c r="AS17" s="133">
        <f t="shared" si="327"/>
        <v>6.5107138427940319</v>
      </c>
      <c r="AT17" s="133">
        <f t="shared" si="328"/>
        <v>9.8242391829719082</v>
      </c>
      <c r="AU17" s="134">
        <f t="shared" si="329"/>
        <v>13.969200498267856</v>
      </c>
      <c r="AV17" s="133">
        <f t="shared" si="330"/>
        <v>18.595463287414642</v>
      </c>
      <c r="AW17" s="133">
        <f t="shared" si="24"/>
        <v>23.159698767920656</v>
      </c>
      <c r="AX17" s="133">
        <f t="shared" si="25"/>
        <v>26.084707613587174</v>
      </c>
      <c r="AY17" s="133">
        <f t="shared" si="26"/>
        <v>28.737042238199361</v>
      </c>
      <c r="AZ17" s="133">
        <f t="shared" si="27"/>
        <v>31.956237458780304</v>
      </c>
      <c r="BA17" s="81"/>
      <c r="BB17" s="81">
        <v>16</v>
      </c>
      <c r="BC17" s="133">
        <f t="shared" si="28"/>
        <v>4.5335779846082689</v>
      </c>
      <c r="BD17" s="133">
        <f t="shared" si="29"/>
        <v>6.1397379872032198</v>
      </c>
      <c r="BE17" s="133">
        <f t="shared" si="30"/>
        <v>7.5895793194667407</v>
      </c>
      <c r="BF17" s="133">
        <f t="shared" si="331"/>
        <v>9.3381575090822082</v>
      </c>
      <c r="BG17" s="133">
        <f t="shared" si="332"/>
        <v>12.434480272953685</v>
      </c>
      <c r="BH17" s="134">
        <f t="shared" si="333"/>
        <v>16.142913700013946</v>
      </c>
      <c r="BI17" s="133">
        <f t="shared" si="334"/>
        <v>20.11475329766359</v>
      </c>
      <c r="BJ17" s="133">
        <f t="shared" si="31"/>
        <v>23.89651312081585</v>
      </c>
      <c r="BK17" s="133">
        <f t="shared" si="32"/>
        <v>26.260443747546883</v>
      </c>
      <c r="BL17" s="133">
        <f t="shared" si="33"/>
        <v>28.368745393190718</v>
      </c>
      <c r="BM17" s="133">
        <f t="shared" si="34"/>
        <v>30.886991124157387</v>
      </c>
      <c r="BN17" s="81"/>
      <c r="BO17" s="75">
        <v>18</v>
      </c>
      <c r="BP17" s="151">
        <f t="shared" si="35"/>
        <v>2.8188255329711858</v>
      </c>
      <c r="BQ17" s="151">
        <f t="shared" si="36"/>
        <v>3.5650649095940001</v>
      </c>
      <c r="BR17" s="151">
        <f t="shared" si="37"/>
        <v>4.3355364278932331</v>
      </c>
      <c r="BS17" s="151">
        <f t="shared" si="335"/>
        <v>5.3957808022509104</v>
      </c>
      <c r="BT17" s="151">
        <f t="shared" si="336"/>
        <v>7.6561181006797305</v>
      </c>
      <c r="BU17" s="134">
        <f t="shared" si="337"/>
        <v>11.081282270424047</v>
      </c>
      <c r="BV17" s="151">
        <f t="shared" si="338"/>
        <v>15.733955778767553</v>
      </c>
      <c r="BW17" s="151">
        <f t="shared" si="38"/>
        <v>21.233393138806886</v>
      </c>
      <c r="BX17" s="151">
        <f t="shared" si="39"/>
        <v>25.256661409762987</v>
      </c>
      <c r="BY17" s="151">
        <f t="shared" si="40"/>
        <v>29.255335369397866</v>
      </c>
      <c r="BZ17" s="151">
        <f t="shared" si="41"/>
        <v>34.571299895005701</v>
      </c>
      <c r="CA17" s="81"/>
      <c r="CB17" s="81">
        <v>16</v>
      </c>
      <c r="CC17" s="133">
        <f t="shared" si="42"/>
        <v>-4.8866378791802525</v>
      </c>
      <c r="CD17" s="133">
        <f t="shared" si="43"/>
        <v>-2.9032342499844921</v>
      </c>
      <c r="CE17" s="133">
        <f t="shared" si="44"/>
        <v>-0.92578481511275879</v>
      </c>
      <c r="CF17" s="133">
        <f t="shared" si="339"/>
        <v>1.6125988470962218</v>
      </c>
      <c r="CG17" s="133">
        <f t="shared" si="340"/>
        <v>6.3690582916423546</v>
      </c>
      <c r="CH17" s="134">
        <f t="shared" si="341"/>
        <v>12.32495874542116</v>
      </c>
      <c r="CI17" s="133">
        <f t="shared" si="342"/>
        <v>18.874588836073098</v>
      </c>
      <c r="CJ17" s="133">
        <f t="shared" si="45"/>
        <v>25.199075796282603</v>
      </c>
      <c r="CK17" s="133">
        <f t="shared" si="46"/>
        <v>29.176970944438569</v>
      </c>
      <c r="CL17" s="133">
        <f t="shared" si="47"/>
        <v>32.734032377570081</v>
      </c>
      <c r="CM17" s="133">
        <f t="shared" si="48"/>
        <v>36.989375479057422</v>
      </c>
      <c r="CN17" s="81"/>
      <c r="CO17" s="81">
        <v>16</v>
      </c>
      <c r="CP17" s="133">
        <f t="shared" si="49"/>
        <v>0.36350382134303771</v>
      </c>
      <c r="CQ17" s="133">
        <f t="shared" si="50"/>
        <v>2.5302466452973915</v>
      </c>
      <c r="CR17" s="133">
        <f t="shared" si="51"/>
        <v>4.5400226647321551</v>
      </c>
      <c r="CS17" s="133">
        <f t="shared" si="343"/>
        <v>7.0101523680887832</v>
      </c>
      <c r="CT17" s="133">
        <f t="shared" si="344"/>
        <v>11.462305505642796</v>
      </c>
      <c r="CU17" s="134">
        <f t="shared" si="345"/>
        <v>16.865570056013244</v>
      </c>
      <c r="CV17" s="133">
        <f t="shared" si="346"/>
        <v>22.68823000217154</v>
      </c>
      <c r="CW17" s="133">
        <f t="shared" si="52"/>
        <v>28.239368807844958</v>
      </c>
      <c r="CX17" s="133">
        <f t="shared" si="53"/>
        <v>31.706092212101542</v>
      </c>
      <c r="CY17" s="133">
        <f t="shared" si="54"/>
        <v>34.793602548525712</v>
      </c>
      <c r="CZ17" s="133">
        <f t="shared" si="55"/>
        <v>38.474526085835834</v>
      </c>
      <c r="DA17" s="81"/>
      <c r="DB17" s="81">
        <v>18</v>
      </c>
      <c r="DC17" s="133">
        <f t="shared" si="56"/>
        <v>-5.93515788402095</v>
      </c>
      <c r="DD17" s="133">
        <f t="shared" si="57"/>
        <v>-4.7181006507291219</v>
      </c>
      <c r="DE17" s="133">
        <f t="shared" si="58"/>
        <v>-3.4022789516129439</v>
      </c>
      <c r="DF17" s="133">
        <f t="shared" si="347"/>
        <v>-1.6089176308697857</v>
      </c>
      <c r="DG17" s="133">
        <f t="shared" si="348"/>
        <v>1.9790170228153761</v>
      </c>
      <c r="DH17" s="134">
        <f t="shared" si="349"/>
        <v>6.7756187830903949</v>
      </c>
      <c r="DI17" s="133">
        <f t="shared" si="350"/>
        <v>12.340690649226019</v>
      </c>
      <c r="DJ17" s="133">
        <f t="shared" si="59"/>
        <v>17.942293049371592</v>
      </c>
      <c r="DK17" s="133">
        <f t="shared" si="60"/>
        <v>21.562457544339406</v>
      </c>
      <c r="DL17" s="133">
        <f t="shared" si="61"/>
        <v>24.856085342818417</v>
      </c>
      <c r="DM17" s="133">
        <f t="shared" si="62"/>
        <v>28.860519947657604</v>
      </c>
      <c r="DN17" s="81"/>
      <c r="DO17" s="81">
        <v>16</v>
      </c>
      <c r="DP17" s="133">
        <v>13.138618744869627</v>
      </c>
      <c r="DQ17" s="133">
        <v>14.518535873855747</v>
      </c>
      <c r="DR17" s="133">
        <v>15.820712452182507</v>
      </c>
      <c r="DS17" s="133">
        <v>17.467642571042326</v>
      </c>
      <c r="DT17" s="133">
        <v>20.605335074502172</v>
      </c>
      <c r="DU17" s="134">
        <v>24.771164805555401</v>
      </c>
      <c r="DV17" s="133">
        <v>29.779210267892793</v>
      </c>
      <c r="DW17" s="133">
        <v>35.128415487572653</v>
      </c>
      <c r="DX17" s="133">
        <v>38.785270112114162</v>
      </c>
      <c r="DY17" s="133">
        <v>42.263945287275547</v>
      </c>
      <c r="DZ17" s="133">
        <v>46.702824531200392</v>
      </c>
      <c r="EA17" s="81"/>
      <c r="EB17" s="81">
        <v>16</v>
      </c>
      <c r="EC17" s="133">
        <v>13.688351950911287</v>
      </c>
      <c r="ED17" s="133">
        <v>14.774558426049989</v>
      </c>
      <c r="EE17" s="133">
        <v>15.777448690905306</v>
      </c>
      <c r="EF17" s="133">
        <v>17.01849514515991</v>
      </c>
      <c r="EG17" s="133">
        <v>19.309815110573549</v>
      </c>
      <c r="EH17" s="134">
        <v>22.229064209252542</v>
      </c>
      <c r="EI17" s="133">
        <v>25.589644063888464</v>
      </c>
      <c r="EJ17" s="133">
        <v>29.034958226585857</v>
      </c>
      <c r="EK17" s="133">
        <v>31.318833944546899</v>
      </c>
      <c r="EL17" s="133">
        <v>33.444742060638305</v>
      </c>
      <c r="EM17" s="133">
        <v>36.098669685810933</v>
      </c>
      <c r="EN17" s="81"/>
      <c r="EO17" s="81">
        <v>18</v>
      </c>
      <c r="EP17" s="133">
        <v>15.533079922854633</v>
      </c>
      <c r="EQ17" s="133">
        <v>17.115193753319605</v>
      </c>
      <c r="ER17" s="133">
        <v>18.604197483225693</v>
      </c>
      <c r="ES17" s="133">
        <v>20.482399727232576</v>
      </c>
      <c r="ET17" s="133">
        <v>24.046972872689331</v>
      </c>
      <c r="EU17" s="134">
        <v>28.755745398867699</v>
      </c>
      <c r="EV17" s="133">
        <v>34.386569063069949</v>
      </c>
      <c r="EW17" s="133">
        <v>40.370899135666107</v>
      </c>
      <c r="EX17" s="133">
        <v>44.446576864713535</v>
      </c>
      <c r="EY17" s="133">
        <v>48.313381978753227</v>
      </c>
      <c r="EZ17" s="133">
        <v>53.234316539365132</v>
      </c>
      <c r="FA17" s="81"/>
      <c r="FB17" s="81">
        <v>16</v>
      </c>
      <c r="FC17" s="133">
        <v>6.6164717175411418</v>
      </c>
      <c r="FD17" s="133">
        <v>7.4417457311185302</v>
      </c>
      <c r="FE17" s="133">
        <v>8.2333992483254992</v>
      </c>
      <c r="FF17" s="133">
        <v>9.251201198367788</v>
      </c>
      <c r="FG17" s="133">
        <v>11.236718214994479</v>
      </c>
      <c r="FH17" s="134">
        <v>13.955874641344916</v>
      </c>
      <c r="FI17" s="133">
        <v>17.333035613995744</v>
      </c>
      <c r="FJ17" s="133">
        <v>21.053097087467638</v>
      </c>
      <c r="FK17" s="133">
        <v>23.655653167134503</v>
      </c>
      <c r="FL17" s="133">
        <v>26.172143478444227</v>
      </c>
      <c r="FM17" s="133">
        <v>29.436600853077387</v>
      </c>
      <c r="FN17" s="81"/>
      <c r="FO17" s="81">
        <v>16</v>
      </c>
      <c r="FP17" s="133">
        <v>6.3999005344460986</v>
      </c>
      <c r="FQ17" s="133">
        <v>7.0898943947636521</v>
      </c>
      <c r="FR17" s="133">
        <v>7.7425388042303602</v>
      </c>
      <c r="FS17" s="133">
        <v>8.5699025356033065</v>
      </c>
      <c r="FT17" s="133">
        <v>10.151493926342843</v>
      </c>
      <c r="FU17" s="134">
        <v>12.260626368813439</v>
      </c>
      <c r="FV17" s="133">
        <v>14.807964231309791</v>
      </c>
      <c r="FW17" s="133">
        <v>17.540801465493086</v>
      </c>
      <c r="FX17" s="133">
        <v>19.415202526787482</v>
      </c>
      <c r="FY17" s="133">
        <v>21.20242567599691</v>
      </c>
      <c r="FZ17" s="133">
        <v>23.48832738049008</v>
      </c>
      <c r="GA17" s="81"/>
      <c r="GB17" s="81">
        <v>18</v>
      </c>
      <c r="GC17" s="133">
        <v>8.0777905651153112</v>
      </c>
      <c r="GD17" s="133">
        <v>9.0571098613674774</v>
      </c>
      <c r="GE17" s="133">
        <v>9.9938258259992949</v>
      </c>
      <c r="GF17" s="133">
        <v>11.194656560582656</v>
      </c>
      <c r="GG17" s="133">
        <v>13.527478750856696</v>
      </c>
      <c r="GH17" s="134">
        <v>16.704866519590688</v>
      </c>
      <c r="GI17" s="133">
        <v>20.628571707767019</v>
      </c>
      <c r="GJ17" s="133">
        <v>24.927300263941095</v>
      </c>
      <c r="GK17" s="133">
        <v>27.922496378851907</v>
      </c>
      <c r="GL17" s="133">
        <v>30.810332402792511</v>
      </c>
      <c r="GM17" s="133">
        <v>34.545654927283756</v>
      </c>
      <c r="GN17" s="81"/>
      <c r="GO17" s="81">
        <v>16</v>
      </c>
      <c r="GP17" s="133">
        <f t="shared" si="63"/>
        <v>0.36169422565400677</v>
      </c>
      <c r="GQ17" s="133">
        <f t="shared" si="64"/>
        <v>0.40443800240336042</v>
      </c>
      <c r="GR17" s="133">
        <f t="shared" si="65"/>
        <v>0.43769361235873794</v>
      </c>
      <c r="GS17" s="133">
        <f t="shared" si="351"/>
        <v>0.47298326539438468</v>
      </c>
      <c r="GT17" s="133">
        <f t="shared" si="352"/>
        <v>0.52781274612469709</v>
      </c>
      <c r="GU17" s="134">
        <f t="shared" si="353"/>
        <v>0.57972960902250659</v>
      </c>
      <c r="GV17" s="133">
        <f t="shared" si="354"/>
        <v>0.62712951171945286</v>
      </c>
      <c r="GW17" s="133">
        <f t="shared" si="66"/>
        <v>0.66882084847315337</v>
      </c>
      <c r="GX17" s="133">
        <f t="shared" si="67"/>
        <v>0.69187725717440163</v>
      </c>
      <c r="GY17" s="133">
        <f t="shared" si="68"/>
        <v>0.71123505763732686</v>
      </c>
      <c r="GZ17" s="133">
        <f t="shared" si="69"/>
        <v>0.73306295523492393</v>
      </c>
      <c r="HA17" s="81"/>
      <c r="HB17" s="81">
        <v>16</v>
      </c>
      <c r="HC17" s="133">
        <f t="shared" si="70"/>
        <v>0.34090608737617578</v>
      </c>
      <c r="HD17" s="133">
        <f t="shared" si="71"/>
        <v>0.38735549568926209</v>
      </c>
      <c r="HE17" s="133">
        <f t="shared" si="72"/>
        <v>0.42310027915903498</v>
      </c>
      <c r="HF17" s="133">
        <f t="shared" si="355"/>
        <v>0.46075843072121347</v>
      </c>
      <c r="HG17" s="133">
        <f t="shared" si="356"/>
        <v>0.51729845378119277</v>
      </c>
      <c r="HH17" s="134">
        <f t="shared" si="357"/>
        <v>0.57355525165609478</v>
      </c>
      <c r="HI17" s="133">
        <f t="shared" si="358"/>
        <v>0.62458312510344138</v>
      </c>
      <c r="HJ17" s="133">
        <f t="shared" si="73"/>
        <v>0.66692786393957848</v>
      </c>
      <c r="HK17" s="133">
        <f t="shared" si="74"/>
        <v>0.69102152249278015</v>
      </c>
      <c r="HL17" s="133">
        <f t="shared" si="75"/>
        <v>0.71123292715730335</v>
      </c>
      <c r="HM17" s="133">
        <f t="shared" si="76"/>
        <v>0.73400660451680866</v>
      </c>
      <c r="HN17" s="81"/>
      <c r="HO17" s="81">
        <v>18</v>
      </c>
      <c r="HP17" s="83">
        <f t="shared" si="77"/>
        <v>0.39342291739135848</v>
      </c>
      <c r="HQ17" s="83">
        <f t="shared" si="78"/>
        <v>0.43146895262947893</v>
      </c>
      <c r="HR17" s="83">
        <f t="shared" si="79"/>
        <v>0.46150509555532238</v>
      </c>
      <c r="HS17" s="83">
        <f t="shared" si="359"/>
        <v>0.49370459078837753</v>
      </c>
      <c r="HT17" s="83">
        <f t="shared" si="360"/>
        <v>0.54287889040757031</v>
      </c>
      <c r="HU17" s="84">
        <f t="shared" si="361"/>
        <v>0.59255347102344558</v>
      </c>
      <c r="HV17" s="83">
        <f t="shared" si="362"/>
        <v>0.63809091055689482</v>
      </c>
      <c r="HW17" s="83">
        <f t="shared" si="80"/>
        <v>0.67614764344199807</v>
      </c>
      <c r="HX17" s="83">
        <f t="shared" si="81"/>
        <v>0.69789079175150948</v>
      </c>
      <c r="HY17" s="83">
        <f t="shared" si="82"/>
        <v>0.71617387036410174</v>
      </c>
      <c r="HZ17" s="83">
        <f t="shared" si="83"/>
        <v>0.73681750458554029</v>
      </c>
      <c r="IA17" s="81"/>
      <c r="IB17" s="81">
        <v>16</v>
      </c>
      <c r="IC17" s="83">
        <f t="shared" si="84"/>
        <v>0.26607517356162919</v>
      </c>
      <c r="ID17" s="83">
        <f t="shared" si="85"/>
        <v>0.28881636197150845</v>
      </c>
      <c r="IE17" s="83">
        <f t="shared" si="86"/>
        <v>0.30519919275718926</v>
      </c>
      <c r="IF17" s="83">
        <f t="shared" si="363"/>
        <v>0.32161623774423787</v>
      </c>
      <c r="IG17" s="83">
        <f t="shared" si="364"/>
        <v>0.34493485853569661</v>
      </c>
      <c r="IH17" s="84">
        <f t="shared" si="365"/>
        <v>0.36683754586842759</v>
      </c>
      <c r="II17" s="83">
        <f t="shared" si="366"/>
        <v>0.38577623029350555</v>
      </c>
      <c r="IJ17" s="83">
        <f t="shared" si="87"/>
        <v>0.40091592219080119</v>
      </c>
      <c r="IK17" s="83">
        <f t="shared" si="88"/>
        <v>0.40932074149012426</v>
      </c>
      <c r="IL17" s="83">
        <f t="shared" si="89"/>
        <v>0.41626243228389748</v>
      </c>
      <c r="IM17" s="83">
        <f t="shared" si="90"/>
        <v>0.42397141035258828</v>
      </c>
      <c r="IN17" s="81"/>
      <c r="IO17" s="81">
        <v>16</v>
      </c>
      <c r="IP17" s="133">
        <f t="shared" si="91"/>
        <v>0.25413330189261485</v>
      </c>
      <c r="IQ17" s="133">
        <f t="shared" si="92"/>
        <v>0.2799542322019718</v>
      </c>
      <c r="IR17" s="133">
        <f t="shared" si="93"/>
        <v>0.2980931008126419</v>
      </c>
      <c r="IS17" s="133">
        <f t="shared" si="367"/>
        <v>0.31599688236659029</v>
      </c>
      <c r="IT17" s="133">
        <f t="shared" si="368"/>
        <v>0.3410858196276495</v>
      </c>
      <c r="IU17" s="134">
        <f t="shared" si="369"/>
        <v>0.36438779224710544</v>
      </c>
      <c r="IV17" s="133">
        <f t="shared" si="370"/>
        <v>0.3843871324267229</v>
      </c>
      <c r="IW17" s="133">
        <f t="shared" si="94"/>
        <v>0.40029835364435318</v>
      </c>
      <c r="IX17" s="133">
        <f t="shared" si="95"/>
        <v>0.40910736798124608</v>
      </c>
      <c r="IY17" s="133">
        <f t="shared" si="96"/>
        <v>0.41637154838165302</v>
      </c>
      <c r="IZ17" s="133">
        <f t="shared" si="97"/>
        <v>0.42442777678462473</v>
      </c>
      <c r="JA17" s="81"/>
      <c r="JB17" s="81">
        <v>18</v>
      </c>
      <c r="JC17" s="133">
        <f t="shared" si="98"/>
        <v>0.28326995543914135</v>
      </c>
      <c r="JD17" s="133">
        <f t="shared" si="99"/>
        <v>0.30229518239369474</v>
      </c>
      <c r="JE17" s="133">
        <f t="shared" si="100"/>
        <v>0.31644040924494049</v>
      </c>
      <c r="JF17" s="133">
        <f t="shared" si="371"/>
        <v>0.3309079755138617</v>
      </c>
      <c r="JG17" s="133">
        <f t="shared" si="372"/>
        <v>0.35185838522391111</v>
      </c>
      <c r="JH17" s="134">
        <f t="shared" si="373"/>
        <v>0.371871182843031</v>
      </c>
      <c r="JI17" s="133">
        <f t="shared" si="374"/>
        <v>0.38937823930616566</v>
      </c>
      <c r="JJ17" s="133">
        <f t="shared" si="101"/>
        <v>0.40348216595159392</v>
      </c>
      <c r="JK17" s="133">
        <f t="shared" si="102"/>
        <v>0.41134742314450079</v>
      </c>
      <c r="JL17" s="133">
        <f t="shared" si="103"/>
        <v>0.41786049937390313</v>
      </c>
      <c r="JM17" s="133">
        <f t="shared" si="104"/>
        <v>0.42511006247511546</v>
      </c>
      <c r="JN17" s="81"/>
      <c r="JO17" s="81">
        <v>15</v>
      </c>
      <c r="JP17" s="133">
        <f t="shared" si="105"/>
        <v>-8.3065874279511469</v>
      </c>
      <c r="JQ17" s="133">
        <f t="shared" si="106"/>
        <v>-7.0479692144229773</v>
      </c>
      <c r="JR17" s="133">
        <f t="shared" si="107"/>
        <v>-5.9491883996647079</v>
      </c>
      <c r="JS17" s="133">
        <f t="shared" si="375"/>
        <v>-4.6646441324449803</v>
      </c>
      <c r="JT17" s="133">
        <f t="shared" si="376"/>
        <v>-2.4820855905379915</v>
      </c>
      <c r="JU17" s="134">
        <f t="shared" si="377"/>
        <v>5.0005404338868686E-3</v>
      </c>
      <c r="JV17" s="133">
        <f t="shared" si="378"/>
        <v>2.5451133688765282</v>
      </c>
      <c r="JW17" s="133">
        <f t="shared" si="108"/>
        <v>4.8660792033426965</v>
      </c>
      <c r="JX17" s="133">
        <f t="shared" si="109"/>
        <v>6.2754070715217338</v>
      </c>
      <c r="JY17" s="133">
        <f t="shared" si="110"/>
        <v>7.5082804093443762</v>
      </c>
      <c r="JZ17" s="133">
        <f t="shared" si="111"/>
        <v>8.95363763236913</v>
      </c>
      <c r="KA17" s="81"/>
      <c r="KB17" s="81">
        <v>15</v>
      </c>
      <c r="KC17" s="133">
        <f t="shared" si="112"/>
        <v>-6.5386532777689945</v>
      </c>
      <c r="KD17" s="133">
        <f t="shared" si="113"/>
        <v>-5.5628566830016286</v>
      </c>
      <c r="KE17" s="133">
        <f t="shared" si="114"/>
        <v>-4.6838975144591197</v>
      </c>
      <c r="KF17" s="133">
        <f t="shared" si="379"/>
        <v>-3.6272174844237277</v>
      </c>
      <c r="KG17" s="133">
        <f t="shared" si="380"/>
        <v>-1.7669892633929489</v>
      </c>
      <c r="KH17" s="134">
        <f t="shared" si="381"/>
        <v>0.44103998434216152</v>
      </c>
      <c r="KI17" s="133">
        <f t="shared" si="382"/>
        <v>2.7815798056714911</v>
      </c>
      <c r="KJ17" s="133">
        <f t="shared" si="115"/>
        <v>4.9875902826873695</v>
      </c>
      <c r="KK17" s="133">
        <f t="shared" si="116"/>
        <v>6.3559182810706982</v>
      </c>
      <c r="KL17" s="133">
        <f t="shared" si="117"/>
        <v>7.5696887407401139</v>
      </c>
      <c r="KM17" s="133">
        <f t="shared" si="118"/>
        <v>9.0116392934592451</v>
      </c>
      <c r="KN17" s="81"/>
      <c r="KO17" s="81">
        <v>17</v>
      </c>
      <c r="KP17" s="133">
        <f t="shared" si="119"/>
        <v>-10.391000664873332</v>
      </c>
      <c r="KQ17" s="133">
        <f t="shared" si="120"/>
        <v>-8.8155113887707408</v>
      </c>
      <c r="KR17" s="133">
        <f t="shared" si="121"/>
        <v>-7.470297556395062</v>
      </c>
      <c r="KS17" s="133">
        <f t="shared" si="383"/>
        <v>-5.9292154439031481</v>
      </c>
      <c r="KT17" s="133">
        <f t="shared" si="384"/>
        <v>-3.3788810665995541</v>
      </c>
      <c r="KU17" s="134">
        <f t="shared" si="385"/>
        <v>-0.56212461480991749</v>
      </c>
      <c r="KV17" s="133">
        <f t="shared" si="386"/>
        <v>2.2314524202365718</v>
      </c>
      <c r="KW17" s="133">
        <f t="shared" si="122"/>
        <v>4.7206733929262619</v>
      </c>
      <c r="KX17" s="133">
        <f t="shared" si="123"/>
        <v>6.2058564002105108</v>
      </c>
      <c r="KY17" s="133">
        <f t="shared" si="124"/>
        <v>7.490090988514666</v>
      </c>
      <c r="KZ17" s="133">
        <f t="shared" si="125"/>
        <v>8.9789482247923935</v>
      </c>
      <c r="LA17" s="81"/>
      <c r="LB17" s="81">
        <v>15</v>
      </c>
      <c r="LC17" s="133">
        <f t="shared" si="126"/>
        <v>-22.645879275312062</v>
      </c>
      <c r="LD17" s="133">
        <f t="shared" si="127"/>
        <v>-19.234855201026797</v>
      </c>
      <c r="LE17" s="133">
        <f t="shared" si="128"/>
        <v>-16.181154814921836</v>
      </c>
      <c r="LF17" s="133">
        <f t="shared" si="387"/>
        <v>-12.536997589565036</v>
      </c>
      <c r="LG17" s="133">
        <f t="shared" si="388"/>
        <v>-6.1954830254243767</v>
      </c>
      <c r="LH17" s="134">
        <f t="shared" si="389"/>
        <v>1.2140027996204452</v>
      </c>
      <c r="LI17" s="133">
        <f t="shared" si="390"/>
        <v>8.940413798863716</v>
      </c>
      <c r="LJ17" s="133">
        <f t="shared" si="129"/>
        <v>16.114423113071666</v>
      </c>
      <c r="LK17" s="133">
        <f t="shared" si="130"/>
        <v>20.516116223948544</v>
      </c>
      <c r="LL17" s="133">
        <f t="shared" si="131"/>
        <v>24.391919287783224</v>
      </c>
      <c r="LM17" s="133">
        <f t="shared" si="132"/>
        <v>28.963252216159653</v>
      </c>
      <c r="LN17" s="81"/>
      <c r="LO17" s="81">
        <v>15</v>
      </c>
      <c r="LP17" s="133">
        <f t="shared" si="133"/>
        <v>-19.970665013990498</v>
      </c>
      <c r="LQ17" s="133">
        <f t="shared" si="134"/>
        <v>-16.793675436735839</v>
      </c>
      <c r="LR17" s="133">
        <f t="shared" si="135"/>
        <v>-13.922502701129222</v>
      </c>
      <c r="LS17" s="133">
        <f t="shared" si="391"/>
        <v>-10.46968077210369</v>
      </c>
      <c r="LT17" s="133">
        <f t="shared" si="392"/>
        <v>-4.4067706468194814</v>
      </c>
      <c r="LU17" s="134">
        <f t="shared" si="393"/>
        <v>2.7453014701827065</v>
      </c>
      <c r="LV17" s="133">
        <f t="shared" si="394"/>
        <v>10.26428208525169</v>
      </c>
      <c r="LW17" s="133">
        <f t="shared" si="136"/>
        <v>17.290957358182428</v>
      </c>
      <c r="LX17" s="133">
        <f t="shared" si="137"/>
        <v>21.620773699430682</v>
      </c>
      <c r="LY17" s="133">
        <f t="shared" si="138"/>
        <v>25.443763215456297</v>
      </c>
      <c r="LZ17" s="133">
        <f t="shared" si="139"/>
        <v>29.96444069115088</v>
      </c>
      <c r="MA17" s="81"/>
      <c r="MB17" s="81">
        <v>17</v>
      </c>
      <c r="MC17" s="133">
        <f t="shared" si="140"/>
        <v>-25.069113708024062</v>
      </c>
      <c r="MD17" s="133">
        <f t="shared" si="141"/>
        <v>-21.477080119569813</v>
      </c>
      <c r="ME17" s="133">
        <f t="shared" si="142"/>
        <v>-18.296025476119166</v>
      </c>
      <c r="MF17" s="133">
        <f t="shared" si="395"/>
        <v>-14.539411171985414</v>
      </c>
      <c r="MG17" s="133">
        <f t="shared" si="396"/>
        <v>-8.0928723281926764</v>
      </c>
      <c r="MH17" s="134">
        <f t="shared" si="397"/>
        <v>-0.68508553292613783</v>
      </c>
      <c r="MI17" s="133">
        <f t="shared" si="398"/>
        <v>6.9201523336380077</v>
      </c>
      <c r="MJ17" s="133">
        <f t="shared" si="143"/>
        <v>13.888995675001816</v>
      </c>
      <c r="MK17" s="133">
        <f t="shared" si="144"/>
        <v>18.125888024004865</v>
      </c>
      <c r="ML17" s="133">
        <f t="shared" si="145"/>
        <v>21.834226986962705</v>
      </c>
      <c r="MM17" s="133">
        <f t="shared" si="146"/>
        <v>26.182969276533917</v>
      </c>
      <c r="MN17" s="81"/>
      <c r="MO17" s="81">
        <v>15</v>
      </c>
      <c r="MP17" s="133">
        <f t="shared" si="147"/>
        <v>-26.351747471258591</v>
      </c>
      <c r="MQ17" s="133">
        <f t="shared" si="148"/>
        <v>-22.079229917671221</v>
      </c>
      <c r="MR17" s="133">
        <f t="shared" si="149"/>
        <v>-18.372234897039043</v>
      </c>
      <c r="MS17" s="133">
        <f t="shared" si="399"/>
        <v>-14.068884456809819</v>
      </c>
      <c r="MT17" s="133">
        <f t="shared" si="400"/>
        <v>-6.8339468430206907</v>
      </c>
      <c r="MU17" s="134">
        <f t="shared" si="401"/>
        <v>1.2961000245770364</v>
      </c>
      <c r="MV17" s="133">
        <f t="shared" si="402"/>
        <v>9.4821645211051759</v>
      </c>
      <c r="MW17" s="133">
        <f t="shared" si="150"/>
        <v>16.866514972321824</v>
      </c>
      <c r="MX17" s="133">
        <f t="shared" si="151"/>
        <v>21.309018196980432</v>
      </c>
      <c r="MY17" s="133">
        <f t="shared" si="152"/>
        <v>25.171051118905964</v>
      </c>
      <c r="MZ17" s="133">
        <f t="shared" si="153"/>
        <v>29.6711533977494</v>
      </c>
      <c r="NA17" s="81"/>
      <c r="NB17" s="81">
        <v>15</v>
      </c>
      <c r="NC17" s="133">
        <f t="shared" si="154"/>
        <v>-23.714091002338858</v>
      </c>
      <c r="ND17" s="133">
        <f t="shared" si="155"/>
        <v>-19.56064079524138</v>
      </c>
      <c r="NE17" s="133">
        <f t="shared" si="156"/>
        <v>-15.910306589904041</v>
      </c>
      <c r="NF17" s="133">
        <f t="shared" si="403"/>
        <v>-11.6405485907326</v>
      </c>
      <c r="NG17" s="133">
        <f t="shared" si="404"/>
        <v>-4.4112321955933744</v>
      </c>
      <c r="NH17" s="134">
        <f t="shared" si="405"/>
        <v>3.7636506447906228</v>
      </c>
      <c r="NI17" s="133">
        <f t="shared" si="406"/>
        <v>12.033178621628284</v>
      </c>
      <c r="NJ17" s="133">
        <f t="shared" si="157"/>
        <v>19.517905725408507</v>
      </c>
      <c r="NK17" s="133">
        <f t="shared" si="158"/>
        <v>24.030281890458941</v>
      </c>
      <c r="NL17" s="133">
        <f t="shared" si="159"/>
        <v>27.958153014931828</v>
      </c>
      <c r="NM17" s="133">
        <f t="shared" si="160"/>
        <v>32.540418841982728</v>
      </c>
      <c r="NN17" s="81"/>
      <c r="NO17" s="81">
        <v>17</v>
      </c>
      <c r="NP17" s="133">
        <f t="shared" si="161"/>
        <v>-27.966417104518491</v>
      </c>
      <c r="NQ17" s="133">
        <f t="shared" si="162"/>
        <v>-23.941365733851207</v>
      </c>
      <c r="NR17" s="133">
        <f t="shared" si="163"/>
        <v>-20.47448947387732</v>
      </c>
      <c r="NS17" s="133">
        <f t="shared" si="407"/>
        <v>-16.472891337325958</v>
      </c>
      <c r="NT17" s="133">
        <f t="shared" si="408"/>
        <v>-9.7891003880585004</v>
      </c>
      <c r="NU17" s="134">
        <f t="shared" si="409"/>
        <v>-2.3297048341059821</v>
      </c>
      <c r="NV17" s="133">
        <f t="shared" si="410"/>
        <v>5.13778646626848</v>
      </c>
      <c r="NW17" s="133">
        <f t="shared" si="164"/>
        <v>11.843244369465353</v>
      </c>
      <c r="NX17" s="133">
        <f t="shared" si="165"/>
        <v>15.865130536550822</v>
      </c>
      <c r="NY17" s="133">
        <f t="shared" si="166"/>
        <v>19.354758201090668</v>
      </c>
      <c r="NZ17" s="133">
        <f t="shared" si="167"/>
        <v>23.41356567152161</v>
      </c>
      <c r="OA17" s="81"/>
      <c r="OB17" s="81">
        <v>15</v>
      </c>
      <c r="OC17" s="133">
        <v>16.079442059531761</v>
      </c>
      <c r="OD17" s="133">
        <v>17.876602620804977</v>
      </c>
      <c r="OE17" s="133">
        <v>19.582111433149525</v>
      </c>
      <c r="OF17" s="133">
        <v>21.751362275814184</v>
      </c>
      <c r="OG17" s="133">
        <v>25.917927787272543</v>
      </c>
      <c r="OH17" s="134">
        <v>31.509102581475272</v>
      </c>
      <c r="OI17" s="133">
        <v>38.306439991605934</v>
      </c>
      <c r="OJ17" s="133">
        <v>45.644200712608878</v>
      </c>
      <c r="OK17" s="133">
        <v>50.700535990681423</v>
      </c>
      <c r="OL17" s="133">
        <v>55.537596631167112</v>
      </c>
      <c r="OM17" s="133">
        <v>61.744900215700831</v>
      </c>
      <c r="ON17" s="81"/>
      <c r="OO17" s="81">
        <v>15</v>
      </c>
      <c r="OP17" s="133">
        <v>16.079722073881971</v>
      </c>
      <c r="OQ17" s="133">
        <v>17.786074602313676</v>
      </c>
      <c r="OR17" s="133">
        <v>19.397770799632202</v>
      </c>
      <c r="OS17" s="133">
        <v>21.438033187311511</v>
      </c>
      <c r="OT17" s="133">
        <v>25.256750236084962</v>
      </c>
      <c r="OU17" s="134">
        <v>30.506736792426704</v>
      </c>
      <c r="OV17" s="133">
        <v>36.741125146663322</v>
      </c>
      <c r="OW17" s="133">
        <v>43.411677815352469</v>
      </c>
      <c r="OX17" s="133">
        <v>47.977728953269597</v>
      </c>
      <c r="OY17" s="133">
        <v>52.325260662143926</v>
      </c>
      <c r="OZ17" s="133">
        <v>57.87792758147598</v>
      </c>
      <c r="PA17" s="81"/>
      <c r="PB17" s="81">
        <v>17</v>
      </c>
      <c r="PC17" s="133">
        <v>18.837885371493655</v>
      </c>
      <c r="PD17" s="133">
        <v>20.762337109630131</v>
      </c>
      <c r="PE17" s="133">
        <v>22.573995416442145</v>
      </c>
      <c r="PF17" s="133">
        <v>24.859773427533057</v>
      </c>
      <c r="PG17" s="133">
        <v>29.199470998697684</v>
      </c>
      <c r="PH17" s="134">
        <v>34.934952549773108</v>
      </c>
      <c r="PI17" s="133">
        <v>41.797021244300332</v>
      </c>
      <c r="PJ17" s="133">
        <v>49.093404379269487</v>
      </c>
      <c r="PK17" s="133">
        <v>54.064461657769407</v>
      </c>
      <c r="PL17" s="133">
        <v>58.781961934758321</v>
      </c>
      <c r="PM17" s="133">
        <v>64.787044065027644</v>
      </c>
      <c r="PN17" s="81"/>
      <c r="PO17" s="81">
        <v>15</v>
      </c>
      <c r="PP17" s="133">
        <v>7.4513941926066023</v>
      </c>
      <c r="PQ17" s="133">
        <v>8.1361746545000955</v>
      </c>
      <c r="PR17" s="133">
        <v>8.7752493224478307</v>
      </c>
      <c r="PS17" s="133">
        <v>9.5746078946032966</v>
      </c>
      <c r="PT17" s="133">
        <v>11.073393467468508</v>
      </c>
      <c r="PU17" s="134">
        <v>13.022009036411696</v>
      </c>
      <c r="PV17" s="133">
        <v>15.313527857793529</v>
      </c>
      <c r="PW17" s="133">
        <v>17.710669847897073</v>
      </c>
      <c r="PX17" s="133">
        <v>19.323977372427073</v>
      </c>
      <c r="PY17" s="133">
        <v>20.841823897007622</v>
      </c>
      <c r="PZ17" s="133">
        <v>22.757180060698005</v>
      </c>
      <c r="QA17" s="81"/>
      <c r="QB17" s="81">
        <v>15</v>
      </c>
      <c r="QC17" s="133">
        <v>7.3293590451183768</v>
      </c>
      <c r="QD17" s="133">
        <v>7.9842397286237761</v>
      </c>
      <c r="QE17" s="133">
        <v>8.5940857764142518</v>
      </c>
      <c r="QF17" s="133">
        <v>9.3552329002035393</v>
      </c>
      <c r="QG17" s="133">
        <v>10.777924307670112</v>
      </c>
      <c r="QH17" s="134">
        <v>12.620040800528189</v>
      </c>
      <c r="QI17" s="133">
        <v>14.777003925853782</v>
      </c>
      <c r="QJ17" s="133">
        <v>17.024207895832401</v>
      </c>
      <c r="QK17" s="133">
        <v>18.53198047476868</v>
      </c>
      <c r="QL17" s="133">
        <v>19.947475930115683</v>
      </c>
      <c r="QM17" s="133">
        <v>21.729789580041494</v>
      </c>
      <c r="QN17" s="81"/>
      <c r="QO17" s="81">
        <v>17</v>
      </c>
      <c r="QP17" s="133">
        <v>8.0523348024061914</v>
      </c>
      <c r="QQ17" s="133">
        <v>8.7804715931988078</v>
      </c>
      <c r="QR17" s="133">
        <v>9.4591572579067691</v>
      </c>
      <c r="QS17" s="133">
        <v>10.306998399217864</v>
      </c>
      <c r="QT17" s="133">
        <v>11.893822353108863</v>
      </c>
      <c r="QU17" s="134">
        <v>13.952017196057051</v>
      </c>
      <c r="QV17" s="133">
        <v>16.366377272163554</v>
      </c>
      <c r="QW17" s="133">
        <v>18.886078788354446</v>
      </c>
      <c r="QX17" s="133">
        <v>20.578871725212029</v>
      </c>
      <c r="QY17" s="133">
        <v>22.169513536135224</v>
      </c>
      <c r="QZ17" s="133">
        <v>24.174203956460438</v>
      </c>
      <c r="RA17" s="81"/>
      <c r="RB17" s="81">
        <v>15</v>
      </c>
      <c r="RC17" s="133">
        <f t="shared" si="168"/>
        <v>0.25561797810662901</v>
      </c>
      <c r="RD17" s="133">
        <f t="shared" si="169"/>
        <v>0.27576993176948245</v>
      </c>
      <c r="RE17" s="133">
        <f t="shared" si="170"/>
        <v>0.29457899721233521</v>
      </c>
      <c r="RF17" s="133">
        <f t="shared" si="411"/>
        <v>0.31812990442017652</v>
      </c>
      <c r="RG17" s="133">
        <f t="shared" si="412"/>
        <v>0.36242820943924203</v>
      </c>
      <c r="RH17" s="134">
        <f t="shared" si="413"/>
        <v>0.42043271772030261</v>
      </c>
      <c r="RI17" s="133">
        <f t="shared" si="414"/>
        <v>0.48941764813580801</v>
      </c>
      <c r="RJ17" s="133">
        <f t="shared" si="171"/>
        <v>0.56262921205269212</v>
      </c>
      <c r="RK17" s="133">
        <f t="shared" si="172"/>
        <v>0.61255918231565687</v>
      </c>
      <c r="RL17" s="133">
        <f t="shared" si="173"/>
        <v>0.6600425161407848</v>
      </c>
      <c r="RM17" s="133">
        <f t="shared" si="174"/>
        <v>0.72068665482451999</v>
      </c>
      <c r="RN17" s="81"/>
      <c r="RO17" s="81">
        <v>15</v>
      </c>
      <c r="RP17" s="133">
        <f t="shared" si="175"/>
        <v>0.27507374536701967</v>
      </c>
      <c r="RQ17" s="133">
        <f t="shared" si="176"/>
        <v>0.29457397508613681</v>
      </c>
      <c r="RR17" s="133">
        <f t="shared" si="177"/>
        <v>0.31270295387626745</v>
      </c>
      <c r="RS17" s="133">
        <f t="shared" si="415"/>
        <v>0.33531710459443648</v>
      </c>
      <c r="RT17" s="133">
        <f t="shared" si="416"/>
        <v>0.37763883707403922</v>
      </c>
      <c r="RU17" s="134">
        <f t="shared" si="417"/>
        <v>0.43272458082080678</v>
      </c>
      <c r="RV17" s="133">
        <f t="shared" si="418"/>
        <v>0.49788610218780543</v>
      </c>
      <c r="RW17" s="133">
        <f t="shared" si="178"/>
        <v>0.5667536102822428</v>
      </c>
      <c r="RX17" s="133">
        <f t="shared" si="179"/>
        <v>0.61360557198002019</v>
      </c>
      <c r="RY17" s="133">
        <f t="shared" si="180"/>
        <v>0.65810187445080803</v>
      </c>
      <c r="RZ17" s="133">
        <f t="shared" si="181"/>
        <v>0.71487377205344893</v>
      </c>
      <c r="SA17" s="81"/>
      <c r="SB17" s="81">
        <v>17</v>
      </c>
      <c r="SC17" s="133">
        <f t="shared" si="182"/>
        <v>0.23379834255518442</v>
      </c>
      <c r="SD17" s="133">
        <f t="shared" si="183"/>
        <v>0.25467958636634563</v>
      </c>
      <c r="SE17" s="133">
        <f t="shared" si="184"/>
        <v>0.27414513980230948</v>
      </c>
      <c r="SF17" s="133">
        <f t="shared" si="419"/>
        <v>0.29846741524588277</v>
      </c>
      <c r="SG17" s="133">
        <f t="shared" si="420"/>
        <v>0.34400986618655938</v>
      </c>
      <c r="SH17" s="134">
        <f t="shared" si="421"/>
        <v>0.40313136294502833</v>
      </c>
      <c r="SI17" s="133">
        <f t="shared" si="422"/>
        <v>0.47256828257423006</v>
      </c>
      <c r="SJ17" s="133">
        <f t="shared" si="185"/>
        <v>0.54514045975537062</v>
      </c>
      <c r="SK17" s="133">
        <f t="shared" si="186"/>
        <v>0.59395882334542149</v>
      </c>
      <c r="SL17" s="133">
        <f t="shared" si="187"/>
        <v>0.6398777231339664</v>
      </c>
      <c r="SM17" s="133">
        <f t="shared" si="188"/>
        <v>0.6978136315985064</v>
      </c>
      <c r="SN17" s="81"/>
      <c r="SO17" s="81">
        <v>15</v>
      </c>
      <c r="SP17" s="133">
        <f t="shared" si="189"/>
        <v>0.20246573933765691</v>
      </c>
      <c r="SQ17" s="133">
        <f t="shared" si="190"/>
        <v>0.2155077374994086</v>
      </c>
      <c r="SR17" s="133">
        <f t="shared" si="191"/>
        <v>0.22721782583088468</v>
      </c>
      <c r="SS17" s="133">
        <f t="shared" si="423"/>
        <v>0.24130154731875475</v>
      </c>
      <c r="ST17" s="133">
        <f t="shared" si="424"/>
        <v>0.26623410131587771</v>
      </c>
      <c r="SU17" s="134">
        <f t="shared" si="425"/>
        <v>0.29623839883595848</v>
      </c>
      <c r="SV17" s="133">
        <f t="shared" si="426"/>
        <v>0.32869939486025146</v>
      </c>
      <c r="SW17" s="133">
        <f t="shared" si="192"/>
        <v>0.36002025187785702</v>
      </c>
      <c r="SX17" s="133">
        <f t="shared" si="193"/>
        <v>0.37983340054186726</v>
      </c>
      <c r="SY17" s="133">
        <f t="shared" si="194"/>
        <v>0.39766818536522502</v>
      </c>
      <c r="SZ17" s="133">
        <f t="shared" si="195"/>
        <v>0.41918328618330863</v>
      </c>
      <c r="TA17" s="81"/>
      <c r="TB17" s="81">
        <v>15</v>
      </c>
      <c r="TC17" s="133">
        <f t="shared" si="196"/>
        <v>0.21490877522741206</v>
      </c>
      <c r="TD17" s="133">
        <f t="shared" si="197"/>
        <v>0.2270812169678513</v>
      </c>
      <c r="TE17" s="133">
        <f t="shared" si="198"/>
        <v>0.23800051040912254</v>
      </c>
      <c r="TF17" s="133">
        <f t="shared" si="427"/>
        <v>0.25112442169447091</v>
      </c>
      <c r="TG17" s="133">
        <f t="shared" si="428"/>
        <v>0.27434550167747285</v>
      </c>
      <c r="TH17" s="134">
        <f t="shared" si="429"/>
        <v>0.30228935015228636</v>
      </c>
      <c r="TI17" s="133">
        <f t="shared" si="430"/>
        <v>0.33254366184824441</v>
      </c>
      <c r="TJ17" s="133">
        <f t="shared" si="199"/>
        <v>0.36177559261027364</v>
      </c>
      <c r="TK17" s="133">
        <f t="shared" si="200"/>
        <v>0.3802938598598391</v>
      </c>
      <c r="TL17" s="133">
        <f t="shared" si="201"/>
        <v>0.39698326619888624</v>
      </c>
      <c r="TM17" s="133">
        <f t="shared" si="202"/>
        <v>0.41714439797501346</v>
      </c>
      <c r="TN17" s="81"/>
      <c r="TO17" s="81">
        <v>17</v>
      </c>
      <c r="TP17" s="133">
        <f t="shared" si="203"/>
        <v>0.1879081885734859</v>
      </c>
      <c r="TQ17" s="133">
        <f t="shared" si="204"/>
        <v>0.20203273369378125</v>
      </c>
      <c r="TR17" s="133">
        <f t="shared" si="205"/>
        <v>0.21464344920686051</v>
      </c>
      <c r="TS17" s="133">
        <f t="shared" si="431"/>
        <v>0.22971852722720484</v>
      </c>
      <c r="TT17" s="133">
        <f t="shared" si="432"/>
        <v>0.25615621926900023</v>
      </c>
      <c r="TU17" s="134">
        <f t="shared" si="433"/>
        <v>0.2875476457435393</v>
      </c>
      <c r="TV17" s="133">
        <f t="shared" si="434"/>
        <v>0.32099627349222531</v>
      </c>
      <c r="TW17" s="133">
        <f t="shared" si="206"/>
        <v>0.35278051197784926</v>
      </c>
      <c r="TX17" s="133">
        <f t="shared" si="207"/>
        <v>0.37264712031117769</v>
      </c>
      <c r="TY17" s="133">
        <f t="shared" si="208"/>
        <v>0.39037618500530097</v>
      </c>
      <c r="TZ17" s="133">
        <f t="shared" si="209"/>
        <v>0.41157524437933229</v>
      </c>
      <c r="UA17" s="81"/>
      <c r="UB17" s="81">
        <v>15</v>
      </c>
      <c r="UC17" s="133">
        <f t="shared" si="210"/>
        <v>-28.945061055836348</v>
      </c>
      <c r="UD17" s="133">
        <f t="shared" si="211"/>
        <v>-25.540277472654317</v>
      </c>
      <c r="UE17" s="133">
        <f t="shared" si="212"/>
        <v>-22.710502436217624</v>
      </c>
      <c r="UF17" s="133">
        <f t="shared" si="435"/>
        <v>-19.54575010546575</v>
      </c>
      <c r="UG17" s="133">
        <f t="shared" si="436"/>
        <v>-14.4657540437656</v>
      </c>
      <c r="UH17" s="134">
        <f t="shared" si="437"/>
        <v>-9.0499244631823714</v>
      </c>
      <c r="UI17" s="133">
        <f t="shared" si="438"/>
        <v>-3.8499224697539276</v>
      </c>
      <c r="UJ17" s="133">
        <f t="shared" si="213"/>
        <v>0.659317332143047</v>
      </c>
      <c r="UK17" s="133">
        <f t="shared" si="214"/>
        <v>3.2998085340146588</v>
      </c>
      <c r="UL17" s="133">
        <f t="shared" si="215"/>
        <v>5.5552520142748136</v>
      </c>
      <c r="UM17" s="133">
        <f t="shared" si="216"/>
        <v>8.1397021097313882</v>
      </c>
      <c r="UN17" s="81"/>
      <c r="UO17" s="81">
        <v>15</v>
      </c>
      <c r="UP17" s="133">
        <f t="shared" si="217"/>
        <v>-25.082888454513057</v>
      </c>
      <c r="UQ17" s="133">
        <f t="shared" si="218"/>
        <v>-22.337311854195356</v>
      </c>
      <c r="UR17" s="133">
        <f t="shared" si="219"/>
        <v>-19.986465969572386</v>
      </c>
      <c r="US17" s="133">
        <f t="shared" si="439"/>
        <v>-17.285811949155057</v>
      </c>
      <c r="UT17" s="133">
        <f t="shared" si="440"/>
        <v>-12.799447347336148</v>
      </c>
      <c r="UU17" s="134">
        <f t="shared" si="441"/>
        <v>-7.8212709489247842</v>
      </c>
      <c r="UV17" s="133">
        <f t="shared" si="442"/>
        <v>-2.8620731710078822</v>
      </c>
      <c r="UW17" s="133">
        <f t="shared" si="220"/>
        <v>1.5737397801368971</v>
      </c>
      <c r="UX17" s="133">
        <f t="shared" si="221"/>
        <v>4.2274254277928875</v>
      </c>
      <c r="UY17" s="133">
        <f t="shared" si="222"/>
        <v>6.5261086436978957</v>
      </c>
      <c r="UZ17" s="133">
        <f t="shared" si="223"/>
        <v>9.1955619522651872</v>
      </c>
      <c r="VA17" s="81"/>
      <c r="VB17" s="81">
        <v>18</v>
      </c>
      <c r="VC17" s="133">
        <f t="shared" si="224"/>
        <v>-32.23588791246749</v>
      </c>
      <c r="VD17" s="133">
        <f t="shared" si="225"/>
        <v>-28.09803254047911</v>
      </c>
      <c r="VE17" s="133">
        <f t="shared" si="226"/>
        <v>-24.770043388028377</v>
      </c>
      <c r="VF17" s="133">
        <f t="shared" si="443"/>
        <v>-21.144401389599103</v>
      </c>
      <c r="VG17" s="133">
        <f t="shared" si="444"/>
        <v>-15.496232323904692</v>
      </c>
      <c r="VH17" s="134">
        <f t="shared" si="445"/>
        <v>-9.6603984813576744</v>
      </c>
      <c r="VI17" s="133">
        <f t="shared" si="446"/>
        <v>-4.2012549875773431</v>
      </c>
      <c r="VJ17" s="133">
        <f t="shared" si="227"/>
        <v>0.43781699846347522</v>
      </c>
      <c r="VK17" s="133">
        <f t="shared" si="228"/>
        <v>3.1185950944249754</v>
      </c>
      <c r="VL17" s="133">
        <f t="shared" si="229"/>
        <v>5.3894196569042805</v>
      </c>
      <c r="VM17" s="133">
        <f t="shared" si="230"/>
        <v>7.9713804640584982</v>
      </c>
      <c r="VN17" s="81"/>
      <c r="VO17" s="81">
        <v>15</v>
      </c>
      <c r="VP17" s="133">
        <f t="shared" si="231"/>
        <v>-47.781308476002771</v>
      </c>
      <c r="VQ17" s="133">
        <f t="shared" si="232"/>
        <v>-44.632800143986628</v>
      </c>
      <c r="VR17" s="133">
        <f t="shared" si="233"/>
        <v>-41.557408320677972</v>
      </c>
      <c r="VS17" s="133">
        <f t="shared" si="447"/>
        <v>-37.610108035649802</v>
      </c>
      <c r="VT17" s="133">
        <f t="shared" si="448"/>
        <v>-30.115070361652595</v>
      </c>
      <c r="VU17" s="134">
        <f t="shared" si="449"/>
        <v>-20.490249107731337</v>
      </c>
      <c r="VV17" s="133">
        <f t="shared" si="450"/>
        <v>-9.5957847869880339</v>
      </c>
      <c r="VW17" s="133">
        <f t="shared" si="234"/>
        <v>1.2111301333895739</v>
      </c>
      <c r="VX17" s="133">
        <f t="shared" si="235"/>
        <v>8.1421389696606994</v>
      </c>
      <c r="VY17" s="133">
        <f t="shared" si="236"/>
        <v>14.422134671988665</v>
      </c>
      <c r="VZ17" s="133">
        <f t="shared" si="237"/>
        <v>22.031932179838755</v>
      </c>
      <c r="WA17" s="81"/>
      <c r="WB17" s="81">
        <v>15</v>
      </c>
      <c r="WC17" s="133">
        <f t="shared" si="238"/>
        <v>-44.576339418715939</v>
      </c>
      <c r="WD17" s="133">
        <f t="shared" si="239"/>
        <v>-41.792965359639297</v>
      </c>
      <c r="WE17" s="133">
        <f t="shared" si="240"/>
        <v>-38.96324357539585</v>
      </c>
      <c r="WF17" s="133">
        <f t="shared" si="451"/>
        <v>-35.23030037711758</v>
      </c>
      <c r="WG17" s="133">
        <f t="shared" si="452"/>
        <v>-27.947089915844792</v>
      </c>
      <c r="WH17" s="134">
        <f t="shared" si="453"/>
        <v>-18.367032763881468</v>
      </c>
      <c r="WI17" s="133">
        <f t="shared" si="454"/>
        <v>-7.3357110416076452</v>
      </c>
      <c r="WJ17" s="133">
        <f t="shared" si="241"/>
        <v>3.7365136771184098</v>
      </c>
      <c r="WK17" s="133">
        <f t="shared" si="242"/>
        <v>10.887671266634449</v>
      </c>
      <c r="WL17" s="133">
        <f t="shared" si="243"/>
        <v>17.39433588184091</v>
      </c>
      <c r="WM17" s="133">
        <f t="shared" si="244"/>
        <v>25.308284957576539</v>
      </c>
      <c r="WN17" s="81"/>
      <c r="WO17" s="81">
        <v>18</v>
      </c>
      <c r="WP17" s="133">
        <f t="shared" si="245"/>
        <v>-49.337517135875949</v>
      </c>
      <c r="WQ17" s="133">
        <f t="shared" si="246"/>
        <v>-45.97930311979534</v>
      </c>
      <c r="WR17" s="133">
        <f t="shared" si="247"/>
        <v>-42.699501249216468</v>
      </c>
      <c r="WS17" s="133">
        <f t="shared" si="455"/>
        <v>-38.517417939381716</v>
      </c>
      <c r="WT17" s="133">
        <f t="shared" si="456"/>
        <v>-30.685630271968982</v>
      </c>
      <c r="WU17" s="134">
        <f t="shared" si="457"/>
        <v>-20.830768095121584</v>
      </c>
      <c r="WV17" s="133">
        <f t="shared" si="458"/>
        <v>-9.9118118187815583</v>
      </c>
      <c r="WW17" s="133">
        <f t="shared" si="248"/>
        <v>0.71258745066174356</v>
      </c>
      <c r="WX17" s="133">
        <f t="shared" si="249"/>
        <v>7.4333398453995301</v>
      </c>
      <c r="WY17" s="133">
        <f t="shared" si="250"/>
        <v>13.466747849170183</v>
      </c>
      <c r="WZ17" s="133">
        <f t="shared" si="251"/>
        <v>20.71246382759535</v>
      </c>
      <c r="XA17" s="81"/>
      <c r="XB17" s="81">
        <v>15</v>
      </c>
      <c r="XC17" s="133">
        <f t="shared" si="252"/>
        <v>-51.050058403487462</v>
      </c>
      <c r="XD17" s="133">
        <f t="shared" si="253"/>
        <v>-47.229469853146099</v>
      </c>
      <c r="XE17" s="133">
        <f t="shared" si="254"/>
        <v>-43.578128205490778</v>
      </c>
      <c r="XF17" s="133">
        <f t="shared" si="459"/>
        <v>-39.027701248351718</v>
      </c>
      <c r="XG17" s="133">
        <f t="shared" si="460"/>
        <v>-30.763055602068867</v>
      </c>
      <c r="XH17" s="134">
        <f t="shared" si="461"/>
        <v>-20.725043416193607</v>
      </c>
      <c r="XI17" s="133">
        <f t="shared" si="462"/>
        <v>-9.9533426862380026</v>
      </c>
      <c r="XJ17" s="133">
        <f t="shared" si="255"/>
        <v>0.25497458709585885</v>
      </c>
      <c r="XK17" s="133">
        <f t="shared" si="256"/>
        <v>6.5980303297899283</v>
      </c>
      <c r="XL17" s="133">
        <f t="shared" si="257"/>
        <v>12.226520402776011</v>
      </c>
      <c r="XM17" s="133">
        <f t="shared" si="258"/>
        <v>18.911773348078761</v>
      </c>
      <c r="XN17" s="81"/>
      <c r="XO17" s="81">
        <v>15</v>
      </c>
      <c r="XP17" s="133">
        <f t="shared" si="259"/>
        <v>-48.676504931169987</v>
      </c>
      <c r="XQ17" s="133">
        <f t="shared" si="260"/>
        <v>-44.867965004394485</v>
      </c>
      <c r="XR17" s="133">
        <f t="shared" si="261"/>
        <v>-41.168707945669269</v>
      </c>
      <c r="XS17" s="133">
        <f t="shared" si="463"/>
        <v>-36.533607209693699</v>
      </c>
      <c r="XT17" s="133">
        <f t="shared" si="464"/>
        <v>-28.099702157493532</v>
      </c>
      <c r="XU17" s="134">
        <f t="shared" si="465"/>
        <v>-17.866564403826459</v>
      </c>
      <c r="XV17" s="133">
        <f t="shared" si="466"/>
        <v>-6.9126288204778206</v>
      </c>
      <c r="XW17" s="133">
        <f t="shared" si="262"/>
        <v>3.4403779126606366</v>
      </c>
      <c r="XX17" s="133">
        <f t="shared" si="263"/>
        <v>9.8600408798698993</v>
      </c>
      <c r="XY17" s="133">
        <f t="shared" si="264"/>
        <v>15.548369602554011</v>
      </c>
      <c r="XZ17" s="133">
        <f t="shared" si="265"/>
        <v>22.295193537794994</v>
      </c>
      <c r="YA17" s="81"/>
      <c r="YB17" s="81">
        <v>18</v>
      </c>
      <c r="YC17" s="133">
        <f t="shared" si="266"/>
        <v>-53.152597173670152</v>
      </c>
      <c r="YD17" s="133">
        <f t="shared" si="267"/>
        <v>-49.287948788940028</v>
      </c>
      <c r="YE17" s="133">
        <f t="shared" si="268"/>
        <v>-45.553669941970128</v>
      </c>
      <c r="YF17" s="133">
        <f t="shared" si="467"/>
        <v>-40.905887416608152</v>
      </c>
      <c r="YG17" s="133">
        <f t="shared" si="468"/>
        <v>-32.522022999831407</v>
      </c>
      <c r="YH17" s="134">
        <f t="shared" si="469"/>
        <v>-22.44646547691616</v>
      </c>
      <c r="YI17" s="133">
        <f t="shared" si="470"/>
        <v>-11.750074654018817</v>
      </c>
      <c r="YJ17" s="133">
        <f t="shared" si="269"/>
        <v>-1.7070500291125583</v>
      </c>
      <c r="YK17" s="133">
        <f t="shared" si="270"/>
        <v>4.4930987661136186</v>
      </c>
      <c r="YL17" s="133">
        <f t="shared" si="271"/>
        <v>9.9714613452326901</v>
      </c>
      <c r="YM17" s="133">
        <f t="shared" si="272"/>
        <v>16.452055331273122</v>
      </c>
      <c r="YN17" s="81"/>
      <c r="YO17" s="81">
        <v>15</v>
      </c>
      <c r="YP17" s="133">
        <v>20.959952556910512</v>
      </c>
      <c r="YQ17" s="133">
        <v>23.471808339102935</v>
      </c>
      <c r="YR17" s="133">
        <v>25.871617432824188</v>
      </c>
      <c r="YS17" s="133">
        <v>28.944518953909743</v>
      </c>
      <c r="YT17" s="133">
        <v>34.90421494456784</v>
      </c>
      <c r="YU17" s="134">
        <v>43.003813439192868</v>
      </c>
      <c r="YV17" s="133">
        <v>52.98294126511265</v>
      </c>
      <c r="YW17" s="133">
        <v>63.892164635995897</v>
      </c>
      <c r="YX17" s="133">
        <v>71.480956887009341</v>
      </c>
      <c r="YY17" s="133">
        <v>78.78932648031261</v>
      </c>
      <c r="YZ17" s="133">
        <v>88.231496006090964</v>
      </c>
      <c r="ZA17" s="81"/>
      <c r="ZB17" s="81">
        <v>15</v>
      </c>
      <c r="ZC17" s="133">
        <v>20.647195898275481</v>
      </c>
      <c r="ZD17" s="133">
        <v>23.073719141802776</v>
      </c>
      <c r="ZE17" s="133">
        <v>25.387551356504677</v>
      </c>
      <c r="ZF17" s="133">
        <v>28.344670165504564</v>
      </c>
      <c r="ZG17" s="133">
        <v>34.063922854341953</v>
      </c>
      <c r="ZH17" s="134">
        <v>41.808532703563323</v>
      </c>
      <c r="ZI17" s="133">
        <v>51.313919841211749</v>
      </c>
      <c r="ZJ17" s="133">
        <v>61.667798447419635</v>
      </c>
      <c r="ZK17" s="133">
        <v>68.850807322033148</v>
      </c>
      <c r="ZL17" s="133">
        <v>75.755165263243086</v>
      </c>
      <c r="ZM17" s="133">
        <v>84.658149970423764</v>
      </c>
      <c r="ZN17" s="81"/>
      <c r="ZO17" s="81">
        <v>18</v>
      </c>
      <c r="ZP17" s="133">
        <v>22.486634433399214</v>
      </c>
      <c r="ZQ17" s="133">
        <v>25.115835962094813</v>
      </c>
      <c r="ZR17" s="133">
        <v>27.621684557047175</v>
      </c>
      <c r="ZS17" s="133">
        <v>30.822607185109081</v>
      </c>
      <c r="ZT17" s="133">
        <v>37.008939247123834</v>
      </c>
      <c r="ZU17" s="134">
        <v>45.378139460580705</v>
      </c>
      <c r="ZV17" s="133">
        <v>55.639950314543057</v>
      </c>
      <c r="ZW17" s="133">
        <v>66.807312195794239</v>
      </c>
      <c r="ZX17" s="133">
        <v>74.54923817738522</v>
      </c>
      <c r="ZY17" s="133">
        <v>81.987139269887322</v>
      </c>
      <c r="ZZ17" s="133">
        <v>91.573309781095361</v>
      </c>
      <c r="AAA17" s="81"/>
      <c r="AAB17" s="81">
        <v>15</v>
      </c>
      <c r="AAC17" s="133">
        <v>7.9067862094837347</v>
      </c>
      <c r="AAD17" s="133">
        <v>8.7466667746365268</v>
      </c>
      <c r="AAE17" s="133">
        <v>9.5400262385109311</v>
      </c>
      <c r="AAF17" s="133">
        <v>10.544435952282843</v>
      </c>
      <c r="AAG17" s="133">
        <v>12.460782484347797</v>
      </c>
      <c r="AAH17" s="134">
        <v>15.009894109762561</v>
      </c>
      <c r="AAI17" s="133">
        <v>18.080479413655141</v>
      </c>
      <c r="AAJ17" s="133">
        <v>21.366427014762095</v>
      </c>
      <c r="AAK17" s="133">
        <v>23.615964521859702</v>
      </c>
      <c r="AAL17" s="133">
        <v>25.758031829862098</v>
      </c>
      <c r="AAM17" s="133">
        <v>28.494120773880816</v>
      </c>
      <c r="AAN17" s="81"/>
      <c r="AAO17" s="81">
        <v>15</v>
      </c>
      <c r="AAP17" s="133">
        <v>7.7141279114213024</v>
      </c>
      <c r="AAQ17" s="133">
        <v>8.5392257021490732</v>
      </c>
      <c r="AAR17" s="133">
        <v>9.31910269545196</v>
      </c>
      <c r="AAS17" s="133">
        <v>10.307053294078282</v>
      </c>
      <c r="AAT17" s="133">
        <v>12.193675956406903</v>
      </c>
      <c r="AAU17" s="134">
        <v>14.706181532393522</v>
      </c>
      <c r="AAV17" s="133">
        <v>17.736388603149404</v>
      </c>
      <c r="AAW17" s="133">
        <v>20.982890947887789</v>
      </c>
      <c r="AAX17" s="133">
        <v>23.20736044353929</v>
      </c>
      <c r="AAY17" s="133">
        <v>25.326860163595747</v>
      </c>
      <c r="AAZ17" s="133">
        <v>28.03580362512615</v>
      </c>
      <c r="ABA17" s="81"/>
      <c r="ABB17" s="81">
        <v>18</v>
      </c>
      <c r="ABC17" s="133">
        <v>8.6470415347884799</v>
      </c>
      <c r="ABD17" s="133">
        <v>9.5374281662378326</v>
      </c>
      <c r="ABE17" s="133">
        <v>10.376201276630674</v>
      </c>
      <c r="ABF17" s="133">
        <v>11.435208272134322</v>
      </c>
      <c r="ABG17" s="133">
        <v>13.447781306739014</v>
      </c>
      <c r="ABH17" s="134">
        <v>16.111098117371167</v>
      </c>
      <c r="ABI17" s="133">
        <v>19.301881598675685</v>
      </c>
      <c r="ABJ17" s="133">
        <v>22.698972888852669</v>
      </c>
      <c r="ABK17" s="133">
        <v>25.015656079470986</v>
      </c>
      <c r="ABL17" s="133">
        <v>27.215668419545288</v>
      </c>
      <c r="ABM17" s="133">
        <v>30.01806820324359</v>
      </c>
      <c r="ABN17" s="81"/>
      <c r="ABO17" s="81">
        <v>15</v>
      </c>
      <c r="ABP17" s="133">
        <f t="shared" si="273"/>
        <v>0.17120771480058755</v>
      </c>
      <c r="ABQ17" s="133">
        <f t="shared" si="274"/>
        <v>0.19428963380069353</v>
      </c>
      <c r="ABR17" s="133">
        <f t="shared" si="275"/>
        <v>0.21588809628925568</v>
      </c>
      <c r="ABS17" s="133">
        <f t="shared" si="471"/>
        <v>0.24290443895750194</v>
      </c>
      <c r="ABT17" s="133">
        <f t="shared" si="472"/>
        <v>0.29334320695646809</v>
      </c>
      <c r="ABU17" s="134">
        <f t="shared" si="473"/>
        <v>0.35811731838515909</v>
      </c>
      <c r="ABV17" s="133">
        <f t="shared" si="474"/>
        <v>0.43274185515296554</v>
      </c>
      <c r="ABW17" s="133">
        <f t="shared" si="276"/>
        <v>0.50880994569736104</v>
      </c>
      <c r="ABX17" s="133">
        <f t="shared" si="277"/>
        <v>0.55883025435928946</v>
      </c>
      <c r="ABY17" s="133">
        <f t="shared" si="278"/>
        <v>0.60503850880861076</v>
      </c>
      <c r="ABZ17" s="133">
        <f t="shared" si="279"/>
        <v>0.66219839097819144</v>
      </c>
      <c r="ACA17" s="81"/>
      <c r="ACB17" s="81">
        <v>15</v>
      </c>
      <c r="ACC17" s="133">
        <f t="shared" si="280"/>
        <v>0.18116463874372551</v>
      </c>
      <c r="ACD17" s="133">
        <f t="shared" si="281"/>
        <v>0.20320974983512366</v>
      </c>
      <c r="ACE17" s="133">
        <f t="shared" si="282"/>
        <v>0.22397515002070909</v>
      </c>
      <c r="ACF17" s="133">
        <f t="shared" si="475"/>
        <v>0.2501547631504023</v>
      </c>
      <c r="ACG17" s="133">
        <f t="shared" si="476"/>
        <v>0.29968668023797401</v>
      </c>
      <c r="ACH17" s="134">
        <f t="shared" si="477"/>
        <v>0.36460637063966067</v>
      </c>
      <c r="ACI17" s="133">
        <f t="shared" si="478"/>
        <v>0.4412552678475582</v>
      </c>
      <c r="ACJ17" s="133">
        <f t="shared" si="283"/>
        <v>0.52141689200021912</v>
      </c>
      <c r="ACK17" s="133">
        <f t="shared" si="284"/>
        <v>0.57522624823769741</v>
      </c>
      <c r="ACL17" s="133">
        <f t="shared" si="285"/>
        <v>0.62569388865471365</v>
      </c>
      <c r="ACM17" s="133">
        <f t="shared" si="286"/>
        <v>0.68911331305418799</v>
      </c>
      <c r="ACN17" s="81"/>
      <c r="ACO17" s="81">
        <v>18</v>
      </c>
      <c r="ACP17" s="133">
        <f t="shared" si="287"/>
        <v>0.16328112813262999</v>
      </c>
      <c r="ACQ17" s="133">
        <f t="shared" si="288"/>
        <v>0.1896043311302559</v>
      </c>
      <c r="ACR17" s="133">
        <f t="shared" si="289"/>
        <v>0.21387027536655687</v>
      </c>
      <c r="ACS17" s="133">
        <f t="shared" si="479"/>
        <v>0.2437222087966468</v>
      </c>
      <c r="ACT17" s="133">
        <f t="shared" si="480"/>
        <v>0.29805826646082639</v>
      </c>
      <c r="ACU17" s="134">
        <f t="shared" si="481"/>
        <v>0.36517656297789125</v>
      </c>
      <c r="ACV17" s="133">
        <f t="shared" si="482"/>
        <v>0.43934468785896219</v>
      </c>
      <c r="ACW17" s="133">
        <f t="shared" si="290"/>
        <v>0.51204017909370536</v>
      </c>
      <c r="ACX17" s="133">
        <f t="shared" si="291"/>
        <v>0.55833597113003341</v>
      </c>
      <c r="ACY17" s="133">
        <f t="shared" si="292"/>
        <v>0.60016696515146828</v>
      </c>
      <c r="ACZ17" s="133">
        <f t="shared" si="293"/>
        <v>0.65076757795400375</v>
      </c>
      <c r="ADA17" s="81"/>
      <c r="ADB17" s="81">
        <v>15</v>
      </c>
      <c r="ADC17" s="133">
        <f t="shared" si="294"/>
        <v>0.14344287526447563</v>
      </c>
      <c r="ADD17" s="133">
        <f t="shared" si="295"/>
        <v>0.16133547803575832</v>
      </c>
      <c r="ADE17" s="133">
        <f t="shared" si="296"/>
        <v>0.17709191738551008</v>
      </c>
      <c r="ADF17" s="133">
        <f t="shared" si="483"/>
        <v>0.19565697806848356</v>
      </c>
      <c r="ADG17" s="133">
        <f t="shared" si="484"/>
        <v>0.22751899266155901</v>
      </c>
      <c r="ADH17" s="134">
        <f t="shared" si="485"/>
        <v>0.26425315519734116</v>
      </c>
      <c r="ADI17" s="133">
        <f t="shared" si="486"/>
        <v>0.3021761840445536</v>
      </c>
      <c r="ADJ17" s="133">
        <f t="shared" si="297"/>
        <v>0.33714218380584343</v>
      </c>
      <c r="ADK17" s="133">
        <f t="shared" si="298"/>
        <v>0.35850685387608427</v>
      </c>
      <c r="ADL17" s="133">
        <f t="shared" si="299"/>
        <v>0.37727307908991098</v>
      </c>
      <c r="ADM17" s="133">
        <f t="shared" si="300"/>
        <v>0.39935965148419877</v>
      </c>
      <c r="ADN17" s="81"/>
      <c r="ADO17" s="81">
        <v>15</v>
      </c>
      <c r="ADP17" s="133">
        <f t="shared" si="301"/>
        <v>0.15126584160635073</v>
      </c>
      <c r="ADQ17" s="133">
        <f t="shared" si="302"/>
        <v>0.16788004587816385</v>
      </c>
      <c r="ADR17" s="133">
        <f t="shared" si="303"/>
        <v>0.18270651185693887</v>
      </c>
      <c r="ADS17" s="133">
        <f t="shared" si="487"/>
        <v>0.20040488154783023</v>
      </c>
      <c r="ADT17" s="133">
        <f t="shared" si="488"/>
        <v>0.23133636986636816</v>
      </c>
      <c r="ADU17" s="134">
        <f t="shared" si="489"/>
        <v>0.26782959721630606</v>
      </c>
      <c r="ADV17" s="133">
        <f t="shared" si="490"/>
        <v>0.30638547855933856</v>
      </c>
      <c r="ADW17" s="133">
        <f t="shared" si="304"/>
        <v>0.34268415689498016</v>
      </c>
      <c r="ADX17" s="133">
        <f t="shared" si="305"/>
        <v>0.36520058701092584</v>
      </c>
      <c r="ADY17" s="133">
        <f t="shared" si="306"/>
        <v>0.38518224247156246</v>
      </c>
      <c r="ADZ17" s="133">
        <f t="shared" si="307"/>
        <v>0.40893656554142793</v>
      </c>
      <c r="AEA17" s="81"/>
      <c r="AEB17" s="81">
        <v>18</v>
      </c>
      <c r="AEC17" s="133">
        <f t="shared" si="308"/>
        <v>0.13722208074402828</v>
      </c>
      <c r="AED17" s="133">
        <f t="shared" si="309"/>
        <v>0.15803672462710608</v>
      </c>
      <c r="AEE17" s="133">
        <f t="shared" si="310"/>
        <v>0.17585037337651774</v>
      </c>
      <c r="AEF17" s="133">
        <f t="shared" si="491"/>
        <v>0.19629947534678294</v>
      </c>
      <c r="AEG17" s="133">
        <f t="shared" si="492"/>
        <v>0.23022733172438015</v>
      </c>
      <c r="AEH17" s="134">
        <f t="shared" si="493"/>
        <v>0.26780912743119911</v>
      </c>
      <c r="AEI17" s="133">
        <f t="shared" si="494"/>
        <v>0.3051804174783363</v>
      </c>
      <c r="AEJ17" s="133">
        <f t="shared" si="311"/>
        <v>0.33855346572974848</v>
      </c>
      <c r="AEK17" s="133">
        <f t="shared" si="312"/>
        <v>0.35849535508858121</v>
      </c>
      <c r="AEL17" s="133">
        <f t="shared" si="313"/>
        <v>0.3757559872732319</v>
      </c>
      <c r="AEM17" s="133">
        <f t="shared" si="314"/>
        <v>0.39578551769422238</v>
      </c>
      <c r="AEN17" s="81"/>
    </row>
    <row r="18" spans="1:820">
      <c r="A18" s="81"/>
      <c r="B18" s="81">
        <v>17</v>
      </c>
      <c r="C18" s="133">
        <f t="shared" si="0"/>
        <v>1.6289863814455074</v>
      </c>
      <c r="D18" s="133">
        <f t="shared" si="1"/>
        <v>1.912461050288105</v>
      </c>
      <c r="E18" s="133">
        <f t="shared" si="2"/>
        <v>2.2039791960229245</v>
      </c>
      <c r="F18" s="133">
        <f t="shared" si="315"/>
        <v>2.6079610915508393</v>
      </c>
      <c r="G18" s="133">
        <f t="shared" si="316"/>
        <v>3.49549760499296</v>
      </c>
      <c r="H18" s="134">
        <f t="shared" si="317"/>
        <v>4.9416674526471098</v>
      </c>
      <c r="I18" s="133">
        <f t="shared" si="318"/>
        <v>7.1527463524914419</v>
      </c>
      <c r="J18" s="133">
        <f t="shared" si="3"/>
        <v>10.197503088711789</v>
      </c>
      <c r="K18" s="133">
        <f t="shared" si="4"/>
        <v>12.760971881015548</v>
      </c>
      <c r="L18" s="133">
        <f t="shared" si="5"/>
        <v>15.62200301948414</v>
      </c>
      <c r="M18" s="133">
        <f t="shared" si="6"/>
        <v>19.960618046033474</v>
      </c>
      <c r="N18" s="81"/>
      <c r="O18" s="75">
        <v>17</v>
      </c>
      <c r="P18" s="151">
        <f t="shared" si="7"/>
        <v>2.2887989669880646</v>
      </c>
      <c r="Q18" s="151">
        <f t="shared" si="8"/>
        <v>2.5541021116209102</v>
      </c>
      <c r="R18" s="151">
        <f t="shared" si="9"/>
        <v>2.8181075661318169</v>
      </c>
      <c r="S18" s="151">
        <f t="shared" si="319"/>
        <v>3.1725493460760772</v>
      </c>
      <c r="T18" s="151">
        <f t="shared" si="320"/>
        <v>3.918436692034962</v>
      </c>
      <c r="U18" s="134">
        <f t="shared" si="321"/>
        <v>5.0752624773837738</v>
      </c>
      <c r="V18" s="151">
        <f t="shared" si="322"/>
        <v>6.7747628978354921</v>
      </c>
      <c r="W18" s="151">
        <f t="shared" si="10"/>
        <v>9.0653916654520383</v>
      </c>
      <c r="X18" s="151">
        <f t="shared" si="11"/>
        <v>10.990176157763837</v>
      </c>
      <c r="Y18" s="151">
        <f t="shared" si="12"/>
        <v>13.157926168356795</v>
      </c>
      <c r="Z18" s="151">
        <f t="shared" si="13"/>
        <v>16.514013169205214</v>
      </c>
      <c r="AA18" s="81"/>
      <c r="AB18" s="75">
        <v>19</v>
      </c>
      <c r="AC18" s="151">
        <f t="shared" si="14"/>
        <v>1.3111076299522941</v>
      </c>
      <c r="AD18" s="151">
        <f t="shared" si="15"/>
        <v>1.5728344973409543</v>
      </c>
      <c r="AE18" s="151">
        <f t="shared" si="16"/>
        <v>1.8507810943232812</v>
      </c>
      <c r="AF18" s="151">
        <f t="shared" si="323"/>
        <v>2.2499996695840094</v>
      </c>
      <c r="AG18" s="151">
        <f t="shared" si="324"/>
        <v>3.1809228548179189</v>
      </c>
      <c r="AH18" s="134">
        <f t="shared" si="325"/>
        <v>4.8443410868485319</v>
      </c>
      <c r="AI18" s="151">
        <f t="shared" si="326"/>
        <v>7.7095819769794804</v>
      </c>
      <c r="AJ18" s="151">
        <f t="shared" si="17"/>
        <v>12.245895417613163</v>
      </c>
      <c r="AK18" s="151">
        <f t="shared" si="18"/>
        <v>16.569900289253049</v>
      </c>
      <c r="AL18" s="151">
        <f t="shared" si="19"/>
        <v>21.925305462461594</v>
      </c>
      <c r="AM18" s="151">
        <f t="shared" si="20"/>
        <v>31.097601976296492</v>
      </c>
      <c r="AN18" s="81"/>
      <c r="AO18" s="81">
        <v>17</v>
      </c>
      <c r="AP18" s="133">
        <f t="shared" si="21"/>
        <v>1.5681560525886828</v>
      </c>
      <c r="AQ18" s="133">
        <f t="shared" si="22"/>
        <v>3.1419703118408373</v>
      </c>
      <c r="AR18" s="133">
        <f t="shared" si="23"/>
        <v>4.6073215858413592</v>
      </c>
      <c r="AS18" s="133">
        <f t="shared" si="327"/>
        <v>6.4260401304721446</v>
      </c>
      <c r="AT18" s="133">
        <f t="shared" si="328"/>
        <v>9.7707101415464095</v>
      </c>
      <c r="AU18" s="134">
        <f t="shared" si="329"/>
        <v>13.9610985292639</v>
      </c>
      <c r="AV18" s="133">
        <f t="shared" si="330"/>
        <v>18.644269647715696</v>
      </c>
      <c r="AW18" s="133">
        <f t="shared" si="24"/>
        <v>23.269476189933791</v>
      </c>
      <c r="AX18" s="133">
        <f t="shared" si="25"/>
        <v>26.235578851071697</v>
      </c>
      <c r="AY18" s="133">
        <f t="shared" si="26"/>
        <v>28.926336414349212</v>
      </c>
      <c r="AZ18" s="133">
        <f t="shared" si="27"/>
        <v>32.193473447886639</v>
      </c>
      <c r="BA18" s="81"/>
      <c r="BB18" s="81">
        <v>17</v>
      </c>
      <c r="BC18" s="133">
        <f t="shared" si="28"/>
        <v>4.4300104752201799</v>
      </c>
      <c r="BD18" s="133">
        <f t="shared" si="29"/>
        <v>6.0495822638026295</v>
      </c>
      <c r="BE18" s="133">
        <f t="shared" si="30"/>
        <v>7.5126484829694737</v>
      </c>
      <c r="BF18" s="133">
        <f t="shared" si="331"/>
        <v>9.2783507960255349</v>
      </c>
      <c r="BG18" s="133">
        <f t="shared" si="332"/>
        <v>12.407551993733136</v>
      </c>
      <c r="BH18" s="134">
        <f t="shared" si="333"/>
        <v>16.158724494268473</v>
      </c>
      <c r="BI18" s="133">
        <f t="shared" si="334"/>
        <v>20.179447031681988</v>
      </c>
      <c r="BJ18" s="133">
        <f t="shared" si="31"/>
        <v>24.010090617648128</v>
      </c>
      <c r="BK18" s="133">
        <f t="shared" si="32"/>
        <v>26.405536567704882</v>
      </c>
      <c r="BL18" s="133">
        <f t="shared" si="33"/>
        <v>28.542486702345354</v>
      </c>
      <c r="BM18" s="133">
        <f t="shared" si="34"/>
        <v>31.095551670863419</v>
      </c>
      <c r="BN18" s="81"/>
      <c r="BO18" s="75">
        <v>19</v>
      </c>
      <c r="BP18" s="151">
        <f t="shared" si="35"/>
        <v>2.7905550282286233</v>
      </c>
      <c r="BQ18" s="151">
        <f t="shared" si="36"/>
        <v>3.5368793046675995</v>
      </c>
      <c r="BR18" s="151">
        <f t="shared" si="37"/>
        <v>4.3086996777367457</v>
      </c>
      <c r="BS18" s="151">
        <f t="shared" si="335"/>
        <v>5.3724373654485067</v>
      </c>
      <c r="BT18" s="151">
        <f t="shared" si="336"/>
        <v>7.6449217464078121</v>
      </c>
      <c r="BU18" s="134">
        <f t="shared" si="337"/>
        <v>11.096952759100642</v>
      </c>
      <c r="BV18" s="151">
        <f t="shared" si="338"/>
        <v>15.796983334837636</v>
      </c>
      <c r="BW18" s="151">
        <f t="shared" si="38"/>
        <v>21.363382439898611</v>
      </c>
      <c r="BX18" s="151">
        <f t="shared" si="39"/>
        <v>25.441193667041066</v>
      </c>
      <c r="BY18" s="151">
        <f t="shared" si="40"/>
        <v>29.497769639378493</v>
      </c>
      <c r="BZ18" s="151">
        <f t="shared" si="41"/>
        <v>34.895445398282149</v>
      </c>
      <c r="CA18" s="81"/>
      <c r="CB18" s="81">
        <v>17</v>
      </c>
      <c r="CC18" s="133">
        <f t="shared" si="42"/>
        <v>-5.2037506411489209</v>
      </c>
      <c r="CD18" s="133">
        <f t="shared" si="43"/>
        <v>-3.2744953757034407</v>
      </c>
      <c r="CE18" s="133">
        <f t="shared" si="44"/>
        <v>-1.3273910401865638</v>
      </c>
      <c r="CF18" s="133">
        <f t="shared" si="339"/>
        <v>1.1877758724821232</v>
      </c>
      <c r="CG18" s="133">
        <f t="shared" si="340"/>
        <v>5.9247344359863812</v>
      </c>
      <c r="CH18" s="134">
        <f t="shared" si="341"/>
        <v>11.878872653438808</v>
      </c>
      <c r="CI18" s="133">
        <f t="shared" si="342"/>
        <v>18.442191534444714</v>
      </c>
      <c r="CJ18" s="133">
        <f t="shared" si="45"/>
        <v>24.789361131934264</v>
      </c>
      <c r="CK18" s="133">
        <f t="shared" si="46"/>
        <v>28.78487263141869</v>
      </c>
      <c r="CL18" s="133">
        <f t="shared" si="47"/>
        <v>32.359406453229759</v>
      </c>
      <c r="CM18" s="133">
        <f t="shared" si="48"/>
        <v>36.637436974860414</v>
      </c>
      <c r="CN18" s="81"/>
      <c r="CO18" s="81">
        <v>17</v>
      </c>
      <c r="CP18" s="133">
        <f t="shared" si="49"/>
        <v>4.8556413114638097E-2</v>
      </c>
      <c r="CQ18" s="133">
        <f t="shared" si="50"/>
        <v>2.192265591232224</v>
      </c>
      <c r="CR18" s="133">
        <f t="shared" si="51"/>
        <v>4.185517299539943</v>
      </c>
      <c r="CS18" s="133">
        <f t="shared" si="343"/>
        <v>6.6395996913980193</v>
      </c>
      <c r="CT18" s="133">
        <f t="shared" si="344"/>
        <v>11.070697324132777</v>
      </c>
      <c r="CU18" s="134">
        <f t="shared" si="345"/>
        <v>16.457137833415597</v>
      </c>
      <c r="CV18" s="133">
        <f t="shared" si="346"/>
        <v>22.268528659099015</v>
      </c>
      <c r="CW18" s="133">
        <f t="shared" si="52"/>
        <v>27.813463271138712</v>
      </c>
      <c r="CX18" s="133">
        <f t="shared" si="53"/>
        <v>31.278011255716923</v>
      </c>
      <c r="CY18" s="133">
        <f t="shared" si="54"/>
        <v>34.364486836444179</v>
      </c>
      <c r="CZ18" s="133">
        <f t="shared" si="55"/>
        <v>38.045135079472047</v>
      </c>
      <c r="DA18" s="81"/>
      <c r="DB18" s="81">
        <v>19</v>
      </c>
      <c r="DC18" s="133">
        <f t="shared" si="56"/>
        <v>-6.0934565157841325</v>
      </c>
      <c r="DD18" s="133">
        <f t="shared" si="57"/>
        <v>-4.9230760234664208</v>
      </c>
      <c r="DE18" s="133">
        <f t="shared" si="58"/>
        <v>-3.6370595677290933</v>
      </c>
      <c r="DF18" s="133">
        <f t="shared" si="347"/>
        <v>-1.8694107238235382</v>
      </c>
      <c r="DG18" s="133">
        <f t="shared" si="348"/>
        <v>1.6916394202902465</v>
      </c>
      <c r="DH18" s="134">
        <f t="shared" si="349"/>
        <v>6.4770807052293593</v>
      </c>
      <c r="DI18" s="133">
        <f t="shared" si="350"/>
        <v>12.047319882173873</v>
      </c>
      <c r="DJ18" s="133">
        <f t="shared" si="59"/>
        <v>17.665596980159201</v>
      </c>
      <c r="DK18" s="133">
        <f t="shared" si="60"/>
        <v>21.300715034534161</v>
      </c>
      <c r="DL18" s="133">
        <f t="shared" si="61"/>
        <v>24.610136846365748</v>
      </c>
      <c r="DM18" s="133">
        <f t="shared" si="62"/>
        <v>28.636086913335863</v>
      </c>
      <c r="DN18" s="81"/>
      <c r="DO18" s="81">
        <v>17</v>
      </c>
      <c r="DP18" s="133">
        <v>13.168140275180329</v>
      </c>
      <c r="DQ18" s="133">
        <v>14.555933384428965</v>
      </c>
      <c r="DR18" s="133">
        <v>15.865941010402032</v>
      </c>
      <c r="DS18" s="133">
        <v>17.523279964789211</v>
      </c>
      <c r="DT18" s="133">
        <v>20.682189149971229</v>
      </c>
      <c r="DU18" s="134">
        <v>24.87860278779678</v>
      </c>
      <c r="DV18" s="133">
        <v>29.926468237228683</v>
      </c>
      <c r="DW18" s="133">
        <v>35.321291328830007</v>
      </c>
      <c r="DX18" s="133">
        <v>39.010915032847819</v>
      </c>
      <c r="DY18" s="133">
        <v>42.521826689250879</v>
      </c>
      <c r="DZ18" s="133">
        <v>47.003211063871611</v>
      </c>
      <c r="EA18" s="81"/>
      <c r="EB18" s="81">
        <v>17</v>
      </c>
      <c r="EC18" s="133">
        <v>13.710629234106133</v>
      </c>
      <c r="ED18" s="133">
        <v>14.790386404328174</v>
      </c>
      <c r="EE18" s="133">
        <v>15.786808130089542</v>
      </c>
      <c r="EF18" s="133">
        <v>17.019215021473308</v>
      </c>
      <c r="EG18" s="133">
        <v>19.292898713223707</v>
      </c>
      <c r="EH18" s="134">
        <v>22.186859129824995</v>
      </c>
      <c r="EI18" s="133">
        <v>25.514917450393117</v>
      </c>
      <c r="EJ18" s="133">
        <v>28.923585337256355</v>
      </c>
      <c r="EK18" s="133">
        <v>31.181522825279718</v>
      </c>
      <c r="EL18" s="133">
        <v>33.282208090428746</v>
      </c>
      <c r="EM18" s="133">
        <v>35.903291500449598</v>
      </c>
      <c r="EN18" s="81"/>
      <c r="EO18" s="81">
        <v>19</v>
      </c>
      <c r="EP18" s="133">
        <v>15.722815389791432</v>
      </c>
      <c r="EQ18" s="133">
        <v>17.299892919082279</v>
      </c>
      <c r="ER18" s="133">
        <v>18.782219849752277</v>
      </c>
      <c r="ES18" s="133">
        <v>20.64956055793343</v>
      </c>
      <c r="ET18" s="133">
        <v>24.186858883921893</v>
      </c>
      <c r="EU18" s="134">
        <v>28.848080802160183</v>
      </c>
      <c r="EV18" s="133">
        <v>34.407600009655347</v>
      </c>
      <c r="EW18" s="133">
        <v>40.301669550456005</v>
      </c>
      <c r="EX18" s="133">
        <v>44.308488167278028</v>
      </c>
      <c r="EY18" s="133">
        <v>48.105024109716304</v>
      </c>
      <c r="EZ18" s="133">
        <v>52.930200179562277</v>
      </c>
      <c r="FA18" s="81"/>
      <c r="FB18" s="81">
        <v>17</v>
      </c>
      <c r="FC18" s="133">
        <v>6.6921149841228704</v>
      </c>
      <c r="FD18" s="133">
        <v>7.5272918639562016</v>
      </c>
      <c r="FE18" s="133">
        <v>8.3284910063360762</v>
      </c>
      <c r="FF18" s="133">
        <v>9.358624873402551</v>
      </c>
      <c r="FG18" s="133">
        <v>11.36836625047089</v>
      </c>
      <c r="FH18" s="134">
        <v>14.120998155823301</v>
      </c>
      <c r="FI18" s="133">
        <v>17.54012709684698</v>
      </c>
      <c r="FJ18" s="133">
        <v>21.306825694389392</v>
      </c>
      <c r="FK18" s="133">
        <v>23.942222998747951</v>
      </c>
      <c r="FL18" s="133">
        <v>26.490614755033949</v>
      </c>
      <c r="FM18" s="133">
        <v>29.796647157117043</v>
      </c>
      <c r="FN18" s="81"/>
      <c r="FO18" s="81">
        <v>17</v>
      </c>
      <c r="FP18" s="133">
        <v>6.4738044665903258</v>
      </c>
      <c r="FQ18" s="133">
        <v>7.1675470265894834</v>
      </c>
      <c r="FR18" s="133">
        <v>7.82337904317927</v>
      </c>
      <c r="FS18" s="133">
        <v>8.654329882439276</v>
      </c>
      <c r="FT18" s="133">
        <v>10.241528408669835</v>
      </c>
      <c r="FU18" s="134">
        <v>12.355953977724701</v>
      </c>
      <c r="FV18" s="133">
        <v>14.906915511791224</v>
      </c>
      <c r="FW18" s="133">
        <v>17.640834215187098</v>
      </c>
      <c r="FX18" s="133">
        <v>19.514534302508874</v>
      </c>
      <c r="FY18" s="133">
        <v>21.300118176175435</v>
      </c>
      <c r="FZ18" s="133">
        <v>23.58267066723133</v>
      </c>
      <c r="GA18" s="81"/>
      <c r="GB18" s="81">
        <v>19</v>
      </c>
      <c r="GC18" s="133">
        <v>8.2359894837868417</v>
      </c>
      <c r="GD18" s="133">
        <v>9.2215408167359083</v>
      </c>
      <c r="GE18" s="133">
        <v>10.16299168971393</v>
      </c>
      <c r="GF18" s="133">
        <v>11.368321761871515</v>
      </c>
      <c r="GG18" s="133">
        <v>13.705488236828979</v>
      </c>
      <c r="GH18" s="134">
        <v>16.880963428184344</v>
      </c>
      <c r="GI18" s="133">
        <v>20.792176195368416</v>
      </c>
      <c r="GJ18" s="133">
        <v>25.066754111363622</v>
      </c>
      <c r="GK18" s="133">
        <v>28.039669318249612</v>
      </c>
      <c r="GL18" s="133">
        <v>30.902311438726073</v>
      </c>
      <c r="GM18" s="133">
        <v>34.600205212096974</v>
      </c>
      <c r="GN18" s="81"/>
      <c r="GO18" s="81">
        <v>17</v>
      </c>
      <c r="GP18" s="133">
        <f t="shared" si="63"/>
        <v>0.36670996711237441</v>
      </c>
      <c r="GQ18" s="133">
        <f t="shared" si="64"/>
        <v>0.40894164413979422</v>
      </c>
      <c r="GR18" s="133">
        <f t="shared" si="65"/>
        <v>0.44187174735231349</v>
      </c>
      <c r="GS18" s="133">
        <f t="shared" si="351"/>
        <v>0.47686937002991286</v>
      </c>
      <c r="GT18" s="133">
        <f t="shared" si="352"/>
        <v>0.5313286298197536</v>
      </c>
      <c r="GU18" s="134">
        <f t="shared" si="353"/>
        <v>0.58296554412916979</v>
      </c>
      <c r="GV18" s="133">
        <f t="shared" si="354"/>
        <v>0.63015498849051199</v>
      </c>
      <c r="GW18" s="133">
        <f t="shared" si="66"/>
        <v>0.67168925044320071</v>
      </c>
      <c r="GX18" s="133">
        <f t="shared" si="67"/>
        <v>0.6946682158573535</v>
      </c>
      <c r="GY18" s="133">
        <f t="shared" si="68"/>
        <v>0.71396555892799074</v>
      </c>
      <c r="GZ18" s="133">
        <f t="shared" si="69"/>
        <v>0.73572983749761511</v>
      </c>
      <c r="HA18" s="81"/>
      <c r="HB18" s="81">
        <v>17</v>
      </c>
      <c r="HC18" s="133">
        <f t="shared" si="70"/>
        <v>0.34466174613335054</v>
      </c>
      <c r="HD18" s="133">
        <f t="shared" si="71"/>
        <v>0.39085395018976427</v>
      </c>
      <c r="HE18" s="133">
        <f t="shared" si="72"/>
        <v>0.42645591365658303</v>
      </c>
      <c r="HF18" s="133">
        <f t="shared" si="355"/>
        <v>0.46400195982698755</v>
      </c>
      <c r="HG18" s="133">
        <f t="shared" si="356"/>
        <v>0.52042896777207237</v>
      </c>
      <c r="HH18" s="134">
        <f t="shared" si="357"/>
        <v>0.57662185202903693</v>
      </c>
      <c r="HI18" s="133">
        <f t="shared" si="358"/>
        <v>0.62762258367325108</v>
      </c>
      <c r="HJ18" s="133">
        <f t="shared" si="73"/>
        <v>0.66996203776481644</v>
      </c>
      <c r="HK18" s="133">
        <f t="shared" si="74"/>
        <v>0.69405847311097235</v>
      </c>
      <c r="HL18" s="133">
        <f t="shared" si="75"/>
        <v>0.71427504515855622</v>
      </c>
      <c r="HM18" s="133">
        <f t="shared" si="76"/>
        <v>0.73705736151728507</v>
      </c>
      <c r="HN18" s="81"/>
      <c r="HO18" s="81">
        <v>19</v>
      </c>
      <c r="HP18" s="83">
        <f t="shared" si="77"/>
        <v>0.39881057297591305</v>
      </c>
      <c r="HQ18" s="83">
        <f t="shared" si="78"/>
        <v>0.43628225900385342</v>
      </c>
      <c r="HR18" s="83">
        <f t="shared" si="79"/>
        <v>0.46592889689979788</v>
      </c>
      <c r="HS18" s="83">
        <f t="shared" si="359"/>
        <v>0.49776073152514605</v>
      </c>
      <c r="HT18" s="83">
        <f t="shared" si="360"/>
        <v>0.54645263634897234</v>
      </c>
      <c r="HU18" s="84">
        <f t="shared" si="361"/>
        <v>0.59571533584020364</v>
      </c>
      <c r="HV18" s="83">
        <f t="shared" si="362"/>
        <v>0.64092657200014358</v>
      </c>
      <c r="HW18" s="83">
        <f t="shared" si="80"/>
        <v>0.67874086270935896</v>
      </c>
      <c r="HX18" s="83">
        <f t="shared" si="81"/>
        <v>0.70035593964331089</v>
      </c>
      <c r="HY18" s="83">
        <f t="shared" si="82"/>
        <v>0.7185365547685123</v>
      </c>
      <c r="HZ18" s="83">
        <f t="shared" si="83"/>
        <v>0.73906975605050873</v>
      </c>
      <c r="IA18" s="81"/>
      <c r="IB18" s="81">
        <v>17</v>
      </c>
      <c r="IC18" s="83">
        <f t="shared" si="84"/>
        <v>0.26892449369791682</v>
      </c>
      <c r="ID18" s="83">
        <f t="shared" si="85"/>
        <v>0.29113382773397389</v>
      </c>
      <c r="IE18" s="83">
        <f t="shared" si="86"/>
        <v>0.3072163691060748</v>
      </c>
      <c r="IF18" s="83">
        <f t="shared" si="363"/>
        <v>0.32338500633133183</v>
      </c>
      <c r="IG18" s="83">
        <f t="shared" si="364"/>
        <v>0.34642013510575204</v>
      </c>
      <c r="IH18" s="84">
        <f t="shared" si="365"/>
        <v>0.36811279943777075</v>
      </c>
      <c r="II18" s="83">
        <f t="shared" si="366"/>
        <v>0.38690325135343234</v>
      </c>
      <c r="IJ18" s="83">
        <f t="shared" si="87"/>
        <v>0.40194216094105994</v>
      </c>
      <c r="IK18" s="83">
        <f t="shared" si="88"/>
        <v>0.4102967815700625</v>
      </c>
      <c r="IL18" s="83">
        <f t="shared" si="89"/>
        <v>0.41719976959836025</v>
      </c>
      <c r="IM18" s="83">
        <f t="shared" si="90"/>
        <v>0.42486845181670163</v>
      </c>
      <c r="IN18" s="81"/>
      <c r="IO18" s="81">
        <v>17</v>
      </c>
      <c r="IP18" s="133">
        <f t="shared" si="91"/>
        <v>0.25639611622800679</v>
      </c>
      <c r="IQ18" s="133">
        <f t="shared" si="92"/>
        <v>0.28182004242454539</v>
      </c>
      <c r="IR18" s="133">
        <f t="shared" si="93"/>
        <v>0.29975360376661525</v>
      </c>
      <c r="IS18" s="133">
        <f t="shared" si="367"/>
        <v>0.31749775099649624</v>
      </c>
      <c r="IT18" s="133">
        <f t="shared" si="368"/>
        <v>0.34241653316751586</v>
      </c>
      <c r="IU18" s="134">
        <f t="shared" si="369"/>
        <v>0.365601894093531</v>
      </c>
      <c r="IV18" s="133">
        <f t="shared" si="370"/>
        <v>0.38552481872621569</v>
      </c>
      <c r="IW18" s="133">
        <f t="shared" si="94"/>
        <v>0.40138750091156705</v>
      </c>
      <c r="IX18" s="133">
        <f t="shared" si="95"/>
        <v>0.41017356104008362</v>
      </c>
      <c r="IY18" s="133">
        <f t="shared" si="96"/>
        <v>0.41742067393818005</v>
      </c>
      <c r="IZ18" s="133">
        <f t="shared" si="97"/>
        <v>0.42545977455769174</v>
      </c>
      <c r="JA18" s="81"/>
      <c r="JB18" s="81">
        <v>19</v>
      </c>
      <c r="JC18" s="133">
        <f t="shared" si="98"/>
        <v>0.28611195487193264</v>
      </c>
      <c r="JD18" s="133">
        <f t="shared" si="99"/>
        <v>0.30465015656014377</v>
      </c>
      <c r="JE18" s="133">
        <f t="shared" si="100"/>
        <v>0.31849628221903092</v>
      </c>
      <c r="JF18" s="133">
        <f t="shared" si="371"/>
        <v>0.33270200121948079</v>
      </c>
      <c r="JG18" s="133">
        <f t="shared" si="372"/>
        <v>0.35333616444061672</v>
      </c>
      <c r="JH18" s="134">
        <f t="shared" si="373"/>
        <v>0.37310139019595179</v>
      </c>
      <c r="JI18" s="133">
        <f t="shared" si="374"/>
        <v>0.39042599450700072</v>
      </c>
      <c r="JJ18" s="133">
        <f t="shared" si="101"/>
        <v>0.40440173088605613</v>
      </c>
      <c r="JK18" s="133">
        <f t="shared" si="102"/>
        <v>0.41220174330993814</v>
      </c>
      <c r="JL18" s="133">
        <f t="shared" si="103"/>
        <v>0.41866382792778217</v>
      </c>
      <c r="JM18" s="133">
        <f t="shared" si="104"/>
        <v>0.4258596200408532</v>
      </c>
      <c r="JN18" s="81"/>
      <c r="JO18" s="81">
        <v>16</v>
      </c>
      <c r="JP18" s="133">
        <f t="shared" si="105"/>
        <v>-8.3782155720123548</v>
      </c>
      <c r="JQ18" s="133">
        <f t="shared" si="106"/>
        <v>-7.1019379857298279</v>
      </c>
      <c r="JR18" s="133">
        <f t="shared" si="107"/>
        <v>-5.9874370988322134</v>
      </c>
      <c r="JS18" s="133">
        <f t="shared" si="375"/>
        <v>-4.6842077596797687</v>
      </c>
      <c r="JT18" s="133">
        <f t="shared" si="376"/>
        <v>-2.4692632497632196</v>
      </c>
      <c r="JU18" s="134">
        <f t="shared" si="377"/>
        <v>5.5525991134995678E-2</v>
      </c>
      <c r="JV18" s="133">
        <f t="shared" si="378"/>
        <v>2.6348481093779093</v>
      </c>
      <c r="JW18" s="133">
        <f t="shared" si="108"/>
        <v>4.9921467671654334</v>
      </c>
      <c r="JX18" s="133">
        <f t="shared" si="109"/>
        <v>6.4237378450716029</v>
      </c>
      <c r="JY18" s="133">
        <f t="shared" si="110"/>
        <v>7.6761980028545125</v>
      </c>
      <c r="JZ18" s="133">
        <f t="shared" si="111"/>
        <v>9.1446384942202315</v>
      </c>
      <c r="KA18" s="81"/>
      <c r="KB18" s="81">
        <v>16</v>
      </c>
      <c r="KC18" s="133">
        <f t="shared" si="112"/>
        <v>-6.5654851213001386</v>
      </c>
      <c r="KD18" s="133">
        <f t="shared" si="113"/>
        <v>-5.5777743039602523</v>
      </c>
      <c r="KE18" s="133">
        <f t="shared" si="114"/>
        <v>-4.6874631561216882</v>
      </c>
      <c r="KF18" s="133">
        <f t="shared" si="379"/>
        <v>-3.6165235277889671</v>
      </c>
      <c r="KG18" s="133">
        <f t="shared" si="380"/>
        <v>-1.7299428712762257</v>
      </c>
      <c r="KH18" s="134">
        <f t="shared" si="381"/>
        <v>0.51089730325829485</v>
      </c>
      <c r="KI18" s="133">
        <f t="shared" si="382"/>
        <v>2.8875372613221639</v>
      </c>
      <c r="KJ18" s="133">
        <f t="shared" si="115"/>
        <v>5.1285100967418291</v>
      </c>
      <c r="KK18" s="133">
        <f t="shared" si="116"/>
        <v>6.5188924507466606</v>
      </c>
      <c r="KL18" s="133">
        <f t="shared" si="117"/>
        <v>7.7524279339625384</v>
      </c>
      <c r="KM18" s="133">
        <f t="shared" si="118"/>
        <v>9.2180780231745256</v>
      </c>
      <c r="KN18" s="81"/>
      <c r="KO18" s="81">
        <v>18</v>
      </c>
      <c r="KP18" s="133">
        <f t="shared" si="119"/>
        <v>-10.410987086758082</v>
      </c>
      <c r="KQ18" s="133">
        <f t="shared" si="120"/>
        <v>-8.8210703467600844</v>
      </c>
      <c r="KR18" s="133">
        <f t="shared" si="121"/>
        <v>-7.463633241850097</v>
      </c>
      <c r="KS18" s="133">
        <f t="shared" si="383"/>
        <v>-5.908632968105076</v>
      </c>
      <c r="KT18" s="133">
        <f t="shared" si="384"/>
        <v>-3.3354196557914086</v>
      </c>
      <c r="KU18" s="134">
        <f t="shared" si="385"/>
        <v>-0.49356219004494761</v>
      </c>
      <c r="KV18" s="133">
        <f t="shared" si="386"/>
        <v>2.3247799587674614</v>
      </c>
      <c r="KW18" s="133">
        <f t="shared" si="122"/>
        <v>4.8359842039864667</v>
      </c>
      <c r="KX18" s="133">
        <f t="shared" si="123"/>
        <v>6.3342525396891816</v>
      </c>
      <c r="KY18" s="133">
        <f t="shared" si="124"/>
        <v>7.6297857965206788</v>
      </c>
      <c r="KZ18" s="133">
        <f t="shared" si="125"/>
        <v>9.1317250552429492</v>
      </c>
      <c r="LA18" s="81"/>
      <c r="LB18" s="81">
        <v>16</v>
      </c>
      <c r="LC18" s="133">
        <f t="shared" si="126"/>
        <v>-22.703221115957955</v>
      </c>
      <c r="LD18" s="133">
        <f t="shared" si="127"/>
        <v>-19.284559584182013</v>
      </c>
      <c r="LE18" s="133">
        <f t="shared" si="128"/>
        <v>-16.223355911372384</v>
      </c>
      <c r="LF18" s="133">
        <f t="shared" si="387"/>
        <v>-12.569656092649474</v>
      </c>
      <c r="LG18" s="133">
        <f t="shared" si="388"/>
        <v>-6.2104567150828132</v>
      </c>
      <c r="LH18" s="134">
        <f t="shared" si="389"/>
        <v>1.2208800291505852</v>
      </c>
      <c r="LI18" s="133">
        <f t="shared" si="390"/>
        <v>8.9710021584301813</v>
      </c>
      <c r="LJ18" s="133">
        <f t="shared" si="129"/>
        <v>16.167634302109334</v>
      </c>
      <c r="LK18" s="133">
        <f t="shared" si="130"/>
        <v>20.583433771910748</v>
      </c>
      <c r="LL18" s="133">
        <f t="shared" si="131"/>
        <v>24.471777172218268</v>
      </c>
      <c r="LM18" s="133">
        <f t="shared" si="132"/>
        <v>29.058026741270346</v>
      </c>
      <c r="LN18" s="81"/>
      <c r="LO18" s="81">
        <v>16</v>
      </c>
      <c r="LP18" s="133">
        <f t="shared" si="133"/>
        <v>-19.95024863516441</v>
      </c>
      <c r="LQ18" s="133">
        <f t="shared" si="134"/>
        <v>-16.76617734561362</v>
      </c>
      <c r="LR18" s="133">
        <f t="shared" si="135"/>
        <v>-13.888560850975185</v>
      </c>
      <c r="LS18" s="133">
        <f t="shared" si="391"/>
        <v>-10.427951566667346</v>
      </c>
      <c r="LT18" s="133">
        <f t="shared" si="392"/>
        <v>-4.3512978803241324</v>
      </c>
      <c r="LU18" s="134">
        <f t="shared" si="393"/>
        <v>2.8170627508486028</v>
      </c>
      <c r="LV18" s="133">
        <f t="shared" si="394"/>
        <v>10.353226392339874</v>
      </c>
      <c r="LW18" s="133">
        <f t="shared" si="136"/>
        <v>17.395998114361692</v>
      </c>
      <c r="LX18" s="133">
        <f t="shared" si="137"/>
        <v>21.735747325927971</v>
      </c>
      <c r="LY18" s="133">
        <f t="shared" si="138"/>
        <v>25.567514558947959</v>
      </c>
      <c r="LZ18" s="133">
        <f t="shared" si="139"/>
        <v>30.0985796195659</v>
      </c>
      <c r="MA18" s="81"/>
      <c r="MB18" s="81">
        <v>18</v>
      </c>
      <c r="MC18" s="133">
        <f t="shared" si="140"/>
        <v>-24.97531838950075</v>
      </c>
      <c r="MD18" s="133">
        <f t="shared" si="141"/>
        <v>-21.38418662969795</v>
      </c>
      <c r="ME18" s="133">
        <f t="shared" si="142"/>
        <v>-18.204571150211187</v>
      </c>
      <c r="MF18" s="133">
        <f t="shared" si="395"/>
        <v>-14.450166825986354</v>
      </c>
      <c r="MG18" s="133">
        <f t="shared" si="396"/>
        <v>-8.0082751248808783</v>
      </c>
      <c r="MH18" s="134">
        <f t="shared" si="397"/>
        <v>-0.60669331088542577</v>
      </c>
      <c r="MI18" s="133">
        <f t="shared" si="398"/>
        <v>6.9915484413793578</v>
      </c>
      <c r="MJ18" s="133">
        <f t="shared" si="143"/>
        <v>13.953592807972953</v>
      </c>
      <c r="MK18" s="133">
        <f t="shared" si="144"/>
        <v>18.186212154328608</v>
      </c>
      <c r="ML18" s="133">
        <f t="shared" si="145"/>
        <v>21.890739278422799</v>
      </c>
      <c r="MM18" s="133">
        <f t="shared" si="146"/>
        <v>26.234936945205618</v>
      </c>
      <c r="MN18" s="81"/>
      <c r="MO18" s="81">
        <v>16</v>
      </c>
      <c r="MP18" s="133">
        <f t="shared" si="147"/>
        <v>-26.810371281224466</v>
      </c>
      <c r="MQ18" s="133">
        <f t="shared" si="148"/>
        <v>-22.525393799173941</v>
      </c>
      <c r="MR18" s="133">
        <f t="shared" si="149"/>
        <v>-18.806433886719578</v>
      </c>
      <c r="MS18" s="133">
        <f t="shared" si="399"/>
        <v>-14.488382199272355</v>
      </c>
      <c r="MT18" s="133">
        <f t="shared" si="400"/>
        <v>-7.2274990673442048</v>
      </c>
      <c r="MU18" s="134">
        <f t="shared" si="401"/>
        <v>0.93284338325477023</v>
      </c>
      <c r="MV18" s="133">
        <f t="shared" si="402"/>
        <v>9.1501788570043416</v>
      </c>
      <c r="MW18" s="133">
        <f t="shared" si="150"/>
        <v>16.56318920156226</v>
      </c>
      <c r="MX18" s="133">
        <f t="shared" si="151"/>
        <v>21.023091312581116</v>
      </c>
      <c r="MY18" s="133">
        <f t="shared" si="152"/>
        <v>24.900328859400176</v>
      </c>
      <c r="MZ18" s="133">
        <f t="shared" si="153"/>
        <v>29.418228491417899</v>
      </c>
      <c r="NA18" s="81"/>
      <c r="NB18" s="81">
        <v>16</v>
      </c>
      <c r="NC18" s="133">
        <f t="shared" si="154"/>
        <v>-24.018847708846515</v>
      </c>
      <c r="ND18" s="133">
        <f t="shared" si="155"/>
        <v>-19.867439588317595</v>
      </c>
      <c r="NE18" s="133">
        <f t="shared" si="156"/>
        <v>-16.215581459963708</v>
      </c>
      <c r="NF18" s="133">
        <f t="shared" si="403"/>
        <v>-11.942373610206598</v>
      </c>
      <c r="NG18" s="133">
        <f t="shared" si="404"/>
        <v>-4.7051349183249656</v>
      </c>
      <c r="NH18" s="134">
        <f t="shared" si="405"/>
        <v>3.4803778641760488</v>
      </c>
      <c r="NI18" s="133">
        <f t="shared" si="406"/>
        <v>11.761669336993894</v>
      </c>
      <c r="NJ18" s="133">
        <f t="shared" si="157"/>
        <v>19.257600188080222</v>
      </c>
      <c r="NK18" s="133">
        <f t="shared" si="158"/>
        <v>23.776916594788741</v>
      </c>
      <c r="NL18" s="133">
        <f t="shared" si="159"/>
        <v>27.710920511785691</v>
      </c>
      <c r="NM18" s="133">
        <f t="shared" si="160"/>
        <v>32.300432797918432</v>
      </c>
      <c r="NN18" s="81"/>
      <c r="NO18" s="81">
        <v>18</v>
      </c>
      <c r="NP18" s="133">
        <f t="shared" si="161"/>
        <v>-28.22162195655584</v>
      </c>
      <c r="NQ18" s="133">
        <f t="shared" si="162"/>
        <v>-24.195080897100688</v>
      </c>
      <c r="NR18" s="133">
        <f t="shared" si="163"/>
        <v>-20.726813262992671</v>
      </c>
      <c r="NS18" s="133">
        <f t="shared" si="407"/>
        <v>-16.723536845395021</v>
      </c>
      <c r="NT18" s="133">
        <f t="shared" si="408"/>
        <v>-10.036837211380536</v>
      </c>
      <c r="NU18" s="134">
        <f t="shared" si="409"/>
        <v>-2.5741006030653608</v>
      </c>
      <c r="NV18" s="133">
        <f t="shared" si="410"/>
        <v>4.8967975739516874</v>
      </c>
      <c r="NW18" s="133">
        <f t="shared" si="164"/>
        <v>11.60535069295571</v>
      </c>
      <c r="NX18" s="133">
        <f t="shared" si="165"/>
        <v>15.629105717157692</v>
      </c>
      <c r="NY18" s="133">
        <f t="shared" si="166"/>
        <v>19.120361112180689</v>
      </c>
      <c r="NZ18" s="133">
        <f t="shared" si="167"/>
        <v>23.18106809476965</v>
      </c>
      <c r="OA18" s="81"/>
      <c r="OB18" s="81">
        <v>16</v>
      </c>
      <c r="OC18" s="133">
        <v>16.159620302048957</v>
      </c>
      <c r="OD18" s="133">
        <v>17.968800798089951</v>
      </c>
      <c r="OE18" s="133">
        <v>19.685987723671577</v>
      </c>
      <c r="OF18" s="133">
        <v>21.870437107320924</v>
      </c>
      <c r="OG18" s="133">
        <v>26.067151080086372</v>
      </c>
      <c r="OH18" s="134">
        <v>31.700465055069177</v>
      </c>
      <c r="OI18" s="133">
        <v>38.551181969223919</v>
      </c>
      <c r="OJ18" s="133">
        <v>45.948760867302219</v>
      </c>
      <c r="OK18" s="133">
        <v>51.047450542666347</v>
      </c>
      <c r="OL18" s="133">
        <v>55.925795827982185</v>
      </c>
      <c r="OM18" s="133">
        <v>62.187072834888546</v>
      </c>
      <c r="ON18" s="81"/>
      <c r="OO18" s="81">
        <v>16</v>
      </c>
      <c r="OP18" s="133">
        <v>16.061474862298631</v>
      </c>
      <c r="OQ18" s="133">
        <v>17.760321835923065</v>
      </c>
      <c r="OR18" s="133">
        <v>19.364462116620391</v>
      </c>
      <c r="OS18" s="133">
        <v>21.394568730688984</v>
      </c>
      <c r="OT18" s="133">
        <v>25.258859044108295</v>
      </c>
      <c r="OU18" s="134">
        <v>30.411516562869878</v>
      </c>
      <c r="OV18" s="133">
        <v>36.605279973000712</v>
      </c>
      <c r="OW18" s="133">
        <v>43.228744233907463</v>
      </c>
      <c r="OX18" s="133">
        <v>47.760703813193288</v>
      </c>
      <c r="OY18" s="133">
        <v>52.074525912195575</v>
      </c>
      <c r="OZ18" s="133">
        <v>57.582528851360287</v>
      </c>
      <c r="PA18" s="81"/>
      <c r="PB18" s="81">
        <v>18</v>
      </c>
      <c r="PC18" s="133">
        <v>19.153923396183245</v>
      </c>
      <c r="PD18" s="133">
        <v>21.090000197824772</v>
      </c>
      <c r="PE18" s="133">
        <v>22.910946942214231</v>
      </c>
      <c r="PF18" s="133">
        <v>25.206357972798518</v>
      </c>
      <c r="PG18" s="133">
        <v>29.558642912982435</v>
      </c>
      <c r="PH18" s="134">
        <v>35.300888222951222</v>
      </c>
      <c r="PI18" s="133">
        <v>42.158657723151876</v>
      </c>
      <c r="PJ18" s="133">
        <v>49.438031098109583</v>
      </c>
      <c r="PK18" s="133">
        <v>54.391148147317082</v>
      </c>
      <c r="PL18" s="133">
        <v>59.087373050751516</v>
      </c>
      <c r="PM18" s="133">
        <v>65.059919242321541</v>
      </c>
      <c r="PN18" s="81"/>
      <c r="PO18" s="81">
        <v>16</v>
      </c>
      <c r="PP18" s="133">
        <v>7.5217443663408075</v>
      </c>
      <c r="PQ18" s="133">
        <v>8.2136039967948413</v>
      </c>
      <c r="PR18" s="133">
        <v>8.859330134897041</v>
      </c>
      <c r="PS18" s="133">
        <v>9.6670644187628216</v>
      </c>
      <c r="PT18" s="133">
        <v>11.18170556552276</v>
      </c>
      <c r="PU18" s="134">
        <v>13.151193637695298</v>
      </c>
      <c r="PV18" s="133">
        <v>15.467577203019616</v>
      </c>
      <c r="PW18" s="133">
        <v>17.8910459891496</v>
      </c>
      <c r="PX18" s="133">
        <v>19.522231530224762</v>
      </c>
      <c r="PY18" s="133">
        <v>21.057004229038597</v>
      </c>
      <c r="PZ18" s="133">
        <v>22.993854307268389</v>
      </c>
      <c r="QA18" s="81"/>
      <c r="QB18" s="81">
        <v>16</v>
      </c>
      <c r="QC18" s="133">
        <v>7.369122887820617</v>
      </c>
      <c r="QD18" s="133">
        <v>8.0305594615662415</v>
      </c>
      <c r="QE18" s="133">
        <v>8.6467244288955669</v>
      </c>
      <c r="QF18" s="133">
        <v>9.4160250182351923</v>
      </c>
      <c r="QG18" s="133">
        <v>10.854674763509571</v>
      </c>
      <c r="QH18" s="134">
        <v>12.718676468453875</v>
      </c>
      <c r="QI18" s="133">
        <v>14.90277089213312</v>
      </c>
      <c r="QJ18" s="133">
        <v>17.179726136658175</v>
      </c>
      <c r="QK18" s="133">
        <v>18.70820938488777</v>
      </c>
      <c r="QL18" s="133">
        <v>20.143644024229978</v>
      </c>
      <c r="QM18" s="133">
        <v>21.951694057994402</v>
      </c>
      <c r="QN18" s="81"/>
      <c r="QO18" s="81">
        <v>18</v>
      </c>
      <c r="QP18" s="133">
        <v>8.172389792644335</v>
      </c>
      <c r="QQ18" s="133">
        <v>8.9051192026568717</v>
      </c>
      <c r="QR18" s="133">
        <v>9.5876400288620633</v>
      </c>
      <c r="QS18" s="133">
        <v>10.439716320099139</v>
      </c>
      <c r="QT18" s="133">
        <v>12.032970094863467</v>
      </c>
      <c r="QU18" s="134">
        <v>14.096958253778839</v>
      </c>
      <c r="QV18" s="133">
        <v>16.514977635788604</v>
      </c>
      <c r="QW18" s="133">
        <v>19.035405361177112</v>
      </c>
      <c r="QX18" s="133">
        <v>20.727126947878279</v>
      </c>
      <c r="QY18" s="133">
        <v>22.315729580519619</v>
      </c>
      <c r="QZ18" s="133">
        <v>24.316538619786293</v>
      </c>
      <c r="RA18" s="81"/>
      <c r="RB18" s="81">
        <v>16</v>
      </c>
      <c r="RC18" s="133">
        <f t="shared" si="168"/>
        <v>0.25435259547206107</v>
      </c>
      <c r="RD18" s="133">
        <f t="shared" si="169"/>
        <v>0.2745811981949593</v>
      </c>
      <c r="RE18" s="133">
        <f t="shared" si="170"/>
        <v>0.29347494810194058</v>
      </c>
      <c r="RF18" s="133">
        <f t="shared" si="411"/>
        <v>0.31714872438500857</v>
      </c>
      <c r="RG18" s="133">
        <f t="shared" si="412"/>
        <v>0.36172510762563376</v>
      </c>
      <c r="RH18" s="134">
        <f t="shared" si="413"/>
        <v>0.42017761735647036</v>
      </c>
      <c r="RI18" s="133">
        <f t="shared" si="414"/>
        <v>0.48980516390323103</v>
      </c>
      <c r="RJ18" s="133">
        <f t="shared" si="171"/>
        <v>0.56381421255886788</v>
      </c>
      <c r="RK18" s="133">
        <f t="shared" si="172"/>
        <v>0.61434958027672648</v>
      </c>
      <c r="RL18" s="133">
        <f t="shared" si="173"/>
        <v>0.66245127626033773</v>
      </c>
      <c r="RM18" s="133">
        <f t="shared" si="174"/>
        <v>0.72394158200184866</v>
      </c>
      <c r="RN18" s="81"/>
      <c r="RO18" s="81">
        <v>16</v>
      </c>
      <c r="RP18" s="133">
        <f t="shared" si="175"/>
        <v>0.27447299235038503</v>
      </c>
      <c r="RQ18" s="133">
        <f t="shared" si="176"/>
        <v>0.29407017110919986</v>
      </c>
      <c r="RR18" s="133">
        <f t="shared" si="177"/>
        <v>0.31229917112923689</v>
      </c>
      <c r="RS18" s="133">
        <f t="shared" si="415"/>
        <v>0.33505077959819424</v>
      </c>
      <c r="RT18" s="133">
        <f t="shared" si="416"/>
        <v>0.37766523663172319</v>
      </c>
      <c r="RU18" s="134">
        <f t="shared" si="417"/>
        <v>0.43319561735346118</v>
      </c>
      <c r="RV18" s="133">
        <f t="shared" si="418"/>
        <v>0.49896697353721514</v>
      </c>
      <c r="RW18" s="133">
        <f t="shared" si="178"/>
        <v>0.56856798486167359</v>
      </c>
      <c r="RX18" s="133">
        <f t="shared" si="179"/>
        <v>0.61596677839201963</v>
      </c>
      <c r="RY18" s="133">
        <f t="shared" si="180"/>
        <v>0.66101580416305117</v>
      </c>
      <c r="RZ18" s="133">
        <f t="shared" si="181"/>
        <v>0.71853738677774648</v>
      </c>
      <c r="SA18" s="81"/>
      <c r="SB18" s="81">
        <v>18</v>
      </c>
      <c r="SC18" s="133">
        <f t="shared" si="182"/>
        <v>0.23328264993254758</v>
      </c>
      <c r="SD18" s="133">
        <f t="shared" si="183"/>
        <v>0.25422814019072215</v>
      </c>
      <c r="SE18" s="133">
        <f t="shared" si="184"/>
        <v>0.27376156108843896</v>
      </c>
      <c r="SF18" s="133">
        <f t="shared" si="419"/>
        <v>0.29817862340344953</v>
      </c>
      <c r="SG18" s="133">
        <f t="shared" si="420"/>
        <v>0.34392556690708215</v>
      </c>
      <c r="SH18" s="134">
        <f t="shared" si="421"/>
        <v>0.40335875361391949</v>
      </c>
      <c r="SI18" s="133">
        <f t="shared" si="422"/>
        <v>0.47321909654953359</v>
      </c>
      <c r="SJ18" s="133">
        <f t="shared" si="185"/>
        <v>0.54629078936285569</v>
      </c>
      <c r="SK18" s="133">
        <f t="shared" si="186"/>
        <v>0.59547407441915312</v>
      </c>
      <c r="SL18" s="133">
        <f t="shared" si="187"/>
        <v>0.64175545799040412</v>
      </c>
      <c r="SM18" s="133">
        <f t="shared" si="188"/>
        <v>0.70017325290762278</v>
      </c>
      <c r="SN18" s="81"/>
      <c r="SO18" s="81">
        <v>16</v>
      </c>
      <c r="SP18" s="133">
        <f t="shared" si="189"/>
        <v>0.20164417406061427</v>
      </c>
      <c r="SQ18" s="133">
        <f t="shared" si="190"/>
        <v>0.21476630533445135</v>
      </c>
      <c r="SR18" s="133">
        <f t="shared" si="191"/>
        <v>0.22655333871181857</v>
      </c>
      <c r="SS18" s="133">
        <f t="shared" si="423"/>
        <v>0.24073542227081171</v>
      </c>
      <c r="ST18" s="133">
        <f t="shared" si="424"/>
        <v>0.26585637267230011</v>
      </c>
      <c r="SU18" s="134">
        <f t="shared" si="425"/>
        <v>0.29610901936814721</v>
      </c>
      <c r="SV18" s="133">
        <f t="shared" si="426"/>
        <v>0.3288620921405635</v>
      </c>
      <c r="SW18" s="133">
        <f t="shared" si="192"/>
        <v>0.36048510002457235</v>
      </c>
      <c r="SX18" s="133">
        <f t="shared" si="193"/>
        <v>0.38049869049049773</v>
      </c>
      <c r="SY18" s="133">
        <f t="shared" si="194"/>
        <v>0.39851960270156012</v>
      </c>
      <c r="SZ18" s="133">
        <f t="shared" si="195"/>
        <v>0.42026598537793503</v>
      </c>
      <c r="TA18" s="81"/>
      <c r="TB18" s="81">
        <v>16</v>
      </c>
      <c r="TC18" s="133">
        <f t="shared" si="196"/>
        <v>0.2145461416253063</v>
      </c>
      <c r="TD18" s="133">
        <f t="shared" si="197"/>
        <v>0.22678946203655342</v>
      </c>
      <c r="TE18" s="133">
        <f t="shared" si="198"/>
        <v>0.23777570605866546</v>
      </c>
      <c r="TF18" s="133">
        <f t="shared" si="427"/>
        <v>0.25098405294082238</v>
      </c>
      <c r="TG18" s="133">
        <f t="shared" si="428"/>
        <v>0.27436438441813188</v>
      </c>
      <c r="TH18" s="134">
        <f t="shared" si="429"/>
        <v>0.30251507110057974</v>
      </c>
      <c r="TI18" s="133">
        <f t="shared" si="430"/>
        <v>0.33301009637532347</v>
      </c>
      <c r="TJ18" s="133">
        <f t="shared" si="199"/>
        <v>0.36248948128811248</v>
      </c>
      <c r="TK18" s="133">
        <f t="shared" si="200"/>
        <v>0.38117143023494326</v>
      </c>
      <c r="TL18" s="133">
        <f t="shared" si="201"/>
        <v>0.39801264707731904</v>
      </c>
      <c r="TM18" s="133">
        <f t="shared" si="202"/>
        <v>0.41836230497339755</v>
      </c>
      <c r="TN18" s="81"/>
      <c r="TO18" s="81">
        <v>18</v>
      </c>
      <c r="TP18" s="133">
        <f t="shared" si="203"/>
        <v>0.18756181953798332</v>
      </c>
      <c r="TQ18" s="133">
        <f t="shared" si="204"/>
        <v>0.20174292129381366</v>
      </c>
      <c r="TR18" s="133">
        <f t="shared" si="205"/>
        <v>0.21440676749066528</v>
      </c>
      <c r="TS18" s="133">
        <f t="shared" si="431"/>
        <v>0.22954832256046437</v>
      </c>
      <c r="TT18" s="133">
        <f t="shared" si="432"/>
        <v>0.25610954882304976</v>
      </c>
      <c r="TU18" s="134">
        <f t="shared" si="433"/>
        <v>0.28765764339439104</v>
      </c>
      <c r="TV18" s="133">
        <f t="shared" si="434"/>
        <v>0.32128337133965285</v>
      </c>
      <c r="TW18" s="133">
        <f t="shared" si="206"/>
        <v>0.35324423815703165</v>
      </c>
      <c r="TX18" s="133">
        <f t="shared" si="207"/>
        <v>0.37322489650822871</v>
      </c>
      <c r="TY18" s="133">
        <f t="shared" si="208"/>
        <v>0.39105789967896926</v>
      </c>
      <c r="TZ18" s="133">
        <f t="shared" si="209"/>
        <v>0.41238372439415649</v>
      </c>
      <c r="UA18" s="81"/>
      <c r="UB18" s="81">
        <v>16</v>
      </c>
      <c r="UC18" s="133">
        <f t="shared" si="210"/>
        <v>-29.160299883208779</v>
      </c>
      <c r="UD18" s="133">
        <f t="shared" si="211"/>
        <v>-25.693322030064643</v>
      </c>
      <c r="UE18" s="133">
        <f t="shared" si="212"/>
        <v>-22.8140390959177</v>
      </c>
      <c r="UF18" s="133">
        <f t="shared" si="435"/>
        <v>-19.595850678534084</v>
      </c>
      <c r="UG18" s="133">
        <f t="shared" si="436"/>
        <v>-14.433547326546922</v>
      </c>
      <c r="UH18" s="134">
        <f t="shared" si="437"/>
        <v>-8.9336940912451084</v>
      </c>
      <c r="UI18" s="133">
        <f t="shared" si="438"/>
        <v>-3.6558443577599249</v>
      </c>
      <c r="UJ18" s="133">
        <f t="shared" si="213"/>
        <v>0.91909633301507654</v>
      </c>
      <c r="UK18" s="133">
        <f t="shared" si="214"/>
        <v>3.5973997453669142</v>
      </c>
      <c r="UL18" s="133">
        <f t="shared" si="215"/>
        <v>5.88479812800432</v>
      </c>
      <c r="UM18" s="133">
        <f t="shared" si="216"/>
        <v>8.505508602582367</v>
      </c>
      <c r="UN18" s="81"/>
      <c r="UO18" s="81">
        <v>16</v>
      </c>
      <c r="UP18" s="133">
        <f t="shared" si="217"/>
        <v>-25.162521395461312</v>
      </c>
      <c r="UQ18" s="133">
        <f t="shared" si="218"/>
        <v>-22.380597623289898</v>
      </c>
      <c r="UR18" s="133">
        <f t="shared" si="219"/>
        <v>-19.998815650688492</v>
      </c>
      <c r="US18" s="133">
        <f t="shared" si="439"/>
        <v>-17.26276051915578</v>
      </c>
      <c r="UT18" s="133">
        <f t="shared" si="440"/>
        <v>-12.717804717149669</v>
      </c>
      <c r="UU18" s="134">
        <f t="shared" si="441"/>
        <v>-7.6748222037558165</v>
      </c>
      <c r="UV18" s="133">
        <f t="shared" si="442"/>
        <v>-2.6512085768989735</v>
      </c>
      <c r="UW18" s="133">
        <f t="shared" si="220"/>
        <v>1.8421363432827249</v>
      </c>
      <c r="UX18" s="133">
        <f t="shared" si="221"/>
        <v>4.5302100112460266</v>
      </c>
      <c r="UY18" s="133">
        <f t="shared" si="222"/>
        <v>6.8586657222268741</v>
      </c>
      <c r="UZ18" s="133">
        <f t="shared" si="223"/>
        <v>9.5626782029093746</v>
      </c>
      <c r="VA18" s="81"/>
      <c r="VB18" s="81">
        <v>19</v>
      </c>
      <c r="VC18" s="133">
        <f t="shared" si="224"/>
        <v>-32.240011906066592</v>
      </c>
      <c r="VD18" s="133">
        <f t="shared" si="225"/>
        <v>-28.062054342076486</v>
      </c>
      <c r="VE18" s="133">
        <f t="shared" si="226"/>
        <v>-24.703730084999606</v>
      </c>
      <c r="VF18" s="133">
        <f t="shared" si="443"/>
        <v>-21.046533004260247</v>
      </c>
      <c r="VG18" s="133">
        <f t="shared" si="444"/>
        <v>-15.35158262691283</v>
      </c>
      <c r="VH18" s="134">
        <f t="shared" si="445"/>
        <v>-9.4696921434571948</v>
      </c>
      <c r="VI18" s="133">
        <f t="shared" si="446"/>
        <v>-3.9690273907400524</v>
      </c>
      <c r="VJ18" s="133">
        <f t="shared" si="227"/>
        <v>0.70440451094526679</v>
      </c>
      <c r="VK18" s="133">
        <f t="shared" si="228"/>
        <v>3.4047168293172092</v>
      </c>
      <c r="VL18" s="133">
        <f t="shared" si="229"/>
        <v>5.6919268739235349</v>
      </c>
      <c r="VM18" s="133">
        <f t="shared" si="230"/>
        <v>8.2923549723094681</v>
      </c>
      <c r="VN18" s="81"/>
      <c r="VO18" s="81">
        <v>16</v>
      </c>
      <c r="VP18" s="133">
        <f t="shared" si="231"/>
        <v>-47.751663034916412</v>
      </c>
      <c r="VQ18" s="133">
        <f t="shared" si="232"/>
        <v>-44.571066817251051</v>
      </c>
      <c r="VR18" s="133">
        <f t="shared" si="233"/>
        <v>-41.462503120905282</v>
      </c>
      <c r="VS18" s="133">
        <f t="shared" si="447"/>
        <v>-37.470952363429049</v>
      </c>
      <c r="VT18" s="133">
        <f t="shared" si="448"/>
        <v>-29.888649993323231</v>
      </c>
      <c r="VU18" s="134">
        <f t="shared" si="449"/>
        <v>-20.147996557838745</v>
      </c>
      <c r="VV18" s="133">
        <f t="shared" si="450"/>
        <v>-9.1193244470601513</v>
      </c>
      <c r="VW18" s="133">
        <f t="shared" si="234"/>
        <v>1.8228433647276105</v>
      </c>
      <c r="VX18" s="133">
        <f t="shared" si="235"/>
        <v>8.8414103635811756</v>
      </c>
      <c r="VY18" s="133">
        <f t="shared" si="236"/>
        <v>15.201180282119388</v>
      </c>
      <c r="VZ18" s="133">
        <f t="shared" si="237"/>
        <v>22.908119254705603</v>
      </c>
      <c r="WA18" s="81"/>
      <c r="WB18" s="81">
        <v>16</v>
      </c>
      <c r="WC18" s="133">
        <f t="shared" si="238"/>
        <v>-44.513536333892091</v>
      </c>
      <c r="WD18" s="133">
        <f t="shared" si="239"/>
        <v>-41.696094628315969</v>
      </c>
      <c r="WE18" s="133">
        <f t="shared" si="240"/>
        <v>-38.832383364617023</v>
      </c>
      <c r="WF18" s="133">
        <f t="shared" si="451"/>
        <v>-35.055155091060669</v>
      </c>
      <c r="WG18" s="133">
        <f t="shared" si="452"/>
        <v>-27.686565089609392</v>
      </c>
      <c r="WH18" s="134">
        <f t="shared" si="453"/>
        <v>-17.995342130005486</v>
      </c>
      <c r="WI18" s="133">
        <f t="shared" si="454"/>
        <v>-6.8369154561004351</v>
      </c>
      <c r="WJ18" s="133">
        <f t="shared" si="241"/>
        <v>4.3622832392609183</v>
      </c>
      <c r="WK18" s="133">
        <f t="shared" si="242"/>
        <v>11.595221969365895</v>
      </c>
      <c r="WL18" s="133">
        <f t="shared" si="243"/>
        <v>18.176175815842932</v>
      </c>
      <c r="WM18" s="133">
        <f t="shared" si="244"/>
        <v>26.180351475001082</v>
      </c>
      <c r="WN18" s="81"/>
      <c r="WO18" s="81">
        <v>19</v>
      </c>
      <c r="WP18" s="133">
        <f t="shared" si="245"/>
        <v>-49.176241309216294</v>
      </c>
      <c r="WQ18" s="133">
        <f t="shared" si="246"/>
        <v>-45.774455027748346</v>
      </c>
      <c r="WR18" s="133">
        <f t="shared" si="247"/>
        <v>-42.456576206459687</v>
      </c>
      <c r="WS18" s="133">
        <f t="shared" si="455"/>
        <v>-38.229533101928368</v>
      </c>
      <c r="WT18" s="133">
        <f t="shared" si="456"/>
        <v>-30.319771929455857</v>
      </c>
      <c r="WU18" s="134">
        <f t="shared" si="457"/>
        <v>-20.373317831425311</v>
      </c>
      <c r="WV18" s="133">
        <f t="shared" si="458"/>
        <v>-9.3577725797418054</v>
      </c>
      <c r="WW18" s="133">
        <f t="shared" si="248"/>
        <v>1.357472148020392</v>
      </c>
      <c r="WX18" s="133">
        <f t="shared" si="249"/>
        <v>8.1345403416947946</v>
      </c>
      <c r="WY18" s="133">
        <f t="shared" si="250"/>
        <v>14.217900121768103</v>
      </c>
      <c r="WZ18" s="133">
        <f t="shared" si="251"/>
        <v>21.522967067344034</v>
      </c>
      <c r="XA18" s="81"/>
      <c r="XB18" s="81">
        <v>16</v>
      </c>
      <c r="XC18" s="133">
        <f t="shared" si="252"/>
        <v>-51.325910221450862</v>
      </c>
      <c r="XD18" s="133">
        <f t="shared" si="253"/>
        <v>-47.498048315617666</v>
      </c>
      <c r="XE18" s="133">
        <f t="shared" si="254"/>
        <v>-43.825017926732478</v>
      </c>
      <c r="XF18" s="133">
        <f t="shared" si="459"/>
        <v>-39.237670818965967</v>
      </c>
      <c r="XG18" s="133">
        <f t="shared" si="460"/>
        <v>-30.891000011353828</v>
      </c>
      <c r="XH18" s="134">
        <f t="shared" si="461"/>
        <v>-20.739368666391549</v>
      </c>
      <c r="XI18" s="133">
        <f t="shared" si="462"/>
        <v>-9.8361966532749534</v>
      </c>
      <c r="XJ18" s="133">
        <f t="shared" si="255"/>
        <v>0.50243909286563593</v>
      </c>
      <c r="XK18" s="133">
        <f t="shared" si="256"/>
        <v>6.9284817416328011</v>
      </c>
      <c r="XL18" s="133">
        <f t="shared" si="257"/>
        <v>12.631637109775347</v>
      </c>
      <c r="XM18" s="133">
        <f t="shared" si="258"/>
        <v>19.406634241323694</v>
      </c>
      <c r="XN18" s="81"/>
      <c r="XO18" s="81">
        <v>16</v>
      </c>
      <c r="XP18" s="133">
        <f t="shared" si="259"/>
        <v>-48.824593361361167</v>
      </c>
      <c r="XQ18" s="133">
        <f t="shared" si="260"/>
        <v>-45.01060439375086</v>
      </c>
      <c r="XR18" s="133">
        <f t="shared" si="261"/>
        <v>-41.294293550552723</v>
      </c>
      <c r="XS18" s="133">
        <f t="shared" si="463"/>
        <v>-36.631059357769608</v>
      </c>
      <c r="XT18" s="133">
        <f t="shared" si="464"/>
        <v>-28.136598490306213</v>
      </c>
      <c r="XU18" s="134">
        <f t="shared" si="465"/>
        <v>-17.821802237101501</v>
      </c>
      <c r="XV18" s="133">
        <f t="shared" si="466"/>
        <v>-6.7751474892828512</v>
      </c>
      <c r="XW18" s="133">
        <f t="shared" si="262"/>
        <v>3.6685722569400525</v>
      </c>
      <c r="XX18" s="133">
        <f t="shared" si="263"/>
        <v>10.145546037874034</v>
      </c>
      <c r="XY18" s="133">
        <f t="shared" si="264"/>
        <v>15.885192131014087</v>
      </c>
      <c r="XZ18" s="133">
        <f t="shared" si="265"/>
        <v>22.693430786618727</v>
      </c>
      <c r="YA18" s="81"/>
      <c r="YB18" s="81">
        <v>19</v>
      </c>
      <c r="YC18" s="133">
        <f t="shared" si="266"/>
        <v>-53.232980330249823</v>
      </c>
      <c r="YD18" s="133">
        <f t="shared" si="267"/>
        <v>-49.347215514899545</v>
      </c>
      <c r="YE18" s="133">
        <f t="shared" si="268"/>
        <v>-45.584865905691998</v>
      </c>
      <c r="YF18" s="133">
        <f t="shared" si="467"/>
        <v>-40.898125300960814</v>
      </c>
      <c r="YG18" s="133">
        <f t="shared" si="468"/>
        <v>-32.43869969096901</v>
      </c>
      <c r="YH18" s="134">
        <f t="shared" si="469"/>
        <v>-22.267885461085321</v>
      </c>
      <c r="YI18" s="133">
        <f t="shared" si="470"/>
        <v>-11.467563644415122</v>
      </c>
      <c r="YJ18" s="133">
        <f t="shared" si="269"/>
        <v>-1.3253593619366413</v>
      </c>
      <c r="YK18" s="133">
        <f t="shared" si="270"/>
        <v>4.9365631052756527</v>
      </c>
      <c r="YL18" s="133">
        <f t="shared" si="271"/>
        <v>10.469780473140595</v>
      </c>
      <c r="YM18" s="133">
        <f t="shared" si="272"/>
        <v>17.015541946394627</v>
      </c>
      <c r="YN18" s="81"/>
      <c r="YO18" s="81">
        <v>16</v>
      </c>
      <c r="YP18" s="133">
        <v>20.95148586075312</v>
      </c>
      <c r="YQ18" s="133">
        <v>23.476919723996758</v>
      </c>
      <c r="YR18" s="133">
        <v>25.891093153395104</v>
      </c>
      <c r="YS18" s="133">
        <v>28.984172324047954</v>
      </c>
      <c r="YT18" s="133">
        <v>34.987999605174707</v>
      </c>
      <c r="YU18" s="134">
        <v>43.156484856863358</v>
      </c>
      <c r="YV18" s="133">
        <v>53.232028301647098</v>
      </c>
      <c r="YW18" s="133">
        <v>64.258594807462856</v>
      </c>
      <c r="YX18" s="133">
        <v>71.935247158787874</v>
      </c>
      <c r="YY18" s="133">
        <v>79.332476623709496</v>
      </c>
      <c r="YZ18" s="133">
        <v>88.894992821942481</v>
      </c>
      <c r="ZA18" s="81"/>
      <c r="ZB18" s="81">
        <v>16</v>
      </c>
      <c r="ZC18" s="133">
        <v>20.362723791186735</v>
      </c>
      <c r="ZD18" s="133">
        <v>22.798624810175514</v>
      </c>
      <c r="ZE18" s="133">
        <v>25.125452390032603</v>
      </c>
      <c r="ZF18" s="133">
        <v>28.104371272535225</v>
      </c>
      <c r="ZG18" s="133">
        <v>33.880306828236307</v>
      </c>
      <c r="ZH18" s="134">
        <v>41.727515722162146</v>
      </c>
      <c r="ZI18" s="133">
        <v>51.392260913415406</v>
      </c>
      <c r="ZJ18" s="133">
        <v>61.954261543820728</v>
      </c>
      <c r="ZK18" s="133">
        <v>69.299670362712618</v>
      </c>
      <c r="ZL18" s="133">
        <v>76.372394512416449</v>
      </c>
      <c r="ZM18" s="133">
        <v>85.508480407562075</v>
      </c>
      <c r="ZN18" s="81"/>
      <c r="ZO18" s="81">
        <v>19</v>
      </c>
      <c r="ZP18" s="133">
        <v>22.587186191766467</v>
      </c>
      <c r="ZQ18" s="133">
        <v>25.212491757537311</v>
      </c>
      <c r="ZR18" s="133">
        <v>27.713187037679631</v>
      </c>
      <c r="ZS18" s="133">
        <v>30.905687539842152</v>
      </c>
      <c r="ZT18" s="133">
        <v>37.070617123736213</v>
      </c>
      <c r="ZU18" s="134">
        <v>45.401783444315605</v>
      </c>
      <c r="ZV18" s="133">
        <v>55.605277167200796</v>
      </c>
      <c r="ZW18" s="133">
        <v>66.697171427335931</v>
      </c>
      <c r="ZX18" s="133">
        <v>74.380544436188401</v>
      </c>
      <c r="ZY18" s="133">
        <v>81.757961876508887</v>
      </c>
      <c r="ZZ18" s="133">
        <v>91.260678617681435</v>
      </c>
      <c r="AAA18" s="81"/>
      <c r="AAB18" s="81">
        <v>16</v>
      </c>
      <c r="AAC18" s="133">
        <v>7.9983855350077047</v>
      </c>
      <c r="AAD18" s="133">
        <v>8.8511639572071275</v>
      </c>
      <c r="AAE18" s="133">
        <v>9.6569744622710072</v>
      </c>
      <c r="AAF18" s="133">
        <v>10.677486367019652</v>
      </c>
      <c r="AAG18" s="133">
        <v>12.625487354772517</v>
      </c>
      <c r="AAH18" s="134">
        <v>15.218333499366512</v>
      </c>
      <c r="AAI18" s="133">
        <v>18.34366214864535</v>
      </c>
      <c r="AAJ18" s="133">
        <v>21.690280515205721</v>
      </c>
      <c r="AAK18" s="133">
        <v>23.982425903969602</v>
      </c>
      <c r="AAL18" s="133">
        <v>26.165787417073091</v>
      </c>
      <c r="AAM18" s="133">
        <v>28.955552778029212</v>
      </c>
      <c r="AAN18" s="81"/>
      <c r="AAO18" s="81">
        <v>16</v>
      </c>
      <c r="AAP18" s="133">
        <v>7.7441670035181565</v>
      </c>
      <c r="AAQ18" s="133">
        <v>8.5816545161874416</v>
      </c>
      <c r="AAR18" s="133">
        <v>9.3740283787825422</v>
      </c>
      <c r="AAS18" s="133">
        <v>10.378807070079974</v>
      </c>
      <c r="AAT18" s="133">
        <v>12.300313519019094</v>
      </c>
      <c r="AAU18" s="134">
        <v>14.864083781324267</v>
      </c>
      <c r="AAV18" s="133">
        <v>17.962223996697464</v>
      </c>
      <c r="AAW18" s="133">
        <v>21.287705337076343</v>
      </c>
      <c r="AAX18" s="133">
        <v>23.569481308410744</v>
      </c>
      <c r="AAY18" s="133">
        <v>25.745733091616479</v>
      </c>
      <c r="AAZ18" s="133">
        <v>28.529987351493588</v>
      </c>
      <c r="ABA18" s="81"/>
      <c r="ABB18" s="81">
        <v>19</v>
      </c>
      <c r="ABC18" s="133">
        <v>8.7766387648539705</v>
      </c>
      <c r="ABD18" s="133">
        <v>9.6757613713891999</v>
      </c>
      <c r="ABE18" s="133">
        <v>10.522389874757238</v>
      </c>
      <c r="ABF18" s="133">
        <v>11.590842662276822</v>
      </c>
      <c r="ABG18" s="133">
        <v>13.620074294894412</v>
      </c>
      <c r="ABH18" s="134">
        <v>16.303193668602958</v>
      </c>
      <c r="ABI18" s="133">
        <v>19.5148806123334</v>
      </c>
      <c r="ABJ18" s="133">
        <v>22.931389161291992</v>
      </c>
      <c r="ABK18" s="133">
        <v>25.25986272696511</v>
      </c>
      <c r="ABL18" s="133">
        <v>27.470099105783738</v>
      </c>
      <c r="ABM18" s="133">
        <v>30.284272933773618</v>
      </c>
      <c r="ABN18" s="81"/>
      <c r="ABO18" s="81">
        <v>16</v>
      </c>
      <c r="ABP18" s="133">
        <f t="shared" si="273"/>
        <v>0.17201007723673484</v>
      </c>
      <c r="ABQ18" s="133">
        <f t="shared" si="274"/>
        <v>0.19529120085902793</v>
      </c>
      <c r="ABR18" s="133">
        <f t="shared" si="275"/>
        <v>0.21708272585677513</v>
      </c>
      <c r="ABS18" s="133">
        <f t="shared" si="471"/>
        <v>0.24434837927795486</v>
      </c>
      <c r="ABT18" s="133">
        <f t="shared" si="472"/>
        <v>0.2952721006612925</v>
      </c>
      <c r="ABU18" s="134">
        <f t="shared" si="473"/>
        <v>0.36069898407376155</v>
      </c>
      <c r="ABV18" s="133">
        <f t="shared" si="474"/>
        <v>0.43610830028779568</v>
      </c>
      <c r="ABW18" s="133">
        <f t="shared" si="276"/>
        <v>0.51300496225325543</v>
      </c>
      <c r="ABX18" s="133">
        <f t="shared" si="277"/>
        <v>0.56358319054058859</v>
      </c>
      <c r="ABY18" s="133">
        <f t="shared" si="278"/>
        <v>0.61031485715120581</v>
      </c>
      <c r="ABZ18" s="133">
        <f t="shared" si="279"/>
        <v>0.66813172609126459</v>
      </c>
      <c r="ACA18" s="81"/>
      <c r="ACB18" s="81">
        <v>16</v>
      </c>
      <c r="ACC18" s="133">
        <f t="shared" si="280"/>
        <v>0.18214328739611996</v>
      </c>
      <c r="ACD18" s="133">
        <f t="shared" si="281"/>
        <v>0.20438794391498349</v>
      </c>
      <c r="ACE18" s="133">
        <f t="shared" si="282"/>
        <v>0.22534778521120302</v>
      </c>
      <c r="ACF18" s="133">
        <f t="shared" si="475"/>
        <v>0.25178046220180178</v>
      </c>
      <c r="ACG18" s="133">
        <f t="shared" si="476"/>
        <v>0.30181200570399563</v>
      </c>
      <c r="ACH18" s="134">
        <f t="shared" si="477"/>
        <v>0.36742075431766652</v>
      </c>
      <c r="ACI18" s="133">
        <f t="shared" si="478"/>
        <v>0.44492347533973353</v>
      </c>
      <c r="ACJ18" s="133">
        <f t="shared" si="283"/>
        <v>0.52601589578627883</v>
      </c>
      <c r="ACK18" s="133">
        <f t="shared" si="284"/>
        <v>0.58046835777545591</v>
      </c>
      <c r="ACL18" s="133">
        <f t="shared" si="285"/>
        <v>0.63155088479363597</v>
      </c>
      <c r="ACM18" s="133">
        <f t="shared" si="286"/>
        <v>0.69575746660125448</v>
      </c>
      <c r="ACN18" s="81"/>
      <c r="ACO18" s="81">
        <v>19</v>
      </c>
      <c r="ACP18" s="133">
        <f t="shared" si="287"/>
        <v>0.16469062550796318</v>
      </c>
      <c r="ACQ18" s="133">
        <f t="shared" si="288"/>
        <v>0.1912404530447934</v>
      </c>
      <c r="ACR18" s="133">
        <f t="shared" si="289"/>
        <v>0.21571527541702906</v>
      </c>
      <c r="ACS18" s="133">
        <f t="shared" si="479"/>
        <v>0.24582413284553409</v>
      </c>
      <c r="ACT18" s="133">
        <f t="shared" si="480"/>
        <v>0.30062775489447108</v>
      </c>
      <c r="ACU18" s="134">
        <f t="shared" si="481"/>
        <v>0.36832349165526712</v>
      </c>
      <c r="ACV18" s="133">
        <f t="shared" si="482"/>
        <v>0.44312959731388413</v>
      </c>
      <c r="ACW18" s="133">
        <f t="shared" si="290"/>
        <v>0.51645031500591354</v>
      </c>
      <c r="ACX18" s="133">
        <f t="shared" si="291"/>
        <v>0.56314424318165579</v>
      </c>
      <c r="ACY18" s="133">
        <f t="shared" si="292"/>
        <v>0.60533495586593666</v>
      </c>
      <c r="ACZ18" s="133">
        <f t="shared" si="293"/>
        <v>0.65637067659335779</v>
      </c>
      <c r="ADA18" s="81"/>
      <c r="ADB18" s="81">
        <v>16</v>
      </c>
      <c r="ADC18" s="133">
        <f t="shared" si="294"/>
        <v>0.14410461420596127</v>
      </c>
      <c r="ADD18" s="133">
        <f t="shared" si="295"/>
        <v>0.16210168495752217</v>
      </c>
      <c r="ADE18" s="133">
        <f t="shared" si="296"/>
        <v>0.17795053384363291</v>
      </c>
      <c r="ADF18" s="133">
        <f t="shared" si="483"/>
        <v>0.19662489023756541</v>
      </c>
      <c r="ADG18" s="133">
        <f t="shared" si="484"/>
        <v>0.22867533267312698</v>
      </c>
      <c r="ADH18" s="134">
        <f t="shared" si="485"/>
        <v>0.26562778777782609</v>
      </c>
      <c r="ADI18" s="133">
        <f t="shared" si="486"/>
        <v>0.30377708788517044</v>
      </c>
      <c r="ADJ18" s="133">
        <f t="shared" si="297"/>
        <v>0.33895236797352385</v>
      </c>
      <c r="ADK18" s="133">
        <f t="shared" si="298"/>
        <v>0.36044516853488945</v>
      </c>
      <c r="ADL18" s="133">
        <f t="shared" si="299"/>
        <v>0.37932408200895779</v>
      </c>
      <c r="ADM18" s="133">
        <f t="shared" si="300"/>
        <v>0.40154343413950289</v>
      </c>
      <c r="ADN18" s="81"/>
      <c r="ADO18" s="81">
        <v>16</v>
      </c>
      <c r="ADP18" s="133">
        <f t="shared" si="301"/>
        <v>0.15204926428392021</v>
      </c>
      <c r="ADQ18" s="133">
        <f t="shared" si="302"/>
        <v>0.16876260647247507</v>
      </c>
      <c r="ADR18" s="133">
        <f t="shared" si="303"/>
        <v>0.1836779410955478</v>
      </c>
      <c r="ADS18" s="133">
        <f t="shared" si="487"/>
        <v>0.20148281644156804</v>
      </c>
      <c r="ADT18" s="133">
        <f t="shared" si="488"/>
        <v>0.23260137479631782</v>
      </c>
      <c r="ADU18" s="134">
        <f t="shared" si="489"/>
        <v>0.26931654638188501</v>
      </c>
      <c r="ADV18" s="133">
        <f t="shared" si="490"/>
        <v>0.30810807593537409</v>
      </c>
      <c r="ADW18" s="133">
        <f t="shared" si="304"/>
        <v>0.34462948939166876</v>
      </c>
      <c r="ADX18" s="133">
        <f t="shared" si="305"/>
        <v>0.36728444911416019</v>
      </c>
      <c r="ADY18" s="133">
        <f t="shared" si="306"/>
        <v>0.3873892463743463</v>
      </c>
      <c r="ADZ18" s="133">
        <f t="shared" si="307"/>
        <v>0.41129019168785175</v>
      </c>
      <c r="AEA18" s="81"/>
      <c r="AEB18" s="81">
        <v>19</v>
      </c>
      <c r="AEC18" s="133">
        <f t="shared" si="308"/>
        <v>0.13841567132641516</v>
      </c>
      <c r="AED18" s="133">
        <f t="shared" si="309"/>
        <v>0.15930185378000791</v>
      </c>
      <c r="AEE18" s="133">
        <f t="shared" si="310"/>
        <v>0.1771771300656983</v>
      </c>
      <c r="AEF18" s="133">
        <f t="shared" si="491"/>
        <v>0.19769733691271429</v>
      </c>
      <c r="AEG18" s="133">
        <f t="shared" si="492"/>
        <v>0.23174382251027134</v>
      </c>
      <c r="AEH18" s="134">
        <f t="shared" si="493"/>
        <v>0.26945774159651492</v>
      </c>
      <c r="AEI18" s="133">
        <f t="shared" si="494"/>
        <v>0.30696097005074968</v>
      </c>
      <c r="AEJ18" s="133">
        <f t="shared" si="311"/>
        <v>0.34045220144762067</v>
      </c>
      <c r="AEK18" s="133">
        <f t="shared" si="312"/>
        <v>0.36046484382291477</v>
      </c>
      <c r="AEL18" s="133">
        <f t="shared" si="313"/>
        <v>0.37778678597626408</v>
      </c>
      <c r="AEM18" s="133">
        <f t="shared" si="314"/>
        <v>0.39788753469410526</v>
      </c>
      <c r="AEN18" s="81"/>
    </row>
    <row r="19" spans="1:820">
      <c r="A19" s="81"/>
      <c r="B19" s="81">
        <v>18</v>
      </c>
      <c r="C19" s="133">
        <f t="shared" si="0"/>
        <v>1.6345243240605574</v>
      </c>
      <c r="D19" s="133">
        <f t="shared" si="1"/>
        <v>1.9213972662638759</v>
      </c>
      <c r="E19" s="133">
        <f t="shared" si="2"/>
        <v>2.2168322790798998</v>
      </c>
      <c r="F19" s="133">
        <f t="shared" si="315"/>
        <v>2.6268657091675096</v>
      </c>
      <c r="G19" s="133">
        <f t="shared" si="316"/>
        <v>3.52985174620123</v>
      </c>
      <c r="H19" s="134">
        <f t="shared" si="317"/>
        <v>5.0062688880854944</v>
      </c>
      <c r="I19" s="133">
        <f t="shared" si="318"/>
        <v>7.2728373512563875</v>
      </c>
      <c r="J19" s="133">
        <f t="shared" si="3"/>
        <v>10.407738094732563</v>
      </c>
      <c r="K19" s="133">
        <f t="shared" si="4"/>
        <v>13.056741312395923</v>
      </c>
      <c r="L19" s="133">
        <f t="shared" si="5"/>
        <v>16.021731545221598</v>
      </c>
      <c r="M19" s="133">
        <f t="shared" si="6"/>
        <v>20.532281229449062</v>
      </c>
      <c r="N19" s="81"/>
      <c r="O19" s="75">
        <v>18</v>
      </c>
      <c r="P19" s="151">
        <f t="shared" si="7"/>
        <v>2.2967869953396369</v>
      </c>
      <c r="Q19" s="151">
        <f t="shared" si="8"/>
        <v>2.5649667191017453</v>
      </c>
      <c r="R19" s="151">
        <f t="shared" si="9"/>
        <v>2.8321102456415947</v>
      </c>
      <c r="S19" s="151">
        <f t="shared" si="319"/>
        <v>3.1911706587084128</v>
      </c>
      <c r="T19" s="151">
        <f t="shared" si="320"/>
        <v>3.948172178194596</v>
      </c>
      <c r="U19" s="134">
        <f t="shared" si="321"/>
        <v>5.1255616350292996</v>
      </c>
      <c r="V19" s="151">
        <f t="shared" si="322"/>
        <v>6.8615916291342094</v>
      </c>
      <c r="W19" s="151">
        <f t="shared" si="10"/>
        <v>9.2115656809028348</v>
      </c>
      <c r="X19" s="151">
        <f t="shared" si="11"/>
        <v>11.193975530424495</v>
      </c>
      <c r="Y19" s="151">
        <f t="shared" si="12"/>
        <v>13.434115686844862</v>
      </c>
      <c r="Z19" s="151">
        <f t="shared" si="13"/>
        <v>16.916224364442041</v>
      </c>
      <c r="AA19" s="81"/>
      <c r="AB19" s="75">
        <v>20</v>
      </c>
      <c r="AC19" s="151">
        <f t="shared" si="14"/>
        <v>1.3185655215480123</v>
      </c>
      <c r="AD19" s="151">
        <f t="shared" si="15"/>
        <v>1.583432386904231</v>
      </c>
      <c r="AE19" s="151">
        <f t="shared" si="16"/>
        <v>1.8650599342049758</v>
      </c>
      <c r="AF19" s="151">
        <f t="shared" si="323"/>
        <v>2.2701091036483838</v>
      </c>
      <c r="AG19" s="151">
        <f t="shared" si="324"/>
        <v>3.2166957486071923</v>
      </c>
      <c r="AH19" s="134">
        <f t="shared" si="325"/>
        <v>4.9136816056591845</v>
      </c>
      <c r="AI19" s="151">
        <f t="shared" si="326"/>
        <v>7.8489170293350243</v>
      </c>
      <c r="AJ19" s="151">
        <f t="shared" si="17"/>
        <v>12.518344428106872</v>
      </c>
      <c r="AK19" s="151">
        <f t="shared" si="18"/>
        <v>16.988025659441249</v>
      </c>
      <c r="AL19" s="151">
        <f t="shared" si="19"/>
        <v>22.543532130490242</v>
      </c>
      <c r="AM19" s="151">
        <f t="shared" si="20"/>
        <v>32.098405838917451</v>
      </c>
      <c r="AN19" s="81"/>
      <c r="AO19" s="81">
        <v>18</v>
      </c>
      <c r="AP19" s="133">
        <f t="shared" si="21"/>
        <v>1.4672815214439483</v>
      </c>
      <c r="AQ19" s="133">
        <f t="shared" si="22"/>
        <v>3.0519235727080654</v>
      </c>
      <c r="AR19" s="133">
        <f t="shared" si="23"/>
        <v>4.5293133713881639</v>
      </c>
      <c r="AS19" s="133">
        <f t="shared" si="327"/>
        <v>6.3650797141307622</v>
      </c>
      <c r="AT19" s="133">
        <f t="shared" si="328"/>
        <v>9.7458444239286344</v>
      </c>
      <c r="AU19" s="134">
        <f t="shared" si="329"/>
        <v>13.987922178441497</v>
      </c>
      <c r="AV19" s="133">
        <f t="shared" si="330"/>
        <v>18.735060115562433</v>
      </c>
      <c r="AW19" s="133">
        <f t="shared" si="24"/>
        <v>23.428256324501799</v>
      </c>
      <c r="AX19" s="133">
        <f t="shared" si="25"/>
        <v>26.439973948493776</v>
      </c>
      <c r="AY19" s="133">
        <f t="shared" si="26"/>
        <v>29.173267603180779</v>
      </c>
      <c r="AZ19" s="133">
        <f t="shared" si="27"/>
        <v>32.493353958872589</v>
      </c>
      <c r="BA19" s="81"/>
      <c r="BB19" s="81">
        <v>18</v>
      </c>
      <c r="BC19" s="133">
        <f t="shared" si="28"/>
        <v>4.3409349772680423</v>
      </c>
      <c r="BD19" s="133">
        <f t="shared" si="29"/>
        <v>5.9769422573203004</v>
      </c>
      <c r="BE19" s="133">
        <f t="shared" si="30"/>
        <v>7.4560413518164195</v>
      </c>
      <c r="BF19" s="133">
        <f t="shared" si="331"/>
        <v>9.2423360581084282</v>
      </c>
      <c r="BG19" s="133">
        <f t="shared" si="332"/>
        <v>12.410733216641635</v>
      </c>
      <c r="BH19" s="134">
        <f t="shared" si="333"/>
        <v>16.212440202736037</v>
      </c>
      <c r="BI19" s="133">
        <f t="shared" si="334"/>
        <v>20.290604211168727</v>
      </c>
      <c r="BJ19" s="133">
        <f t="shared" si="31"/>
        <v>24.178436722502717</v>
      </c>
      <c r="BK19" s="133">
        <f t="shared" si="32"/>
        <v>26.610653012996504</v>
      </c>
      <c r="BL19" s="133">
        <f t="shared" si="33"/>
        <v>28.780974102774454</v>
      </c>
      <c r="BM19" s="133">
        <f t="shared" si="34"/>
        <v>31.374538502328168</v>
      </c>
      <c r="BN19" s="81"/>
      <c r="BO19" s="75">
        <v>20</v>
      </c>
      <c r="BP19" s="151">
        <f t="shared" si="35"/>
        <v>2.7710487501720209</v>
      </c>
      <c r="BQ19" s="151">
        <f t="shared" si="36"/>
        <v>3.5189817190093997</v>
      </c>
      <c r="BR19" s="151">
        <f t="shared" si="37"/>
        <v>4.2936125953382973</v>
      </c>
      <c r="BS19" s="151">
        <f t="shared" si="335"/>
        <v>5.3627138818709694</v>
      </c>
      <c r="BT19" s="151">
        <f t="shared" si="336"/>
        <v>7.6509401521222093</v>
      </c>
      <c r="BU19" s="134">
        <f t="shared" si="337"/>
        <v>11.13460547856125</v>
      </c>
      <c r="BV19" s="151">
        <f t="shared" si="338"/>
        <v>15.887633120803354</v>
      </c>
      <c r="BW19" s="151">
        <f t="shared" si="38"/>
        <v>21.526848451923424</v>
      </c>
      <c r="BX19" s="151">
        <f t="shared" si="39"/>
        <v>25.663088124707219</v>
      </c>
      <c r="BY19" s="151">
        <f t="shared" si="40"/>
        <v>29.781169937272345</v>
      </c>
      <c r="BZ19" s="151">
        <f t="shared" si="41"/>
        <v>35.265023524967219</v>
      </c>
      <c r="CA19" s="81"/>
      <c r="CB19" s="81">
        <v>18</v>
      </c>
      <c r="CC19" s="133">
        <f t="shared" si="42"/>
        <v>-5.463609545174223</v>
      </c>
      <c r="CD19" s="133">
        <f t="shared" si="43"/>
        <v>-3.583300312981117</v>
      </c>
      <c r="CE19" s="133">
        <f t="shared" si="44"/>
        <v>-1.6623940460502622</v>
      </c>
      <c r="CF19" s="133">
        <f t="shared" si="339"/>
        <v>0.83375428303595545</v>
      </c>
      <c r="CG19" s="133">
        <f t="shared" si="340"/>
        <v>5.5569980063206428</v>
      </c>
      <c r="CH19" s="134">
        <f t="shared" si="341"/>
        <v>11.514410073781644</v>
      </c>
      <c r="CI19" s="133">
        <f t="shared" si="342"/>
        <v>18.095311235789637</v>
      </c>
      <c r="CJ19" s="133">
        <f t="shared" si="45"/>
        <v>24.467881909876919</v>
      </c>
      <c r="CK19" s="133">
        <f t="shared" si="46"/>
        <v>28.482341657618303</v>
      </c>
      <c r="CL19" s="133">
        <f t="shared" si="47"/>
        <v>32.075341972306092</v>
      </c>
      <c r="CM19" s="133">
        <f t="shared" si="48"/>
        <v>36.377042850705926</v>
      </c>
      <c r="CN19" s="81"/>
      <c r="CO19" s="81">
        <v>18</v>
      </c>
      <c r="CP19" s="133">
        <f t="shared" si="49"/>
        <v>-0.21564591143875678</v>
      </c>
      <c r="CQ19" s="133">
        <f t="shared" si="50"/>
        <v>1.9092419019104945</v>
      </c>
      <c r="CR19" s="133">
        <f t="shared" si="51"/>
        <v>3.889392382724929</v>
      </c>
      <c r="CS19" s="133">
        <f t="shared" si="343"/>
        <v>6.3311876785325092</v>
      </c>
      <c r="CT19" s="133">
        <f t="shared" si="344"/>
        <v>10.747150582537433</v>
      </c>
      <c r="CU19" s="134">
        <f t="shared" si="345"/>
        <v>16.122970789415959</v>
      </c>
      <c r="CV19" s="133">
        <f t="shared" si="346"/>
        <v>21.928985004516242</v>
      </c>
      <c r="CW19" s="133">
        <f t="shared" si="52"/>
        <v>27.472798706815087</v>
      </c>
      <c r="CX19" s="133">
        <f t="shared" si="53"/>
        <v>30.938143373538235</v>
      </c>
      <c r="CY19" s="133">
        <f t="shared" si="54"/>
        <v>34.026122836151252</v>
      </c>
      <c r="CZ19" s="133">
        <f t="shared" si="55"/>
        <v>37.709406724905996</v>
      </c>
      <c r="DA19" s="81"/>
      <c r="DB19" s="81">
        <v>20</v>
      </c>
      <c r="DC19" s="133">
        <f t="shared" si="56"/>
        <v>-6.2199915283453642</v>
      </c>
      <c r="DD19" s="133">
        <f t="shared" si="57"/>
        <v>-5.0900837588421535</v>
      </c>
      <c r="DE19" s="133">
        <f t="shared" si="58"/>
        <v>-3.8290094857842201</v>
      </c>
      <c r="DF19" s="133">
        <f t="shared" si="347"/>
        <v>-2.0819758535315822</v>
      </c>
      <c r="DG19" s="133">
        <f t="shared" si="348"/>
        <v>1.459679718415436</v>
      </c>
      <c r="DH19" s="134">
        <f t="shared" si="349"/>
        <v>6.2411048705903953</v>
      </c>
      <c r="DI19" s="133">
        <f t="shared" si="350"/>
        <v>11.822631536144442</v>
      </c>
      <c r="DJ19" s="133">
        <f t="shared" si="59"/>
        <v>17.462342005224077</v>
      </c>
      <c r="DK19" s="133">
        <f t="shared" si="60"/>
        <v>21.114972666961858</v>
      </c>
      <c r="DL19" s="133">
        <f t="shared" si="61"/>
        <v>24.442244203173786</v>
      </c>
      <c r="DM19" s="133">
        <f t="shared" si="62"/>
        <v>28.491919875774567</v>
      </c>
      <c r="DN19" s="81"/>
      <c r="DO19" s="81">
        <v>18</v>
      </c>
      <c r="DP19" s="133">
        <v>13.18442348493145</v>
      </c>
      <c r="DQ19" s="133">
        <v>14.576539374975198</v>
      </c>
      <c r="DR19" s="133">
        <v>15.890845569481092</v>
      </c>
      <c r="DS19" s="133">
        <v>17.553898747610564</v>
      </c>
      <c r="DT19" s="133">
        <v>20.724457638212037</v>
      </c>
      <c r="DU19" s="134">
        <v>24.937668967886147</v>
      </c>
      <c r="DV19" s="133">
        <v>30.007411745493755</v>
      </c>
      <c r="DW19" s="133">
        <v>35.4273054945428</v>
      </c>
      <c r="DX19" s="133">
        <v>39.134942872154483</v>
      </c>
      <c r="DY19" s="133">
        <v>42.663578614518023</v>
      </c>
      <c r="DZ19" s="133">
        <v>47.168337262727484</v>
      </c>
      <c r="EA19" s="81"/>
      <c r="EB19" s="81">
        <v>18</v>
      </c>
      <c r="EC19" s="133">
        <v>13.714792981373504</v>
      </c>
      <c r="ED19" s="133">
        <v>14.786506438630784</v>
      </c>
      <c r="EE19" s="133">
        <v>15.774985707130307</v>
      </c>
      <c r="EF19" s="133">
        <v>16.996927557610739</v>
      </c>
      <c r="EG19" s="133">
        <v>19.249602762676901</v>
      </c>
      <c r="EH19" s="134">
        <v>22.113979815888499</v>
      </c>
      <c r="EI19" s="133">
        <v>25.404581555610161</v>
      </c>
      <c r="EJ19" s="133">
        <v>28.771558956168587</v>
      </c>
      <c r="EK19" s="133">
        <v>31.000224810123463</v>
      </c>
      <c r="EL19" s="133">
        <v>33.07259259157415</v>
      </c>
      <c r="EM19" s="133">
        <v>35.656980310361853</v>
      </c>
      <c r="EN19" s="81"/>
      <c r="EO19" s="81">
        <v>20</v>
      </c>
      <c r="EP19" s="133">
        <v>15.889925314648954</v>
      </c>
      <c r="EQ19" s="133">
        <v>17.457063057770551</v>
      </c>
      <c r="ER19" s="133">
        <v>18.927959717116302</v>
      </c>
      <c r="ES19" s="133">
        <v>20.778275757003748</v>
      </c>
      <c r="ET19" s="133">
        <v>24.276170705612294</v>
      </c>
      <c r="EU19" s="134">
        <v>28.873128222949511</v>
      </c>
      <c r="EV19" s="133">
        <v>34.340569749995794</v>
      </c>
      <c r="EW19" s="133">
        <v>40.121593491600578</v>
      </c>
      <c r="EX19" s="133">
        <v>44.043708135379127</v>
      </c>
      <c r="EY19" s="133">
        <v>47.75474148315017</v>
      </c>
      <c r="EZ19" s="133">
        <v>52.464534405981958</v>
      </c>
      <c r="FA19" s="81"/>
      <c r="FB19" s="81">
        <v>18</v>
      </c>
      <c r="FC19" s="133">
        <v>6.7631404795401533</v>
      </c>
      <c r="FD19" s="133">
        <v>7.6061818959480432</v>
      </c>
      <c r="FE19" s="133">
        <v>8.4148270698156011</v>
      </c>
      <c r="FF19" s="133">
        <v>9.4544078046709306</v>
      </c>
      <c r="FG19" s="133">
        <v>11.482222499900489</v>
      </c>
      <c r="FH19" s="134">
        <v>14.258967914192892</v>
      </c>
      <c r="FI19" s="133">
        <v>17.707213562508876</v>
      </c>
      <c r="FJ19" s="133">
        <v>21.505119112540669</v>
      </c>
      <c r="FK19" s="133">
        <v>24.161894747343634</v>
      </c>
      <c r="FL19" s="133">
        <v>26.730647354922439</v>
      </c>
      <c r="FM19" s="133">
        <v>30.062685610783991</v>
      </c>
      <c r="FN19" s="81"/>
      <c r="FO19" s="81">
        <v>18</v>
      </c>
      <c r="FP19" s="133">
        <v>6.5445248596679768</v>
      </c>
      <c r="FQ19" s="133">
        <v>7.2408176581303527</v>
      </c>
      <c r="FR19" s="133">
        <v>7.8986367204873211</v>
      </c>
      <c r="FS19" s="133">
        <v>8.7315684956480144</v>
      </c>
      <c r="FT19" s="133">
        <v>10.321074097807406</v>
      </c>
      <c r="FU19" s="134">
        <v>12.4359956077069</v>
      </c>
      <c r="FV19" s="133">
        <v>14.984291875955021</v>
      </c>
      <c r="FW19" s="133">
        <v>17.712051028631098</v>
      </c>
      <c r="FX19" s="133">
        <v>19.579832853151355</v>
      </c>
      <c r="FY19" s="133">
        <v>21.358635731042355</v>
      </c>
      <c r="FZ19" s="133">
        <v>23.631048864676696</v>
      </c>
      <c r="GA19" s="81"/>
      <c r="GB19" s="81">
        <v>20</v>
      </c>
      <c r="GC19" s="133">
        <v>8.3856227230754463</v>
      </c>
      <c r="GD19" s="133">
        <v>9.3742750033706699</v>
      </c>
      <c r="GE19" s="133">
        <v>10.317306655197793</v>
      </c>
      <c r="GF19" s="133">
        <v>11.522893602804098</v>
      </c>
      <c r="GG19" s="133">
        <v>13.855622954150203</v>
      </c>
      <c r="GH19" s="134">
        <v>17.016303352962698</v>
      </c>
      <c r="GI19" s="133">
        <v>20.89798349437033</v>
      </c>
      <c r="GJ19" s="133">
        <v>25.128634332750106</v>
      </c>
      <c r="GK19" s="133">
        <v>28.064938794290256</v>
      </c>
      <c r="GL19" s="133">
        <v>30.888210522513546</v>
      </c>
      <c r="GM19" s="133">
        <v>34.529883988610322</v>
      </c>
      <c r="GN19" s="81"/>
      <c r="GO19" s="81">
        <v>18</v>
      </c>
      <c r="GP19" s="133">
        <f t="shared" si="63"/>
        <v>0.37158404312378041</v>
      </c>
      <c r="GQ19" s="133">
        <f t="shared" si="64"/>
        <v>0.41333197600742028</v>
      </c>
      <c r="GR19" s="133">
        <f t="shared" si="65"/>
        <v>0.44595275423302833</v>
      </c>
      <c r="GS19" s="133">
        <f t="shared" si="351"/>
        <v>0.48067176921157145</v>
      </c>
      <c r="GT19" s="133">
        <f t="shared" si="352"/>
        <v>0.53477650876203808</v>
      </c>
      <c r="GU19" s="134">
        <f t="shared" si="353"/>
        <v>0.58614451886440677</v>
      </c>
      <c r="GV19" s="133">
        <f t="shared" si="354"/>
        <v>0.63313143708098196</v>
      </c>
      <c r="GW19" s="133">
        <f t="shared" si="66"/>
        <v>0.67451439284836101</v>
      </c>
      <c r="GX19" s="133">
        <f t="shared" si="67"/>
        <v>0.69741872724966425</v>
      </c>
      <c r="GY19" s="133">
        <f t="shared" si="68"/>
        <v>0.7166577998149688</v>
      </c>
      <c r="GZ19" s="133">
        <f t="shared" si="69"/>
        <v>0.73836075724365458</v>
      </c>
      <c r="HA19" s="81"/>
      <c r="HB19" s="81">
        <v>18</v>
      </c>
      <c r="HC19" s="133">
        <f t="shared" si="70"/>
        <v>0.34852905833754599</v>
      </c>
      <c r="HD19" s="133">
        <f t="shared" si="71"/>
        <v>0.39443608748117825</v>
      </c>
      <c r="HE19" s="133">
        <f t="shared" si="72"/>
        <v>0.42987521966994041</v>
      </c>
      <c r="HF19" s="133">
        <f t="shared" si="355"/>
        <v>0.46728945439699016</v>
      </c>
      <c r="HG19" s="133">
        <f t="shared" si="356"/>
        <v>0.5235762037861913</v>
      </c>
      <c r="HH19" s="134">
        <f t="shared" si="357"/>
        <v>0.57968039872496646</v>
      </c>
      <c r="HI19" s="133">
        <f t="shared" si="358"/>
        <v>0.63063314241881663</v>
      </c>
      <c r="HJ19" s="133">
        <f t="shared" si="73"/>
        <v>0.67295097906761903</v>
      </c>
      <c r="HK19" s="133">
        <f t="shared" si="74"/>
        <v>0.69704123432386567</v>
      </c>
      <c r="HL19" s="133">
        <f t="shared" si="75"/>
        <v>0.71725562878276672</v>
      </c>
      <c r="HM19" s="133">
        <f t="shared" si="76"/>
        <v>0.74003847788384669</v>
      </c>
      <c r="HN19" s="81"/>
      <c r="HO19" s="81">
        <v>20</v>
      </c>
      <c r="HP19" s="83">
        <f t="shared" si="77"/>
        <v>0.40390083910873281</v>
      </c>
      <c r="HQ19" s="83">
        <f t="shared" si="78"/>
        <v>0.44085452053520291</v>
      </c>
      <c r="HR19" s="83">
        <f t="shared" si="79"/>
        <v>0.47014840587368173</v>
      </c>
      <c r="HS19" s="83">
        <f t="shared" si="359"/>
        <v>0.50164642757181455</v>
      </c>
      <c r="HT19" s="83">
        <f t="shared" si="360"/>
        <v>0.54989948447250248</v>
      </c>
      <c r="HU19" s="84">
        <f t="shared" si="361"/>
        <v>0.59878711164653897</v>
      </c>
      <c r="HV19" s="83">
        <f t="shared" si="362"/>
        <v>0.64370134999117046</v>
      </c>
      <c r="HW19" s="83">
        <f t="shared" si="80"/>
        <v>0.68129509373408492</v>
      </c>
      <c r="HX19" s="83">
        <f t="shared" si="81"/>
        <v>0.7027937738881902</v>
      </c>
      <c r="HY19" s="83">
        <f t="shared" si="82"/>
        <v>0.72088133556466027</v>
      </c>
      <c r="HZ19" s="83">
        <f t="shared" si="83"/>
        <v>0.74131432733864588</v>
      </c>
      <c r="IA19" s="81"/>
      <c r="IB19" s="81">
        <v>18</v>
      </c>
      <c r="IC19" s="83">
        <f t="shared" si="84"/>
        <v>0.27165578860821044</v>
      </c>
      <c r="ID19" s="83">
        <f t="shared" si="85"/>
        <v>0.29337092504793494</v>
      </c>
      <c r="IE19" s="83">
        <f t="shared" si="86"/>
        <v>0.30917107767367863</v>
      </c>
      <c r="IF19" s="83">
        <f t="shared" si="363"/>
        <v>0.32510437566362699</v>
      </c>
      <c r="IG19" s="83">
        <f t="shared" si="364"/>
        <v>0.3478691032155895</v>
      </c>
      <c r="IH19" s="84">
        <f t="shared" si="365"/>
        <v>0.36936026612392392</v>
      </c>
      <c r="II19" s="83">
        <f t="shared" si="366"/>
        <v>0.38800793997815441</v>
      </c>
      <c r="IJ19" s="83">
        <f t="shared" si="87"/>
        <v>0.40294952951288221</v>
      </c>
      <c r="IK19" s="83">
        <f t="shared" si="88"/>
        <v>0.4112556061236417</v>
      </c>
      <c r="IL19" s="83">
        <f t="shared" si="89"/>
        <v>0.4181211369212684</v>
      </c>
      <c r="IM19" s="83">
        <f t="shared" si="90"/>
        <v>0.42575079326434345</v>
      </c>
      <c r="IN19" s="81"/>
      <c r="IO19" s="81">
        <v>18</v>
      </c>
      <c r="IP19" s="133">
        <f t="shared" si="91"/>
        <v>0.25869334832520413</v>
      </c>
      <c r="IQ19" s="133">
        <f t="shared" si="92"/>
        <v>0.28371142800108567</v>
      </c>
      <c r="IR19" s="133">
        <f t="shared" si="93"/>
        <v>0.30143208491821311</v>
      </c>
      <c r="IS19" s="133">
        <f t="shared" si="367"/>
        <v>0.31900900565007878</v>
      </c>
      <c r="IT19" s="133">
        <f t="shared" si="368"/>
        <v>0.34374749398991328</v>
      </c>
      <c r="IU19" s="134">
        <f t="shared" si="369"/>
        <v>0.36680760401132839</v>
      </c>
      <c r="IV19" s="133">
        <f t="shared" si="370"/>
        <v>0.38664732046762373</v>
      </c>
      <c r="IW19" s="133">
        <f t="shared" si="94"/>
        <v>0.4024564429257505</v>
      </c>
      <c r="IX19" s="133">
        <f t="shared" si="95"/>
        <v>0.41121690390410587</v>
      </c>
      <c r="IY19" s="133">
        <f t="shared" si="96"/>
        <v>0.41844483568281632</v>
      </c>
      <c r="IZ19" s="133">
        <f t="shared" si="97"/>
        <v>0.42646453198491113</v>
      </c>
      <c r="JA19" s="81"/>
      <c r="JB19" s="81">
        <v>20</v>
      </c>
      <c r="JC19" s="133">
        <f t="shared" si="98"/>
        <v>0.28876768171494255</v>
      </c>
      <c r="JD19" s="133">
        <f t="shared" si="99"/>
        <v>0.30686885416023918</v>
      </c>
      <c r="JE19" s="133">
        <f t="shared" si="100"/>
        <v>0.32044397984571887</v>
      </c>
      <c r="JF19" s="133">
        <f t="shared" si="371"/>
        <v>0.33441095105958435</v>
      </c>
      <c r="JG19" s="133">
        <f t="shared" si="372"/>
        <v>0.35475506957673514</v>
      </c>
      <c r="JH19" s="134">
        <f t="shared" si="373"/>
        <v>0.37429210335503171</v>
      </c>
      <c r="JI19" s="133">
        <f t="shared" si="374"/>
        <v>0.39144801207604074</v>
      </c>
      <c r="JJ19" s="133">
        <f t="shared" si="101"/>
        <v>0.40530501234110594</v>
      </c>
      <c r="JK19" s="133">
        <f t="shared" si="102"/>
        <v>0.41304453984594347</v>
      </c>
      <c r="JL19" s="133">
        <f t="shared" si="103"/>
        <v>0.41945933385204087</v>
      </c>
      <c r="JM19" s="133">
        <f t="shared" si="104"/>
        <v>0.42660524367388208</v>
      </c>
      <c r="JN19" s="81"/>
      <c r="JO19" s="81">
        <v>17</v>
      </c>
      <c r="JP19" s="133">
        <f t="shared" si="105"/>
        <v>-8.4146265487089611</v>
      </c>
      <c r="JQ19" s="133">
        <f t="shared" si="106"/>
        <v>-7.1223779156625397</v>
      </c>
      <c r="JR19" s="133">
        <f t="shared" si="107"/>
        <v>-5.9936865532472066</v>
      </c>
      <c r="JS19" s="133">
        <f t="shared" si="375"/>
        <v>-4.6736171702467573</v>
      </c>
      <c r="JT19" s="133">
        <f t="shared" si="376"/>
        <v>-2.429540520905924</v>
      </c>
      <c r="JU19" s="134">
        <f t="shared" si="377"/>
        <v>0.12909398515090942</v>
      </c>
      <c r="JV19" s="133">
        <f t="shared" si="378"/>
        <v>2.7435522541154675</v>
      </c>
      <c r="JW19" s="133">
        <f t="shared" si="108"/>
        <v>5.133365451137486</v>
      </c>
      <c r="JX19" s="133">
        <f t="shared" si="109"/>
        <v>6.5848626353123549</v>
      </c>
      <c r="JY19" s="133">
        <f t="shared" si="110"/>
        <v>7.8548262770989652</v>
      </c>
      <c r="JZ19" s="133">
        <f t="shared" si="111"/>
        <v>9.3438843835813543</v>
      </c>
      <c r="KA19" s="81"/>
      <c r="KB19" s="81">
        <v>17</v>
      </c>
      <c r="KC19" s="133">
        <f t="shared" si="112"/>
        <v>-6.5666347268823042</v>
      </c>
      <c r="KD19" s="133">
        <f t="shared" si="113"/>
        <v>-5.5670935739513148</v>
      </c>
      <c r="KE19" s="133">
        <f t="shared" si="114"/>
        <v>-4.6656677348605609</v>
      </c>
      <c r="KF19" s="133">
        <f t="shared" si="379"/>
        <v>-3.5809140355020617</v>
      </c>
      <c r="KG19" s="133">
        <f t="shared" si="380"/>
        <v>-1.6690933479145702</v>
      </c>
      <c r="KH19" s="134">
        <f t="shared" si="381"/>
        <v>0.60283374236133902</v>
      </c>
      <c r="KI19" s="133">
        <f t="shared" si="382"/>
        <v>3.0133972836438829</v>
      </c>
      <c r="KJ19" s="133">
        <f t="shared" si="115"/>
        <v>5.2870325648105467</v>
      </c>
      <c r="KK19" s="133">
        <f t="shared" si="116"/>
        <v>6.6979449203539954</v>
      </c>
      <c r="KL19" s="133">
        <f t="shared" si="117"/>
        <v>7.9498395970482019</v>
      </c>
      <c r="KM19" s="133">
        <f t="shared" si="118"/>
        <v>9.4374608677519358</v>
      </c>
      <c r="KN19" s="81"/>
      <c r="KO19" s="81">
        <v>19</v>
      </c>
      <c r="KP19" s="133">
        <f t="shared" si="119"/>
        <v>-10.394839045530293</v>
      </c>
      <c r="KQ19" s="133">
        <f t="shared" si="120"/>
        <v>-8.7933689705158127</v>
      </c>
      <c r="KR19" s="133">
        <f t="shared" si="121"/>
        <v>-7.4261181513594305</v>
      </c>
      <c r="KS19" s="133">
        <f t="shared" si="383"/>
        <v>-5.859920484016083</v>
      </c>
      <c r="KT19" s="133">
        <f t="shared" si="384"/>
        <v>-3.2682586824421094</v>
      </c>
      <c r="KU19" s="134">
        <f t="shared" si="385"/>
        <v>-0.40611474162189865</v>
      </c>
      <c r="KV19" s="133">
        <f t="shared" si="386"/>
        <v>2.4322783266167285</v>
      </c>
      <c r="KW19" s="133">
        <f t="shared" si="122"/>
        <v>4.9613046096083089</v>
      </c>
      <c r="KX19" s="133">
        <f t="shared" si="123"/>
        <v>6.4701900272950965</v>
      </c>
      <c r="KY19" s="133">
        <f t="shared" si="124"/>
        <v>7.7748952851740434</v>
      </c>
      <c r="KZ19" s="133">
        <f t="shared" si="125"/>
        <v>9.287459011872663</v>
      </c>
      <c r="LA19" s="81"/>
      <c r="LB19" s="81">
        <v>17</v>
      </c>
      <c r="LC19" s="133">
        <f t="shared" si="126"/>
        <v>-22.682849138317344</v>
      </c>
      <c r="LD19" s="133">
        <f t="shared" si="127"/>
        <v>-19.255439773362923</v>
      </c>
      <c r="LE19" s="133">
        <f t="shared" si="128"/>
        <v>-16.186298054595451</v>
      </c>
      <c r="LF19" s="133">
        <f t="shared" si="387"/>
        <v>-12.523031161871884</v>
      </c>
      <c r="LG19" s="133">
        <f t="shared" si="388"/>
        <v>-6.1470107809158776</v>
      </c>
      <c r="LH19" s="134">
        <f t="shared" si="389"/>
        <v>1.3041696029803589</v>
      </c>
      <c r="LI19" s="133">
        <f t="shared" si="390"/>
        <v>9.0751319877071879</v>
      </c>
      <c r="LJ19" s="133">
        <f t="shared" si="129"/>
        <v>16.291211321923512</v>
      </c>
      <c r="LK19" s="133">
        <f t="shared" si="130"/>
        <v>20.718978890334284</v>
      </c>
      <c r="LL19" s="133">
        <f t="shared" si="131"/>
        <v>24.617879553961018</v>
      </c>
      <c r="LM19" s="133">
        <f t="shared" si="132"/>
        <v>29.216601025627035</v>
      </c>
      <c r="LN19" s="81"/>
      <c r="LO19" s="81">
        <v>17</v>
      </c>
      <c r="LP19" s="133">
        <f t="shared" si="133"/>
        <v>-19.859291544192086</v>
      </c>
      <c r="LQ19" s="133">
        <f t="shared" si="134"/>
        <v>-16.665631056938054</v>
      </c>
      <c r="LR19" s="133">
        <f t="shared" si="135"/>
        <v>-13.779950586530241</v>
      </c>
      <c r="LS19" s="133">
        <f t="shared" si="391"/>
        <v>-10.310169968713605</v>
      </c>
      <c r="LT19" s="133">
        <f t="shared" si="392"/>
        <v>-4.218370026672229</v>
      </c>
      <c r="LU19" s="134">
        <f t="shared" si="393"/>
        <v>2.9668100018821626</v>
      </c>
      <c r="LV19" s="133">
        <f t="shared" si="394"/>
        <v>10.519843836664538</v>
      </c>
      <c r="LW19" s="133">
        <f t="shared" si="136"/>
        <v>17.577850478488973</v>
      </c>
      <c r="LX19" s="133">
        <f t="shared" si="137"/>
        <v>21.926790352843692</v>
      </c>
      <c r="LY19" s="133">
        <f t="shared" si="138"/>
        <v>25.766568439824621</v>
      </c>
      <c r="LZ19" s="133">
        <f t="shared" si="139"/>
        <v>30.306996622263309</v>
      </c>
      <c r="MA19" s="81"/>
      <c r="MB19" s="81">
        <v>19</v>
      </c>
      <c r="MC19" s="133">
        <f t="shared" si="140"/>
        <v>-24.815708836701894</v>
      </c>
      <c r="MD19" s="133">
        <f t="shared" si="141"/>
        <v>-21.225724766576032</v>
      </c>
      <c r="ME19" s="133">
        <f t="shared" si="142"/>
        <v>-18.048187536687145</v>
      </c>
      <c r="MF19" s="133">
        <f t="shared" si="395"/>
        <v>-14.297086122240604</v>
      </c>
      <c r="MG19" s="133">
        <f t="shared" si="396"/>
        <v>-7.8622866303597299</v>
      </c>
      <c r="MH19" s="134">
        <f t="shared" si="397"/>
        <v>-0.47029863047956866</v>
      </c>
      <c r="MI19" s="133">
        <f t="shared" si="398"/>
        <v>7.1170470995097048</v>
      </c>
      <c r="MJ19" s="133">
        <f t="shared" si="143"/>
        <v>14.068457095864943</v>
      </c>
      <c r="MK19" s="133">
        <f t="shared" si="144"/>
        <v>18.294377449308691</v>
      </c>
      <c r="ML19" s="133">
        <f t="shared" si="145"/>
        <v>21.992920765176727</v>
      </c>
      <c r="MM19" s="133">
        <f t="shared" si="146"/>
        <v>26.329976329002378</v>
      </c>
      <c r="MN19" s="81"/>
      <c r="MO19" s="81">
        <v>17</v>
      </c>
      <c r="MP19" s="133">
        <f t="shared" si="147"/>
        <v>-27.138736710549928</v>
      </c>
      <c r="MQ19" s="133">
        <f t="shared" si="148"/>
        <v>-22.84325743214416</v>
      </c>
      <c r="MR19" s="133">
        <f t="shared" si="149"/>
        <v>-19.11429712469813</v>
      </c>
      <c r="MS19" s="133">
        <f t="shared" si="399"/>
        <v>-14.784019843743032</v>
      </c>
      <c r="MT19" s="133">
        <f t="shared" si="400"/>
        <v>-7.5016576218528854</v>
      </c>
      <c r="MU19" s="134">
        <f t="shared" si="401"/>
        <v>0.68367271240045824</v>
      </c>
      <c r="MV19" s="133">
        <f t="shared" si="402"/>
        <v>8.9267373564925663</v>
      </c>
      <c r="MW19" s="133">
        <f t="shared" si="150"/>
        <v>16.363290880043607</v>
      </c>
      <c r="MX19" s="133">
        <f t="shared" si="151"/>
        <v>20.837472468107968</v>
      </c>
      <c r="MY19" s="133">
        <f t="shared" si="152"/>
        <v>24.727181973040572</v>
      </c>
      <c r="MZ19" s="133">
        <f t="shared" si="153"/>
        <v>29.259673494416383</v>
      </c>
      <c r="NA19" s="81"/>
      <c r="NB19" s="81">
        <v>17</v>
      </c>
      <c r="NC19" s="133">
        <f t="shared" si="154"/>
        <v>-24.195458692646046</v>
      </c>
      <c r="ND19" s="133">
        <f t="shared" si="155"/>
        <v>-20.046187092571074</v>
      </c>
      <c r="NE19" s="133">
        <f t="shared" si="156"/>
        <v>-16.394155687507883</v>
      </c>
      <c r="NF19" s="133">
        <f t="shared" si="403"/>
        <v>-12.119739777465931</v>
      </c>
      <c r="NG19" s="133">
        <f t="shared" si="404"/>
        <v>-4.8792153116575285</v>
      </c>
      <c r="NH19" s="134">
        <f t="shared" si="405"/>
        <v>3.3110013021151907</v>
      </c>
      <c r="NI19" s="133">
        <f t="shared" si="406"/>
        <v>11.597645267026049</v>
      </c>
      <c r="NJ19" s="133">
        <f t="shared" si="157"/>
        <v>19.098746891025048</v>
      </c>
      <c r="NK19" s="133">
        <f t="shared" si="158"/>
        <v>23.621289303174958</v>
      </c>
      <c r="NL19" s="133">
        <f t="shared" si="159"/>
        <v>27.558154842069587</v>
      </c>
      <c r="NM19" s="133">
        <f t="shared" si="160"/>
        <v>32.151059180048875</v>
      </c>
      <c r="NN19" s="81"/>
      <c r="NO19" s="81">
        <v>19</v>
      </c>
      <c r="NP19" s="133">
        <f t="shared" si="161"/>
        <v>-28.380802450782276</v>
      </c>
      <c r="NQ19" s="133">
        <f t="shared" si="162"/>
        <v>-24.353953815350877</v>
      </c>
      <c r="NR19" s="133">
        <f t="shared" si="163"/>
        <v>-20.88535195049926</v>
      </c>
      <c r="NS19" s="133">
        <f t="shared" si="407"/>
        <v>-16.881643857771003</v>
      </c>
      <c r="NT19" s="133">
        <f t="shared" si="408"/>
        <v>-10.19415662754384</v>
      </c>
      <c r="NU19" s="134">
        <f t="shared" si="409"/>
        <v>-2.7304814358031635</v>
      </c>
      <c r="NV19" s="133">
        <f t="shared" si="410"/>
        <v>4.7413952908932728</v>
      </c>
      <c r="NW19" s="133">
        <f t="shared" si="164"/>
        <v>11.450849594726911</v>
      </c>
      <c r="NX19" s="133">
        <f t="shared" si="165"/>
        <v>15.475152860664871</v>
      </c>
      <c r="NY19" s="133">
        <f t="shared" si="166"/>
        <v>18.966887807464161</v>
      </c>
      <c r="NZ19" s="133">
        <f t="shared" si="167"/>
        <v>23.028156478218285</v>
      </c>
      <c r="OA19" s="81"/>
      <c r="OB19" s="81">
        <v>17</v>
      </c>
      <c r="OC19" s="133">
        <v>16.195734494272067</v>
      </c>
      <c r="OD19" s="133">
        <v>18.010852477628202</v>
      </c>
      <c r="OE19" s="133">
        <v>19.73384309553774</v>
      </c>
      <c r="OF19" s="133">
        <v>21.925889349930294</v>
      </c>
      <c r="OG19" s="133">
        <v>26.137791112471721</v>
      </c>
      <c r="OH19" s="134">
        <v>31.79253546405009</v>
      </c>
      <c r="OI19" s="133">
        <v>38.670647679581222</v>
      </c>
      <c r="OJ19" s="133">
        <v>46.099170487517611</v>
      </c>
      <c r="OK19" s="133">
        <v>51.219891956141062</v>
      </c>
      <c r="OL19" s="133">
        <v>56.119792913099666</v>
      </c>
      <c r="OM19" s="133">
        <v>62.409353005284188</v>
      </c>
      <c r="ON19" s="81"/>
      <c r="OO19" s="81">
        <v>17</v>
      </c>
      <c r="OP19" s="133">
        <v>15.989359137782534</v>
      </c>
      <c r="OQ19" s="133">
        <v>17.675241518888125</v>
      </c>
      <c r="OR19" s="133">
        <v>19.266694108975546</v>
      </c>
      <c r="OS19" s="133">
        <v>21.280179839565157</v>
      </c>
      <c r="OT19" s="133">
        <v>25.266926767352071</v>
      </c>
      <c r="OU19" s="134">
        <v>30.216992405502207</v>
      </c>
      <c r="OV19" s="133">
        <v>36.35089969630539</v>
      </c>
      <c r="OW19" s="133">
        <v>42.906903838122616</v>
      </c>
      <c r="OX19" s="133">
        <v>47.390934058003161</v>
      </c>
      <c r="OY19" s="133">
        <v>51.657943630272683</v>
      </c>
      <c r="OZ19" s="133">
        <v>57.104642041382363</v>
      </c>
      <c r="PA19" s="81"/>
      <c r="PB19" s="81">
        <v>19</v>
      </c>
      <c r="PC19" s="133">
        <v>19.430485941935956</v>
      </c>
      <c r="PD19" s="133">
        <v>21.371943445839708</v>
      </c>
      <c r="PE19" s="133">
        <v>23.196162981717251</v>
      </c>
      <c r="PF19" s="133">
        <v>25.493448408641431</v>
      </c>
      <c r="PG19" s="133">
        <v>29.843144270598835</v>
      </c>
      <c r="PH19" s="134">
        <v>35.571355687403241</v>
      </c>
      <c r="PI19" s="133">
        <v>42.399062711576825</v>
      </c>
      <c r="PJ19" s="133">
        <v>49.633196935839123</v>
      </c>
      <c r="PK19" s="133">
        <v>54.54873491090121</v>
      </c>
      <c r="PL19" s="133">
        <v>59.204786342725598</v>
      </c>
      <c r="PM19" s="133">
        <v>65.120416917050292</v>
      </c>
      <c r="PN19" s="81"/>
      <c r="PO19" s="81">
        <v>17</v>
      </c>
      <c r="PP19" s="133">
        <v>7.5840960772777439</v>
      </c>
      <c r="PQ19" s="133">
        <v>8.2820286033463155</v>
      </c>
      <c r="PR19" s="133">
        <v>8.9334473466017208</v>
      </c>
      <c r="PS19" s="133">
        <v>9.7483332923827017</v>
      </c>
      <c r="PT19" s="133">
        <v>11.276468268224134</v>
      </c>
      <c r="PU19" s="134">
        <v>13.263644471990011</v>
      </c>
      <c r="PV19" s="133">
        <v>15.601007380572044</v>
      </c>
      <c r="PW19" s="133">
        <v>18.04659929065182</v>
      </c>
      <c r="PX19" s="133">
        <v>19.692763370489075</v>
      </c>
      <c r="PY19" s="133">
        <v>21.241687647428527</v>
      </c>
      <c r="PZ19" s="133">
        <v>23.19647099493206</v>
      </c>
      <c r="QA19" s="81"/>
      <c r="QB19" s="81">
        <v>17</v>
      </c>
      <c r="QC19" s="133">
        <v>7.4036874388621738</v>
      </c>
      <c r="QD19" s="133">
        <v>8.0706955412963577</v>
      </c>
      <c r="QE19" s="133">
        <v>8.6922271860769538</v>
      </c>
      <c r="QF19" s="133">
        <v>9.4684485078721075</v>
      </c>
      <c r="QG19" s="133">
        <v>10.920633807624226</v>
      </c>
      <c r="QH19" s="134">
        <v>12.803182878531537</v>
      </c>
      <c r="QI19" s="133">
        <v>15.010254414600142</v>
      </c>
      <c r="QJ19" s="133">
        <v>17.312391959975084</v>
      </c>
      <c r="QK19" s="133">
        <v>18.858399385106896</v>
      </c>
      <c r="QL19" s="133">
        <v>20.3107019689152</v>
      </c>
      <c r="QM19" s="133">
        <v>22.140520271114418</v>
      </c>
      <c r="QN19" s="81"/>
      <c r="QO19" s="81">
        <v>19</v>
      </c>
      <c r="QP19" s="133">
        <v>8.2831375181862672</v>
      </c>
      <c r="QQ19" s="133">
        <v>9.0196563756927031</v>
      </c>
      <c r="QR19" s="133">
        <v>9.7052737896728587</v>
      </c>
      <c r="QS19" s="133">
        <v>10.560675825794382</v>
      </c>
      <c r="QT19" s="133">
        <v>12.158695415330568</v>
      </c>
      <c r="QU19" s="134">
        <v>14.226388458232252</v>
      </c>
      <c r="QV19" s="133">
        <v>16.645710880242603</v>
      </c>
      <c r="QW19" s="133">
        <v>19.164505369077549</v>
      </c>
      <c r="QX19" s="133">
        <v>20.853623808107532</v>
      </c>
      <c r="QY19" s="133">
        <v>22.438784820001583</v>
      </c>
      <c r="QZ19" s="133">
        <v>24.433993534474208</v>
      </c>
      <c r="RA19" s="81"/>
      <c r="RB19" s="81">
        <v>17</v>
      </c>
      <c r="RC19" s="133">
        <f t="shared" si="168"/>
        <v>0.25357456241155391</v>
      </c>
      <c r="RD19" s="133">
        <f t="shared" si="169"/>
        <v>0.27390303708026981</v>
      </c>
      <c r="RE19" s="133">
        <f t="shared" si="170"/>
        <v>0.29290221775976383</v>
      </c>
      <c r="RF19" s="133">
        <f t="shared" si="411"/>
        <v>0.31672367402445251</v>
      </c>
      <c r="RG19" s="133">
        <f t="shared" si="412"/>
        <v>0.36162163887854926</v>
      </c>
      <c r="RH19" s="134">
        <f t="shared" si="413"/>
        <v>0.42057366692175657</v>
      </c>
      <c r="RI19" s="133">
        <f t="shared" si="414"/>
        <v>0.49089830037432408</v>
      </c>
      <c r="RJ19" s="133">
        <f t="shared" si="171"/>
        <v>0.56575585487157842</v>
      </c>
      <c r="RK19" s="133">
        <f t="shared" si="172"/>
        <v>0.61692796960291385</v>
      </c>
      <c r="RL19" s="133">
        <f t="shared" si="173"/>
        <v>0.66567554717569088</v>
      </c>
      <c r="RM19" s="133">
        <f t="shared" si="174"/>
        <v>0.7280442371475494</v>
      </c>
      <c r="RN19" s="81"/>
      <c r="RO19" s="81">
        <v>17</v>
      </c>
      <c r="RP19" s="133">
        <f t="shared" si="175"/>
        <v>0.27430981498085799</v>
      </c>
      <c r="RQ19" s="133">
        <f t="shared" si="176"/>
        <v>0.29403279997924403</v>
      </c>
      <c r="RR19" s="133">
        <f t="shared" si="177"/>
        <v>0.31238863512141385</v>
      </c>
      <c r="RS19" s="133">
        <f t="shared" si="415"/>
        <v>0.33531114760759556</v>
      </c>
      <c r="RT19" s="133">
        <f t="shared" si="416"/>
        <v>0.37828097845101749</v>
      </c>
      <c r="RU19" s="134">
        <f t="shared" si="417"/>
        <v>0.4343377828814754</v>
      </c>
      <c r="RV19" s="133">
        <f t="shared" si="418"/>
        <v>0.50081627500460713</v>
      </c>
      <c r="RW19" s="133">
        <f t="shared" si="178"/>
        <v>0.57125447582922173</v>
      </c>
      <c r="RX19" s="133">
        <f t="shared" si="179"/>
        <v>0.61927122252530298</v>
      </c>
      <c r="RY19" s="133">
        <f t="shared" si="180"/>
        <v>0.6649409939120936</v>
      </c>
      <c r="RZ19" s="133">
        <f t="shared" si="181"/>
        <v>0.72329976595042245</v>
      </c>
      <c r="SA19" s="81"/>
      <c r="SB19" s="81">
        <v>19</v>
      </c>
      <c r="SC19" s="133">
        <f t="shared" si="182"/>
        <v>0.23317780150334985</v>
      </c>
      <c r="SD19" s="133">
        <f t="shared" si="183"/>
        <v>0.25420421599646614</v>
      </c>
      <c r="SE19" s="133">
        <f t="shared" si="184"/>
        <v>0.27381966637950061</v>
      </c>
      <c r="SF19" s="133">
        <f t="shared" si="419"/>
        <v>0.2983474834190023</v>
      </c>
      <c r="SG19" s="133">
        <f t="shared" si="420"/>
        <v>0.34432416742619565</v>
      </c>
      <c r="SH19" s="134">
        <f t="shared" si="421"/>
        <v>0.40409390607826734</v>
      </c>
      <c r="SI19" s="133">
        <f t="shared" si="422"/>
        <v>0.47439712266494921</v>
      </c>
      <c r="SJ19" s="133">
        <f t="shared" si="185"/>
        <v>0.54797904282667076</v>
      </c>
      <c r="SK19" s="133">
        <f t="shared" si="186"/>
        <v>0.59752960541976952</v>
      </c>
      <c r="SL19" s="133">
        <f t="shared" si="187"/>
        <v>0.64417247668450439</v>
      </c>
      <c r="SM19" s="133">
        <f t="shared" si="188"/>
        <v>0.70306681927000925</v>
      </c>
      <c r="SN19" s="81"/>
      <c r="SO19" s="81">
        <v>17</v>
      </c>
      <c r="SP19" s="133">
        <f t="shared" si="189"/>
        <v>0.20114345813741344</v>
      </c>
      <c r="SQ19" s="133">
        <f t="shared" si="190"/>
        <v>0.21434767692951154</v>
      </c>
      <c r="SR19" s="133">
        <f t="shared" si="191"/>
        <v>0.22621278753487994</v>
      </c>
      <c r="SS19" s="133">
        <f t="shared" si="423"/>
        <v>0.24049387207455034</v>
      </c>
      <c r="ST19" s="133">
        <f t="shared" si="424"/>
        <v>0.26580258624947189</v>
      </c>
      <c r="SU19" s="134">
        <f t="shared" si="425"/>
        <v>0.29630016101955242</v>
      </c>
      <c r="SV19" s="133">
        <f t="shared" si="426"/>
        <v>0.32933875039642846</v>
      </c>
      <c r="SW19" s="133">
        <f t="shared" si="192"/>
        <v>0.36125510916185283</v>
      </c>
      <c r="SX19" s="133">
        <f t="shared" si="193"/>
        <v>0.38146244956723824</v>
      </c>
      <c r="SY19" s="133">
        <f t="shared" si="194"/>
        <v>0.39966277879515577</v>
      </c>
      <c r="SZ19" s="133">
        <f t="shared" si="195"/>
        <v>0.42163153783077995</v>
      </c>
      <c r="TA19" s="81"/>
      <c r="TB19" s="81">
        <v>17</v>
      </c>
      <c r="TC19" s="133">
        <f t="shared" si="196"/>
        <v>0.21446104162669413</v>
      </c>
      <c r="TD19" s="133">
        <f t="shared" si="197"/>
        <v>0.22678251703853072</v>
      </c>
      <c r="TE19" s="133">
        <f t="shared" si="198"/>
        <v>0.23784197083168168</v>
      </c>
      <c r="TF19" s="133">
        <f t="shared" si="427"/>
        <v>0.25114196225083385</v>
      </c>
      <c r="TG19" s="133">
        <f t="shared" si="428"/>
        <v>0.27469352581371864</v>
      </c>
      <c r="TH19" s="134">
        <f t="shared" si="429"/>
        <v>0.30306428285133274</v>
      </c>
      <c r="TI19" s="133">
        <f t="shared" si="430"/>
        <v>0.33381305242538445</v>
      </c>
      <c r="TJ19" s="133">
        <f t="shared" si="199"/>
        <v>0.36355134371904452</v>
      </c>
      <c r="TK19" s="133">
        <f t="shared" si="200"/>
        <v>0.38240370381759953</v>
      </c>
      <c r="TL19" s="133">
        <f t="shared" si="201"/>
        <v>0.39940247192153722</v>
      </c>
      <c r="TM19" s="133">
        <f t="shared" si="202"/>
        <v>0.41994720507343541</v>
      </c>
      <c r="TN19" s="81"/>
      <c r="TO19" s="81">
        <v>19</v>
      </c>
      <c r="TP19" s="133">
        <f t="shared" si="203"/>
        <v>0.18750033114156672</v>
      </c>
      <c r="TQ19" s="133">
        <f t="shared" si="204"/>
        <v>0.2017360980742279</v>
      </c>
      <c r="TR19" s="133">
        <f t="shared" si="205"/>
        <v>0.21445066086104755</v>
      </c>
      <c r="TS19" s="133">
        <f t="shared" si="431"/>
        <v>0.22965499166339684</v>
      </c>
      <c r="TT19" s="133">
        <f t="shared" si="432"/>
        <v>0.25633134885079811</v>
      </c>
      <c r="TU19" s="134">
        <f t="shared" si="433"/>
        <v>0.28802338718848047</v>
      </c>
      <c r="TV19" s="133">
        <f t="shared" si="434"/>
        <v>0.32180986249148197</v>
      </c>
      <c r="TW19" s="133">
        <f t="shared" si="206"/>
        <v>0.35392952611876571</v>
      </c>
      <c r="TX19" s="133">
        <f t="shared" si="207"/>
        <v>0.37401208620940024</v>
      </c>
      <c r="TY19" s="133">
        <f t="shared" si="208"/>
        <v>0.39193759331846623</v>
      </c>
      <c r="TZ19" s="133">
        <f t="shared" si="209"/>
        <v>0.41337582853956584</v>
      </c>
      <c r="UA19" s="81"/>
      <c r="UB19" s="81">
        <v>17</v>
      </c>
      <c r="UC19" s="133">
        <f t="shared" si="210"/>
        <v>-29.286058924179606</v>
      </c>
      <c r="UD19" s="133">
        <f t="shared" si="211"/>
        <v>-25.766646497606118</v>
      </c>
      <c r="UE19" s="133">
        <f t="shared" si="212"/>
        <v>-22.845547104255509</v>
      </c>
      <c r="UF19" s="133">
        <f t="shared" si="435"/>
        <v>-19.582144356884534</v>
      </c>
      <c r="UG19" s="133">
        <f t="shared" si="436"/>
        <v>-14.35003512080641</v>
      </c>
      <c r="UH19" s="134">
        <f t="shared" si="437"/>
        <v>-8.778723648398298</v>
      </c>
      <c r="UI19" s="133">
        <f t="shared" si="438"/>
        <v>-3.4345017380024956</v>
      </c>
      <c r="UJ19" s="133">
        <f t="shared" si="213"/>
        <v>1.1965699606922442</v>
      </c>
      <c r="UK19" s="133">
        <f t="shared" si="214"/>
        <v>3.9072224455140372</v>
      </c>
      <c r="UL19" s="133">
        <f t="shared" si="215"/>
        <v>6.2219828422246195</v>
      </c>
      <c r="UM19" s="133">
        <f t="shared" si="216"/>
        <v>8.8737674122442058</v>
      </c>
      <c r="UN19" s="81"/>
      <c r="UO19" s="81">
        <v>17</v>
      </c>
      <c r="UP19" s="133">
        <f t="shared" si="217"/>
        <v>-25.174229562531615</v>
      </c>
      <c r="UQ19" s="133">
        <f t="shared" si="218"/>
        <v>-22.361208406365058</v>
      </c>
      <c r="UR19" s="133">
        <f t="shared" si="219"/>
        <v>-19.952908515141303</v>
      </c>
      <c r="US19" s="133">
        <f t="shared" si="439"/>
        <v>-17.186470122590322</v>
      </c>
      <c r="UT19" s="133">
        <f t="shared" si="440"/>
        <v>-12.591167462438733</v>
      </c>
      <c r="UU19" s="134">
        <f t="shared" si="441"/>
        <v>-7.4924391700802175</v>
      </c>
      <c r="UV19" s="133">
        <f t="shared" si="442"/>
        <v>-2.4133748428914359</v>
      </c>
      <c r="UW19" s="133">
        <f t="shared" si="220"/>
        <v>2.1295193868612401</v>
      </c>
      <c r="UX19" s="133">
        <f t="shared" si="221"/>
        <v>4.8472182654977587</v>
      </c>
      <c r="UY19" s="133">
        <f t="shared" si="222"/>
        <v>7.2013272856244228</v>
      </c>
      <c r="UZ19" s="133">
        <f t="shared" si="223"/>
        <v>9.9351219567873557</v>
      </c>
      <c r="VA19" s="81"/>
      <c r="VB19" s="81">
        <v>20</v>
      </c>
      <c r="VC19" s="133">
        <f t="shared" si="224"/>
        <v>-32.172584153469259</v>
      </c>
      <c r="VD19" s="133">
        <f t="shared" si="225"/>
        <v>-27.965330642042311</v>
      </c>
      <c r="VE19" s="133">
        <f t="shared" si="226"/>
        <v>-24.58442433173601</v>
      </c>
      <c r="VF19" s="133">
        <f t="shared" si="443"/>
        <v>-20.903386315150456</v>
      </c>
      <c r="VG19" s="133">
        <f t="shared" si="444"/>
        <v>-15.172503791510401</v>
      </c>
      <c r="VH19" s="134">
        <f t="shared" si="445"/>
        <v>-9.2546435975067567</v>
      </c>
      <c r="VI19" s="133">
        <f t="shared" si="446"/>
        <v>-3.7211222770318528</v>
      </c>
      <c r="VJ19" s="133">
        <f t="shared" si="227"/>
        <v>0.97976308867744422</v>
      </c>
      <c r="VK19" s="133">
        <f t="shared" si="228"/>
        <v>3.6957775273848199</v>
      </c>
      <c r="VL19" s="133">
        <f t="shared" si="229"/>
        <v>5.9962068910527222</v>
      </c>
      <c r="VM19" s="133">
        <f t="shared" si="230"/>
        <v>8.6115831189684116</v>
      </c>
      <c r="VN19" s="81"/>
      <c r="VO19" s="81">
        <v>17</v>
      </c>
      <c r="VP19" s="133">
        <f t="shared" si="231"/>
        <v>-47.666135908635987</v>
      </c>
      <c r="VQ19" s="133">
        <f t="shared" si="232"/>
        <v>-44.449541880956751</v>
      </c>
      <c r="VR19" s="133">
        <f t="shared" si="233"/>
        <v>-41.305941166646299</v>
      </c>
      <c r="VS19" s="133">
        <f t="shared" si="447"/>
        <v>-37.269534214237225</v>
      </c>
      <c r="VT19" s="133">
        <f t="shared" si="448"/>
        <v>-29.602281215831951</v>
      </c>
      <c r="VU19" s="134">
        <f t="shared" si="449"/>
        <v>-19.752794811537896</v>
      </c>
      <c r="VV19" s="133">
        <f t="shared" si="450"/>
        <v>-8.6011443175394504</v>
      </c>
      <c r="VW19" s="133">
        <f t="shared" si="234"/>
        <v>2.4628688038050939</v>
      </c>
      <c r="VX19" s="133">
        <f t="shared" si="235"/>
        <v>9.5595257372739084</v>
      </c>
      <c r="VY19" s="133">
        <f t="shared" si="236"/>
        <v>15.990020777675419</v>
      </c>
      <c r="VZ19" s="133">
        <f t="shared" si="237"/>
        <v>23.782628682694103</v>
      </c>
      <c r="WA19" s="81"/>
      <c r="WB19" s="81">
        <v>17</v>
      </c>
      <c r="WC19" s="133">
        <f t="shared" si="238"/>
        <v>-44.40105848111444</v>
      </c>
      <c r="WD19" s="133">
        <f t="shared" si="239"/>
        <v>-41.543103927380713</v>
      </c>
      <c r="WE19" s="133">
        <f t="shared" si="240"/>
        <v>-38.641759789964077</v>
      </c>
      <c r="WF19" s="133">
        <f t="shared" si="451"/>
        <v>-34.817936495746459</v>
      </c>
      <c r="WG19" s="133">
        <f t="shared" si="452"/>
        <v>-27.364077941630345</v>
      </c>
      <c r="WH19" s="134">
        <f t="shared" si="453"/>
        <v>-17.56697708286902</v>
      </c>
      <c r="WI19" s="133">
        <f t="shared" si="454"/>
        <v>-6.2916032181761636</v>
      </c>
      <c r="WJ19" s="133">
        <f t="shared" si="241"/>
        <v>5.021654150434621</v>
      </c>
      <c r="WK19" s="133">
        <f t="shared" si="242"/>
        <v>12.327007871077846</v>
      </c>
      <c r="WL19" s="133">
        <f t="shared" si="243"/>
        <v>18.973180355796821</v>
      </c>
      <c r="WM19" s="133">
        <f t="shared" si="244"/>
        <v>27.055962097527619</v>
      </c>
      <c r="WN19" s="81"/>
      <c r="WO19" s="81">
        <v>20</v>
      </c>
      <c r="WP19" s="133">
        <f t="shared" si="245"/>
        <v>-48.977419810040814</v>
      </c>
      <c r="WQ19" s="133">
        <f t="shared" si="246"/>
        <v>-45.529940742068064</v>
      </c>
      <c r="WR19" s="133">
        <f t="shared" si="247"/>
        <v>-42.173482876231986</v>
      </c>
      <c r="WS19" s="133">
        <f t="shared" si="455"/>
        <v>-37.902111122688495</v>
      </c>
      <c r="WT19" s="133">
        <f t="shared" si="456"/>
        <v>-29.917776881125686</v>
      </c>
      <c r="WU19" s="134">
        <f t="shared" si="457"/>
        <v>-19.886349457134244</v>
      </c>
      <c r="WV19" s="133">
        <f t="shared" si="458"/>
        <v>-8.7833118344900001</v>
      </c>
      <c r="WW19" s="133">
        <f t="shared" si="248"/>
        <v>2.0127925892887077</v>
      </c>
      <c r="WX19" s="133">
        <f t="shared" si="249"/>
        <v>8.8394428307468615</v>
      </c>
      <c r="WY19" s="133">
        <f t="shared" si="250"/>
        <v>14.966490034974761</v>
      </c>
      <c r="WZ19" s="133">
        <f t="shared" si="251"/>
        <v>22.323153356160113</v>
      </c>
      <c r="XA19" s="81"/>
      <c r="XB19" s="81">
        <v>17</v>
      </c>
      <c r="XC19" s="133">
        <f t="shared" si="252"/>
        <v>-51.50228054655647</v>
      </c>
      <c r="XD19" s="133">
        <f t="shared" si="253"/>
        <v>-47.660986501060016</v>
      </c>
      <c r="XE19" s="133">
        <f t="shared" si="254"/>
        <v>-43.964395991232756</v>
      </c>
      <c r="XF19" s="133">
        <f t="shared" si="459"/>
        <v>-39.340581061728059</v>
      </c>
      <c r="XG19" s="133">
        <f t="shared" si="460"/>
        <v>-30.917002530521369</v>
      </c>
      <c r="XH19" s="134">
        <f t="shared" si="461"/>
        <v>-20.66204028371358</v>
      </c>
      <c r="XI19" s="133">
        <f t="shared" si="462"/>
        <v>-9.6412446482520764</v>
      </c>
      <c r="XJ19" s="133">
        <f t="shared" si="255"/>
        <v>0.81289239790194756</v>
      </c>
      <c r="XK19" s="133">
        <f t="shared" si="256"/>
        <v>7.3121174293678379</v>
      </c>
      <c r="XL19" s="133">
        <f t="shared" si="257"/>
        <v>13.080932259821502</v>
      </c>
      <c r="XM19" s="133">
        <f t="shared" si="258"/>
        <v>19.934660709082358</v>
      </c>
      <c r="XN19" s="81"/>
      <c r="XO19" s="81">
        <v>17</v>
      </c>
      <c r="XP19" s="133">
        <f t="shared" si="259"/>
        <v>-48.87674217798336</v>
      </c>
      <c r="XQ19" s="133">
        <f t="shared" si="260"/>
        <v>-45.047248043047183</v>
      </c>
      <c r="XR19" s="133">
        <f t="shared" si="261"/>
        <v>-41.310611663064023</v>
      </c>
      <c r="XS19" s="133">
        <f t="shared" si="463"/>
        <v>-36.618910070124102</v>
      </c>
      <c r="XT19" s="133">
        <f t="shared" si="464"/>
        <v>-28.06851838481537</v>
      </c>
      <c r="XU19" s="134">
        <f t="shared" si="465"/>
        <v>-17.68226039292945</v>
      </c>
      <c r="XV19" s="133">
        <f t="shared" si="466"/>
        <v>-6.5567812981681755</v>
      </c>
      <c r="XW19" s="133">
        <f t="shared" si="262"/>
        <v>3.9627879419375702</v>
      </c>
      <c r="XX19" s="133">
        <f t="shared" si="263"/>
        <v>10.487258985410584</v>
      </c>
      <c r="XY19" s="133">
        <f t="shared" si="264"/>
        <v>16.269225659247248</v>
      </c>
      <c r="XZ19" s="133">
        <f t="shared" si="265"/>
        <v>23.127899701082661</v>
      </c>
      <c r="YA19" s="81"/>
      <c r="YB19" s="81">
        <v>20</v>
      </c>
      <c r="YC19" s="133">
        <f t="shared" si="266"/>
        <v>-53.251178442112938</v>
      </c>
      <c r="YD19" s="133">
        <f t="shared" si="267"/>
        <v>-49.338513666729028</v>
      </c>
      <c r="YE19" s="133">
        <f t="shared" si="268"/>
        <v>-45.547050370473073</v>
      </c>
      <c r="YF19" s="133">
        <f t="shared" si="467"/>
        <v>-40.822449288600602</v>
      </c>
      <c r="YG19" s="133">
        <f t="shared" si="468"/>
        <v>-32.292599990015162</v>
      </c>
      <c r="YH19" s="134">
        <f t="shared" si="469"/>
        <v>-22.035364301230949</v>
      </c>
      <c r="YI19" s="133">
        <f t="shared" si="470"/>
        <v>-11.142170630341717</v>
      </c>
      <c r="YJ19" s="133">
        <f t="shared" si="269"/>
        <v>-0.91212721919944073</v>
      </c>
      <c r="YK19" s="133">
        <f t="shared" si="270"/>
        <v>5.4042415319921631</v>
      </c>
      <c r="YL19" s="133">
        <f t="shared" si="271"/>
        <v>10.985675971288593</v>
      </c>
      <c r="YM19" s="133">
        <f t="shared" si="272"/>
        <v>17.588586578953645</v>
      </c>
      <c r="YN19" s="81"/>
      <c r="YO19" s="81">
        <v>17</v>
      </c>
      <c r="YP19" s="133">
        <v>20.899311584944464</v>
      </c>
      <c r="YQ19" s="133">
        <v>23.431987980689655</v>
      </c>
      <c r="YR19" s="133">
        <v>25.85438242930217</v>
      </c>
      <c r="YS19" s="133">
        <v>28.959658903229176</v>
      </c>
      <c r="YT19" s="133">
        <v>34.991827475207593</v>
      </c>
      <c r="YU19" s="134">
        <v>43.207197643310877</v>
      </c>
      <c r="YV19" s="133">
        <v>53.351369816590406</v>
      </c>
      <c r="YW19" s="133">
        <v>64.464223643875982</v>
      </c>
      <c r="YX19" s="133">
        <v>72.206788666988786</v>
      </c>
      <c r="YY19" s="133">
        <v>79.671512708465642</v>
      </c>
      <c r="YZ19" s="133">
        <v>89.326479515860612</v>
      </c>
      <c r="ZA19" s="81"/>
      <c r="ZB19" s="81">
        <v>17</v>
      </c>
      <c r="ZC19" s="133">
        <v>20.037854464469156</v>
      </c>
      <c r="ZD19" s="133">
        <v>22.475947571550591</v>
      </c>
      <c r="ZE19" s="133">
        <v>24.808821894124751</v>
      </c>
      <c r="ZF19" s="133">
        <v>27.800554430488074</v>
      </c>
      <c r="ZG19" s="133">
        <v>33.615558167678387</v>
      </c>
      <c r="ZH19" s="134">
        <v>41.5412380050658</v>
      </c>
      <c r="ZI19" s="133">
        <v>51.335588312579986</v>
      </c>
      <c r="ZJ19" s="133">
        <v>62.073382720059193</v>
      </c>
      <c r="ZK19" s="133">
        <v>69.558903778586895</v>
      </c>
      <c r="ZL19" s="133">
        <v>76.778718650235348</v>
      </c>
      <c r="ZM19" s="133">
        <v>86.120720062792415</v>
      </c>
      <c r="ZN19" s="81"/>
      <c r="ZO19" s="81">
        <v>20</v>
      </c>
      <c r="ZP19" s="133">
        <v>22.658759985060115</v>
      </c>
      <c r="ZQ19" s="133">
        <v>25.276277633638227</v>
      </c>
      <c r="ZR19" s="133">
        <v>27.768081702490363</v>
      </c>
      <c r="ZS19" s="133">
        <v>30.947351159820172</v>
      </c>
      <c r="ZT19" s="133">
        <v>37.081496657160777</v>
      </c>
      <c r="ZU19" s="134">
        <v>45.361799638308256</v>
      </c>
      <c r="ZV19" s="133">
        <v>55.491095341985407</v>
      </c>
      <c r="ZW19" s="133">
        <v>66.490112701392817</v>
      </c>
      <c r="ZX19" s="133">
        <v>74.102809422426859</v>
      </c>
      <c r="ZY19" s="133">
        <v>81.408065548686636</v>
      </c>
      <c r="ZZ19" s="133">
        <v>90.812245144162674</v>
      </c>
      <c r="AAA19" s="81"/>
      <c r="AAB19" s="81">
        <v>17</v>
      </c>
      <c r="AAC19" s="133">
        <v>8.079931047874954</v>
      </c>
      <c r="AAD19" s="133">
        <v>8.944546637986587</v>
      </c>
      <c r="AAE19" s="133">
        <v>9.761808805364856</v>
      </c>
      <c r="AAF19" s="133">
        <v>10.79716113439224</v>
      </c>
      <c r="AAG19" s="133">
        <v>12.774419528913883</v>
      </c>
      <c r="AAH19" s="134">
        <v>15.407831400115006</v>
      </c>
      <c r="AAI19" s="133">
        <v>18.584113972226383</v>
      </c>
      <c r="AAJ19" s="133">
        <v>21.987378487681799</v>
      </c>
      <c r="AAK19" s="133">
        <v>24.319393381675329</v>
      </c>
      <c r="AAL19" s="133">
        <v>26.541453475814055</v>
      </c>
      <c r="AAM19" s="133">
        <v>29.38159583884163</v>
      </c>
      <c r="AAN19" s="81"/>
      <c r="AAO19" s="81">
        <v>17</v>
      </c>
      <c r="AAP19" s="133">
        <v>7.7647196664539688</v>
      </c>
      <c r="AAQ19" s="133">
        <v>8.6137107010883618</v>
      </c>
      <c r="AAR19" s="133">
        <v>9.4177722258342289</v>
      </c>
      <c r="AAS19" s="133">
        <v>10.438392030413347</v>
      </c>
      <c r="AAT19" s="133">
        <v>12.393009705221456</v>
      </c>
      <c r="AAU19" s="134">
        <v>15.005896322843245</v>
      </c>
      <c r="AAV19" s="133">
        <v>18.169672243300859</v>
      </c>
      <c r="AAW19" s="133">
        <v>21.571993444569234</v>
      </c>
      <c r="AAX19" s="133">
        <v>23.909786630242493</v>
      </c>
      <c r="AAY19" s="133">
        <v>26.141686465447329</v>
      </c>
      <c r="AAZ19" s="133">
        <v>29.000006970600055</v>
      </c>
      <c r="ABA19" s="81"/>
      <c r="ABB19" s="81">
        <v>20</v>
      </c>
      <c r="ABC19" s="133">
        <v>8.8978476967909454</v>
      </c>
      <c r="ABD19" s="133">
        <v>9.8048033473247305</v>
      </c>
      <c r="ABE19" s="133">
        <v>10.658437234515894</v>
      </c>
      <c r="ABF19" s="133">
        <v>11.735263773387866</v>
      </c>
      <c r="ABG19" s="133">
        <v>13.779121235290523</v>
      </c>
      <c r="ABH19" s="134">
        <v>16.47936421704992</v>
      </c>
      <c r="ABI19" s="133">
        <v>19.708763741961491</v>
      </c>
      <c r="ABJ19" s="133">
        <v>23.141315801867638</v>
      </c>
      <c r="ABK19" s="133">
        <v>25.479292979156916</v>
      </c>
      <c r="ABL19" s="133">
        <v>27.697592228842002</v>
      </c>
      <c r="ABM19" s="133">
        <v>30.520801687370785</v>
      </c>
      <c r="ABN19" s="81"/>
      <c r="ABO19" s="81">
        <v>17</v>
      </c>
      <c r="ABP19" s="133">
        <f t="shared" si="273"/>
        <v>0.17304545117862136</v>
      </c>
      <c r="ABQ19" s="133">
        <f t="shared" si="274"/>
        <v>0.196539766997819</v>
      </c>
      <c r="ABR19" s="133">
        <f t="shared" si="275"/>
        <v>0.21853620424017367</v>
      </c>
      <c r="ABS19" s="133">
        <f t="shared" si="471"/>
        <v>0.2460645383667919</v>
      </c>
      <c r="ABT19" s="133">
        <f t="shared" si="472"/>
        <v>0.29749455953399673</v>
      </c>
      <c r="ABU19" s="134">
        <f t="shared" si="473"/>
        <v>0.36359607919452624</v>
      </c>
      <c r="ABV19" s="133">
        <f t="shared" si="474"/>
        <v>0.4398093194323397</v>
      </c>
      <c r="ABW19" s="133">
        <f t="shared" si="276"/>
        <v>0.51754879550283661</v>
      </c>
      <c r="ABX19" s="133">
        <f t="shared" si="277"/>
        <v>0.56869190358493293</v>
      </c>
      <c r="ABY19" s="133">
        <f t="shared" si="278"/>
        <v>0.61595193964588602</v>
      </c>
      <c r="ABZ19" s="133">
        <f t="shared" si="279"/>
        <v>0.6744301788588446</v>
      </c>
      <c r="ACA19" s="81"/>
      <c r="ACB19" s="81">
        <v>17</v>
      </c>
      <c r="ACC19" s="133">
        <f t="shared" si="280"/>
        <v>0.18343665932662351</v>
      </c>
      <c r="ACD19" s="133">
        <f t="shared" si="281"/>
        <v>0.20589567044960058</v>
      </c>
      <c r="ACE19" s="133">
        <f t="shared" si="282"/>
        <v>0.22706203819264931</v>
      </c>
      <c r="ACF19" s="133">
        <f t="shared" si="475"/>
        <v>0.25376073754994238</v>
      </c>
      <c r="ACG19" s="133">
        <f t="shared" si="476"/>
        <v>0.30431044642320187</v>
      </c>
      <c r="ACH19" s="134">
        <f t="shared" si="477"/>
        <v>0.37062274593507344</v>
      </c>
      <c r="ACI19" s="133">
        <f t="shared" si="478"/>
        <v>0.44898488147666687</v>
      </c>
      <c r="ACJ19" s="133">
        <f t="shared" si="283"/>
        <v>0.53100313801679189</v>
      </c>
      <c r="ACK19" s="133">
        <f t="shared" si="284"/>
        <v>0.58609015759108374</v>
      </c>
      <c r="ACL19" s="133">
        <f t="shared" si="285"/>
        <v>0.63777621506577675</v>
      </c>
      <c r="ACM19" s="133">
        <f t="shared" si="286"/>
        <v>0.7027515649283439</v>
      </c>
      <c r="ACN19" s="81"/>
      <c r="ACO19" s="81">
        <v>20</v>
      </c>
      <c r="ACP19" s="133">
        <f t="shared" si="287"/>
        <v>0.16622423078887616</v>
      </c>
      <c r="ACQ19" s="133">
        <f t="shared" si="288"/>
        <v>0.19300540802702182</v>
      </c>
      <c r="ACR19" s="133">
        <f t="shared" si="289"/>
        <v>0.2176925867685065</v>
      </c>
      <c r="ACS19" s="133">
        <f t="shared" si="479"/>
        <v>0.24806169929312449</v>
      </c>
      <c r="ACT19" s="133">
        <f t="shared" si="480"/>
        <v>0.30333680812269292</v>
      </c>
      <c r="ACU19" s="134">
        <f t="shared" si="481"/>
        <v>0.37161190940005046</v>
      </c>
      <c r="ACV19" s="133">
        <f t="shared" si="482"/>
        <v>0.44705531523255676</v>
      </c>
      <c r="ACW19" s="133">
        <f t="shared" si="290"/>
        <v>0.52099840035136291</v>
      </c>
      <c r="ACX19" s="133">
        <f t="shared" si="291"/>
        <v>0.56808772476575609</v>
      </c>
      <c r="ACY19" s="133">
        <f t="shared" si="292"/>
        <v>0.61063515248647671</v>
      </c>
      <c r="ACZ19" s="133">
        <f t="shared" si="293"/>
        <v>0.66210175283692463</v>
      </c>
      <c r="ADA19" s="81"/>
      <c r="ADB19" s="81">
        <v>17</v>
      </c>
      <c r="ADC19" s="133">
        <f t="shared" si="294"/>
        <v>0.1449530186703463</v>
      </c>
      <c r="ADD19" s="133">
        <f t="shared" si="295"/>
        <v>0.16305182128832077</v>
      </c>
      <c r="ADE19" s="133">
        <f t="shared" si="296"/>
        <v>0.1789901791047675</v>
      </c>
      <c r="ADF19" s="133">
        <f t="shared" si="483"/>
        <v>0.19776992220717837</v>
      </c>
      <c r="ADG19" s="133">
        <f t="shared" si="484"/>
        <v>0.23000107401292144</v>
      </c>
      <c r="ADH19" s="134">
        <f t="shared" si="485"/>
        <v>0.26716167492025472</v>
      </c>
      <c r="ADI19" s="133">
        <f t="shared" si="486"/>
        <v>0.30552568644635558</v>
      </c>
      <c r="ADJ19" s="133">
        <f t="shared" si="297"/>
        <v>0.34089881398237104</v>
      </c>
      <c r="ADK19" s="133">
        <f t="shared" si="298"/>
        <v>0.36251245370771767</v>
      </c>
      <c r="ADL19" s="133">
        <f t="shared" si="299"/>
        <v>0.38149748303315156</v>
      </c>
      <c r="ADM19" s="133">
        <f t="shared" si="300"/>
        <v>0.40384169765856631</v>
      </c>
      <c r="ADN19" s="81"/>
      <c r="ADO19" s="81">
        <v>17</v>
      </c>
      <c r="ADP19" s="133">
        <f t="shared" si="301"/>
        <v>0.15307318117455471</v>
      </c>
      <c r="ADQ19" s="133">
        <f t="shared" si="302"/>
        <v>0.16988160531440905</v>
      </c>
      <c r="ADR19" s="133">
        <f t="shared" si="303"/>
        <v>0.18488126218537793</v>
      </c>
      <c r="ADS19" s="133">
        <f t="shared" si="487"/>
        <v>0.20278623159733761</v>
      </c>
      <c r="ADT19" s="133">
        <f t="shared" si="488"/>
        <v>0.23407849050461446</v>
      </c>
      <c r="ADU19" s="134">
        <f t="shared" si="489"/>
        <v>0.27099695301025745</v>
      </c>
      <c r="ADV19" s="133">
        <f t="shared" si="490"/>
        <v>0.31000172502854956</v>
      </c>
      <c r="ADW19" s="133">
        <f t="shared" si="304"/>
        <v>0.34672272545604549</v>
      </c>
      <c r="ADX19" s="133">
        <f t="shared" si="305"/>
        <v>0.369501006755519</v>
      </c>
      <c r="ADY19" s="133">
        <f t="shared" si="306"/>
        <v>0.38971496786860288</v>
      </c>
      <c r="ADZ19" s="133">
        <f t="shared" si="307"/>
        <v>0.41374538199062522</v>
      </c>
      <c r="AEA19" s="81"/>
      <c r="AEB19" s="81">
        <v>20</v>
      </c>
      <c r="AEC19" s="133">
        <f t="shared" si="308"/>
        <v>0.13970771884217464</v>
      </c>
      <c r="AED19" s="133">
        <f t="shared" si="309"/>
        <v>0.16065995457303647</v>
      </c>
      <c r="AEE19" s="133">
        <f t="shared" si="310"/>
        <v>0.17859223440334102</v>
      </c>
      <c r="AEF19" s="133">
        <f t="shared" si="491"/>
        <v>0.19917830141502993</v>
      </c>
      <c r="AEG19" s="133">
        <f t="shared" si="492"/>
        <v>0.23333483103228397</v>
      </c>
      <c r="AEH19" s="134">
        <f t="shared" si="493"/>
        <v>0.27117149203309776</v>
      </c>
      <c r="AEI19" s="133">
        <f t="shared" si="494"/>
        <v>0.30879742982794123</v>
      </c>
      <c r="AEJ19" s="133">
        <f t="shared" si="311"/>
        <v>0.34239866784841283</v>
      </c>
      <c r="AEK19" s="133">
        <f t="shared" si="312"/>
        <v>0.36247720157871632</v>
      </c>
      <c r="AEL19" s="133">
        <f t="shared" si="313"/>
        <v>0.379856258419633</v>
      </c>
      <c r="AEM19" s="133">
        <f t="shared" si="314"/>
        <v>0.40002337047783787</v>
      </c>
      <c r="AEN19" s="81"/>
    </row>
    <row r="20" spans="1:820">
      <c r="A20" s="81"/>
      <c r="B20" s="81">
        <v>19</v>
      </c>
      <c r="C20" s="133">
        <f t="shared" si="0"/>
        <v>1.6411132487983866</v>
      </c>
      <c r="D20" s="133">
        <f t="shared" si="1"/>
        <v>1.9314529637583306</v>
      </c>
      <c r="E20" s="133">
        <f t="shared" si="2"/>
        <v>2.2308622067442165</v>
      </c>
      <c r="F20" s="133">
        <f t="shared" si="315"/>
        <v>2.6470093717981995</v>
      </c>
      <c r="G20" s="133">
        <f t="shared" si="316"/>
        <v>3.5655313249559804</v>
      </c>
      <c r="H20" s="134">
        <f t="shared" si="317"/>
        <v>5.0722496629720704</v>
      </c>
      <c r="I20" s="133">
        <f t="shared" si="318"/>
        <v>7.3943070934860247</v>
      </c>
      <c r="J20" s="133">
        <f t="shared" si="3"/>
        <v>10.619353867834658</v>
      </c>
      <c r="K20" s="133">
        <f t="shared" si="4"/>
        <v>13.353977459629029</v>
      </c>
      <c r="L20" s="133">
        <f t="shared" si="5"/>
        <v>16.423160121970678</v>
      </c>
      <c r="M20" s="133">
        <f t="shared" si="6"/>
        <v>21.106327518417363</v>
      </c>
      <c r="N20" s="81"/>
      <c r="O20" s="75">
        <v>19</v>
      </c>
      <c r="P20" s="151">
        <f t="shared" si="7"/>
        <v>2.3057053348982901</v>
      </c>
      <c r="Q20" s="151">
        <f t="shared" si="8"/>
        <v>2.5769120351409343</v>
      </c>
      <c r="R20" s="151">
        <f t="shared" si="9"/>
        <v>2.8473535754965802</v>
      </c>
      <c r="S20" s="151">
        <f t="shared" si="319"/>
        <v>3.2112636796639427</v>
      </c>
      <c r="T20" s="151">
        <f t="shared" si="320"/>
        <v>3.9799275599849788</v>
      </c>
      <c r="U20" s="134">
        <f t="shared" si="321"/>
        <v>5.178899232160405</v>
      </c>
      <c r="V20" s="151">
        <f t="shared" si="322"/>
        <v>6.9533300136840364</v>
      </c>
      <c r="W20" s="151">
        <f t="shared" si="10"/>
        <v>9.3658795967131834</v>
      </c>
      <c r="X20" s="151">
        <f t="shared" si="11"/>
        <v>11.409256612610344</v>
      </c>
      <c r="Y20" s="151">
        <f t="shared" si="12"/>
        <v>13.72623344727865</v>
      </c>
      <c r="Z20" s="151">
        <f t="shared" si="13"/>
        <v>17.342665625417489</v>
      </c>
      <c r="AA20" s="81"/>
      <c r="AB20" s="75">
        <v>21</v>
      </c>
      <c r="AC20" s="151">
        <f t="shared" si="14"/>
        <v>1.3268695335436071</v>
      </c>
      <c r="AD20" s="151">
        <f t="shared" si="15"/>
        <v>1.5948875749905618</v>
      </c>
      <c r="AE20" s="151">
        <f t="shared" si="16"/>
        <v>1.8801786481527272</v>
      </c>
      <c r="AF20" s="151">
        <f t="shared" si="323"/>
        <v>2.2909888584858451</v>
      </c>
      <c r="AG20" s="151">
        <f t="shared" si="324"/>
        <v>3.2529151866142469</v>
      </c>
      <c r="AH20" s="134">
        <f t="shared" si="325"/>
        <v>4.9824847802609371</v>
      </c>
      <c r="AI20" s="151">
        <f t="shared" si="326"/>
        <v>7.9852280724678781</v>
      </c>
      <c r="AJ20" s="151">
        <f t="shared" si="17"/>
        <v>12.78258588090519</v>
      </c>
      <c r="AK20" s="151">
        <f t="shared" si="18"/>
        <v>17.392120514168084</v>
      </c>
      <c r="AL20" s="151">
        <f t="shared" si="19"/>
        <v>23.139756524551554</v>
      </c>
      <c r="AM20" s="151">
        <f t="shared" si="20"/>
        <v>33.062345709844621</v>
      </c>
      <c r="AN20" s="81"/>
      <c r="AO20" s="81">
        <v>19</v>
      </c>
      <c r="AP20" s="133">
        <f t="shared" si="21"/>
        <v>1.3808030770012421</v>
      </c>
      <c r="AQ20" s="133">
        <f t="shared" si="22"/>
        <v>2.9782336736235893</v>
      </c>
      <c r="AR20" s="133">
        <f t="shared" si="23"/>
        <v>4.4695079166872285</v>
      </c>
      <c r="AS20" s="133">
        <f t="shared" si="327"/>
        <v>6.3246354702489684</v>
      </c>
      <c r="AT20" s="133">
        <f t="shared" si="328"/>
        <v>9.7458008231987563</v>
      </c>
      <c r="AU20" s="134">
        <f t="shared" si="329"/>
        <v>14.045034650553195</v>
      </c>
      <c r="AV20" s="133">
        <f t="shared" si="330"/>
        <v>18.862319618808193</v>
      </c>
      <c r="AW20" s="133">
        <f t="shared" si="24"/>
        <v>23.629665126133172</v>
      </c>
      <c r="AX20" s="133">
        <f t="shared" si="25"/>
        <v>26.690971531922958</v>
      </c>
      <c r="AY20" s="133">
        <f t="shared" si="26"/>
        <v>29.470419931171325</v>
      </c>
      <c r="AZ20" s="133">
        <f t="shared" si="27"/>
        <v>32.847864967101636</v>
      </c>
      <c r="BA20" s="81"/>
      <c r="BB20" s="81">
        <v>19</v>
      </c>
      <c r="BC20" s="133">
        <f t="shared" si="28"/>
        <v>4.2644738841579999</v>
      </c>
      <c r="BD20" s="133">
        <f t="shared" si="29"/>
        <v>5.9195110678705847</v>
      </c>
      <c r="BE20" s="133">
        <f t="shared" si="30"/>
        <v>7.41706083117709</v>
      </c>
      <c r="BF20" s="133">
        <f t="shared" si="331"/>
        <v>9.2269426672852433</v>
      </c>
      <c r="BG20" s="133">
        <f t="shared" si="332"/>
        <v>12.440008131568877</v>
      </c>
      <c r="BH20" s="134">
        <f t="shared" si="333"/>
        <v>16.299023614238088</v>
      </c>
      <c r="BI20" s="133">
        <f t="shared" si="334"/>
        <v>20.442084896417505</v>
      </c>
      <c r="BJ20" s="133">
        <f t="shared" si="31"/>
        <v>24.394354731151701</v>
      </c>
      <c r="BK20" s="133">
        <f t="shared" si="32"/>
        <v>26.867932962086531</v>
      </c>
      <c r="BL20" s="133">
        <f t="shared" si="33"/>
        <v>29.075754167390844</v>
      </c>
      <c r="BM20" s="133">
        <f t="shared" si="34"/>
        <v>31.71478769764536</v>
      </c>
      <c r="BN20" s="81"/>
      <c r="BO20" s="75">
        <v>21</v>
      </c>
      <c r="BP20" s="151">
        <f t="shared" si="35"/>
        <v>2.7591518258193588</v>
      </c>
      <c r="BQ20" s="151">
        <f t="shared" si="36"/>
        <v>3.5100466187233992</v>
      </c>
      <c r="BR20" s="151">
        <f t="shared" si="37"/>
        <v>4.2887900606753684</v>
      </c>
      <c r="BS20" s="151">
        <f t="shared" si="335"/>
        <v>5.3649262091382486</v>
      </c>
      <c r="BT20" s="151">
        <f t="shared" si="336"/>
        <v>7.672120757712193</v>
      </c>
      <c r="BU20" s="134">
        <f t="shared" si="337"/>
        <v>11.191723451443321</v>
      </c>
      <c r="BV20" s="151">
        <f t="shared" si="338"/>
        <v>16.002868613621541</v>
      </c>
      <c r="BW20" s="151">
        <f t="shared" si="38"/>
        <v>21.72024484752346</v>
      </c>
      <c r="BX20" s="151">
        <f t="shared" si="39"/>
        <v>25.918475048680516</v>
      </c>
      <c r="BY20" s="151">
        <f t="shared" si="40"/>
        <v>30.101376511488809</v>
      </c>
      <c r="BZ20" s="151">
        <f t="shared" si="41"/>
        <v>35.675527743669484</v>
      </c>
      <c r="CA20" s="81"/>
      <c r="CB20" s="81">
        <v>19</v>
      </c>
      <c r="CC20" s="133">
        <f t="shared" si="42"/>
        <v>-5.6762549657771633</v>
      </c>
      <c r="CD20" s="133">
        <f t="shared" si="43"/>
        <v>-3.8396836256919182</v>
      </c>
      <c r="CE20" s="133">
        <f t="shared" si="44"/>
        <v>-1.9409727541951067</v>
      </c>
      <c r="CF20" s="133">
        <f t="shared" si="339"/>
        <v>0.540130348452319</v>
      </c>
      <c r="CG20" s="133">
        <f t="shared" si="340"/>
        <v>5.2550476819628527</v>
      </c>
      <c r="CH20" s="134">
        <f t="shared" si="341"/>
        <v>11.220362112914877</v>
      </c>
      <c r="CI20" s="133">
        <f t="shared" si="342"/>
        <v>17.822390463919245</v>
      </c>
      <c r="CJ20" s="133">
        <f t="shared" si="45"/>
        <v>24.222819316632261</v>
      </c>
      <c r="CK20" s="133">
        <f t="shared" si="46"/>
        <v>28.257424705348928</v>
      </c>
      <c r="CL20" s="133">
        <f t="shared" si="47"/>
        <v>31.869781685535049</v>
      </c>
      <c r="CM20" s="133">
        <f t="shared" si="48"/>
        <v>36.196029183054854</v>
      </c>
      <c r="CN20" s="81"/>
      <c r="CO20" s="81">
        <v>19</v>
      </c>
      <c r="CP20" s="133">
        <f t="shared" si="49"/>
        <v>-0.43656936773645061</v>
      </c>
      <c r="CQ20" s="133">
        <f t="shared" si="50"/>
        <v>1.673293929711515</v>
      </c>
      <c r="CR20" s="133">
        <f t="shared" si="51"/>
        <v>3.6434091342673307</v>
      </c>
      <c r="CS20" s="133">
        <f t="shared" si="343"/>
        <v>6.0762695332993539</v>
      </c>
      <c r="CT20" s="133">
        <f t="shared" si="344"/>
        <v>10.482349920991716</v>
      </c>
      <c r="CU20" s="134">
        <f t="shared" si="345"/>
        <v>15.853026505636027</v>
      </c>
      <c r="CV20" s="133">
        <f t="shared" si="346"/>
        <v>21.658846444336294</v>
      </c>
      <c r="CW20" s="133">
        <f t="shared" si="52"/>
        <v>27.205997378333858</v>
      </c>
      <c r="CX20" s="133">
        <f t="shared" si="53"/>
        <v>30.674740693504599</v>
      </c>
      <c r="CY20" s="133">
        <f t="shared" si="54"/>
        <v>33.766444081293621</v>
      </c>
      <c r="CZ20" s="133">
        <f t="shared" si="55"/>
        <v>37.454906671108304</v>
      </c>
      <c r="DA20" s="81"/>
      <c r="DB20" s="81">
        <v>21</v>
      </c>
      <c r="DC20" s="133">
        <f t="shared" si="56"/>
        <v>-6.3208049243184758</v>
      </c>
      <c r="DD20" s="133">
        <f t="shared" si="57"/>
        <v>-5.2254344047271948</v>
      </c>
      <c r="DE20" s="133">
        <f t="shared" si="58"/>
        <v>-3.9847342419660889</v>
      </c>
      <c r="DF20" s="133">
        <f t="shared" si="347"/>
        <v>-2.2535758053814963</v>
      </c>
      <c r="DG20" s="133">
        <f t="shared" si="348"/>
        <v>1.2755904834365497</v>
      </c>
      <c r="DH20" s="134">
        <f t="shared" si="349"/>
        <v>6.0595389148356267</v>
      </c>
      <c r="DI20" s="133">
        <f t="shared" si="350"/>
        <v>11.657926008197315</v>
      </c>
      <c r="DJ20" s="133">
        <f t="shared" si="59"/>
        <v>17.32338604239731</v>
      </c>
      <c r="DK20" s="133">
        <f t="shared" si="60"/>
        <v>20.995844143469011</v>
      </c>
      <c r="DL20" s="133">
        <f t="shared" si="61"/>
        <v>24.342821535916244</v>
      </c>
      <c r="DM20" s="133">
        <f t="shared" si="62"/>
        <v>28.418214703684139</v>
      </c>
      <c r="DN20" s="81"/>
      <c r="DO20" s="81">
        <v>19</v>
      </c>
      <c r="DP20" s="133">
        <v>13.190219664023696</v>
      </c>
      <c r="DQ20" s="133">
        <v>14.583743598897053</v>
      </c>
      <c r="DR20" s="133">
        <v>15.899445773001682</v>
      </c>
      <c r="DS20" s="133">
        <v>17.564349670658856</v>
      </c>
      <c r="DT20" s="133">
        <v>20.7386686466347</v>
      </c>
      <c r="DU20" s="134">
        <v>24.957280571301911</v>
      </c>
      <c r="DV20" s="133">
        <v>30.034032759174107</v>
      </c>
      <c r="DW20" s="133">
        <v>35.461936547253877</v>
      </c>
      <c r="DX20" s="133">
        <v>39.175318587038518</v>
      </c>
      <c r="DY20" s="133">
        <v>42.709599856225545</v>
      </c>
      <c r="DZ20" s="133">
        <v>47.221795343829605</v>
      </c>
      <c r="EA20" s="81"/>
      <c r="EB20" s="81">
        <v>19</v>
      </c>
      <c r="EC20" s="133">
        <v>13.704489272124309</v>
      </c>
      <c r="ED20" s="133">
        <v>14.767063812466196</v>
      </c>
      <c r="EE20" s="133">
        <v>15.746600725222988</v>
      </c>
      <c r="EF20" s="133">
        <v>16.956854817025945</v>
      </c>
      <c r="EG20" s="133">
        <v>19.186305055996854</v>
      </c>
      <c r="EH20" s="134">
        <v>22.018348096402995</v>
      </c>
      <c r="EI20" s="133">
        <v>25.26842200618729</v>
      </c>
      <c r="EJ20" s="133">
        <v>28.590658947412251</v>
      </c>
      <c r="EK20" s="133">
        <v>30.788083177711233</v>
      </c>
      <c r="EL20" s="133">
        <v>32.830335065329926</v>
      </c>
      <c r="EM20" s="133">
        <v>35.37582782311334</v>
      </c>
      <c r="EN20" s="81"/>
      <c r="EO20" s="81">
        <v>21</v>
      </c>
      <c r="EP20" s="133">
        <v>16.035767180689678</v>
      </c>
      <c r="EQ20" s="133">
        <v>17.588825364922847</v>
      </c>
      <c r="ER20" s="133">
        <v>19.044321461765453</v>
      </c>
      <c r="ES20" s="133">
        <v>20.872519881268968</v>
      </c>
      <c r="ET20" s="133">
        <v>24.321142409639993</v>
      </c>
      <c r="EU20" s="134">
        <v>28.840509622744811</v>
      </c>
      <c r="EV20" s="133">
        <v>34.199667979821179</v>
      </c>
      <c r="EW20" s="133">
        <v>39.850243287877852</v>
      </c>
      <c r="EX20" s="133">
        <v>43.675748541083927</v>
      </c>
      <c r="EY20" s="133">
        <v>47.289968377219417</v>
      </c>
      <c r="EZ20" s="133">
        <v>51.86998451195165</v>
      </c>
      <c r="FA20" s="81"/>
      <c r="FB20" s="81">
        <v>19</v>
      </c>
      <c r="FC20" s="133">
        <v>6.8303343769674685</v>
      </c>
      <c r="FD20" s="133">
        <v>7.679505054192667</v>
      </c>
      <c r="FE20" s="133">
        <v>8.4938084693392462</v>
      </c>
      <c r="FF20" s="133">
        <v>9.5403791591463882</v>
      </c>
      <c r="FG20" s="133">
        <v>11.581028522201201</v>
      </c>
      <c r="FH20" s="134">
        <v>14.37391441581965</v>
      </c>
      <c r="FI20" s="133">
        <v>17.840333890658417</v>
      </c>
      <c r="FJ20" s="133">
        <v>21.656310738471106</v>
      </c>
      <c r="FK20" s="133">
        <v>24.324708566142242</v>
      </c>
      <c r="FL20" s="133">
        <v>26.904001517716075</v>
      </c>
      <c r="FM20" s="133">
        <v>30.248799580005091</v>
      </c>
      <c r="FN20" s="81"/>
      <c r="FO20" s="81">
        <v>19</v>
      </c>
      <c r="FP20" s="133">
        <v>6.6126076937767042</v>
      </c>
      <c r="FQ20" s="133">
        <v>7.3104718445387817</v>
      </c>
      <c r="FR20" s="133">
        <v>7.9693011471429775</v>
      </c>
      <c r="FS20" s="133">
        <v>8.8029119655356762</v>
      </c>
      <c r="FT20" s="133">
        <v>10.392063933169608</v>
      </c>
      <c r="FU20" s="134">
        <v>12.50363958430547</v>
      </c>
      <c r="FV20" s="133">
        <v>15.044268766976908</v>
      </c>
      <c r="FW20" s="133">
        <v>17.760146127361278</v>
      </c>
      <c r="FX20" s="133">
        <v>19.617906258977239</v>
      </c>
      <c r="FY20" s="133">
        <v>21.385897679231714</v>
      </c>
      <c r="FZ20" s="133">
        <v>23.642866792377124</v>
      </c>
      <c r="GA20" s="81"/>
      <c r="GB20" s="81">
        <v>21</v>
      </c>
      <c r="GC20" s="133">
        <v>8.5269242594516612</v>
      </c>
      <c r="GD20" s="133">
        <v>9.5159037507446378</v>
      </c>
      <c r="GE20" s="133">
        <v>10.457748118253839</v>
      </c>
      <c r="GF20" s="133">
        <v>11.659902517559019</v>
      </c>
      <c r="GG20" s="133">
        <v>13.980655189126621</v>
      </c>
      <c r="GH20" s="134">
        <v>17.115658916614279</v>
      </c>
      <c r="GI20" s="133">
        <v>20.953651755728522</v>
      </c>
      <c r="GJ20" s="133">
        <v>25.124204915840565</v>
      </c>
      <c r="GK20" s="133">
        <v>28.012319367163347</v>
      </c>
      <c r="GL20" s="133">
        <v>30.784861619365842</v>
      </c>
      <c r="GM20" s="133">
        <v>34.355386682972167</v>
      </c>
      <c r="GN20" s="81"/>
      <c r="GO20" s="81">
        <v>19</v>
      </c>
      <c r="GP20" s="133">
        <f t="shared" si="63"/>
        <v>0.37632415033258038</v>
      </c>
      <c r="GQ20" s="133">
        <f t="shared" si="64"/>
        <v>0.41761425408957181</v>
      </c>
      <c r="GR20" s="133">
        <f t="shared" si="65"/>
        <v>0.44994062606746144</v>
      </c>
      <c r="GS20" s="133">
        <f t="shared" si="351"/>
        <v>0.48439347530404975</v>
      </c>
      <c r="GT20" s="133">
        <f t="shared" si="352"/>
        <v>0.53815831520321067</v>
      </c>
      <c r="GU20" s="134">
        <f t="shared" si="353"/>
        <v>0.58926773800923726</v>
      </c>
      <c r="GV20" s="133">
        <f t="shared" si="354"/>
        <v>0.63605954793761688</v>
      </c>
      <c r="GW20" s="133">
        <f t="shared" si="66"/>
        <v>0.67729659146009091</v>
      </c>
      <c r="GX20" s="133">
        <f t="shared" si="67"/>
        <v>0.70012892291047479</v>
      </c>
      <c r="GY20" s="133">
        <f t="shared" si="68"/>
        <v>0.71931176741158898</v>
      </c>
      <c r="GZ20" s="133">
        <f t="shared" si="69"/>
        <v>0.7409555483152529</v>
      </c>
      <c r="HA20" s="81"/>
      <c r="HB20" s="81">
        <v>19</v>
      </c>
      <c r="HC20" s="133">
        <f t="shared" si="70"/>
        <v>0.35247812972426068</v>
      </c>
      <c r="HD20" s="133">
        <f t="shared" si="71"/>
        <v>0.39807884718149533</v>
      </c>
      <c r="HE20" s="133">
        <f t="shared" si="72"/>
        <v>0.43333944865339374</v>
      </c>
      <c r="HF20" s="133">
        <f t="shared" si="355"/>
        <v>0.47060607087086631</v>
      </c>
      <c r="HG20" s="133">
        <f t="shared" si="356"/>
        <v>0.52673029334996202</v>
      </c>
      <c r="HH20" s="134">
        <f t="shared" si="357"/>
        <v>0.5827252225011742</v>
      </c>
      <c r="HI20" s="133">
        <f t="shared" si="358"/>
        <v>0.63361248095331235</v>
      </c>
      <c r="HJ20" s="133">
        <f t="shared" si="73"/>
        <v>0.67589489641468437</v>
      </c>
      <c r="HK20" s="133">
        <f t="shared" si="74"/>
        <v>0.69997137136710019</v>
      </c>
      <c r="HL20" s="133">
        <f t="shared" si="75"/>
        <v>0.72017734147200285</v>
      </c>
      <c r="HM20" s="133">
        <f t="shared" si="76"/>
        <v>0.74295381528054449</v>
      </c>
      <c r="HN20" s="81"/>
      <c r="HO20" s="81">
        <v>21</v>
      </c>
      <c r="HP20" s="83">
        <f t="shared" si="77"/>
        <v>0.4087256235393491</v>
      </c>
      <c r="HQ20" s="83">
        <f t="shared" si="78"/>
        <v>0.44521012725207759</v>
      </c>
      <c r="HR20" s="83">
        <f t="shared" si="79"/>
        <v>0.47418336356331958</v>
      </c>
      <c r="HS20" s="83">
        <f t="shared" si="359"/>
        <v>0.50537729947036436</v>
      </c>
      <c r="HT20" s="83">
        <f t="shared" si="360"/>
        <v>0.55322995311368206</v>
      </c>
      <c r="HU20" s="84">
        <f t="shared" si="361"/>
        <v>0.60177514943304034</v>
      </c>
      <c r="HV20" s="83">
        <f t="shared" si="362"/>
        <v>0.64641836314970891</v>
      </c>
      <c r="HW20" s="83">
        <f t="shared" si="80"/>
        <v>0.68381106478493725</v>
      </c>
      <c r="HX20" s="83">
        <f t="shared" si="81"/>
        <v>0.70520375722874562</v>
      </c>
      <c r="HY20" s="83">
        <f t="shared" si="82"/>
        <v>0.72320665916310278</v>
      </c>
      <c r="HZ20" s="83">
        <f t="shared" si="83"/>
        <v>0.74354856383531509</v>
      </c>
      <c r="IA20" s="81"/>
      <c r="IB20" s="81">
        <v>19</v>
      </c>
      <c r="IC20" s="83">
        <f t="shared" si="84"/>
        <v>0.27427828234161095</v>
      </c>
      <c r="ID20" s="83">
        <f t="shared" si="85"/>
        <v>0.29553282492061772</v>
      </c>
      <c r="IE20" s="83">
        <f t="shared" si="86"/>
        <v>0.31106685060485562</v>
      </c>
      <c r="IF20" s="83">
        <f t="shared" si="363"/>
        <v>0.32677681010332338</v>
      </c>
      <c r="IG20" s="83">
        <f t="shared" si="364"/>
        <v>0.34928327266428255</v>
      </c>
      <c r="IH20" s="84">
        <f t="shared" si="365"/>
        <v>0.37058089746146589</v>
      </c>
      <c r="II20" s="83">
        <f t="shared" si="366"/>
        <v>0.38909091563902798</v>
      </c>
      <c r="IJ20" s="83">
        <f t="shared" si="87"/>
        <v>0.40393844592154204</v>
      </c>
      <c r="IK20" s="83">
        <f t="shared" si="88"/>
        <v>0.41219753913613438</v>
      </c>
      <c r="IL20" s="83">
        <f t="shared" si="89"/>
        <v>0.41902678829278722</v>
      </c>
      <c r="IM20" s="83">
        <f t="shared" si="90"/>
        <v>0.42661861806089485</v>
      </c>
      <c r="IN20" s="81"/>
      <c r="IO20" s="81">
        <v>19</v>
      </c>
      <c r="IP20" s="133">
        <f t="shared" si="91"/>
        <v>0.26100759012040037</v>
      </c>
      <c r="IQ20" s="133">
        <f t="shared" si="92"/>
        <v>0.28561651657698445</v>
      </c>
      <c r="IR20" s="133">
        <f t="shared" si="93"/>
        <v>0.3031196475158271</v>
      </c>
      <c r="IS20" s="133">
        <f t="shared" si="367"/>
        <v>0.32052413288980652</v>
      </c>
      <c r="IT20" s="133">
        <f t="shared" si="368"/>
        <v>0.34507484437534514</v>
      </c>
      <c r="IU20" s="134">
        <f t="shared" si="369"/>
        <v>0.36800301474826819</v>
      </c>
      <c r="IV20" s="133">
        <f t="shared" si="370"/>
        <v>0.3877541190866115</v>
      </c>
      <c r="IW20" s="133">
        <f t="shared" si="94"/>
        <v>0.40350562243856969</v>
      </c>
      <c r="IX20" s="133">
        <f t="shared" si="95"/>
        <v>0.41223832662063142</v>
      </c>
      <c r="IY20" s="133">
        <f t="shared" si="96"/>
        <v>0.41944534446630816</v>
      </c>
      <c r="IZ20" s="133">
        <f t="shared" si="97"/>
        <v>0.42744376209345614</v>
      </c>
      <c r="JA20" s="81"/>
      <c r="JB20" s="81">
        <v>21</v>
      </c>
      <c r="JC20" s="133">
        <f t="shared" si="98"/>
        <v>0.29125957420056348</v>
      </c>
      <c r="JD20" s="133">
        <f t="shared" si="99"/>
        <v>0.30896629038868401</v>
      </c>
      <c r="JE20" s="133">
        <f t="shared" si="100"/>
        <v>0.32229469705678626</v>
      </c>
      <c r="JF20" s="133">
        <f t="shared" si="371"/>
        <v>0.33604307221084823</v>
      </c>
      <c r="JG20" s="133">
        <f t="shared" si="372"/>
        <v>0.35612021197825944</v>
      </c>
      <c r="JH20" s="134">
        <f t="shared" si="373"/>
        <v>0.37544625036361101</v>
      </c>
      <c r="JI20" s="133">
        <f t="shared" si="374"/>
        <v>0.39244573490109469</v>
      </c>
      <c r="JJ20" s="133">
        <f t="shared" si="101"/>
        <v>0.40619246045505103</v>
      </c>
      <c r="JK20" s="133">
        <f t="shared" si="102"/>
        <v>0.41387577079827542</v>
      </c>
      <c r="JL20" s="133">
        <f t="shared" si="103"/>
        <v>0.42024659582461649</v>
      </c>
      <c r="JM20" s="133">
        <f t="shared" si="104"/>
        <v>0.42734611627953789</v>
      </c>
      <c r="JN20" s="81"/>
      <c r="JO20" s="81">
        <v>18</v>
      </c>
      <c r="JP20" s="133">
        <f t="shared" si="105"/>
        <v>-8.4207635170105171</v>
      </c>
      <c r="JQ20" s="133">
        <f t="shared" si="106"/>
        <v>-7.1139996355357962</v>
      </c>
      <c r="JR20" s="133">
        <f t="shared" si="107"/>
        <v>-5.9724404210839932</v>
      </c>
      <c r="JS20" s="133">
        <f t="shared" si="375"/>
        <v>-4.6371297741142605</v>
      </c>
      <c r="JT20" s="133">
        <f t="shared" si="376"/>
        <v>-2.3667469668663017</v>
      </c>
      <c r="JU20" s="134">
        <f t="shared" si="377"/>
        <v>0.22237506972092191</v>
      </c>
      <c r="JV20" s="133">
        <f t="shared" si="378"/>
        <v>2.8684188385615634</v>
      </c>
      <c r="JW20" s="133">
        <f t="shared" si="108"/>
        <v>5.2874145440381888</v>
      </c>
      <c r="JX20" s="133">
        <f t="shared" si="109"/>
        <v>6.7567596223097723</v>
      </c>
      <c r="JY20" s="133">
        <f t="shared" si="110"/>
        <v>8.0424069268900524</v>
      </c>
      <c r="JZ20" s="133">
        <f t="shared" si="111"/>
        <v>9.5499281838900103</v>
      </c>
      <c r="KA20" s="81"/>
      <c r="KB20" s="81">
        <v>18</v>
      </c>
      <c r="KC20" s="133">
        <f t="shared" si="112"/>
        <v>-6.5457246767036956</v>
      </c>
      <c r="KD20" s="133">
        <f t="shared" si="113"/>
        <v>-5.5344050928852635</v>
      </c>
      <c r="KE20" s="133">
        <f t="shared" si="114"/>
        <v>-4.6220581287488001</v>
      </c>
      <c r="KF20" s="133">
        <f t="shared" si="379"/>
        <v>-3.5238681020245419</v>
      </c>
      <c r="KG20" s="133">
        <f t="shared" si="380"/>
        <v>-1.587768423855497</v>
      </c>
      <c r="KH20" s="134">
        <f t="shared" si="381"/>
        <v>0.71374173902152904</v>
      </c>
      <c r="KI20" s="133">
        <f t="shared" si="382"/>
        <v>3.1563216140435735</v>
      </c>
      <c r="KJ20" s="133">
        <f t="shared" si="115"/>
        <v>5.460599320985418</v>
      </c>
      <c r="KK20" s="133">
        <f t="shared" si="116"/>
        <v>6.8907013282007572</v>
      </c>
      <c r="KL20" s="133">
        <f t="shared" si="117"/>
        <v>8.1597183419737949</v>
      </c>
      <c r="KM20" s="133">
        <f t="shared" si="118"/>
        <v>9.6677894614529603</v>
      </c>
      <c r="KN20" s="81"/>
      <c r="KO20" s="81">
        <v>20</v>
      </c>
      <c r="KP20" s="133">
        <f t="shared" si="119"/>
        <v>-10.347161634611215</v>
      </c>
      <c r="KQ20" s="133">
        <f t="shared" si="120"/>
        <v>-8.7366679294639891</v>
      </c>
      <c r="KR20" s="133">
        <f t="shared" si="121"/>
        <v>-7.36172326187096</v>
      </c>
      <c r="KS20" s="133">
        <f t="shared" si="383"/>
        <v>-5.786721139039793</v>
      </c>
      <c r="KT20" s="133">
        <f t="shared" si="384"/>
        <v>-3.1805063477424795</v>
      </c>
      <c r="KU20" s="134">
        <f t="shared" si="385"/>
        <v>-0.3023081420054794</v>
      </c>
      <c r="KV20" s="133">
        <f t="shared" si="386"/>
        <v>2.551992469844599</v>
      </c>
      <c r="KW20" s="133">
        <f t="shared" si="122"/>
        <v>5.0951837514534404</v>
      </c>
      <c r="KX20" s="133">
        <f t="shared" si="123"/>
        <v>6.6125171737499464</v>
      </c>
      <c r="KY20" s="133">
        <f t="shared" si="124"/>
        <v>7.9245255807146435</v>
      </c>
      <c r="KZ20" s="133">
        <f t="shared" si="125"/>
        <v>9.445554195557694</v>
      </c>
      <c r="LA20" s="81"/>
      <c r="LB20" s="81">
        <v>18</v>
      </c>
      <c r="LC20" s="133">
        <f t="shared" si="126"/>
        <v>-22.595687534707402</v>
      </c>
      <c r="LD20" s="133">
        <f t="shared" si="127"/>
        <v>-19.15858012817732</v>
      </c>
      <c r="LE20" s="133">
        <f t="shared" si="128"/>
        <v>-16.081133310887903</v>
      </c>
      <c r="LF20" s="133">
        <f t="shared" si="387"/>
        <v>-12.408288514988136</v>
      </c>
      <c r="LG20" s="133">
        <f t="shared" si="388"/>
        <v>-6.0162111760294614</v>
      </c>
      <c r="LH20" s="134">
        <f t="shared" si="389"/>
        <v>1.4530585498958288</v>
      </c>
      <c r="LI20" s="133">
        <f t="shared" si="390"/>
        <v>9.2423607113377884</v>
      </c>
      <c r="LJ20" s="133">
        <f t="shared" si="129"/>
        <v>16.47512554881731</v>
      </c>
      <c r="LK20" s="133">
        <f t="shared" si="130"/>
        <v>20.913003039167542</v>
      </c>
      <c r="LL20" s="133">
        <f t="shared" si="131"/>
        <v>24.820738313564441</v>
      </c>
      <c r="LM20" s="133">
        <f t="shared" si="132"/>
        <v>29.429808670755712</v>
      </c>
      <c r="LN20" s="81"/>
      <c r="LO20" s="81">
        <v>18</v>
      </c>
      <c r="LP20" s="133">
        <f t="shared" si="133"/>
        <v>-19.707528972795533</v>
      </c>
      <c r="LQ20" s="133">
        <f t="shared" si="134"/>
        <v>-16.502179105865821</v>
      </c>
      <c r="LR20" s="133">
        <f t="shared" si="135"/>
        <v>-13.607080912546976</v>
      </c>
      <c r="LS20" s="133">
        <f t="shared" si="391"/>
        <v>-10.126977916770151</v>
      </c>
      <c r="LT20" s="133">
        <f t="shared" si="392"/>
        <v>-4.0188807375100808</v>
      </c>
      <c r="LU20" s="134">
        <f t="shared" si="393"/>
        <v>3.1835226641718286</v>
      </c>
      <c r="LV20" s="133">
        <f t="shared" si="394"/>
        <v>10.753110844775794</v>
      </c>
      <c r="LW20" s="133">
        <f t="shared" si="136"/>
        <v>17.825572632670227</v>
      </c>
      <c r="LX20" s="133">
        <f t="shared" si="137"/>
        <v>22.183042584274798</v>
      </c>
      <c r="LY20" s="133">
        <f t="shared" si="138"/>
        <v>26.030153166594193</v>
      </c>
      <c r="LZ20" s="133">
        <f t="shared" si="139"/>
        <v>30.579041963426338</v>
      </c>
      <c r="MA20" s="81"/>
      <c r="MB20" s="81">
        <v>20</v>
      </c>
      <c r="MC20" s="133">
        <f t="shared" si="140"/>
        <v>-24.598502545719722</v>
      </c>
      <c r="MD20" s="133">
        <f t="shared" si="141"/>
        <v>-21.009962804702205</v>
      </c>
      <c r="ME20" s="133">
        <f t="shared" si="142"/>
        <v>-17.835107949438012</v>
      </c>
      <c r="MF20" s="133">
        <f t="shared" si="395"/>
        <v>-14.088300434430106</v>
      </c>
      <c r="MG20" s="133">
        <f t="shared" si="396"/>
        <v>-7.6627657833766989</v>
      </c>
      <c r="MH20" s="134">
        <f t="shared" si="397"/>
        <v>-0.28335236175406919</v>
      </c>
      <c r="MI20" s="133">
        <f t="shared" si="398"/>
        <v>7.2896828918078072</v>
      </c>
      <c r="MJ20" s="133">
        <f t="shared" si="143"/>
        <v>14.227108249646804</v>
      </c>
      <c r="MK20" s="133">
        <f t="shared" si="144"/>
        <v>18.444212807161755</v>
      </c>
      <c r="ML20" s="133">
        <f t="shared" si="145"/>
        <v>22.13487823458734</v>
      </c>
      <c r="MM20" s="133">
        <f t="shared" si="146"/>
        <v>26.462527580199115</v>
      </c>
      <c r="MN20" s="81"/>
      <c r="MO20" s="81">
        <v>18</v>
      </c>
      <c r="MP20" s="133">
        <f t="shared" si="147"/>
        <v>-27.35492572945288</v>
      </c>
      <c r="MQ20" s="133">
        <f t="shared" si="148"/>
        <v>-23.050550572799757</v>
      </c>
      <c r="MR20" s="133">
        <f t="shared" si="149"/>
        <v>-19.313247599010033</v>
      </c>
      <c r="MS20" s="133">
        <f t="shared" si="399"/>
        <v>-14.972856786541481</v>
      </c>
      <c r="MT20" s="133">
        <f t="shared" si="400"/>
        <v>-7.6728522738522074</v>
      </c>
      <c r="MU20" s="134">
        <f t="shared" si="401"/>
        <v>0.53288809464891784</v>
      </c>
      <c r="MV20" s="133">
        <f t="shared" si="402"/>
        <v>8.796892810451979</v>
      </c>
      <c r="MW20" s="133">
        <f t="shared" si="150"/>
        <v>16.252563390774561</v>
      </c>
      <c r="MX20" s="133">
        <f t="shared" si="151"/>
        <v>20.73832477875775</v>
      </c>
      <c r="MY20" s="133">
        <f t="shared" si="152"/>
        <v>24.638140688778229</v>
      </c>
      <c r="MZ20" s="133">
        <f t="shared" si="153"/>
        <v>29.182448720681684</v>
      </c>
      <c r="NA20" s="81"/>
      <c r="NB20" s="81">
        <v>18</v>
      </c>
      <c r="NC20" s="133">
        <f t="shared" si="154"/>
        <v>-24.26226869965144</v>
      </c>
      <c r="ND20" s="133">
        <f t="shared" si="155"/>
        <v>-20.114913274228801</v>
      </c>
      <c r="NE20" s="133">
        <f t="shared" si="156"/>
        <v>-16.463775226831643</v>
      </c>
      <c r="NF20" s="133">
        <f t="shared" si="403"/>
        <v>-12.190021709914845</v>
      </c>
      <c r="NG20" s="133">
        <f t="shared" si="404"/>
        <v>-4.9501496621639909</v>
      </c>
      <c r="NH20" s="134">
        <f t="shared" si="405"/>
        <v>3.2397014558634609</v>
      </c>
      <c r="NI20" s="133">
        <f t="shared" si="406"/>
        <v>11.526198879010142</v>
      </c>
      <c r="NJ20" s="133">
        <f t="shared" si="157"/>
        <v>19.027290202599605</v>
      </c>
      <c r="NK20" s="133">
        <f t="shared" si="158"/>
        <v>23.54986711031076</v>
      </c>
      <c r="NL20" s="133">
        <f t="shared" si="159"/>
        <v>27.486782704004131</v>
      </c>
      <c r="NM20" s="133">
        <f t="shared" si="160"/>
        <v>32.07976552447964</v>
      </c>
      <c r="NN20" s="81"/>
      <c r="NO20" s="81">
        <v>20</v>
      </c>
      <c r="NP20" s="133">
        <f t="shared" si="161"/>
        <v>-28.455918139680101</v>
      </c>
      <c r="NQ20" s="133">
        <f t="shared" si="162"/>
        <v>-24.429787983914636</v>
      </c>
      <c r="NR20" s="133">
        <f t="shared" si="163"/>
        <v>-20.961772465053286</v>
      </c>
      <c r="NS20" s="133">
        <f t="shared" si="407"/>
        <v>-16.958719740365684</v>
      </c>
      <c r="NT20" s="133">
        <f t="shared" si="408"/>
        <v>-10.272296192115324</v>
      </c>
      <c r="NU20" s="134">
        <f t="shared" si="409"/>
        <v>-2.809780467168622</v>
      </c>
      <c r="NV20" s="133">
        <f t="shared" si="410"/>
        <v>4.6609535688127082</v>
      </c>
      <c r="NW20" s="133">
        <f t="shared" si="164"/>
        <v>11.369392191935589</v>
      </c>
      <c r="NX20" s="133">
        <f t="shared" si="165"/>
        <v>15.393089826049916</v>
      </c>
      <c r="NY20" s="133">
        <f t="shared" si="166"/>
        <v>18.884301075691596</v>
      </c>
      <c r="NZ20" s="133">
        <f t="shared" si="167"/>
        <v>22.944962440422849</v>
      </c>
      <c r="OA20" s="81"/>
      <c r="OB20" s="81">
        <v>18</v>
      </c>
      <c r="OC20" s="133">
        <v>16.196409697467143</v>
      </c>
      <c r="OD20" s="133">
        <v>18.012460957792662</v>
      </c>
      <c r="OE20" s="133">
        <v>19.736413631622035</v>
      </c>
      <c r="OF20" s="133">
        <v>21.929780754488394</v>
      </c>
      <c r="OG20" s="133">
        <v>26.14448906561957</v>
      </c>
      <c r="OH20" s="134">
        <v>31.803474175840581</v>
      </c>
      <c r="OI20" s="133">
        <v>38.687348875501492</v>
      </c>
      <c r="OJ20" s="133">
        <v>46.122712350707921</v>
      </c>
      <c r="OK20" s="133">
        <v>51.24846836574087</v>
      </c>
      <c r="OL20" s="133">
        <v>56.153402470847503</v>
      </c>
      <c r="OM20" s="133">
        <v>62.449702653022818</v>
      </c>
      <c r="ON20" s="81"/>
      <c r="OO20" s="81">
        <v>18</v>
      </c>
      <c r="OP20" s="133">
        <v>15.876663763950287</v>
      </c>
      <c r="OQ20" s="133">
        <v>17.545428695136735</v>
      </c>
      <c r="OR20" s="133">
        <v>19.120286627386246</v>
      </c>
      <c r="OS20" s="133">
        <v>21.112225550052912</v>
      </c>
      <c r="OT20" s="133">
        <v>25.278666386275962</v>
      </c>
      <c r="OU20" s="134">
        <v>29.94723761525195</v>
      </c>
      <c r="OV20" s="133">
        <v>36.006575864452664</v>
      </c>
      <c r="OW20" s="133">
        <v>42.479512103455768</v>
      </c>
      <c r="OX20" s="133">
        <v>46.904999818350475</v>
      </c>
      <c r="OY20" s="133">
        <v>51.115139810345426</v>
      </c>
      <c r="OZ20" s="133">
        <v>56.487751716499034</v>
      </c>
      <c r="PA20" s="81"/>
      <c r="PB20" s="81">
        <v>20</v>
      </c>
      <c r="PC20" s="133">
        <v>19.670407622310449</v>
      </c>
      <c r="PD20" s="133">
        <v>21.611756560922139</v>
      </c>
      <c r="PE20" s="133">
        <v>23.433989968642706</v>
      </c>
      <c r="PF20" s="133">
        <v>25.726404538503424</v>
      </c>
      <c r="PG20" s="133">
        <v>30.060421515725125</v>
      </c>
      <c r="PH20" s="134">
        <v>35.756846310771955</v>
      </c>
      <c r="PI20" s="133">
        <v>42.532738851427382</v>
      </c>
      <c r="PJ20" s="133">
        <v>49.698046852160026</v>
      </c>
      <c r="PK20" s="133">
        <v>54.559725416073441</v>
      </c>
      <c r="PL20" s="133">
        <v>59.160024983994717</v>
      </c>
      <c r="PM20" s="133">
        <v>64.998757658789614</v>
      </c>
      <c r="PN20" s="81"/>
      <c r="PO20" s="81">
        <v>18</v>
      </c>
      <c r="PP20" s="133">
        <v>7.6399873729871972</v>
      </c>
      <c r="PQ20" s="133">
        <v>8.3431637957133287</v>
      </c>
      <c r="PR20" s="133">
        <v>8.9994842899561611</v>
      </c>
      <c r="PS20" s="133">
        <v>9.8205112033832584</v>
      </c>
      <c r="PT20" s="133">
        <v>11.36018694235533</v>
      </c>
      <c r="PU20" s="134">
        <v>13.362412954412799</v>
      </c>
      <c r="PV20" s="133">
        <v>15.717530078535759</v>
      </c>
      <c r="PW20" s="133">
        <v>18.181750039931273</v>
      </c>
      <c r="PX20" s="133">
        <v>19.840479099845048</v>
      </c>
      <c r="PY20" s="133">
        <v>21.401243501415983</v>
      </c>
      <c r="PZ20" s="133">
        <v>23.370991501317796</v>
      </c>
      <c r="QA20" s="81"/>
      <c r="QB20" s="81">
        <v>18</v>
      </c>
      <c r="QC20" s="133">
        <v>7.4344226522368961</v>
      </c>
      <c r="QD20" s="133">
        <v>8.1062054168734328</v>
      </c>
      <c r="QE20" s="133">
        <v>8.7323299788244562</v>
      </c>
      <c r="QF20" s="133">
        <v>9.5144668309167422</v>
      </c>
      <c r="QG20" s="133">
        <v>10.978202782349889</v>
      </c>
      <c r="QH20" s="134">
        <v>12.876549240439683</v>
      </c>
      <c r="QI20" s="133">
        <v>15.103157012916556</v>
      </c>
      <c r="QJ20" s="133">
        <v>17.426674903389411</v>
      </c>
      <c r="QK20" s="133">
        <v>18.987546364319648</v>
      </c>
      <c r="QL20" s="133">
        <v>20.454147386437576</v>
      </c>
      <c r="QM20" s="133">
        <v>22.30240707280473</v>
      </c>
      <c r="QN20" s="81"/>
      <c r="QO20" s="81">
        <v>20</v>
      </c>
      <c r="QP20" s="133">
        <v>8.3854100079207772</v>
      </c>
      <c r="QQ20" s="133">
        <v>9.1250597528772381</v>
      </c>
      <c r="QR20" s="133">
        <v>9.8131743146190793</v>
      </c>
      <c r="QS20" s="133">
        <v>10.671171846726716</v>
      </c>
      <c r="QT20" s="133">
        <v>12.272642693824837</v>
      </c>
      <c r="QU20" s="134">
        <v>14.342428938663504</v>
      </c>
      <c r="QV20" s="133">
        <v>16.761285486141951</v>
      </c>
      <c r="QW20" s="133">
        <v>19.276727131304749</v>
      </c>
      <c r="QX20" s="133">
        <v>20.962153658492035</v>
      </c>
      <c r="QY20" s="133">
        <v>22.542895436465603</v>
      </c>
      <c r="QZ20" s="133">
        <v>24.531330926729311</v>
      </c>
      <c r="RA20" s="81"/>
      <c r="RB20" s="81">
        <v>18</v>
      </c>
      <c r="RC20" s="133">
        <f t="shared" si="168"/>
        <v>0.25321247380343387</v>
      </c>
      <c r="RD20" s="133">
        <f t="shared" si="169"/>
        <v>0.27366115832270382</v>
      </c>
      <c r="RE20" s="133">
        <f t="shared" si="170"/>
        <v>0.29278398143872175</v>
      </c>
      <c r="RF20" s="133">
        <f t="shared" si="411"/>
        <v>0.31677495238921399</v>
      </c>
      <c r="RG20" s="133">
        <f t="shared" si="412"/>
        <v>0.36203293714037199</v>
      </c>
      <c r="RH20" s="134">
        <f t="shared" si="413"/>
        <v>0.42153027856007752</v>
      </c>
      <c r="RI20" s="133">
        <f t="shared" si="414"/>
        <v>0.49260079110120736</v>
      </c>
      <c r="RJ20" s="133">
        <f t="shared" si="171"/>
        <v>0.56835296058579088</v>
      </c>
      <c r="RK20" s="133">
        <f t="shared" si="172"/>
        <v>0.62019038382448965</v>
      </c>
      <c r="RL20" s="133">
        <f t="shared" si="173"/>
        <v>0.66960908285324605</v>
      </c>
      <c r="RM20" s="133">
        <f t="shared" si="174"/>
        <v>0.7328859357087868</v>
      </c>
      <c r="RN20" s="81"/>
      <c r="RO20" s="81">
        <v>18</v>
      </c>
      <c r="RP20" s="133">
        <f t="shared" si="175"/>
        <v>0.27452200382263686</v>
      </c>
      <c r="RQ20" s="133">
        <f t="shared" si="176"/>
        <v>0.2943959814173831</v>
      </c>
      <c r="RR20" s="133">
        <f t="shared" si="177"/>
        <v>0.31290210001125435</v>
      </c>
      <c r="RS20" s="133">
        <f t="shared" si="415"/>
        <v>0.33602482479153573</v>
      </c>
      <c r="RT20" s="133">
        <f t="shared" si="416"/>
        <v>0.37940510208804235</v>
      </c>
      <c r="RU20" s="134">
        <f t="shared" si="417"/>
        <v>0.43606055419828421</v>
      </c>
      <c r="RV20" s="133">
        <f t="shared" si="418"/>
        <v>0.503332563961843</v>
      </c>
      <c r="RW20" s="133">
        <f t="shared" si="178"/>
        <v>0.57470051606527883</v>
      </c>
      <c r="RX20" s="133">
        <f t="shared" si="179"/>
        <v>0.62339899290039802</v>
      </c>
      <c r="RY20" s="133">
        <f t="shared" si="180"/>
        <v>0.66975071390892715</v>
      </c>
      <c r="RZ20" s="133">
        <f t="shared" si="181"/>
        <v>0.72902569015381902</v>
      </c>
      <c r="SA20" s="81"/>
      <c r="SB20" s="81">
        <v>20</v>
      </c>
      <c r="SC20" s="133">
        <f t="shared" si="182"/>
        <v>0.23343140465061618</v>
      </c>
      <c r="SD20" s="133">
        <f t="shared" si="183"/>
        <v>0.25455357635726555</v>
      </c>
      <c r="SE20" s="133">
        <f t="shared" si="184"/>
        <v>0.27426367005055863</v>
      </c>
      <c r="SF20" s="133">
        <f t="shared" si="419"/>
        <v>0.29891648659840264</v>
      </c>
      <c r="SG20" s="133">
        <f t="shared" si="420"/>
        <v>0.3451454932463231</v>
      </c>
      <c r="SH20" s="134">
        <f t="shared" si="421"/>
        <v>0.40527412005107322</v>
      </c>
      <c r="SI20" s="133">
        <f t="shared" si="422"/>
        <v>0.4760378178148163</v>
      </c>
      <c r="SJ20" s="133">
        <f t="shared" si="185"/>
        <v>0.55013983139392542</v>
      </c>
      <c r="SK20" s="133">
        <f t="shared" si="186"/>
        <v>0.60005999157315337</v>
      </c>
      <c r="SL20" s="133">
        <f t="shared" si="187"/>
        <v>0.64706366722606623</v>
      </c>
      <c r="SM20" s="133">
        <f t="shared" si="188"/>
        <v>0.70643004728464431</v>
      </c>
      <c r="SN20" s="81"/>
      <c r="SO20" s="81">
        <v>18</v>
      </c>
      <c r="SP20" s="133">
        <f t="shared" si="189"/>
        <v>0.20091782926398943</v>
      </c>
      <c r="SQ20" s="133">
        <f t="shared" si="190"/>
        <v>0.2142059508557965</v>
      </c>
      <c r="SR20" s="133">
        <f t="shared" si="191"/>
        <v>0.22615021960496648</v>
      </c>
      <c r="SS20" s="133">
        <f t="shared" si="423"/>
        <v>0.24053096717796082</v>
      </c>
      <c r="ST20" s="133">
        <f t="shared" si="424"/>
        <v>0.2660270583754491</v>
      </c>
      <c r="SU20" s="134">
        <f t="shared" si="425"/>
        <v>0.29676674125006752</v>
      </c>
      <c r="SV20" s="133">
        <f t="shared" si="426"/>
        <v>0.33008526086202894</v>
      </c>
      <c r="SW20" s="133">
        <f t="shared" si="192"/>
        <v>0.36228738567515006</v>
      </c>
      <c r="SX20" s="133">
        <f t="shared" si="193"/>
        <v>0.3826826769300663</v>
      </c>
      <c r="SY20" s="133">
        <f t="shared" si="194"/>
        <v>0.40105659150342882</v>
      </c>
      <c r="SZ20" s="133">
        <f t="shared" si="195"/>
        <v>0.42323996939931202</v>
      </c>
      <c r="TA20" s="81"/>
      <c r="TB20" s="81">
        <v>18</v>
      </c>
      <c r="TC20" s="133">
        <f t="shared" si="196"/>
        <v>0.21461427715274253</v>
      </c>
      <c r="TD20" s="133">
        <f t="shared" si="197"/>
        <v>0.2270202370497944</v>
      </c>
      <c r="TE20" s="133">
        <f t="shared" si="198"/>
        <v>0.23815834622164461</v>
      </c>
      <c r="TF20" s="133">
        <f t="shared" si="427"/>
        <v>0.25155625500694934</v>
      </c>
      <c r="TG20" s="133">
        <f t="shared" si="428"/>
        <v>0.27528947733930026</v>
      </c>
      <c r="TH20" s="134">
        <f t="shared" si="429"/>
        <v>0.30389182254711677</v>
      </c>
      <c r="TI20" s="133">
        <f t="shared" si="430"/>
        <v>0.33490567981350811</v>
      </c>
      <c r="TJ20" s="133">
        <f t="shared" si="199"/>
        <v>0.36491284649266903</v>
      </c>
      <c r="TK20" s="133">
        <f t="shared" si="200"/>
        <v>0.38394147504174575</v>
      </c>
      <c r="TL20" s="133">
        <f t="shared" si="201"/>
        <v>0.40110279053886849</v>
      </c>
      <c r="TM20" s="133">
        <f t="shared" si="202"/>
        <v>0.42184829763373799</v>
      </c>
      <c r="TN20" s="81"/>
      <c r="TO20" s="81">
        <v>20</v>
      </c>
      <c r="TP20" s="133">
        <f t="shared" si="203"/>
        <v>0.18768759255572279</v>
      </c>
      <c r="TQ20" s="133">
        <f t="shared" si="204"/>
        <v>0.20197642100863003</v>
      </c>
      <c r="TR20" s="133">
        <f t="shared" si="205"/>
        <v>0.21473962274769268</v>
      </c>
      <c r="TS20" s="133">
        <f t="shared" si="431"/>
        <v>0.23000351941523006</v>
      </c>
      <c r="TT20" s="133">
        <f t="shared" si="432"/>
        <v>0.25678767501593752</v>
      </c>
      <c r="TU20" s="134">
        <f t="shared" si="433"/>
        <v>0.28861250367253227</v>
      </c>
      <c r="TV20" s="133">
        <f t="shared" si="434"/>
        <v>0.32254535136477747</v>
      </c>
      <c r="TW20" s="133">
        <f t="shared" si="206"/>
        <v>0.35480810863017781</v>
      </c>
      <c r="TX20" s="133">
        <f t="shared" si="207"/>
        <v>0.37498186120247184</v>
      </c>
      <c r="TY20" s="133">
        <f t="shared" si="208"/>
        <v>0.39298978614960189</v>
      </c>
      <c r="TZ20" s="133">
        <f t="shared" si="209"/>
        <v>0.41452776321405521</v>
      </c>
      <c r="UA20" s="81"/>
      <c r="UB20" s="81">
        <v>18</v>
      </c>
      <c r="UC20" s="133">
        <f t="shared" si="210"/>
        <v>-29.334398622183578</v>
      </c>
      <c r="UD20" s="133">
        <f t="shared" si="211"/>
        <v>-25.771194243689209</v>
      </c>
      <c r="UE20" s="133">
        <f t="shared" si="212"/>
        <v>-22.815057677182018</v>
      </c>
      <c r="UF20" s="133">
        <f t="shared" si="435"/>
        <v>-19.51366207708633</v>
      </c>
      <c r="UG20" s="133">
        <f t="shared" si="436"/>
        <v>-14.222687506890558</v>
      </c>
      <c r="UH20" s="134">
        <f t="shared" si="437"/>
        <v>-8.5908770995622064</v>
      </c>
      <c r="UI20" s="133">
        <f t="shared" si="438"/>
        <v>-3.1902674095445605</v>
      </c>
      <c r="UJ20" s="133">
        <f t="shared" si="213"/>
        <v>1.4886225206578985</v>
      </c>
      <c r="UK20" s="133">
        <f t="shared" si="214"/>
        <v>4.2268830457220901</v>
      </c>
      <c r="UL20" s="133">
        <f t="shared" si="215"/>
        <v>6.5650217896493785</v>
      </c>
      <c r="UM20" s="133">
        <f t="shared" si="216"/>
        <v>9.2433841874331648</v>
      </c>
      <c r="UN20" s="81"/>
      <c r="UO20" s="81">
        <v>18</v>
      </c>
      <c r="UP20" s="133">
        <f t="shared" si="217"/>
        <v>-25.127556108653074</v>
      </c>
      <c r="UQ20" s="133">
        <f t="shared" si="218"/>
        <v>-22.288011257937228</v>
      </c>
      <c r="UR20" s="133">
        <f t="shared" si="219"/>
        <v>-19.857039447331353</v>
      </c>
      <c r="US20" s="133">
        <f t="shared" si="439"/>
        <v>-17.064583999852097</v>
      </c>
      <c r="UT20" s="133">
        <f t="shared" si="440"/>
        <v>-12.426105981502971</v>
      </c>
      <c r="UU20" s="134">
        <f t="shared" si="441"/>
        <v>-7.2795116667438471</v>
      </c>
      <c r="UV20" s="133">
        <f t="shared" si="442"/>
        <v>-2.1527928499201288</v>
      </c>
      <c r="UW20" s="133">
        <f t="shared" si="220"/>
        <v>2.4327091931798677</v>
      </c>
      <c r="UX20" s="133">
        <f t="shared" si="221"/>
        <v>5.1758917646066749</v>
      </c>
      <c r="UY20" s="133">
        <f t="shared" si="222"/>
        <v>7.5520722768261948</v>
      </c>
      <c r="UZ20" s="133">
        <f t="shared" si="223"/>
        <v>10.311495368829071</v>
      </c>
      <c r="VA20" s="81"/>
      <c r="VB20" s="81">
        <v>21</v>
      </c>
      <c r="VC20" s="133">
        <f t="shared" si="224"/>
        <v>-32.042570247419107</v>
      </c>
      <c r="VD20" s="133">
        <f t="shared" si="225"/>
        <v>-27.815591252632551</v>
      </c>
      <c r="VE20" s="133">
        <f t="shared" si="226"/>
        <v>-24.41895388633376</v>
      </c>
      <c r="VF20" s="133">
        <f t="shared" si="443"/>
        <v>-20.720881578759013</v>
      </c>
      <c r="VG20" s="133">
        <f t="shared" si="444"/>
        <v>-14.96362699210804</v>
      </c>
      <c r="VH20" s="134">
        <f t="shared" si="445"/>
        <v>-9.0186759708686211</v>
      </c>
      <c r="VI20" s="133">
        <f t="shared" si="446"/>
        <v>-3.4599201933548187</v>
      </c>
      <c r="VJ20" s="133">
        <f t="shared" si="227"/>
        <v>1.2623453185791931</v>
      </c>
      <c r="VK20" s="133">
        <f t="shared" si="228"/>
        <v>3.9906925999404024</v>
      </c>
      <c r="VL20" s="133">
        <f t="shared" si="229"/>
        <v>6.3015577309717088</v>
      </c>
      <c r="VM20" s="133">
        <f t="shared" si="230"/>
        <v>8.9287883691150256</v>
      </c>
      <c r="VN20" s="81"/>
      <c r="VO20" s="81">
        <v>18</v>
      </c>
      <c r="VP20" s="133">
        <f t="shared" si="231"/>
        <v>-47.532000106595341</v>
      </c>
      <c r="VQ20" s="133">
        <f t="shared" si="232"/>
        <v>-44.27604721755457</v>
      </c>
      <c r="VR20" s="133">
        <f t="shared" si="233"/>
        <v>-41.095827425956884</v>
      </c>
      <c r="VS20" s="133">
        <f t="shared" si="447"/>
        <v>-37.014090426720216</v>
      </c>
      <c r="VT20" s="133">
        <f t="shared" si="448"/>
        <v>-29.264003003452835</v>
      </c>
      <c r="VU20" s="134">
        <f t="shared" si="449"/>
        <v>-19.31190776710217</v>
      </c>
      <c r="VV20" s="133">
        <f t="shared" si="450"/>
        <v>-8.0472033334500424</v>
      </c>
      <c r="VW20" s="133">
        <f t="shared" si="234"/>
        <v>3.1268352820366161</v>
      </c>
      <c r="VX20" s="133">
        <f t="shared" si="235"/>
        <v>10.293244612888209</v>
      </c>
      <c r="VY20" s="133">
        <f t="shared" si="236"/>
        <v>16.786500948472572</v>
      </c>
      <c r="VZ20" s="133">
        <f t="shared" si="237"/>
        <v>24.654685898365663</v>
      </c>
      <c r="WA20" s="81"/>
      <c r="WB20" s="81">
        <v>18</v>
      </c>
      <c r="WC20" s="133">
        <f t="shared" si="238"/>
        <v>-44.244646681523292</v>
      </c>
      <c r="WD20" s="133">
        <f t="shared" si="239"/>
        <v>-41.340758734657108</v>
      </c>
      <c r="WE20" s="133">
        <f t="shared" si="240"/>
        <v>-38.39875147366871</v>
      </c>
      <c r="WF20" s="133">
        <f t="shared" si="451"/>
        <v>-34.526469825456871</v>
      </c>
      <c r="WG20" s="133">
        <f t="shared" si="452"/>
        <v>-26.987662703127672</v>
      </c>
      <c r="WH20" s="134">
        <f t="shared" si="453"/>
        <v>-17.08951650422912</v>
      </c>
      <c r="WI20" s="133">
        <f t="shared" si="454"/>
        <v>-5.7062557037513741</v>
      </c>
      <c r="WJ20" s="133">
        <f t="shared" si="241"/>
        <v>5.7096276290949106</v>
      </c>
      <c r="WK20" s="133">
        <f t="shared" si="242"/>
        <v>13.07913077613162</v>
      </c>
      <c r="WL20" s="133">
        <f t="shared" si="243"/>
        <v>19.782529111261958</v>
      </c>
      <c r="WM20" s="133">
        <f t="shared" si="244"/>
        <v>27.933689144721733</v>
      </c>
      <c r="WN20" s="81"/>
      <c r="WO20" s="81">
        <v>21</v>
      </c>
      <c r="WP20" s="133">
        <f t="shared" si="245"/>
        <v>-48.744521654173425</v>
      </c>
      <c r="WQ20" s="133">
        <f t="shared" si="246"/>
        <v>-45.24973076183047</v>
      </c>
      <c r="WR20" s="133">
        <f t="shared" si="247"/>
        <v>-41.854419176483788</v>
      </c>
      <c r="WS20" s="133">
        <f t="shared" si="455"/>
        <v>-37.539438746321522</v>
      </c>
      <c r="WT20" s="133">
        <f t="shared" si="456"/>
        <v>-29.483761820077213</v>
      </c>
      <c r="WU20" s="134">
        <f t="shared" si="457"/>
        <v>-19.373423760234232</v>
      </c>
      <c r="WV20" s="133">
        <f t="shared" si="458"/>
        <v>-8.1911245144306193</v>
      </c>
      <c r="WW20" s="133">
        <f t="shared" si="248"/>
        <v>2.6768537746966885</v>
      </c>
      <c r="WX20" s="133">
        <f t="shared" si="249"/>
        <v>9.5470419370695865</v>
      </c>
      <c r="WY20" s="133">
        <f t="shared" si="250"/>
        <v>15.712161079450475</v>
      </c>
      <c r="WZ20" s="133">
        <f t="shared" si="251"/>
        <v>23.113476686076503</v>
      </c>
      <c r="XA20" s="81"/>
      <c r="XB20" s="81">
        <v>18</v>
      </c>
      <c r="XC20" s="133">
        <f t="shared" si="252"/>
        <v>-51.594909230653236</v>
      </c>
      <c r="XD20" s="133">
        <f t="shared" si="253"/>
        <v>-47.734020356137471</v>
      </c>
      <c r="XE20" s="133">
        <f t="shared" si="254"/>
        <v>-44.011875245154471</v>
      </c>
      <c r="XF20" s="133">
        <f t="shared" si="459"/>
        <v>-39.351725812802087</v>
      </c>
      <c r="XG20" s="133">
        <f t="shared" si="460"/>
        <v>-30.855448371765473</v>
      </c>
      <c r="XH20" s="134">
        <f t="shared" si="461"/>
        <v>-20.505976874943585</v>
      </c>
      <c r="XI20" s="133">
        <f t="shared" si="462"/>
        <v>-9.3795557897387738</v>
      </c>
      <c r="XJ20" s="133">
        <f t="shared" si="255"/>
        <v>1.1771940322040564</v>
      </c>
      <c r="XK20" s="133">
        <f t="shared" si="256"/>
        <v>7.7410593795097569</v>
      </c>
      <c r="XL20" s="133">
        <f t="shared" si="257"/>
        <v>13.567681468220322</v>
      </c>
      <c r="XM20" s="133">
        <f t="shared" si="258"/>
        <v>20.490533528969372</v>
      </c>
      <c r="XN20" s="81"/>
      <c r="XO20" s="81">
        <v>18</v>
      </c>
      <c r="XP20" s="133">
        <f t="shared" si="259"/>
        <v>-48.847258300051152</v>
      </c>
      <c r="XQ20" s="133">
        <f t="shared" si="260"/>
        <v>-44.993088647275655</v>
      </c>
      <c r="XR20" s="133">
        <f t="shared" si="261"/>
        <v>-41.233133159708544</v>
      </c>
      <c r="XS20" s="133">
        <f t="shared" si="463"/>
        <v>-36.512581017499357</v>
      </c>
      <c r="XT20" s="133">
        <f t="shared" si="464"/>
        <v>-27.91019929297731</v>
      </c>
      <c r="XU20" s="134">
        <f t="shared" si="465"/>
        <v>-17.461299797123694</v>
      </c>
      <c r="XV20" s="133">
        <f t="shared" si="466"/>
        <v>-6.2690511517860443</v>
      </c>
      <c r="XW20" s="133">
        <f t="shared" si="262"/>
        <v>4.3134600841721422</v>
      </c>
      <c r="XX20" s="133">
        <f t="shared" si="263"/>
        <v>10.876903355404622</v>
      </c>
      <c r="XY20" s="133">
        <f t="shared" si="264"/>
        <v>16.693373945646663</v>
      </c>
      <c r="XZ20" s="133">
        <f t="shared" si="265"/>
        <v>23.592943240937124</v>
      </c>
      <c r="YA20" s="81"/>
      <c r="YB20" s="81">
        <v>21</v>
      </c>
      <c r="YC20" s="133">
        <f t="shared" si="266"/>
        <v>-53.214877562091438</v>
      </c>
      <c r="YD20" s="133">
        <f t="shared" si="267"/>
        <v>-49.27000606715707</v>
      </c>
      <c r="YE20" s="133">
        <f t="shared" si="268"/>
        <v>-45.448461510850429</v>
      </c>
      <c r="YF20" s="133">
        <f t="shared" si="467"/>
        <v>-40.686960270432088</v>
      </c>
      <c r="YG20" s="133">
        <f t="shared" si="468"/>
        <v>-32.0912556492028</v>
      </c>
      <c r="YH20" s="134">
        <f t="shared" si="469"/>
        <v>-21.75546932465064</v>
      </c>
      <c r="YI20" s="133">
        <f t="shared" si="470"/>
        <v>-10.779257981932396</v>
      </c>
      <c r="YJ20" s="133">
        <f t="shared" si="269"/>
        <v>-0.47148003549107642</v>
      </c>
      <c r="YK20" s="133">
        <f t="shared" si="270"/>
        <v>5.8928065526218489</v>
      </c>
      <c r="YL20" s="133">
        <f t="shared" si="271"/>
        <v>11.516544347812349</v>
      </c>
      <c r="YM20" s="133">
        <f t="shared" si="272"/>
        <v>18.169460640509094</v>
      </c>
      <c r="YN20" s="81"/>
      <c r="YO20" s="81">
        <v>18</v>
      </c>
      <c r="YP20" s="133">
        <v>20.813329633951028</v>
      </c>
      <c r="YQ20" s="133">
        <v>23.347983709238871</v>
      </c>
      <c r="YR20" s="133">
        <v>25.773464313924222</v>
      </c>
      <c r="YS20" s="133">
        <v>28.884230050849155</v>
      </c>
      <c r="YT20" s="133">
        <v>34.931362781392323</v>
      </c>
      <c r="YU20" s="134">
        <v>43.174794411022361</v>
      </c>
      <c r="YV20" s="133">
        <v>53.363588592284167</v>
      </c>
      <c r="YW20" s="133">
        <v>64.535660779340986</v>
      </c>
      <c r="YX20" s="133">
        <v>72.324886159249459</v>
      </c>
      <c r="YY20" s="133">
        <v>79.83828049770446</v>
      </c>
      <c r="YZ20" s="133">
        <v>89.561012352072623</v>
      </c>
      <c r="ZA20" s="81"/>
      <c r="ZB20" s="81">
        <v>18</v>
      </c>
      <c r="ZC20" s="133">
        <v>19.687555766788517</v>
      </c>
      <c r="ZD20" s="133">
        <v>22.121895753529031</v>
      </c>
      <c r="ZE20" s="133">
        <v>24.454981385253191</v>
      </c>
      <c r="ZF20" s="133">
        <v>27.451872659582257</v>
      </c>
      <c r="ZG20" s="133">
        <v>33.290643826705974</v>
      </c>
      <c r="ZH20" s="134">
        <v>41.27332143631638</v>
      </c>
      <c r="ZI20" s="133">
        <v>51.170144718527339</v>
      </c>
      <c r="ZJ20" s="133">
        <v>62.053583138375778</v>
      </c>
      <c r="ZK20" s="133">
        <v>69.658080517400322</v>
      </c>
      <c r="ZL20" s="133">
        <v>77.004569651935952</v>
      </c>
      <c r="ZM20" s="133">
        <v>86.526081884636639</v>
      </c>
      <c r="ZN20" s="81"/>
      <c r="ZO20" s="81">
        <v>21</v>
      </c>
      <c r="ZP20" s="133">
        <v>22.705421547017576</v>
      </c>
      <c r="ZQ20" s="133">
        <v>25.31195954017527</v>
      </c>
      <c r="ZR20" s="133">
        <v>27.791823532715064</v>
      </c>
      <c r="ZS20" s="133">
        <v>30.95396093663441</v>
      </c>
      <c r="ZT20" s="133">
        <v>37.049773030347893</v>
      </c>
      <c r="ZU20" s="134">
        <v>45.269000062808608</v>
      </c>
      <c r="ZV20" s="133">
        <v>55.311603798705463</v>
      </c>
      <c r="ZW20" s="133">
        <v>66.204204718150081</v>
      </c>
      <c r="ZX20" s="133">
        <v>73.736880355269179</v>
      </c>
      <c r="ZY20" s="133">
        <v>80.961032014685955</v>
      </c>
      <c r="ZZ20" s="133">
        <v>90.255200170716279</v>
      </c>
      <c r="AAA20" s="81"/>
      <c r="AAB20" s="81">
        <v>18</v>
      </c>
      <c r="AAC20" s="133">
        <v>8.1531778732290388</v>
      </c>
      <c r="AAD20" s="133">
        <v>9.0287102777921593</v>
      </c>
      <c r="AAE20" s="133">
        <v>9.8565532905286357</v>
      </c>
      <c r="AAF20" s="133">
        <v>10.905641962454595</v>
      </c>
      <c r="AAG20" s="133">
        <v>12.910047565058447</v>
      </c>
      <c r="AAH20" s="134">
        <v>15.58121341904468</v>
      </c>
      <c r="AAI20" s="133">
        <v>18.805059422623355</v>
      </c>
      <c r="AAJ20" s="133">
        <v>22.261340730387904</v>
      </c>
      <c r="AAK20" s="133">
        <v>24.630741036332104</v>
      </c>
      <c r="AAL20" s="133">
        <v>26.889135229753418</v>
      </c>
      <c r="AAM20" s="133">
        <v>29.776636225117471</v>
      </c>
      <c r="AAN20" s="81"/>
      <c r="AAO20" s="81">
        <v>18</v>
      </c>
      <c r="AAP20" s="133">
        <v>7.7782945542688999</v>
      </c>
      <c r="AAQ20" s="133">
        <v>8.6380090752272274</v>
      </c>
      <c r="AAR20" s="133">
        <v>9.4530354004901387</v>
      </c>
      <c r="AAS20" s="133">
        <v>10.48860102150125</v>
      </c>
      <c r="AAT20" s="133">
        <v>12.474683862908373</v>
      </c>
      <c r="AAU20" s="134">
        <v>15.134622530017696</v>
      </c>
      <c r="AAV20" s="133">
        <v>18.361731779607325</v>
      </c>
      <c r="AAW20" s="133">
        <v>21.838641650736953</v>
      </c>
      <c r="AAX20" s="133">
        <v>24.231031559899019</v>
      </c>
      <c r="AAY20" s="133">
        <v>26.51731401660907</v>
      </c>
      <c r="AAZ20" s="133">
        <v>29.448203269752479</v>
      </c>
      <c r="ABA20" s="81"/>
      <c r="ABB20" s="81">
        <v>21</v>
      </c>
      <c r="ABC20" s="133">
        <v>9.0112969344343679</v>
      </c>
      <c r="ABD20" s="133">
        <v>9.9253100332191675</v>
      </c>
      <c r="ABE20" s="133">
        <v>10.785224163798086</v>
      </c>
      <c r="ABF20" s="133">
        <v>11.869516245319904</v>
      </c>
      <c r="ABG20" s="133">
        <v>13.926294942049063</v>
      </c>
      <c r="ABH20" s="134">
        <v>16.641445851346909</v>
      </c>
      <c r="ABI20" s="133">
        <v>19.885958266410491</v>
      </c>
      <c r="ABJ20" s="133">
        <v>23.331845569738917</v>
      </c>
      <c r="ABK20" s="133">
        <v>25.677511734330604</v>
      </c>
      <c r="ABL20" s="133">
        <v>27.902173241583807</v>
      </c>
      <c r="ABM20" s="133">
        <v>30.73228216074698</v>
      </c>
      <c r="ABN20" s="81"/>
      <c r="ABO20" s="81">
        <v>18</v>
      </c>
      <c r="ABP20" s="133">
        <f t="shared" si="273"/>
        <v>0.17428245863633859</v>
      </c>
      <c r="ABQ20" s="133">
        <f t="shared" si="274"/>
        <v>0.19800211448802046</v>
      </c>
      <c r="ABR20" s="133">
        <f t="shared" si="275"/>
        <v>0.2202137458733503</v>
      </c>
      <c r="ABS20" s="133">
        <f t="shared" si="471"/>
        <v>0.24801634867746236</v>
      </c>
      <c r="ABT20" s="133">
        <f t="shared" si="472"/>
        <v>0.29997113223473559</v>
      </c>
      <c r="ABU20" s="134">
        <f t="shared" si="473"/>
        <v>0.36676612410547216</v>
      </c>
      <c r="ABV20" s="133">
        <f t="shared" si="474"/>
        <v>0.44379967347097743</v>
      </c>
      <c r="ABW20" s="133">
        <f t="shared" si="276"/>
        <v>0.52239402483517805</v>
      </c>
      <c r="ABX20" s="133">
        <f t="shared" si="277"/>
        <v>0.57410782475118805</v>
      </c>
      <c r="ABY20" s="133">
        <f t="shared" si="278"/>
        <v>0.62190030145686448</v>
      </c>
      <c r="ABZ20" s="133">
        <f t="shared" si="279"/>
        <v>0.68104340493405335</v>
      </c>
      <c r="ACA20" s="81"/>
      <c r="ACB20" s="81">
        <v>18</v>
      </c>
      <c r="ACC20" s="133">
        <f t="shared" si="280"/>
        <v>0.1850041541222969</v>
      </c>
      <c r="ACD20" s="133">
        <f t="shared" si="281"/>
        <v>0.20769052157014434</v>
      </c>
      <c r="ACE20" s="133">
        <f t="shared" si="282"/>
        <v>0.22907402507239377</v>
      </c>
      <c r="ACF20" s="133">
        <f t="shared" si="475"/>
        <v>0.25605011918880011</v>
      </c>
      <c r="ACG20" s="133">
        <f t="shared" si="476"/>
        <v>0.30713424628257546</v>
      </c>
      <c r="ACH20" s="134">
        <f t="shared" si="477"/>
        <v>0.37416275270608873</v>
      </c>
      <c r="ACI20" s="133">
        <f t="shared" si="478"/>
        <v>0.45338907037617754</v>
      </c>
      <c r="ACJ20" s="133">
        <f t="shared" si="283"/>
        <v>0.53632858890414559</v>
      </c>
      <c r="ACK20" s="133">
        <f t="shared" si="284"/>
        <v>0.59204247328104764</v>
      </c>
      <c r="ACL20" s="133">
        <f t="shared" si="285"/>
        <v>0.64432188594296547</v>
      </c>
      <c r="ACM20" s="133">
        <f t="shared" si="286"/>
        <v>0.71004956272028708</v>
      </c>
      <c r="ACN20" s="81"/>
      <c r="ACO20" s="81">
        <v>21</v>
      </c>
      <c r="ACP20" s="133">
        <f t="shared" si="287"/>
        <v>0.16786744582044033</v>
      </c>
      <c r="ACQ20" s="133">
        <f t="shared" si="288"/>
        <v>0.19488399849175761</v>
      </c>
      <c r="ACR20" s="133">
        <f t="shared" si="289"/>
        <v>0.21978646374633648</v>
      </c>
      <c r="ACS20" s="133">
        <f t="shared" si="479"/>
        <v>0.25041859262565547</v>
      </c>
      <c r="ACT20" s="133">
        <f t="shared" si="480"/>
        <v>0.30616830929633532</v>
      </c>
      <c r="ACU20" s="134">
        <f t="shared" si="481"/>
        <v>0.37502403137950013</v>
      </c>
      <c r="ACV20" s="133">
        <f t="shared" si="482"/>
        <v>0.45110362799090026</v>
      </c>
      <c r="ACW20" s="133">
        <f t="shared" si="290"/>
        <v>0.52566604282424489</v>
      </c>
      <c r="ACX20" s="133">
        <f t="shared" si="291"/>
        <v>0.57314801109932934</v>
      </c>
      <c r="ACY20" s="133">
        <f t="shared" si="292"/>
        <v>0.61604919715590911</v>
      </c>
      <c r="ACZ20" s="133">
        <f t="shared" si="293"/>
        <v>0.66794257118117817</v>
      </c>
      <c r="ADA20" s="81"/>
      <c r="ADB20" s="81">
        <v>18</v>
      </c>
      <c r="ADC20" s="133">
        <f t="shared" si="294"/>
        <v>0.14596112368444752</v>
      </c>
      <c r="ADD20" s="133">
        <f t="shared" si="295"/>
        <v>0.16415913897321197</v>
      </c>
      <c r="ADE20" s="133">
        <f t="shared" si="296"/>
        <v>0.1801843641807154</v>
      </c>
      <c r="ADF20" s="133">
        <f t="shared" si="483"/>
        <v>0.19906595828445425</v>
      </c>
      <c r="ADG20" s="133">
        <f t="shared" si="484"/>
        <v>0.23147088143543423</v>
      </c>
      <c r="ADH20" s="134">
        <f t="shared" si="485"/>
        <v>0.26883055387887328</v>
      </c>
      <c r="ADI20" s="133">
        <f t="shared" si="486"/>
        <v>0.30739897424048801</v>
      </c>
      <c r="ADJ20" s="133">
        <f t="shared" si="297"/>
        <v>0.3429597826618061</v>
      </c>
      <c r="ADK20" s="133">
        <f t="shared" si="298"/>
        <v>0.36468778622442194</v>
      </c>
      <c r="ADL20" s="133">
        <f t="shared" si="299"/>
        <v>0.38377309895505168</v>
      </c>
      <c r="ADM20" s="133">
        <f t="shared" si="300"/>
        <v>0.40623515487109874</v>
      </c>
      <c r="ADN20" s="81"/>
      <c r="ADO20" s="81">
        <v>18</v>
      </c>
      <c r="ADP20" s="133">
        <f t="shared" si="301"/>
        <v>0.15430394125100655</v>
      </c>
      <c r="ADQ20" s="133">
        <f t="shared" si="302"/>
        <v>0.17120377615164711</v>
      </c>
      <c r="ADR20" s="133">
        <f t="shared" si="303"/>
        <v>0.18628368098793999</v>
      </c>
      <c r="ADS20" s="133">
        <f t="shared" si="487"/>
        <v>0.2042830330993422</v>
      </c>
      <c r="ADT20" s="133">
        <f t="shared" si="488"/>
        <v>0.23573714699793064</v>
      </c>
      <c r="ADU20" s="134">
        <f t="shared" si="489"/>
        <v>0.2728424441621119</v>
      </c>
      <c r="ADV20" s="133">
        <f t="shared" si="490"/>
        <v>0.31204074774482615</v>
      </c>
      <c r="ADW20" s="133">
        <f t="shared" si="304"/>
        <v>0.34894100830343727</v>
      </c>
      <c r="ADX20" s="133">
        <f t="shared" si="305"/>
        <v>0.37182927065131355</v>
      </c>
      <c r="ADY20" s="133">
        <f t="shared" si="306"/>
        <v>0.39214014156671395</v>
      </c>
      <c r="ADZ20" s="133">
        <f t="shared" si="307"/>
        <v>0.41628499457037393</v>
      </c>
      <c r="AEA20" s="81"/>
      <c r="AEB20" s="81">
        <v>21</v>
      </c>
      <c r="AEC20" s="133">
        <f t="shared" si="308"/>
        <v>0.14108461220471932</v>
      </c>
      <c r="AED20" s="133">
        <f t="shared" si="309"/>
        <v>0.16209801011789965</v>
      </c>
      <c r="AEE20" s="133">
        <f t="shared" si="310"/>
        <v>0.18008316623150769</v>
      </c>
      <c r="AEF20" s="133">
        <f t="shared" si="491"/>
        <v>0.20073040859416993</v>
      </c>
      <c r="AEG20" s="133">
        <f t="shared" si="492"/>
        <v>0.23498930749757696</v>
      </c>
      <c r="AEH20" s="134">
        <f t="shared" si="493"/>
        <v>0.27294031763361365</v>
      </c>
      <c r="AEI20" s="133">
        <f t="shared" si="494"/>
        <v>0.31068070378875012</v>
      </c>
      <c r="AEJ20" s="133">
        <f t="shared" si="311"/>
        <v>0.34438462677985082</v>
      </c>
      <c r="AEK20" s="133">
        <f t="shared" si="312"/>
        <v>0.36452469749314276</v>
      </c>
      <c r="AEL20" s="133">
        <f t="shared" si="313"/>
        <v>0.3819571109809447</v>
      </c>
      <c r="AEM20" s="133">
        <f t="shared" si="314"/>
        <v>0.40218623688574406</v>
      </c>
      <c r="AEN20" s="81"/>
    </row>
    <row r="21" spans="1:820">
      <c r="A21" s="81"/>
      <c r="B21" s="81">
        <v>20</v>
      </c>
      <c r="C21" s="133">
        <f t="shared" si="0"/>
        <v>1.6486279164325701</v>
      </c>
      <c r="D21" s="133">
        <f t="shared" si="1"/>
        <v>1.942498036327805</v>
      </c>
      <c r="E21" s="133">
        <f t="shared" si="2"/>
        <v>2.2459358534396596</v>
      </c>
      <c r="F21" s="133">
        <f t="shared" si="315"/>
        <v>2.6682574652814126</v>
      </c>
      <c r="G21" s="133">
        <f t="shared" si="316"/>
        <v>3.6024067142473548</v>
      </c>
      <c r="H21" s="134">
        <f t="shared" si="317"/>
        <v>5.1395044880310898</v>
      </c>
      <c r="I21" s="133">
        <f t="shared" si="318"/>
        <v>7.5171101419463362</v>
      </c>
      <c r="J21" s="133">
        <f t="shared" si="3"/>
        <v>10.832411168731124</v>
      </c>
      <c r="K21" s="133">
        <f t="shared" si="4"/>
        <v>13.652841863385625</v>
      </c>
      <c r="L21" s="133">
        <f t="shared" si="5"/>
        <v>16.826569494530961</v>
      </c>
      <c r="M21" s="133">
        <f t="shared" si="6"/>
        <v>21.683225789700217</v>
      </c>
      <c r="N21" s="81"/>
      <c r="O21" s="75">
        <v>20</v>
      </c>
      <c r="P21" s="151">
        <f t="shared" si="7"/>
        <v>2.3154429849588394</v>
      </c>
      <c r="Q21" s="151">
        <f t="shared" si="8"/>
        <v>2.5898124529921636</v>
      </c>
      <c r="R21" s="151">
        <f t="shared" si="9"/>
        <v>2.8636973824731777</v>
      </c>
      <c r="S21" s="151">
        <f t="shared" si="319"/>
        <v>3.2326687219903274</v>
      </c>
      <c r="T21" s="151">
        <f t="shared" si="320"/>
        <v>4.0135027078247472</v>
      </c>
      <c r="U21" s="134">
        <f t="shared" si="321"/>
        <v>5.2350157911134092</v>
      </c>
      <c r="V21" s="151">
        <f t="shared" si="322"/>
        <v>7.0496436185763516</v>
      </c>
      <c r="W21" s="151">
        <f t="shared" si="10"/>
        <v>9.5279309609750804</v>
      </c>
      <c r="X21" s="151">
        <f t="shared" si="11"/>
        <v>11.635597169112518</v>
      </c>
      <c r="Y21" s="151">
        <f t="shared" si="12"/>
        <v>14.033883584027919</v>
      </c>
      <c r="Z21" s="151">
        <f t="shared" si="13"/>
        <v>17.793099384715777</v>
      </c>
      <c r="AA21" s="81"/>
      <c r="AB21" s="75">
        <v>22</v>
      </c>
      <c r="AC21" s="151">
        <f t="shared" si="14"/>
        <v>1.3359369911138774</v>
      </c>
      <c r="AD21" s="151">
        <f t="shared" si="15"/>
        <v>1.6071190550872976</v>
      </c>
      <c r="AE21" s="151">
        <f t="shared" si="16"/>
        <v>1.8960607047160667</v>
      </c>
      <c r="AF21" s="151">
        <f t="shared" si="323"/>
        <v>2.3125726695947932</v>
      </c>
      <c r="AG21" s="151">
        <f t="shared" si="324"/>
        <v>3.2895513318218383</v>
      </c>
      <c r="AH21" s="134">
        <f t="shared" si="325"/>
        <v>5.0508113808297432</v>
      </c>
      <c r="AI21" s="151">
        <f t="shared" si="326"/>
        <v>8.118763881155326</v>
      </c>
      <c r="AJ21" s="151">
        <f t="shared" si="17"/>
        <v>13.039174894358963</v>
      </c>
      <c r="AK21" s="151">
        <f t="shared" si="18"/>
        <v>17.783000238536772</v>
      </c>
      <c r="AL21" s="151">
        <f t="shared" si="19"/>
        <v>23.715047300417861</v>
      </c>
      <c r="AM21" s="151">
        <f t="shared" si="20"/>
        <v>33.990715896489228</v>
      </c>
      <c r="AN21" s="81"/>
      <c r="AO21" s="81">
        <v>20</v>
      </c>
      <c r="AP21" s="133">
        <f t="shared" si="21"/>
        <v>1.3068788899531247</v>
      </c>
      <c r="AQ21" s="133">
        <f t="shared" si="22"/>
        <v>2.9188038488352293</v>
      </c>
      <c r="AR21" s="133">
        <f t="shared" si="23"/>
        <v>4.4255737875860541</v>
      </c>
      <c r="AS21" s="133">
        <f t="shared" si="327"/>
        <v>6.3020876118488038</v>
      </c>
      <c r="AT21" s="133">
        <f t="shared" si="328"/>
        <v>9.7674358065486047</v>
      </c>
      <c r="AU21" s="134">
        <f t="shared" si="329"/>
        <v>14.128645148891877</v>
      </c>
      <c r="AV21" s="133">
        <f t="shared" si="330"/>
        <v>19.02154251088033</v>
      </c>
      <c r="AW21" s="133">
        <f t="shared" si="24"/>
        <v>23.86849756147982</v>
      </c>
      <c r="AX21" s="133">
        <f t="shared" si="25"/>
        <v>26.9829208206754</v>
      </c>
      <c r="AY21" s="133">
        <f t="shared" si="26"/>
        <v>29.811739833032551</v>
      </c>
      <c r="AZ21" s="133">
        <f t="shared" si="27"/>
        <v>33.250465625739722</v>
      </c>
      <c r="BA21" s="81"/>
      <c r="BB21" s="81">
        <v>20</v>
      </c>
      <c r="BC21" s="133">
        <f t="shared" si="28"/>
        <v>4.1990711932050671</v>
      </c>
      <c r="BD21" s="133">
        <f t="shared" si="29"/>
        <v>5.8753825128185353</v>
      </c>
      <c r="BE21" s="133">
        <f t="shared" si="30"/>
        <v>7.393482527016622</v>
      </c>
      <c r="BF21" s="133">
        <f t="shared" si="331"/>
        <v>9.2295601198617838</v>
      </c>
      <c r="BG21" s="133">
        <f t="shared" si="332"/>
        <v>12.492077206330769</v>
      </c>
      <c r="BH21" s="134">
        <f t="shared" si="333"/>
        <v>16.414342627122249</v>
      </c>
      <c r="BI21" s="133">
        <f t="shared" si="334"/>
        <v>20.628858209998793</v>
      </c>
      <c r="BJ21" s="133">
        <f t="shared" si="31"/>
        <v>24.651952504596029</v>
      </c>
      <c r="BK21" s="133">
        <f t="shared" si="32"/>
        <v>27.170943609750584</v>
      </c>
      <c r="BL21" s="133">
        <f t="shared" si="33"/>
        <v>29.41991057245335</v>
      </c>
      <c r="BM21" s="133">
        <f t="shared" si="34"/>
        <v>32.108803920478508</v>
      </c>
      <c r="BN21" s="81"/>
      <c r="BO21" s="75">
        <v>22</v>
      </c>
      <c r="BP21" s="151">
        <f t="shared" si="35"/>
        <v>2.7539336211392089</v>
      </c>
      <c r="BQ21" s="151">
        <f t="shared" si="36"/>
        <v>3.5090037007090151</v>
      </c>
      <c r="BR21" s="151">
        <f t="shared" si="37"/>
        <v>4.2930309617222964</v>
      </c>
      <c r="BS21" s="151">
        <f t="shared" si="335"/>
        <v>5.3777098624161379</v>
      </c>
      <c r="BT21" s="151">
        <f t="shared" si="336"/>
        <v>7.7067960621132654</v>
      </c>
      <c r="BU21" s="134">
        <f t="shared" si="337"/>
        <v>11.266256315962302</v>
      </c>
      <c r="BV21" s="151">
        <f t="shared" si="338"/>
        <v>16.14021022191362</v>
      </c>
      <c r="BW21" s="151">
        <f t="shared" si="38"/>
        <v>21.940670109774082</v>
      </c>
      <c r="BX21" s="151">
        <f t="shared" si="39"/>
        <v>26.204184954293336</v>
      </c>
      <c r="BY21" s="151">
        <f t="shared" si="40"/>
        <v>30.454979405179419</v>
      </c>
      <c r="BZ21" s="151">
        <f t="shared" si="41"/>
        <v>36.123260382167217</v>
      </c>
      <c r="CA21" s="81"/>
      <c r="CB21" s="81">
        <v>20</v>
      </c>
      <c r="CC21" s="133">
        <f t="shared" si="42"/>
        <v>-5.849768081140728</v>
      </c>
      <c r="CD21" s="133">
        <f t="shared" si="43"/>
        <v>-4.051714058566688</v>
      </c>
      <c r="CE21" s="133">
        <f t="shared" si="44"/>
        <v>-2.1713397219601225</v>
      </c>
      <c r="CF21" s="133">
        <f t="shared" si="339"/>
        <v>0.29847544812307358</v>
      </c>
      <c r="CG21" s="133">
        <f t="shared" si="340"/>
        <v>5.0100837440651036</v>
      </c>
      <c r="CH21" s="134">
        <f t="shared" si="341"/>
        <v>10.98755672306115</v>
      </c>
      <c r="CI21" s="133">
        <f t="shared" si="342"/>
        <v>17.613942797506486</v>
      </c>
      <c r="CJ21" s="133">
        <f t="shared" si="45"/>
        <v>24.044452998162271</v>
      </c>
      <c r="CK21" s="133">
        <f t="shared" si="46"/>
        <v>28.100281478997669</v>
      </c>
      <c r="CL21" s="133">
        <f t="shared" si="47"/>
        <v>31.732792791075884</v>
      </c>
      <c r="CM21" s="133">
        <f t="shared" si="48"/>
        <v>36.084368347472548</v>
      </c>
      <c r="CN21" s="81"/>
      <c r="CO21" s="81">
        <v>20</v>
      </c>
      <c r="CP21" s="133">
        <f t="shared" si="49"/>
        <v>-0.62026600109869712</v>
      </c>
      <c r="CQ21" s="133">
        <f t="shared" si="50"/>
        <v>1.4780116984948624</v>
      </c>
      <c r="CR21" s="133">
        <f t="shared" si="51"/>
        <v>3.4408515417880041</v>
      </c>
      <c r="CS21" s="133">
        <f t="shared" si="343"/>
        <v>5.8677811438172176</v>
      </c>
      <c r="CT21" s="133">
        <f t="shared" si="344"/>
        <v>10.26866363173092</v>
      </c>
      <c r="CU21" s="134">
        <f t="shared" si="345"/>
        <v>15.639058993788101</v>
      </c>
      <c r="CV21" s="133">
        <f t="shared" si="346"/>
        <v>21.449269207038757</v>
      </c>
      <c r="CW21" s="133">
        <f t="shared" si="52"/>
        <v>27.003690722872658</v>
      </c>
      <c r="CX21" s="133">
        <f t="shared" si="53"/>
        <v>30.478124449735471</v>
      </c>
      <c r="CY21" s="133">
        <f t="shared" si="54"/>
        <v>33.575505067201412</v>
      </c>
      <c r="CZ21" s="133">
        <f t="shared" si="55"/>
        <v>37.271381686210688</v>
      </c>
      <c r="DA21" s="81"/>
      <c r="DB21" s="81">
        <v>22</v>
      </c>
      <c r="DC21" s="133">
        <f t="shared" si="56"/>
        <v>-6.4006696048253762</v>
      </c>
      <c r="DD21" s="133">
        <f t="shared" si="57"/>
        <v>-5.3341521608558722</v>
      </c>
      <c r="DE21" s="133">
        <f t="shared" si="58"/>
        <v>-4.1095331442096708</v>
      </c>
      <c r="DF21" s="133">
        <f t="shared" si="347"/>
        <v>-2.3898385506998565</v>
      </c>
      <c r="DG21" s="133">
        <f t="shared" si="348"/>
        <v>1.1332131213696437</v>
      </c>
      <c r="DH21" s="134">
        <f t="shared" si="349"/>
        <v>5.9256813974061222</v>
      </c>
      <c r="DI21" s="133">
        <f t="shared" si="350"/>
        <v>11.546014467288245</v>
      </c>
      <c r="DJ21" s="133">
        <f t="shared" si="59"/>
        <v>17.241148111274516</v>
      </c>
      <c r="DK21" s="133">
        <f t="shared" si="60"/>
        <v>20.935532671394764</v>
      </c>
      <c r="DL21" s="133">
        <f t="shared" si="61"/>
        <v>24.303895984401517</v>
      </c>
      <c r="DM21" s="133">
        <f t="shared" si="62"/>
        <v>28.406806285768585</v>
      </c>
      <c r="DN21" s="81"/>
      <c r="DO21" s="81">
        <v>20</v>
      </c>
      <c r="DP21" s="133">
        <v>13.187780328989506</v>
      </c>
      <c r="DQ21" s="133">
        <v>14.580329522181474</v>
      </c>
      <c r="DR21" s="133">
        <v>15.895051399084155</v>
      </c>
      <c r="DS21" s="133">
        <v>17.558638908374281</v>
      </c>
      <c r="DT21" s="133">
        <v>20.730239428843312</v>
      </c>
      <c r="DU21" s="134">
        <v>24.944874927232267</v>
      </c>
      <c r="DV21" s="133">
        <v>30.016381975284332</v>
      </c>
      <c r="DW21" s="133">
        <v>35.438212972105241</v>
      </c>
      <c r="DX21" s="133">
        <v>39.147201824783913</v>
      </c>
      <c r="DY21" s="133">
        <v>42.677141431448405</v>
      </c>
      <c r="DZ21" s="133">
        <v>47.183587352257632</v>
      </c>
      <c r="EA21" s="81"/>
      <c r="EB21" s="81">
        <v>20</v>
      </c>
      <c r="EC21" s="133">
        <v>13.682715204808815</v>
      </c>
      <c r="ED21" s="133">
        <v>14.73545454746135</v>
      </c>
      <c r="EE21" s="133">
        <v>15.705426980548792</v>
      </c>
      <c r="EF21" s="133">
        <v>16.903249688456473</v>
      </c>
      <c r="EG21" s="133">
        <v>19.108173604361095</v>
      </c>
      <c r="EH21" s="134">
        <v>21.906348561720442</v>
      </c>
      <c r="EI21" s="133">
        <v>25.11428445458888</v>
      </c>
      <c r="EJ21" s="133">
        <v>28.390286847346019</v>
      </c>
      <c r="EK21" s="133">
        <v>30.555559419169807</v>
      </c>
      <c r="EL21" s="133">
        <v>32.566902212749689</v>
      </c>
      <c r="EM21" s="133">
        <v>35.072578806502811</v>
      </c>
      <c r="EN21" s="81"/>
      <c r="EO21" s="81">
        <v>22</v>
      </c>
      <c r="EP21" s="133">
        <v>16.161567537219874</v>
      </c>
      <c r="EQ21" s="133">
        <v>17.697099331304177</v>
      </c>
      <c r="ER21" s="133">
        <v>19.133931576666885</v>
      </c>
      <c r="ES21" s="133">
        <v>20.93588079058717</v>
      </c>
      <c r="ET21" s="133">
        <v>24.327377841664337</v>
      </c>
      <c r="EU21" s="134">
        <v>28.758825904047942</v>
      </c>
      <c r="EV21" s="133">
        <v>33.997501611655636</v>
      </c>
      <c r="EW21" s="133">
        <v>39.504909091342931</v>
      </c>
      <c r="EX21" s="133">
        <v>43.225307044994352</v>
      </c>
      <c r="EY21" s="133">
        <v>46.734781327488236</v>
      </c>
      <c r="EZ21" s="133">
        <v>51.175114386312323</v>
      </c>
      <c r="FA21" s="81"/>
      <c r="FB21" s="81">
        <v>20</v>
      </c>
      <c r="FC21" s="133">
        <v>6.8943529563287287</v>
      </c>
      <c r="FD21" s="133">
        <v>7.7481730844804346</v>
      </c>
      <c r="FE21" s="133">
        <v>8.5666108078194512</v>
      </c>
      <c r="FF21" s="133">
        <v>9.6180781841708409</v>
      </c>
      <c r="FG21" s="133">
        <v>11.667102493273498</v>
      </c>
      <c r="FH21" s="134">
        <v>14.46934911818637</v>
      </c>
      <c r="FI21" s="133">
        <v>17.944649412711112</v>
      </c>
      <c r="FJ21" s="133">
        <v>21.767556875189758</v>
      </c>
      <c r="FK21" s="133">
        <v>24.439310784710635</v>
      </c>
      <c r="FL21" s="133">
        <v>27.020829506675856</v>
      </c>
      <c r="FM21" s="133">
        <v>30.367180971170754</v>
      </c>
      <c r="FN21" s="81"/>
      <c r="FO21" s="81">
        <v>20</v>
      </c>
      <c r="FP21" s="133">
        <v>6.6785086596985357</v>
      </c>
      <c r="FQ21" s="133">
        <v>7.377147378958294</v>
      </c>
      <c r="FR21" s="133">
        <v>8.0361956430043424</v>
      </c>
      <c r="FS21" s="133">
        <v>8.8694358376798039</v>
      </c>
      <c r="FT21" s="133">
        <v>10.456103202460389</v>
      </c>
      <c r="FU21" s="134">
        <v>12.561282276586239</v>
      </c>
      <c r="FV21" s="133">
        <v>15.090307486153302</v>
      </c>
      <c r="FW21" s="133">
        <v>17.789836390919252</v>
      </c>
      <c r="FX21" s="133">
        <v>19.634391625275455</v>
      </c>
      <c r="FY21" s="133">
        <v>21.388458753329129</v>
      </c>
      <c r="FZ21" s="133">
        <v>23.625905194109887</v>
      </c>
      <c r="GA21" s="81"/>
      <c r="GB21" s="81">
        <v>22</v>
      </c>
      <c r="GC21" s="133">
        <v>8.6600918148729722</v>
      </c>
      <c r="GD21" s="133">
        <v>9.6469557470355625</v>
      </c>
      <c r="GE21" s="133">
        <v>10.585201100619001</v>
      </c>
      <c r="GF21" s="133">
        <v>11.780742248103479</v>
      </c>
      <c r="GG21" s="133">
        <v>14.08311549397242</v>
      </c>
      <c r="GH21" s="134">
        <v>17.183380463742655</v>
      </c>
      <c r="GI21" s="133">
        <v>20.966139508556033</v>
      </c>
      <c r="GJ21" s="133">
        <v>25.063663896836939</v>
      </c>
      <c r="GK21" s="133">
        <v>27.894469019059649</v>
      </c>
      <c r="GL21" s="133">
        <v>30.607434293711439</v>
      </c>
      <c r="GM21" s="133">
        <v>34.095315670283554</v>
      </c>
      <c r="GN21" s="81"/>
      <c r="GO21" s="81">
        <v>20</v>
      </c>
      <c r="GP21" s="133">
        <f t="shared" si="63"/>
        <v>0.38093755785332156</v>
      </c>
      <c r="GQ21" s="133">
        <f t="shared" si="64"/>
        <v>0.42179357428850095</v>
      </c>
      <c r="GR21" s="133">
        <f t="shared" si="65"/>
        <v>0.45383932037871261</v>
      </c>
      <c r="GS21" s="133">
        <f t="shared" si="351"/>
        <v>0.4880375557223473</v>
      </c>
      <c r="GT21" s="133">
        <f t="shared" si="352"/>
        <v>0.54147613134019956</v>
      </c>
      <c r="GU21" s="134">
        <f t="shared" si="353"/>
        <v>0.59233661906403812</v>
      </c>
      <c r="GV21" s="133">
        <f t="shared" si="354"/>
        <v>0.63894026939193915</v>
      </c>
      <c r="GW21" s="133">
        <f t="shared" si="66"/>
        <v>0.68003645397567281</v>
      </c>
      <c r="GX21" s="133">
        <f t="shared" si="67"/>
        <v>0.70279924359381973</v>
      </c>
      <c r="GY21" s="133">
        <f t="shared" si="68"/>
        <v>0.72192777187034241</v>
      </c>
      <c r="GZ21" s="133">
        <f t="shared" si="69"/>
        <v>0.74351438261284508</v>
      </c>
      <c r="HA21" s="81"/>
      <c r="HB21" s="81">
        <v>20</v>
      </c>
      <c r="HC21" s="133">
        <f t="shared" si="70"/>
        <v>0.35648505355313975</v>
      </c>
      <c r="HD21" s="133">
        <f t="shared" si="71"/>
        <v>0.4017637806448055</v>
      </c>
      <c r="HE21" s="133">
        <f t="shared" si="72"/>
        <v>0.43683363248084223</v>
      </c>
      <c r="HF21" s="133">
        <f t="shared" si="355"/>
        <v>0.47394001250489876</v>
      </c>
      <c r="HG21" s="133">
        <f t="shared" si="356"/>
        <v>0.52988350125019668</v>
      </c>
      <c r="HH21" s="134">
        <f t="shared" si="357"/>
        <v>0.58575203075470272</v>
      </c>
      <c r="HI21" s="133">
        <f t="shared" si="358"/>
        <v>0.63655905967284088</v>
      </c>
      <c r="HJ21" s="133">
        <f t="shared" si="73"/>
        <v>0.67879433290520697</v>
      </c>
      <c r="HK21" s="133">
        <f t="shared" si="74"/>
        <v>0.70285054578965467</v>
      </c>
      <c r="HL21" s="133">
        <f t="shared" si="75"/>
        <v>0.72304275070285084</v>
      </c>
      <c r="HM21" s="133">
        <f t="shared" si="76"/>
        <v>0.74580693015486466</v>
      </c>
      <c r="HN21" s="81"/>
      <c r="HO21" s="81">
        <v>22</v>
      </c>
      <c r="HP21" s="83">
        <f t="shared" si="77"/>
        <v>0.41331197452078</v>
      </c>
      <c r="HQ21" s="83">
        <f t="shared" si="78"/>
        <v>0.449369921486237</v>
      </c>
      <c r="HR21" s="83">
        <f t="shared" si="79"/>
        <v>0.47805073465440101</v>
      </c>
      <c r="HS21" s="83">
        <f t="shared" si="359"/>
        <v>0.50896685097478955</v>
      </c>
      <c r="HT21" s="83">
        <f t="shared" si="360"/>
        <v>0.55645323232477817</v>
      </c>
      <c r="HU21" s="84">
        <f t="shared" si="361"/>
        <v>0.60468509620210809</v>
      </c>
      <c r="HV21" s="83">
        <f t="shared" si="362"/>
        <v>0.64908050062811196</v>
      </c>
      <c r="HW21" s="83">
        <f t="shared" si="80"/>
        <v>0.68628962135132843</v>
      </c>
      <c r="HX21" s="83">
        <f t="shared" si="81"/>
        <v>0.70758565202612589</v>
      </c>
      <c r="HY21" s="83">
        <f t="shared" si="82"/>
        <v>0.72551141759924098</v>
      </c>
      <c r="HZ21" s="83">
        <f t="shared" si="83"/>
        <v>0.74577041431585889</v>
      </c>
      <c r="IA21" s="81"/>
      <c r="IB21" s="81">
        <v>20</v>
      </c>
      <c r="IC21" s="83">
        <f t="shared" si="84"/>
        <v>0.27680023534497822</v>
      </c>
      <c r="ID21" s="83">
        <f t="shared" si="85"/>
        <v>0.29762429453698108</v>
      </c>
      <c r="IE21" s="83">
        <f t="shared" si="86"/>
        <v>0.31290700674910954</v>
      </c>
      <c r="IF21" s="83">
        <f t="shared" si="363"/>
        <v>0.3284046703186605</v>
      </c>
      <c r="IG21" s="83">
        <f t="shared" si="364"/>
        <v>0.35066413580307781</v>
      </c>
      <c r="IH21" s="84">
        <f t="shared" si="365"/>
        <v>0.37177567215164264</v>
      </c>
      <c r="II21" s="83">
        <f t="shared" si="366"/>
        <v>0.39015284944994316</v>
      </c>
      <c r="IJ21" s="83">
        <f t="shared" si="87"/>
        <v>0.40490939403970866</v>
      </c>
      <c r="IK21" s="83">
        <f t="shared" si="88"/>
        <v>0.41312297696917211</v>
      </c>
      <c r="IL21" s="83">
        <f t="shared" si="89"/>
        <v>0.41991705495109671</v>
      </c>
      <c r="IM21" s="83">
        <f t="shared" si="90"/>
        <v>0.42747219163382821</v>
      </c>
      <c r="IN21" s="81"/>
      <c r="IO21" s="81">
        <v>20</v>
      </c>
      <c r="IP21" s="133">
        <f t="shared" si="91"/>
        <v>0.26332548746456419</v>
      </c>
      <c r="IQ21" s="133">
        <f t="shared" si="92"/>
        <v>0.28752607078409398</v>
      </c>
      <c r="IR21" s="133">
        <f t="shared" si="93"/>
        <v>0.30480935003087201</v>
      </c>
      <c r="IS21" s="133">
        <f t="shared" si="367"/>
        <v>0.32203806294911341</v>
      </c>
      <c r="IT21" s="133">
        <f t="shared" si="368"/>
        <v>0.3463956284887918</v>
      </c>
      <c r="IU21" s="134">
        <f t="shared" si="369"/>
        <v>0.36918673849714301</v>
      </c>
      <c r="IV21" s="133">
        <f t="shared" si="370"/>
        <v>0.38884494972143141</v>
      </c>
      <c r="IW21" s="133">
        <f t="shared" si="94"/>
        <v>0.40453555468510366</v>
      </c>
      <c r="IX21" s="133">
        <f t="shared" si="95"/>
        <v>0.41323874063502603</v>
      </c>
      <c r="IY21" s="133">
        <f t="shared" si="96"/>
        <v>0.42042342169934105</v>
      </c>
      <c r="IZ21" s="133">
        <f t="shared" si="97"/>
        <v>0.42839901396929253</v>
      </c>
      <c r="JA21" s="81"/>
      <c r="JB21" s="81">
        <v>22</v>
      </c>
      <c r="JC21" s="133">
        <f t="shared" si="98"/>
        <v>0.29360630657739351</v>
      </c>
      <c r="JD21" s="133">
        <f t="shared" si="99"/>
        <v>0.31095514684106196</v>
      </c>
      <c r="JE21" s="133">
        <f t="shared" si="100"/>
        <v>0.32405797375964318</v>
      </c>
      <c r="JF21" s="133">
        <f t="shared" si="371"/>
        <v>0.33760545121472324</v>
      </c>
      <c r="JG21" s="133">
        <f t="shared" si="372"/>
        <v>0.35743603915536748</v>
      </c>
      <c r="JH21" s="134">
        <f t="shared" si="373"/>
        <v>0.37656642360098824</v>
      </c>
      <c r="JI21" s="133">
        <f t="shared" si="374"/>
        <v>0.39342048557499903</v>
      </c>
      <c r="JJ21" s="133">
        <f t="shared" si="101"/>
        <v>0.40706454581834062</v>
      </c>
      <c r="JK21" s="133">
        <f t="shared" si="102"/>
        <v>0.41469548357516178</v>
      </c>
      <c r="JL21" s="133">
        <f t="shared" si="103"/>
        <v>0.42102533465959863</v>
      </c>
      <c r="JM21" s="133">
        <f t="shared" si="104"/>
        <v>0.42808161765565655</v>
      </c>
      <c r="JN21" s="81"/>
      <c r="JO21" s="81">
        <v>19</v>
      </c>
      <c r="JP21" s="133">
        <f t="shared" si="105"/>
        <v>-8.4006616312142075</v>
      </c>
      <c r="JQ21" s="133">
        <f t="shared" si="106"/>
        <v>-7.0806514397034377</v>
      </c>
      <c r="JR21" s="133">
        <f t="shared" si="107"/>
        <v>-5.9273797545819207</v>
      </c>
      <c r="JS21" s="133">
        <f t="shared" si="375"/>
        <v>-4.5782267696873618</v>
      </c>
      <c r="JT21" s="133">
        <f t="shared" si="376"/>
        <v>-2.2840148420359618</v>
      </c>
      <c r="JU21" s="134">
        <f t="shared" si="377"/>
        <v>0.33264683830729069</v>
      </c>
      <c r="JV21" s="133">
        <f t="shared" si="378"/>
        <v>3.0071552196385483</v>
      </c>
      <c r="JW21" s="133">
        <f t="shared" si="108"/>
        <v>5.4524024031809617</v>
      </c>
      <c r="JX21" s="133">
        <f t="shared" si="109"/>
        <v>6.9377840370935218</v>
      </c>
      <c r="JY21" s="133">
        <f t="shared" si="110"/>
        <v>8.2375130394777543</v>
      </c>
      <c r="JZ21" s="133">
        <f t="shared" si="111"/>
        <v>9.7616004638294456</v>
      </c>
      <c r="KA21" s="81"/>
      <c r="KB21" s="81">
        <v>19</v>
      </c>
      <c r="KC21" s="133">
        <f t="shared" si="112"/>
        <v>-6.5056569419799537</v>
      </c>
      <c r="KD21" s="133">
        <f t="shared" si="113"/>
        <v>-5.4825960148664024</v>
      </c>
      <c r="KE21" s="133">
        <f t="shared" si="114"/>
        <v>-4.5594937709466947</v>
      </c>
      <c r="KF21" s="133">
        <f t="shared" si="379"/>
        <v>-3.4481973692166434</v>
      </c>
      <c r="KG21" s="133">
        <f t="shared" si="380"/>
        <v>-1.4886655613450568</v>
      </c>
      <c r="KH21" s="134">
        <f t="shared" si="381"/>
        <v>0.84109685993415439</v>
      </c>
      <c r="KI21" s="133">
        <f t="shared" si="382"/>
        <v>3.3140021016238546</v>
      </c>
      <c r="KJ21" s="133">
        <f t="shared" si="115"/>
        <v>5.647129702571986</v>
      </c>
      <c r="KK21" s="133">
        <f t="shared" si="116"/>
        <v>7.0952314840705757</v>
      </c>
      <c r="KL21" s="133">
        <f t="shared" si="117"/>
        <v>8.3802726189250638</v>
      </c>
      <c r="KM21" s="133">
        <f t="shared" si="118"/>
        <v>9.9074425818559195</v>
      </c>
      <c r="KN21" s="81"/>
      <c r="KO21" s="81">
        <v>21</v>
      </c>
      <c r="KP21" s="133">
        <f t="shared" si="119"/>
        <v>-10.271836493412099</v>
      </c>
      <c r="KQ21" s="133">
        <f t="shared" si="120"/>
        <v>-8.6545545149625269</v>
      </c>
      <c r="KR21" s="133">
        <f t="shared" si="121"/>
        <v>-7.273789153847499</v>
      </c>
      <c r="KS21" s="133">
        <f t="shared" si="383"/>
        <v>-5.6920970022750144</v>
      </c>
      <c r="KT21" s="133">
        <f t="shared" si="384"/>
        <v>-3.0747713325679129</v>
      </c>
      <c r="KU21" s="134">
        <f t="shared" si="385"/>
        <v>-0.18425854415605869</v>
      </c>
      <c r="KV21" s="133">
        <f t="shared" si="386"/>
        <v>2.6822883556566062</v>
      </c>
      <c r="KW21" s="133">
        <f t="shared" si="122"/>
        <v>5.2364130663652588</v>
      </c>
      <c r="KX21" s="133">
        <f t="shared" si="123"/>
        <v>6.7602777457232186</v>
      </c>
      <c r="KY21" s="133">
        <f t="shared" si="124"/>
        <v>8.0779378390828391</v>
      </c>
      <c r="KZ21" s="133">
        <f t="shared" si="125"/>
        <v>9.6055229528063286</v>
      </c>
      <c r="LA21" s="81"/>
      <c r="LB21" s="81">
        <v>19</v>
      </c>
      <c r="LC21" s="133">
        <f t="shared" si="126"/>
        <v>-22.450533193180274</v>
      </c>
      <c r="LD21" s="133">
        <f t="shared" si="127"/>
        <v>-19.002942434373907</v>
      </c>
      <c r="LE21" s="133">
        <f t="shared" si="128"/>
        <v>-15.916900671134783</v>
      </c>
      <c r="LF21" s="133">
        <f t="shared" si="387"/>
        <v>-12.234497780529964</v>
      </c>
      <c r="LG21" s="133">
        <f t="shared" si="388"/>
        <v>-5.8270692675533269</v>
      </c>
      <c r="LH21" s="134">
        <f t="shared" si="389"/>
        <v>1.658725210090509</v>
      </c>
      <c r="LI21" s="133">
        <f t="shared" si="390"/>
        <v>9.4641584458814663</v>
      </c>
      <c r="LJ21" s="133">
        <f t="shared" si="129"/>
        <v>16.711179226595419</v>
      </c>
      <c r="LK21" s="133">
        <f t="shared" si="130"/>
        <v>21.157534925152966</v>
      </c>
      <c r="LL21" s="133">
        <f t="shared" si="131"/>
        <v>25.072593514441621</v>
      </c>
      <c r="LM21" s="133">
        <f t="shared" si="132"/>
        <v>29.690151608692609</v>
      </c>
      <c r="LN21" s="81"/>
      <c r="LO21" s="81">
        <v>19</v>
      </c>
      <c r="LP21" s="133">
        <f t="shared" si="133"/>
        <v>-19.502759843724178</v>
      </c>
      <c r="LQ21" s="133">
        <f t="shared" si="134"/>
        <v>-16.283987366282282</v>
      </c>
      <c r="LR21" s="133">
        <f t="shared" si="135"/>
        <v>-13.378357624526576</v>
      </c>
      <c r="LS21" s="133">
        <f t="shared" si="391"/>
        <v>-9.8869916032608032</v>
      </c>
      <c r="LT21" s="133">
        <f t="shared" si="392"/>
        <v>-3.7616765738911013</v>
      </c>
      <c r="LU21" s="134">
        <f t="shared" si="393"/>
        <v>3.4582313395161641</v>
      </c>
      <c r="LV21" s="133">
        <f t="shared" si="394"/>
        <v>11.044042120982621</v>
      </c>
      <c r="LW21" s="133">
        <f t="shared" si="136"/>
        <v>18.130237395550264</v>
      </c>
      <c r="LX21" s="133">
        <f t="shared" si="137"/>
        <v>22.495639491080286</v>
      </c>
      <c r="LY21" s="133">
        <f t="shared" si="138"/>
        <v>26.349473610021494</v>
      </c>
      <c r="LZ21" s="133">
        <f t="shared" si="139"/>
        <v>30.906017370817498</v>
      </c>
      <c r="MA21" s="81"/>
      <c r="MB21" s="81">
        <v>21</v>
      </c>
      <c r="MC21" s="133">
        <f t="shared" si="140"/>
        <v>-24.330499562348344</v>
      </c>
      <c r="MD21" s="133">
        <f t="shared" si="141"/>
        <v>-20.743763793888576</v>
      </c>
      <c r="ME21" s="133">
        <f t="shared" si="142"/>
        <v>-17.572178599974997</v>
      </c>
      <c r="MF21" s="133">
        <f t="shared" si="395"/>
        <v>-13.830581284008307</v>
      </c>
      <c r="MG21" s="133">
        <f t="shared" si="396"/>
        <v>-7.4162683883885272</v>
      </c>
      <c r="MH21" s="134">
        <f t="shared" si="397"/>
        <v>-5.2077713519331326E-2</v>
      </c>
      <c r="MI21" s="133">
        <f t="shared" si="398"/>
        <v>7.5036329509892568</v>
      </c>
      <c r="MJ21" s="133">
        <f t="shared" si="143"/>
        <v>14.424125714180974</v>
      </c>
      <c r="MK21" s="133">
        <f t="shared" si="144"/>
        <v>18.630554755079004</v>
      </c>
      <c r="ML21" s="133">
        <f t="shared" si="145"/>
        <v>22.311679584771369</v>
      </c>
      <c r="MM21" s="133">
        <f t="shared" si="146"/>
        <v>26.627936457777061</v>
      </c>
      <c r="MN21" s="81"/>
      <c r="MO21" s="81">
        <v>19</v>
      </c>
      <c r="MP21" s="133">
        <f t="shared" si="147"/>
        <v>-27.473751988239972</v>
      </c>
      <c r="MQ21" s="133">
        <f t="shared" si="148"/>
        <v>-23.161824200507432</v>
      </c>
      <c r="MR21" s="133">
        <f t="shared" si="149"/>
        <v>-19.417597607397564</v>
      </c>
      <c r="MS21" s="133">
        <f t="shared" si="399"/>
        <v>-15.068916385998175</v>
      </c>
      <c r="MT21" s="133">
        <f t="shared" si="400"/>
        <v>-7.7545983200244848</v>
      </c>
      <c r="MU21" s="134">
        <f t="shared" si="401"/>
        <v>0.4675689860002592</v>
      </c>
      <c r="MV21" s="133">
        <f t="shared" si="402"/>
        <v>8.7483411920145215</v>
      </c>
      <c r="MW21" s="133">
        <f t="shared" si="150"/>
        <v>16.219269877385351</v>
      </c>
      <c r="MX21" s="133">
        <f t="shared" si="151"/>
        <v>20.71425656841857</v>
      </c>
      <c r="MY21" s="133">
        <f t="shared" si="152"/>
        <v>24.622115449996116</v>
      </c>
      <c r="MZ21" s="133">
        <f t="shared" si="153"/>
        <v>29.175818757221272</v>
      </c>
      <c r="NA21" s="81"/>
      <c r="NB21" s="81">
        <v>19</v>
      </c>
      <c r="NC21" s="133">
        <f t="shared" si="154"/>
        <v>-24.234037542833551</v>
      </c>
      <c r="ND21" s="133">
        <f t="shared" si="155"/>
        <v>-20.088293460729513</v>
      </c>
      <c r="NE21" s="133">
        <f t="shared" si="156"/>
        <v>-16.438937864226453</v>
      </c>
      <c r="NF21" s="133">
        <f t="shared" si="403"/>
        <v>-12.167446180411284</v>
      </c>
      <c r="NG21" s="133">
        <f t="shared" si="404"/>
        <v>-4.9316205199969971</v>
      </c>
      <c r="NH21" s="134">
        <f t="shared" si="405"/>
        <v>3.2534830264463253</v>
      </c>
      <c r="NI21" s="133">
        <f t="shared" si="406"/>
        <v>11.535074867481054</v>
      </c>
      <c r="NJ21" s="133">
        <f t="shared" si="157"/>
        <v>19.031669692123277</v>
      </c>
      <c r="NK21" s="133">
        <f t="shared" si="158"/>
        <v>23.551516972685793</v>
      </c>
      <c r="NL21" s="133">
        <f t="shared" si="159"/>
        <v>27.486047275052595</v>
      </c>
      <c r="NM21" s="133">
        <f t="shared" si="160"/>
        <v>32.07623813706833</v>
      </c>
      <c r="NN21" s="81"/>
      <c r="NO21" s="81">
        <v>21</v>
      </c>
      <c r="NP21" s="133">
        <f t="shared" si="161"/>
        <v>-28.457015006669607</v>
      </c>
      <c r="NQ21" s="133">
        <f t="shared" si="162"/>
        <v>-24.432501830816598</v>
      </c>
      <c r="NR21" s="133">
        <f t="shared" si="163"/>
        <v>-20.965880179701909</v>
      </c>
      <c r="NS21" s="133">
        <f t="shared" si="407"/>
        <v>-16.964437048678064</v>
      </c>
      <c r="NT21" s="133">
        <f t="shared" si="408"/>
        <v>-10.280703041917391</v>
      </c>
      <c r="NU21" s="134">
        <f t="shared" si="409"/>
        <v>-2.8211899137407954</v>
      </c>
      <c r="NV21" s="133">
        <f t="shared" si="410"/>
        <v>4.6465376447127369</v>
      </c>
      <c r="NW21" s="133">
        <f t="shared" si="164"/>
        <v>11.352276232934344</v>
      </c>
      <c r="NX21" s="133">
        <f t="shared" si="165"/>
        <v>15.374354282268605</v>
      </c>
      <c r="NY21" s="133">
        <f t="shared" si="166"/>
        <v>18.86416022227607</v>
      </c>
      <c r="NZ21" s="133">
        <f t="shared" si="167"/>
        <v>22.923187000319302</v>
      </c>
      <c r="OA21" s="81"/>
      <c r="OB21" s="81">
        <v>19</v>
      </c>
      <c r="OC21" s="133">
        <v>16.168794954060374</v>
      </c>
      <c r="OD21" s="133">
        <v>17.981683613023751</v>
      </c>
      <c r="OE21" s="133">
        <v>19.702628190417013</v>
      </c>
      <c r="OF21" s="133">
        <v>21.892160657555738</v>
      </c>
      <c r="OG21" s="133">
        <v>26.099479663528911</v>
      </c>
      <c r="OH21" s="134">
        <v>31.748506814169872</v>
      </c>
      <c r="OI21" s="133">
        <v>38.620221472764179</v>
      </c>
      <c r="OJ21" s="133">
        <v>46.042403063651307</v>
      </c>
      <c r="OK21" s="133">
        <v>51.159047168115762</v>
      </c>
      <c r="OL21" s="133">
        <v>56.055245249635121</v>
      </c>
      <c r="OM21" s="133">
        <v>62.340309701080464</v>
      </c>
      <c r="ON21" s="81"/>
      <c r="OO21" s="81">
        <v>19</v>
      </c>
      <c r="OP21" s="133">
        <v>15.734169789220319</v>
      </c>
      <c r="OQ21" s="133">
        <v>17.382724630462878</v>
      </c>
      <c r="OR21" s="133">
        <v>18.938075326074799</v>
      </c>
      <c r="OS21" s="133">
        <v>20.904791442273496</v>
      </c>
      <c r="OT21" s="133">
        <v>25.291949894542686</v>
      </c>
      <c r="OU21" s="134">
        <v>29.621794038242339</v>
      </c>
      <c r="OV21" s="133">
        <v>35.5955253682516</v>
      </c>
      <c r="OW21" s="133">
        <v>41.973663524318923</v>
      </c>
      <c r="OX21" s="133">
        <v>46.332621818012086</v>
      </c>
      <c r="OY21" s="133">
        <v>50.478316874808819</v>
      </c>
      <c r="OZ21" s="133">
        <v>55.767205629444902</v>
      </c>
      <c r="PA21" s="81"/>
      <c r="PB21" s="81">
        <v>21</v>
      </c>
      <c r="PC21" s="133">
        <v>19.876281884300635</v>
      </c>
      <c r="PD21" s="133">
        <v>21.812725360639348</v>
      </c>
      <c r="PE21" s="133">
        <v>23.628405916432957</v>
      </c>
      <c r="PF21" s="133">
        <v>25.910129097326426</v>
      </c>
      <c r="PG21" s="133">
        <v>30.217274871791009</v>
      </c>
      <c r="PH21" s="134">
        <v>35.866916701032451</v>
      </c>
      <c r="PI21" s="133">
        <v>42.572856721760125</v>
      </c>
      <c r="PJ21" s="133">
        <v>49.649915243824211</v>
      </c>
      <c r="PK21" s="133">
        <v>54.444456311973113</v>
      </c>
      <c r="PL21" s="133">
        <v>58.97638614018171</v>
      </c>
      <c r="PM21" s="133">
        <v>64.722150809045317</v>
      </c>
      <c r="PN21" s="81"/>
      <c r="PO21" s="81">
        <v>19</v>
      </c>
      <c r="PP21" s="133">
        <v>7.6906811369735033</v>
      </c>
      <c r="PQ21" s="133">
        <v>8.3984191336802478</v>
      </c>
      <c r="PR21" s="133">
        <v>9.0589896343398113</v>
      </c>
      <c r="PS21" s="133">
        <v>9.8853235987114587</v>
      </c>
      <c r="PT21" s="133">
        <v>11.434925988635143</v>
      </c>
      <c r="PU21" s="134">
        <v>13.450016963334589</v>
      </c>
      <c r="PV21" s="133">
        <v>15.820212259684284</v>
      </c>
      <c r="PW21" s="133">
        <v>18.30015522583081</v>
      </c>
      <c r="PX21" s="133">
        <v>19.969440701007247</v>
      </c>
      <c r="PY21" s="133">
        <v>21.540120043367629</v>
      </c>
      <c r="PZ21" s="133">
        <v>23.522358175049568</v>
      </c>
      <c r="QA21" s="81"/>
      <c r="QB21" s="81">
        <v>19</v>
      </c>
      <c r="QC21" s="133">
        <v>7.4624283652340475</v>
      </c>
      <c r="QD21" s="133">
        <v>8.1383429210277711</v>
      </c>
      <c r="QE21" s="133">
        <v>8.7684335136749656</v>
      </c>
      <c r="QF21" s="133">
        <v>9.5556682848334038</v>
      </c>
      <c r="QG21" s="133">
        <v>11.029331972168595</v>
      </c>
      <c r="QH21" s="134">
        <v>12.941213501141053</v>
      </c>
      <c r="QI21" s="133">
        <v>15.18451047667453</v>
      </c>
      <c r="QJ21" s="133">
        <v>17.526247447070645</v>
      </c>
      <c r="QK21" s="133">
        <v>19.099763557644224</v>
      </c>
      <c r="QL21" s="133">
        <v>20.578514386435494</v>
      </c>
      <c r="QM21" s="133">
        <v>22.44242740906536</v>
      </c>
      <c r="QN21" s="81"/>
      <c r="QO21" s="81">
        <v>21</v>
      </c>
      <c r="QP21" s="133">
        <v>8.4799350006105794</v>
      </c>
      <c r="QQ21" s="133">
        <v>9.2221796936409923</v>
      </c>
      <c r="QR21" s="133">
        <v>9.9123095107287273</v>
      </c>
      <c r="QS21" s="133">
        <v>10.77232310636024</v>
      </c>
      <c r="QT21" s="133">
        <v>12.376223314312778</v>
      </c>
      <c r="QU21" s="134">
        <v>14.446887690471497</v>
      </c>
      <c r="QV21" s="133">
        <v>16.86399466465074</v>
      </c>
      <c r="QW21" s="133">
        <v>19.374888952028169</v>
      </c>
      <c r="QX21" s="133">
        <v>21.055896581436826</v>
      </c>
      <c r="QY21" s="133">
        <v>22.63158720329546</v>
      </c>
      <c r="QZ21" s="133">
        <v>24.612519308941501</v>
      </c>
      <c r="RA21" s="81"/>
      <c r="RB21" s="81">
        <v>19</v>
      </c>
      <c r="RC21" s="133">
        <f t="shared" si="168"/>
        <v>0.25320967158411306</v>
      </c>
      <c r="RD21" s="133">
        <f t="shared" si="169"/>
        <v>0.27379658421184111</v>
      </c>
      <c r="RE21" s="133">
        <f t="shared" si="170"/>
        <v>0.29305922220441144</v>
      </c>
      <c r="RF21" s="133">
        <f t="shared" si="411"/>
        <v>0.31723914662115021</v>
      </c>
      <c r="RG21" s="133">
        <f t="shared" si="412"/>
        <v>0.36289150861712366</v>
      </c>
      <c r="RH21" s="134">
        <f t="shared" si="413"/>
        <v>0.42297534385113744</v>
      </c>
      <c r="RI21" s="133">
        <f t="shared" si="414"/>
        <v>0.49483594406712222</v>
      </c>
      <c r="RJ21" s="133">
        <f t="shared" si="171"/>
        <v>0.571524871288972</v>
      </c>
      <c r="RK21" s="133">
        <f t="shared" si="172"/>
        <v>0.62405391348857719</v>
      </c>
      <c r="RL21" s="133">
        <f t="shared" si="173"/>
        <v>0.67416713432151687</v>
      </c>
      <c r="RM21" s="133">
        <f t="shared" si="174"/>
        <v>0.73837996313262433</v>
      </c>
      <c r="RN21" s="81"/>
      <c r="RO21" s="81">
        <v>19</v>
      </c>
      <c r="RP21" s="133">
        <f t="shared" si="175"/>
        <v>0.27506008678014371</v>
      </c>
      <c r="RQ21" s="133">
        <f t="shared" si="176"/>
        <v>0.29510734336736472</v>
      </c>
      <c r="RR21" s="133">
        <f t="shared" si="177"/>
        <v>0.31378453713425669</v>
      </c>
      <c r="RS21" s="133">
        <f t="shared" si="415"/>
        <v>0.3371335191141499</v>
      </c>
      <c r="RT21" s="133">
        <f t="shared" si="416"/>
        <v>0.3809733491204198</v>
      </c>
      <c r="RU21" s="134">
        <f t="shared" si="417"/>
        <v>0.43829215973637137</v>
      </c>
      <c r="RV21" s="133">
        <f t="shared" si="418"/>
        <v>0.50643551534052222</v>
      </c>
      <c r="RW21" s="133">
        <f t="shared" si="178"/>
        <v>0.57881709693724492</v>
      </c>
      <c r="RX21" s="133">
        <f t="shared" si="179"/>
        <v>0.62825536636409307</v>
      </c>
      <c r="RY21" s="133">
        <f t="shared" si="180"/>
        <v>0.67534494979553272</v>
      </c>
      <c r="RZ21" s="133">
        <f t="shared" si="181"/>
        <v>0.73560857690334192</v>
      </c>
      <c r="SA21" s="81"/>
      <c r="SB21" s="81">
        <v>21</v>
      </c>
      <c r="SC21" s="133">
        <f t="shared" si="182"/>
        <v>0.23400099951141881</v>
      </c>
      <c r="SD21" s="133">
        <f t="shared" si="183"/>
        <v>0.25523220954222048</v>
      </c>
      <c r="SE21" s="133">
        <f t="shared" si="184"/>
        <v>0.27504825355002349</v>
      </c>
      <c r="SF21" s="133">
        <f t="shared" si="419"/>
        <v>0.29983885431982271</v>
      </c>
      <c r="SG21" s="133">
        <f t="shared" si="420"/>
        <v>0.34634049161643082</v>
      </c>
      <c r="SH21" s="134">
        <f t="shared" si="421"/>
        <v>0.40684816088484194</v>
      </c>
      <c r="SI21" s="133">
        <f t="shared" si="422"/>
        <v>0.47808831586187356</v>
      </c>
      <c r="SJ21" s="133">
        <f t="shared" si="185"/>
        <v>0.55271948429983153</v>
      </c>
      <c r="SK21" s="133">
        <f t="shared" si="186"/>
        <v>0.60301146728566302</v>
      </c>
      <c r="SL21" s="133">
        <f t="shared" si="187"/>
        <v>0.6503754664980772</v>
      </c>
      <c r="SM21" s="133">
        <f t="shared" si="188"/>
        <v>0.71020999570612242</v>
      </c>
      <c r="SN21" s="81"/>
      <c r="SO21" s="81">
        <v>19</v>
      </c>
      <c r="SP21" s="133">
        <f t="shared" si="189"/>
        <v>0.20093035873774204</v>
      </c>
      <c r="SQ21" s="133">
        <f t="shared" si="190"/>
        <v>0.2143040564997806</v>
      </c>
      <c r="SR21" s="133">
        <f t="shared" si="191"/>
        <v>0.22632849851303474</v>
      </c>
      <c r="SS21" s="133">
        <f t="shared" si="423"/>
        <v>0.24080956310343077</v>
      </c>
      <c r="ST21" s="133">
        <f t="shared" si="424"/>
        <v>0.26649280232946887</v>
      </c>
      <c r="SU21" s="134">
        <f t="shared" si="425"/>
        <v>0.29747222007247087</v>
      </c>
      <c r="SV21" s="133">
        <f t="shared" si="426"/>
        <v>0.33106583981620302</v>
      </c>
      <c r="SW21" s="133">
        <f t="shared" si="192"/>
        <v>0.36354710876270713</v>
      </c>
      <c r="SX21" s="133">
        <f t="shared" si="193"/>
        <v>0.38412526615520665</v>
      </c>
      <c r="SY21" s="133">
        <f t="shared" si="194"/>
        <v>0.40266764123585463</v>
      </c>
      <c r="SZ21" s="133">
        <f t="shared" si="195"/>
        <v>0.42505880804172702</v>
      </c>
      <c r="TA21" s="81"/>
      <c r="TB21" s="81">
        <v>19</v>
      </c>
      <c r="TC21" s="133">
        <f t="shared" si="196"/>
        <v>0.21497419664583714</v>
      </c>
      <c r="TD21" s="133">
        <f t="shared" si="197"/>
        <v>0.22747019766134866</v>
      </c>
      <c r="TE21" s="133">
        <f t="shared" si="198"/>
        <v>0.23869174374876531</v>
      </c>
      <c r="TF21" s="133">
        <f t="shared" si="427"/>
        <v>0.25219307867505858</v>
      </c>
      <c r="TG21" s="133">
        <f t="shared" si="428"/>
        <v>0.27611711829211549</v>
      </c>
      <c r="TH21" s="134">
        <f t="shared" si="429"/>
        <v>0.30496117071867623</v>
      </c>
      <c r="TI21" s="133">
        <f t="shared" si="430"/>
        <v>0.33625008287197777</v>
      </c>
      <c r="TJ21" s="133">
        <f t="shared" si="199"/>
        <v>0.36653488484793545</v>
      </c>
      <c r="TK21" s="133">
        <f t="shared" si="200"/>
        <v>0.38574492855338838</v>
      </c>
      <c r="TL21" s="133">
        <f t="shared" si="201"/>
        <v>0.40307318115427448</v>
      </c>
      <c r="TM21" s="133">
        <f t="shared" si="202"/>
        <v>0.42402446863296095</v>
      </c>
      <c r="TN21" s="81"/>
      <c r="TO21" s="81">
        <v>21</v>
      </c>
      <c r="TP21" s="133">
        <f t="shared" si="203"/>
        <v>0.18809377027835633</v>
      </c>
      <c r="TQ21" s="133">
        <f t="shared" si="204"/>
        <v>0.20243425983761484</v>
      </c>
      <c r="TR21" s="133">
        <f t="shared" si="205"/>
        <v>0.21524427368831967</v>
      </c>
      <c r="TS21" s="133">
        <f t="shared" si="431"/>
        <v>0.23056490404680682</v>
      </c>
      <c r="TT21" s="133">
        <f t="shared" si="432"/>
        <v>0.25745037038043683</v>
      </c>
      <c r="TU21" s="134">
        <f t="shared" si="433"/>
        <v>0.28939810080768402</v>
      </c>
      <c r="TV21" s="133">
        <f t="shared" si="434"/>
        <v>0.32346455974064603</v>
      </c>
      <c r="TW21" s="133">
        <f t="shared" si="206"/>
        <v>0.35585645895894186</v>
      </c>
      <c r="TX21" s="133">
        <f t="shared" si="207"/>
        <v>0.3761118847764558</v>
      </c>
      <c r="TY21" s="133">
        <f t="shared" si="208"/>
        <v>0.39419325977444214</v>
      </c>
      <c r="TZ21" s="133">
        <f t="shared" si="209"/>
        <v>0.41581971195619372</v>
      </c>
      <c r="UA21" s="81"/>
      <c r="UB21" s="81">
        <v>19</v>
      </c>
      <c r="UC21" s="133">
        <f t="shared" si="210"/>
        <v>-29.315451113374905</v>
      </c>
      <c r="UD21" s="133">
        <f t="shared" si="211"/>
        <v>-25.716117959880336</v>
      </c>
      <c r="UE21" s="133">
        <f t="shared" si="212"/>
        <v>-22.730933836607875</v>
      </c>
      <c r="UF21" s="133">
        <f t="shared" si="435"/>
        <v>-19.397908881960667</v>
      </c>
      <c r="UG21" s="133">
        <f t="shared" si="436"/>
        <v>-14.057683416397175</v>
      </c>
      <c r="UH21" s="134">
        <f t="shared" si="437"/>
        <v>-8.3749807667570622</v>
      </c>
      <c r="UI21" s="133">
        <f t="shared" si="438"/>
        <v>-2.9267198030634631</v>
      </c>
      <c r="UJ21" s="133">
        <f t="shared" si="213"/>
        <v>1.7927231188019732</v>
      </c>
      <c r="UK21" s="133">
        <f t="shared" si="214"/>
        <v>4.5544508811947537</v>
      </c>
      <c r="UL21" s="133">
        <f t="shared" si="215"/>
        <v>6.9124899750867996</v>
      </c>
      <c r="UM21" s="133">
        <f t="shared" si="216"/>
        <v>9.613505948182322</v>
      </c>
      <c r="UN21" s="81"/>
      <c r="UO21" s="81">
        <v>19</v>
      </c>
      <c r="UP21" s="133">
        <f t="shared" si="217"/>
        <v>-25.030373685629428</v>
      </c>
      <c r="UQ21" s="133">
        <f t="shared" si="218"/>
        <v>-22.168311614172801</v>
      </c>
      <c r="UR21" s="133">
        <f t="shared" si="219"/>
        <v>-19.718036300461783</v>
      </c>
      <c r="US21" s="133">
        <f t="shared" si="439"/>
        <v>-16.903387546115201</v>
      </c>
      <c r="UT21" s="133">
        <f t="shared" si="440"/>
        <v>-12.228014457335998</v>
      </c>
      <c r="UU21" s="134">
        <f t="shared" si="441"/>
        <v>-7.0404546069492326</v>
      </c>
      <c r="UV21" s="133">
        <f t="shared" si="442"/>
        <v>-1.8729086927127341</v>
      </c>
      <c r="UW21" s="133">
        <f t="shared" si="220"/>
        <v>2.7491221917781488</v>
      </c>
      <c r="UX21" s="133">
        <f t="shared" si="221"/>
        <v>5.5141615105606121</v>
      </c>
      <c r="UY21" s="133">
        <f t="shared" si="222"/>
        <v>7.9092767074249934</v>
      </c>
      <c r="UZ21" s="133">
        <f t="shared" si="223"/>
        <v>10.690690496481388</v>
      </c>
      <c r="VA21" s="81"/>
      <c r="VB21" s="81">
        <v>22</v>
      </c>
      <c r="VC21" s="133">
        <f t="shared" si="224"/>
        <v>-31.857775542315295</v>
      </c>
      <c r="VD21" s="133">
        <f t="shared" si="225"/>
        <v>-27.619511912550202</v>
      </c>
      <c r="VE21" s="133">
        <f t="shared" si="226"/>
        <v>-24.213185874311208</v>
      </c>
      <c r="VF21" s="133">
        <f t="shared" si="443"/>
        <v>-20.504083004787148</v>
      </c>
      <c r="VG21" s="133">
        <f t="shared" si="444"/>
        <v>-14.728890117750346</v>
      </c>
      <c r="VH21" s="134">
        <f t="shared" si="445"/>
        <v>-8.7646830792217685</v>
      </c>
      <c r="VI21" s="133">
        <f t="shared" si="446"/>
        <v>-3.1874204881961745</v>
      </c>
      <c r="VJ21" s="133">
        <f t="shared" si="227"/>
        <v>1.550863263984823</v>
      </c>
      <c r="VK21" s="133">
        <f t="shared" si="228"/>
        <v>4.2885682665239813</v>
      </c>
      <c r="VL21" s="133">
        <f t="shared" si="229"/>
        <v>6.6074109709376501</v>
      </c>
      <c r="VM21" s="133">
        <f t="shared" si="230"/>
        <v>9.2437636183863958</v>
      </c>
      <c r="VN21" s="81"/>
      <c r="VO21" s="81">
        <v>19</v>
      </c>
      <c r="VP21" s="133">
        <f t="shared" si="231"/>
        <v>-47.354881403532616</v>
      </c>
      <c r="VQ21" s="133">
        <f t="shared" si="232"/>
        <v>-44.056731566864116</v>
      </c>
      <c r="VR21" s="133">
        <f t="shared" si="233"/>
        <v>-40.838592982536376</v>
      </c>
      <c r="VS21" s="133">
        <f t="shared" si="447"/>
        <v>-36.711207111388802</v>
      </c>
      <c r="VT21" s="133">
        <f t="shared" si="448"/>
        <v>-28.88029689116031</v>
      </c>
      <c r="VU21" s="134">
        <f t="shared" si="449"/>
        <v>-18.831221779891429</v>
      </c>
      <c r="VV21" s="133">
        <f t="shared" si="450"/>
        <v>-7.4623377930811827</v>
      </c>
      <c r="VW21" s="133">
        <f t="shared" si="234"/>
        <v>3.81120528563428</v>
      </c>
      <c r="VX21" s="133">
        <f t="shared" si="235"/>
        <v>11.03996075063322</v>
      </c>
      <c r="VY21" s="133">
        <f t="shared" si="236"/>
        <v>17.588911440846225</v>
      </c>
      <c r="VZ21" s="133">
        <f t="shared" si="237"/>
        <v>25.523725559051918</v>
      </c>
      <c r="WA21" s="81"/>
      <c r="WB21" s="81">
        <v>19</v>
      </c>
      <c r="WC21" s="133">
        <f t="shared" si="238"/>
        <v>-44.048591978423389</v>
      </c>
      <c r="WD21" s="133">
        <f t="shared" si="239"/>
        <v>-41.094283042919344</v>
      </c>
      <c r="WE21" s="133">
        <f t="shared" si="240"/>
        <v>-38.109147323605569</v>
      </c>
      <c r="WF21" s="133">
        <f t="shared" si="451"/>
        <v>-34.186967496012045</v>
      </c>
      <c r="WG21" s="133">
        <f t="shared" si="452"/>
        <v>-26.563773445296004</v>
      </c>
      <c r="WH21" s="134">
        <f t="shared" si="453"/>
        <v>-16.5690913560612</v>
      </c>
      <c r="WI21" s="133">
        <f t="shared" si="454"/>
        <v>-5.0861310872664518</v>
      </c>
      <c r="WJ21" s="133">
        <f t="shared" si="241"/>
        <v>6.4221532786307378</v>
      </c>
      <c r="WK21" s="133">
        <f t="shared" si="242"/>
        <v>13.848444620203502</v>
      </c>
      <c r="WL21" s="133">
        <f t="shared" si="243"/>
        <v>20.601965146056962</v>
      </c>
      <c r="WM21" s="133">
        <f t="shared" si="244"/>
        <v>28.812428017446244</v>
      </c>
      <c r="WN21" s="81"/>
      <c r="WO21" s="81">
        <v>22</v>
      </c>
      <c r="WP21" s="133">
        <f t="shared" si="245"/>
        <v>-48.480360062914869</v>
      </c>
      <c r="WQ21" s="133">
        <f t="shared" si="246"/>
        <v>-44.937093763659618</v>
      </c>
      <c r="WR21" s="133">
        <f t="shared" si="247"/>
        <v>-41.502865503029831</v>
      </c>
      <c r="WS21" s="133">
        <f t="shared" si="455"/>
        <v>-37.145087839030268</v>
      </c>
      <c r="WT21" s="133">
        <f t="shared" si="456"/>
        <v>-29.021172079100605</v>
      </c>
      <c r="WU21" s="134">
        <f t="shared" si="457"/>
        <v>-18.837524969131877</v>
      </c>
      <c r="WV21" s="133">
        <f t="shared" si="458"/>
        <v>-7.5834639324938209</v>
      </c>
      <c r="WW21" s="133">
        <f t="shared" si="248"/>
        <v>3.3482518621178485</v>
      </c>
      <c r="WX21" s="133">
        <f t="shared" si="249"/>
        <v>10.256521235553556</v>
      </c>
      <c r="WY21" s="133">
        <f t="shared" si="250"/>
        <v>16.454650248514461</v>
      </c>
      <c r="WZ21" s="133">
        <f t="shared" si="251"/>
        <v>23.894366027293124</v>
      </c>
      <c r="XA21" s="81"/>
      <c r="XB21" s="81">
        <v>19</v>
      </c>
      <c r="XC21" s="133">
        <f t="shared" si="252"/>
        <v>-51.615830820180051</v>
      </c>
      <c r="XD21" s="133">
        <f t="shared" si="253"/>
        <v>-47.729502692205173</v>
      </c>
      <c r="XE21" s="133">
        <f t="shared" si="254"/>
        <v>-43.979864438049582</v>
      </c>
      <c r="XF21" s="133">
        <f t="shared" si="459"/>
        <v>-39.283369587422911</v>
      </c>
      <c r="XG21" s="133">
        <f t="shared" si="460"/>
        <v>-30.717974794200899</v>
      </c>
      <c r="XH21" s="134">
        <f t="shared" si="461"/>
        <v>-20.281684025694446</v>
      </c>
      <c r="XI21" s="133">
        <f t="shared" si="462"/>
        <v>-9.060154876728916</v>
      </c>
      <c r="XJ21" s="133">
        <f t="shared" si="255"/>
        <v>1.587887490292573</v>
      </c>
      <c r="XK21" s="133">
        <f t="shared" si="256"/>
        <v>8.2088846481010265</v>
      </c>
      <c r="XL21" s="133">
        <f t="shared" si="257"/>
        <v>14.086409414899997</v>
      </c>
      <c r="XM21" s="133">
        <f t="shared" si="258"/>
        <v>21.069934631235505</v>
      </c>
      <c r="XN21" s="81"/>
      <c r="XO21" s="81">
        <v>19</v>
      </c>
      <c r="XP21" s="133">
        <f t="shared" si="259"/>
        <v>-48.746662141419826</v>
      </c>
      <c r="XQ21" s="133">
        <f t="shared" si="260"/>
        <v>-44.859924835687856</v>
      </c>
      <c r="XR21" s="133">
        <f t="shared" si="261"/>
        <v>-41.074097911932576</v>
      </c>
      <c r="XS21" s="133">
        <f t="shared" si="463"/>
        <v>-36.324415210106785</v>
      </c>
      <c r="XT21" s="133">
        <f t="shared" si="464"/>
        <v>-27.673556743201427</v>
      </c>
      <c r="XU21" s="134">
        <f t="shared" si="465"/>
        <v>-17.169784155619865</v>
      </c>
      <c r="XV21" s="133">
        <f t="shared" si="466"/>
        <v>-5.9213510254144168</v>
      </c>
      <c r="XW21" s="133">
        <f t="shared" si="262"/>
        <v>4.7127826003803506</v>
      </c>
      <c r="XX21" s="133">
        <f t="shared" si="263"/>
        <v>11.307726057195197</v>
      </c>
      <c r="XY21" s="133">
        <f t="shared" si="264"/>
        <v>17.151851375905672</v>
      </c>
      <c r="XZ21" s="133">
        <f t="shared" si="265"/>
        <v>24.08395852554191</v>
      </c>
      <c r="YA21" s="81"/>
      <c r="YB21" s="81">
        <v>22</v>
      </c>
      <c r="YC21" s="133">
        <f t="shared" si="266"/>
        <v>-53.130023714600547</v>
      </c>
      <c r="YD21" s="133">
        <f t="shared" si="267"/>
        <v>-49.14832603794801</v>
      </c>
      <c r="YE21" s="133">
        <f t="shared" si="268"/>
        <v>-45.29589201064001</v>
      </c>
      <c r="YF21" s="133">
        <f t="shared" si="467"/>
        <v>-40.498394792666474</v>
      </c>
      <c r="YG21" s="133">
        <f t="shared" si="468"/>
        <v>-31.840973471603839</v>
      </c>
      <c r="YH21" s="134">
        <f t="shared" si="469"/>
        <v>-21.433717931205848</v>
      </c>
      <c r="YI21" s="133">
        <f t="shared" si="470"/>
        <v>-10.383334468767174</v>
      </c>
      <c r="YJ21" s="133">
        <f t="shared" si="269"/>
        <v>-6.8829334260982478E-3</v>
      </c>
      <c r="YK21" s="133">
        <f t="shared" si="270"/>
        <v>6.3994701779063803</v>
      </c>
      <c r="YL21" s="133">
        <f t="shared" si="271"/>
        <v>12.060212324158819</v>
      </c>
      <c r="YM21" s="133">
        <f t="shared" si="272"/>
        <v>18.756734702179791</v>
      </c>
      <c r="YN21" s="81"/>
      <c r="YO21" s="81">
        <v>19</v>
      </c>
      <c r="YP21" s="133">
        <v>20.701568580648839</v>
      </c>
      <c r="YQ21" s="133">
        <v>23.233836027340082</v>
      </c>
      <c r="YR21" s="133">
        <v>25.658119058526339</v>
      </c>
      <c r="YS21" s="133">
        <v>28.768743596291092</v>
      </c>
      <c r="YT21" s="133">
        <v>34.819517356275838</v>
      </c>
      <c r="YU21" s="134">
        <v>43.07491112261517</v>
      </c>
      <c r="YV21" s="133">
        <v>53.287584352078063</v>
      </c>
      <c r="YW21" s="133">
        <v>64.495272864832472</v>
      </c>
      <c r="YX21" s="133">
        <v>72.314262943004721</v>
      </c>
      <c r="YY21" s="133">
        <v>79.859734141095913</v>
      </c>
      <c r="YZ21" s="133">
        <v>89.628375791562434</v>
      </c>
      <c r="ZA21" s="81"/>
      <c r="ZB21" s="81">
        <v>19</v>
      </c>
      <c r="ZC21" s="133">
        <v>19.323334507936384</v>
      </c>
      <c r="ZD21" s="133">
        <v>21.749046768370526</v>
      </c>
      <c r="ZE21" s="133">
        <v>24.077478871514515</v>
      </c>
      <c r="ZF21" s="133">
        <v>27.073047413554619</v>
      </c>
      <c r="ZG21" s="133">
        <v>32.922358720512023</v>
      </c>
      <c r="ZH21" s="134">
        <v>40.943000581076745</v>
      </c>
      <c r="ZI21" s="133">
        <v>50.917654801495971</v>
      </c>
      <c r="ZJ21" s="133">
        <v>61.918751552984233</v>
      </c>
      <c r="ZK21" s="133">
        <v>69.622293327615608</v>
      </c>
      <c r="ZL21" s="133">
        <v>77.075989326572412</v>
      </c>
      <c r="ZM21" s="133">
        <v>86.751553977061121</v>
      </c>
      <c r="ZN21" s="81"/>
      <c r="ZO21" s="81">
        <v>22</v>
      </c>
      <c r="ZP21" s="133">
        <v>22.730656056796459</v>
      </c>
      <c r="ZQ21" s="133">
        <v>25.323614276979473</v>
      </c>
      <c r="ZR21" s="133">
        <v>27.789070370974926</v>
      </c>
      <c r="ZS21" s="133">
        <v>30.930938852056077</v>
      </c>
      <c r="ZT21" s="133">
        <v>36.982406081269005</v>
      </c>
      <c r="ZU21" s="134">
        <v>45.132532952983233</v>
      </c>
      <c r="ZV21" s="133">
        <v>55.078772491868705</v>
      </c>
      <c r="ZW21" s="133">
        <v>65.854629906156759</v>
      </c>
      <c r="ZX21" s="133">
        <v>73.300240114533025</v>
      </c>
      <c r="ZY21" s="133">
        <v>80.436603893616024</v>
      </c>
      <c r="ZZ21" s="133">
        <v>89.612263089215688</v>
      </c>
      <c r="AAA21" s="81"/>
      <c r="AAB21" s="81">
        <v>19</v>
      </c>
      <c r="AAC21" s="133">
        <v>8.2195804365120804</v>
      </c>
      <c r="AAD21" s="133">
        <v>9.105228126699684</v>
      </c>
      <c r="AAE21" s="133">
        <v>9.9428902156619934</v>
      </c>
      <c r="AAF21" s="133">
        <v>11.004745140008499</v>
      </c>
      <c r="AAG21" s="133">
        <v>13.034432144636668</v>
      </c>
      <c r="AAH21" s="134">
        <v>15.740845538530863</v>
      </c>
      <c r="AAI21" s="133">
        <v>19.009206961872877</v>
      </c>
      <c r="AAJ21" s="133">
        <v>22.515216401249226</v>
      </c>
      <c r="AAK21" s="133">
        <v>24.919737912583432</v>
      </c>
      <c r="AAL21" s="133">
        <v>27.21230207745451</v>
      </c>
      <c r="AAM21" s="133">
        <v>30.144387561103805</v>
      </c>
      <c r="AAN21" s="81"/>
      <c r="AAO21" s="81">
        <v>19</v>
      </c>
      <c r="AAP21" s="133">
        <v>7.7869033684593081</v>
      </c>
      <c r="AAQ21" s="133">
        <v>8.6566552689579126</v>
      </c>
      <c r="AAR21" s="133">
        <v>9.4820009318815295</v>
      </c>
      <c r="AAS21" s="133">
        <v>10.531700630301644</v>
      </c>
      <c r="AAT21" s="133">
        <v>12.547722030083058</v>
      </c>
      <c r="AAU21" s="134">
        <v>15.252737028667671</v>
      </c>
      <c r="AAV21" s="133">
        <v>18.540894220315302</v>
      </c>
      <c r="AAW21" s="133">
        <v>22.090068359551029</v>
      </c>
      <c r="AAX21" s="133">
        <v>24.535537228588485</v>
      </c>
      <c r="AAY21" s="133">
        <v>26.874812457871602</v>
      </c>
      <c r="AAZ21" s="133">
        <v>29.87657299152033</v>
      </c>
      <c r="ABA21" s="81"/>
      <c r="ABB21" s="81">
        <v>22</v>
      </c>
      <c r="ABC21" s="133">
        <v>9.1175427292317313</v>
      </c>
      <c r="ABD21" s="133">
        <v>10.037947563785487</v>
      </c>
      <c r="ABE21" s="133">
        <v>10.903524267797055</v>
      </c>
      <c r="ABF21" s="133">
        <v>11.994514324899763</v>
      </c>
      <c r="ABG21" s="133">
        <v>14.062790363032832</v>
      </c>
      <c r="ABH21" s="134">
        <v>16.791027956399358</v>
      </c>
      <c r="ABI21" s="133">
        <v>20.048554558114095</v>
      </c>
      <c r="ABJ21" s="133">
        <v>23.505630340304837</v>
      </c>
      <c r="ABK21" s="133">
        <v>25.857567966833869</v>
      </c>
      <c r="ABL21" s="133">
        <v>28.087277607401717</v>
      </c>
      <c r="ABM21" s="133">
        <v>30.922654075276462</v>
      </c>
      <c r="ABN21" s="81"/>
      <c r="ABO21" s="81">
        <v>19</v>
      </c>
      <c r="ABP21" s="133">
        <f t="shared" si="273"/>
        <v>0.17569583042881404</v>
      </c>
      <c r="ABQ21" s="133">
        <f t="shared" si="274"/>
        <v>0.19965146992362789</v>
      </c>
      <c r="ABR21" s="133">
        <f t="shared" si="275"/>
        <v>0.22208729540901628</v>
      </c>
      <c r="ABS21" s="133">
        <f t="shared" si="471"/>
        <v>0.25017429799989793</v>
      </c>
      <c r="ABT21" s="133">
        <f t="shared" si="472"/>
        <v>0.30266994997975716</v>
      </c>
      <c r="ABU21" s="134">
        <f t="shared" si="473"/>
        <v>0.3701747783670401</v>
      </c>
      <c r="ABV21" s="133">
        <f t="shared" si="474"/>
        <v>0.44804277502158135</v>
      </c>
      <c r="ABW21" s="133">
        <f t="shared" si="276"/>
        <v>0.52750229341157751</v>
      </c>
      <c r="ABX21" s="133">
        <f t="shared" si="277"/>
        <v>0.57979167031561307</v>
      </c>
      <c r="ABY21" s="133">
        <f t="shared" si="278"/>
        <v>0.6281199470264146</v>
      </c>
      <c r="ABZ21" s="133">
        <f t="shared" si="279"/>
        <v>0.68793069930785056</v>
      </c>
      <c r="ACA21" s="81"/>
      <c r="ACB21" s="81">
        <v>19</v>
      </c>
      <c r="ACC21" s="133">
        <f t="shared" si="280"/>
        <v>0.18681341714537478</v>
      </c>
      <c r="ACD21" s="133">
        <f t="shared" si="281"/>
        <v>0.20973864679395754</v>
      </c>
      <c r="ACE21" s="133">
        <f t="shared" si="282"/>
        <v>0.2313486699787238</v>
      </c>
      <c r="ACF21" s="133">
        <f t="shared" si="475"/>
        <v>0.25861220979566191</v>
      </c>
      <c r="ACG21" s="133">
        <f t="shared" si="476"/>
        <v>0.31024509128242145</v>
      </c>
      <c r="ACH21" s="134">
        <f t="shared" si="477"/>
        <v>0.37800089962685279</v>
      </c>
      <c r="ACI21" s="133">
        <f t="shared" si="478"/>
        <v>0.45809543353077087</v>
      </c>
      <c r="ACJ21" s="133">
        <f t="shared" si="283"/>
        <v>0.5419519065861067</v>
      </c>
      <c r="ACK21" s="133">
        <f t="shared" si="284"/>
        <v>0.59828563841238436</v>
      </c>
      <c r="ACL21" s="133">
        <f t="shared" si="285"/>
        <v>0.6511491807724753</v>
      </c>
      <c r="ACM21" s="133">
        <f t="shared" si="286"/>
        <v>0.71761432574327388</v>
      </c>
      <c r="ACN21" s="81"/>
      <c r="ACO21" s="81">
        <v>22</v>
      </c>
      <c r="ACP21" s="133">
        <f t="shared" si="287"/>
        <v>0.16960814625197743</v>
      </c>
      <c r="ACQ21" s="133">
        <f t="shared" si="288"/>
        <v>0.19686351090558502</v>
      </c>
      <c r="ACR21" s="133">
        <f t="shared" si="289"/>
        <v>0.22198373230591095</v>
      </c>
      <c r="ACS21" s="133">
        <f t="shared" si="479"/>
        <v>0.25288116152816509</v>
      </c>
      <c r="ACT21" s="133">
        <f t="shared" si="480"/>
        <v>0.30910794000954528</v>
      </c>
      <c r="ACU21" s="134">
        <f t="shared" si="481"/>
        <v>0.37854499032677374</v>
      </c>
      <c r="ACV21" s="133">
        <f t="shared" si="482"/>
        <v>0.45525932630711458</v>
      </c>
      <c r="ACW21" s="133">
        <f t="shared" si="290"/>
        <v>0.53043790450055628</v>
      </c>
      <c r="ACX21" s="133">
        <f t="shared" si="291"/>
        <v>0.5783097689710297</v>
      </c>
      <c r="ACY21" s="133">
        <f t="shared" si="292"/>
        <v>0.6215618106916676</v>
      </c>
      <c r="ACZ21" s="133">
        <f t="shared" si="293"/>
        <v>0.67387797389170723</v>
      </c>
      <c r="ADA21" s="81"/>
      <c r="ADB21" s="81">
        <v>19</v>
      </c>
      <c r="ADC21" s="133">
        <f t="shared" si="294"/>
        <v>0.14710693494480634</v>
      </c>
      <c r="ADD21" s="133">
        <f t="shared" si="295"/>
        <v>0.16540181780884863</v>
      </c>
      <c r="ADE21" s="133">
        <f t="shared" si="296"/>
        <v>0.18151148024891767</v>
      </c>
      <c r="ADF21" s="133">
        <f t="shared" si="483"/>
        <v>0.20049169663548691</v>
      </c>
      <c r="ADG21" s="133">
        <f t="shared" si="484"/>
        <v>0.23306409867559566</v>
      </c>
      <c r="ADH21" s="134">
        <f t="shared" si="485"/>
        <v>0.27061465895706793</v>
      </c>
      <c r="ADI21" s="133">
        <f t="shared" si="486"/>
        <v>0.30937823172341244</v>
      </c>
      <c r="ADJ21" s="133">
        <f t="shared" si="297"/>
        <v>0.34511760932989644</v>
      </c>
      <c r="ADK21" s="133">
        <f t="shared" si="298"/>
        <v>0.36695418151445874</v>
      </c>
      <c r="ADL21" s="133">
        <f t="shared" si="299"/>
        <v>0.38613456211318054</v>
      </c>
      <c r="ADM21" s="133">
        <f t="shared" si="300"/>
        <v>0.40870818531026809</v>
      </c>
      <c r="ADN21" s="81"/>
      <c r="ADO21" s="81">
        <v>19</v>
      </c>
      <c r="ADP21" s="133">
        <f t="shared" si="301"/>
        <v>0.15571424071054651</v>
      </c>
      <c r="ADQ21" s="133">
        <f t="shared" si="302"/>
        <v>0.17270210274684364</v>
      </c>
      <c r="ADR21" s="133">
        <f t="shared" si="303"/>
        <v>0.18785854800009258</v>
      </c>
      <c r="ADS21" s="133">
        <f t="shared" si="487"/>
        <v>0.20594712597401896</v>
      </c>
      <c r="ADT21" s="133">
        <f t="shared" si="488"/>
        <v>0.23755247459353948</v>
      </c>
      <c r="ADU21" s="134">
        <f t="shared" si="489"/>
        <v>0.27482993592942861</v>
      </c>
      <c r="ADV21" s="133">
        <f t="shared" si="490"/>
        <v>0.31420426489069886</v>
      </c>
      <c r="ADW21" s="133">
        <f t="shared" si="304"/>
        <v>0.35126577603582887</v>
      </c>
      <c r="ADX21" s="133">
        <f t="shared" si="305"/>
        <v>0.37425221608746756</v>
      </c>
      <c r="ADY21" s="133">
        <f t="shared" si="306"/>
        <v>0.39464916345741524</v>
      </c>
      <c r="ADZ21" s="133">
        <f t="shared" si="307"/>
        <v>0.41889517726438402</v>
      </c>
      <c r="AEA21" s="81"/>
      <c r="AEB21" s="81">
        <v>22</v>
      </c>
      <c r="AEC21" s="133">
        <f t="shared" si="308"/>
        <v>0.14253490799837071</v>
      </c>
      <c r="AED21" s="133">
        <f t="shared" si="309"/>
        <v>0.16360508571710361</v>
      </c>
      <c r="AEE21" s="133">
        <f t="shared" si="310"/>
        <v>0.18163941613378565</v>
      </c>
      <c r="AEF21" s="133">
        <f t="shared" si="491"/>
        <v>0.20234362840926842</v>
      </c>
      <c r="AEG21" s="133">
        <f t="shared" si="492"/>
        <v>0.23669800142466885</v>
      </c>
      <c r="AEH21" s="134">
        <f t="shared" si="493"/>
        <v>0.27475581449924413</v>
      </c>
      <c r="AEI21" s="133">
        <f t="shared" si="494"/>
        <v>0.31260321703039484</v>
      </c>
      <c r="AEJ21" s="133">
        <f t="shared" si="311"/>
        <v>0.34640323542551804</v>
      </c>
      <c r="AEK21" s="133">
        <f t="shared" si="312"/>
        <v>0.36660092319582055</v>
      </c>
      <c r="AEL21" s="133">
        <f t="shared" si="313"/>
        <v>0.38408330975523575</v>
      </c>
      <c r="AEM21" s="133">
        <f t="shared" si="314"/>
        <v>0.40437053291659292</v>
      </c>
      <c r="AEN21" s="81"/>
    </row>
    <row r="22" spans="1:820">
      <c r="A22" s="81"/>
      <c r="B22" s="81">
        <v>21</v>
      </c>
      <c r="C22" s="133">
        <f t="shared" si="0"/>
        <v>1.6569652461192215</v>
      </c>
      <c r="D22" s="133">
        <f t="shared" si="1"/>
        <v>1.9544254323671924</v>
      </c>
      <c r="E22" s="133">
        <f t="shared" si="2"/>
        <v>2.2619437502305604</v>
      </c>
      <c r="F22" s="133">
        <f t="shared" si="315"/>
        <v>2.6904994387863814</v>
      </c>
      <c r="G22" s="133">
        <f t="shared" si="316"/>
        <v>3.6403719660573497</v>
      </c>
      <c r="H22" s="134">
        <f t="shared" si="317"/>
        <v>5.207948715586018</v>
      </c>
      <c r="I22" s="133">
        <f t="shared" si="318"/>
        <v>7.641213915081309</v>
      </c>
      <c r="J22" s="133">
        <f t="shared" si="3"/>
        <v>11.046969986321045</v>
      </c>
      <c r="K22" s="133">
        <f t="shared" si="4"/>
        <v>13.953482730189949</v>
      </c>
      <c r="L22" s="133">
        <f t="shared" si="5"/>
        <v>17.232212695269673</v>
      </c>
      <c r="M22" s="133">
        <f t="shared" si="6"/>
        <v>22.263395568478433</v>
      </c>
      <c r="N22" s="81"/>
      <c r="O22" s="75">
        <v>21</v>
      </c>
      <c r="P22" s="151">
        <f t="shared" si="7"/>
        <v>2.3259083888998564</v>
      </c>
      <c r="Q22" s="151">
        <f t="shared" si="8"/>
        <v>2.6035645512361967</v>
      </c>
      <c r="R22" s="151">
        <f t="shared" si="9"/>
        <v>2.8810264581400982</v>
      </c>
      <c r="S22" s="151">
        <f t="shared" si="319"/>
        <v>3.255254868819438</v>
      </c>
      <c r="T22" s="151">
        <f t="shared" si="320"/>
        <v>4.048734517519649</v>
      </c>
      <c r="U22" s="134">
        <f t="shared" si="321"/>
        <v>5.2937022599026911</v>
      </c>
      <c r="V22" s="151">
        <f t="shared" si="322"/>
        <v>7.1502693939298219</v>
      </c>
      <c r="W22" s="151">
        <f t="shared" si="10"/>
        <v>9.6974196129754713</v>
      </c>
      <c r="X22" s="151">
        <f t="shared" si="11"/>
        <v>11.872706101030415</v>
      </c>
      <c r="Y22" s="151">
        <f t="shared" si="12"/>
        <v>14.356837758668382</v>
      </c>
      <c r="Z22" s="151">
        <f t="shared" si="13"/>
        <v>18.267522195123135</v>
      </c>
      <c r="AA22" s="81"/>
      <c r="AB22" s="75">
        <v>23</v>
      </c>
      <c r="AC22" s="151">
        <f t="shared" si="14"/>
        <v>1.3456991151510267</v>
      </c>
      <c r="AD22" s="151">
        <f t="shared" si="15"/>
        <v>1.6200593684381914</v>
      </c>
      <c r="AE22" s="151">
        <f t="shared" si="16"/>
        <v>1.9126423512711606</v>
      </c>
      <c r="AF22" s="151">
        <f t="shared" si="323"/>
        <v>2.3348054057043539</v>
      </c>
      <c r="AG22" s="151">
        <f t="shared" si="324"/>
        <v>3.3265800206026497</v>
      </c>
      <c r="AH22" s="134">
        <f t="shared" si="325"/>
        <v>5.1187153275827439</v>
      </c>
      <c r="AI22" s="151">
        <f t="shared" si="326"/>
        <v>8.249743144514909</v>
      </c>
      <c r="AJ22" s="151">
        <f t="shared" si="17"/>
        <v>13.288604988311352</v>
      </c>
      <c r="AK22" s="151">
        <f t="shared" si="18"/>
        <v>18.161398815059435</v>
      </c>
      <c r="AL22" s="151">
        <f t="shared" si="19"/>
        <v>24.270382492153768</v>
      </c>
      <c r="AM22" s="151">
        <f t="shared" si="20"/>
        <v>34.884742544171495</v>
      </c>
      <c r="AN22" s="81"/>
      <c r="AO22" s="81">
        <v>21</v>
      </c>
      <c r="AP22" s="133">
        <f t="shared" si="21"/>
        <v>1.2439791420099988</v>
      </c>
      <c r="AQ22" s="133">
        <f t="shared" si="22"/>
        <v>2.8718950304300366</v>
      </c>
      <c r="AR22" s="133">
        <f t="shared" si="23"/>
        <v>4.3955792048923685</v>
      </c>
      <c r="AS22" s="133">
        <f t="shared" si="327"/>
        <v>6.2952674561965525</v>
      </c>
      <c r="AT22" s="133">
        <f t="shared" si="328"/>
        <v>9.8081501520855738</v>
      </c>
      <c r="AU22" s="134">
        <f t="shared" si="329"/>
        <v>14.23562203888687</v>
      </c>
      <c r="AV22" s="133">
        <f t="shared" si="330"/>
        <v>19.209008821066085</v>
      </c>
      <c r="AW22" s="133">
        <f t="shared" si="24"/>
        <v>24.140457788636944</v>
      </c>
      <c r="AX22" s="133">
        <f t="shared" si="25"/>
        <v>27.311158835835126</v>
      </c>
      <c r="AY22" s="133">
        <f t="shared" si="26"/>
        <v>30.192232514353829</v>
      </c>
      <c r="AZ22" s="133">
        <f t="shared" si="27"/>
        <v>33.695759642809314</v>
      </c>
      <c r="BA22" s="81"/>
      <c r="BB22" s="81">
        <v>21</v>
      </c>
      <c r="BC22" s="133">
        <f t="shared" si="28"/>
        <v>4.1434250263440555</v>
      </c>
      <c r="BD22" s="133">
        <f t="shared" si="29"/>
        <v>5.8429661831591213</v>
      </c>
      <c r="BE22" s="133">
        <f t="shared" si="30"/>
        <v>7.3834538481303982</v>
      </c>
      <c r="BF22" s="133">
        <f t="shared" si="331"/>
        <v>9.2480176965594545</v>
      </c>
      <c r="BG22" s="133">
        <f t="shared" si="332"/>
        <v>12.564201981051408</v>
      </c>
      <c r="BH22" s="134">
        <f t="shared" si="333"/>
        <v>16.554972704521774</v>
      </c>
      <c r="BI22" s="133">
        <f t="shared" si="334"/>
        <v>20.846758904139953</v>
      </c>
      <c r="BJ22" s="133">
        <f t="shared" si="31"/>
        <v>24.94635493400218</v>
      </c>
      <c r="BK22" s="133">
        <f t="shared" si="32"/>
        <v>27.514364194781162</v>
      </c>
      <c r="BL22" s="133">
        <f t="shared" si="33"/>
        <v>29.80772399199132</v>
      </c>
      <c r="BM22" s="133">
        <f t="shared" si="34"/>
        <v>32.550390544665554</v>
      </c>
      <c r="BN22" s="81"/>
      <c r="BO22" s="75">
        <v>23</v>
      </c>
      <c r="BP22" s="151">
        <f t="shared" si="35"/>
        <v>2.7546370711681858</v>
      </c>
      <c r="BQ22" s="151">
        <f t="shared" si="36"/>
        <v>3.5149806371837857</v>
      </c>
      <c r="BR22" s="151">
        <f t="shared" si="37"/>
        <v>4.3053548613433117</v>
      </c>
      <c r="BS22" s="151">
        <f t="shared" si="335"/>
        <v>5.3999491960351591</v>
      </c>
      <c r="BT22" s="151">
        <f t="shared" si="336"/>
        <v>7.7535991805980222</v>
      </c>
      <c r="BU22" s="134">
        <f t="shared" si="337"/>
        <v>11.356519055746958</v>
      </c>
      <c r="BV22" s="151">
        <f t="shared" si="338"/>
        <v>16.297615551406018</v>
      </c>
      <c r="BW22" s="151">
        <f t="shared" si="38"/>
        <v>22.185729972371462</v>
      </c>
      <c r="BX22" s="151">
        <f t="shared" si="39"/>
        <v>26.517599861979626</v>
      </c>
      <c r="BY22" s="151">
        <f t="shared" si="40"/>
        <v>30.839159751386642</v>
      </c>
      <c r="BZ22" s="151">
        <f t="shared" si="41"/>
        <v>36.605162087007379</v>
      </c>
      <c r="CA22" s="81"/>
      <c r="CB22" s="81">
        <v>21</v>
      </c>
      <c r="CC22" s="133">
        <f t="shared" si="42"/>
        <v>-5.9906914255283947</v>
      </c>
      <c r="CD22" s="133">
        <f t="shared" si="43"/>
        <v>-4.2259254122006755</v>
      </c>
      <c r="CE22" s="133">
        <f t="shared" si="44"/>
        <v>-2.360175132558167</v>
      </c>
      <c r="CF22" s="133">
        <f t="shared" si="339"/>
        <v>0.10190009740329842</v>
      </c>
      <c r="CG22" s="133">
        <f t="shared" si="340"/>
        <v>4.8148688293161355</v>
      </c>
      <c r="CH22" s="134">
        <f t="shared" si="341"/>
        <v>10.808415240102704</v>
      </c>
      <c r="CI22" s="133">
        <f t="shared" si="342"/>
        <v>17.462105111940641</v>
      </c>
      <c r="CJ22" s="133">
        <f t="shared" si="45"/>
        <v>23.924709746439447</v>
      </c>
      <c r="CK22" s="133">
        <f t="shared" si="46"/>
        <v>28.002731478797575</v>
      </c>
      <c r="CL22" s="133">
        <f t="shared" si="47"/>
        <v>31.656112205009467</v>
      </c>
      <c r="CM22" s="133">
        <f t="shared" si="48"/>
        <v>36.033712736749294</v>
      </c>
      <c r="CN22" s="81"/>
      <c r="CO22" s="81">
        <v>21</v>
      </c>
      <c r="CP22" s="133">
        <f t="shared" si="49"/>
        <v>-0.7716858284915844</v>
      </c>
      <c r="CQ22" s="133">
        <f t="shared" si="50"/>
        <v>1.3181332202553131</v>
      </c>
      <c r="CR22" s="133">
        <f t="shared" si="51"/>
        <v>3.2761925994492058</v>
      </c>
      <c r="CS22" s="133">
        <f t="shared" si="343"/>
        <v>5.699895549274026</v>
      </c>
      <c r="CT22" s="133">
        <f t="shared" si="344"/>
        <v>10.099778238054935</v>
      </c>
      <c r="CU22" s="134">
        <f t="shared" si="345"/>
        <v>15.474230904638375</v>
      </c>
      <c r="CV22" s="133">
        <f t="shared" si="346"/>
        <v>21.292908087788</v>
      </c>
      <c r="CW22" s="133">
        <f t="shared" si="52"/>
        <v>26.858088908076365</v>
      </c>
      <c r="CX22" s="133">
        <f t="shared" si="53"/>
        <v>30.340242431463938</v>
      </c>
      <c r="CY22" s="133">
        <f t="shared" si="54"/>
        <v>33.445028195776679</v>
      </c>
      <c r="CZ22" s="133">
        <f t="shared" si="55"/>
        <v>37.150294386749152</v>
      </c>
      <c r="DA22" s="81"/>
      <c r="DB22" s="81">
        <v>23</v>
      </c>
      <c r="DC22" s="133">
        <f t="shared" si="56"/>
        <v>-6.4633606703758559</v>
      </c>
      <c r="DD22" s="133">
        <f t="shared" si="57"/>
        <v>-5.4202543623005237</v>
      </c>
      <c r="DE22" s="133">
        <f t="shared" si="58"/>
        <v>-4.207682905691291</v>
      </c>
      <c r="DF22" s="133">
        <f t="shared" si="347"/>
        <v>-2.4953452244591912</v>
      </c>
      <c r="DG22" s="133">
        <f t="shared" si="348"/>
        <v>1.027482411560471</v>
      </c>
      <c r="DH22" s="134">
        <f t="shared" si="349"/>
        <v>5.8339776894132696</v>
      </c>
      <c r="DI22" s="133">
        <f t="shared" si="350"/>
        <v>11.480906194739479</v>
      </c>
      <c r="DJ22" s="133">
        <f t="shared" si="59"/>
        <v>17.209288330736104</v>
      </c>
      <c r="DK22" s="133">
        <f t="shared" si="60"/>
        <v>20.927506761974545</v>
      </c>
      <c r="DL22" s="133">
        <f t="shared" si="61"/>
        <v>24.318780001039247</v>
      </c>
      <c r="DM22" s="133">
        <f t="shared" si="62"/>
        <v>28.450836925874835</v>
      </c>
      <c r="DN22" s="81"/>
      <c r="DO22" s="81">
        <v>21</v>
      </c>
      <c r="DP22" s="133">
        <v>13.178956441986999</v>
      </c>
      <c r="DQ22" s="133">
        <v>14.568592349467989</v>
      </c>
      <c r="DR22" s="133">
        <v>15.880398208958583</v>
      </c>
      <c r="DS22" s="133">
        <v>17.540086471803882</v>
      </c>
      <c r="DT22" s="133">
        <v>20.703677611376509</v>
      </c>
      <c r="DU22" s="134">
        <v>24.906666691770678</v>
      </c>
      <c r="DV22" s="133">
        <v>29.962891489098812</v>
      </c>
      <c r="DW22" s="133">
        <v>35.367103046622574</v>
      </c>
      <c r="DX22" s="133">
        <v>39.063381001680803</v>
      </c>
      <c r="DY22" s="133">
        <v>42.580781369561208</v>
      </c>
      <c r="DZ22" s="133">
        <v>47.070649973362322</v>
      </c>
      <c r="EA22" s="81"/>
      <c r="EB22" s="81">
        <v>21</v>
      </c>
      <c r="EC22" s="133">
        <v>13.651943061116288</v>
      </c>
      <c r="ED22" s="133">
        <v>14.694469563404633</v>
      </c>
      <c r="EE22" s="133">
        <v>15.654556209961958</v>
      </c>
      <c r="EF22" s="133">
        <v>16.839584240000104</v>
      </c>
      <c r="EG22" s="133">
        <v>19.019403789000776</v>
      </c>
      <c r="EH22" s="134">
        <v>21.783132741925765</v>
      </c>
      <c r="EI22" s="133">
        <v>24.948461966340503</v>
      </c>
      <c r="EJ22" s="133">
        <v>28.177944614881739</v>
      </c>
      <c r="EK22" s="133">
        <v>30.310975647486025</v>
      </c>
      <c r="EL22" s="133">
        <v>32.291391669834319</v>
      </c>
      <c r="EM22" s="133">
        <v>34.757314026883961</v>
      </c>
      <c r="EN22" s="81"/>
      <c r="EO22" s="81">
        <v>23</v>
      </c>
      <c r="EP22" s="133">
        <v>16.26844245322388</v>
      </c>
      <c r="EQ22" s="133">
        <v>17.783629716990571</v>
      </c>
      <c r="ER22" s="133">
        <v>19.199172212193073</v>
      </c>
      <c r="ES22" s="133">
        <v>20.971602086849526</v>
      </c>
      <c r="ET22" s="133">
        <v>24.299911898798086</v>
      </c>
      <c r="EU22" s="134">
        <v>28.635747119078982</v>
      </c>
      <c r="EV22" s="133">
        <v>33.745225763900777</v>
      </c>
      <c r="EW22" s="133">
        <v>39.100780649563902</v>
      </c>
      <c r="EX22" s="133">
        <v>42.710487931717587</v>
      </c>
      <c r="EY22" s="133">
        <v>46.110160080784965</v>
      </c>
      <c r="EZ22" s="133">
        <v>50.404703180748662</v>
      </c>
      <c r="FA22" s="81"/>
      <c r="FB22" s="81">
        <v>21</v>
      </c>
      <c r="FC22" s="133">
        <v>6.9557481079207442</v>
      </c>
      <c r="FD22" s="133">
        <v>7.8129542672011345</v>
      </c>
      <c r="FE22" s="133">
        <v>8.6342265375517648</v>
      </c>
      <c r="FF22" s="133">
        <v>9.6888071667883917</v>
      </c>
      <c r="FG22" s="133">
        <v>11.742412959596592</v>
      </c>
      <c r="FH22" s="134">
        <v>14.548266085429768</v>
      </c>
      <c r="FI22" s="133">
        <v>18.024578663748279</v>
      </c>
      <c r="FJ22" s="133">
        <v>21.845005525342042</v>
      </c>
      <c r="FK22" s="133">
        <v>24.513144885874162</v>
      </c>
      <c r="FL22" s="133">
        <v>27.089886725816822</v>
      </c>
      <c r="FM22" s="133">
        <v>30.428365548696441</v>
      </c>
      <c r="FN22" s="81"/>
      <c r="FO22" s="81">
        <v>21</v>
      </c>
      <c r="FP22" s="133">
        <v>6.7426112031345005</v>
      </c>
      <c r="FQ22" s="133">
        <v>7.441379666974675</v>
      </c>
      <c r="FR22" s="133">
        <v>8.1000102791964022</v>
      </c>
      <c r="FS22" s="133">
        <v>8.9320402458222024</v>
      </c>
      <c r="FT22" s="133">
        <v>10.514532595555009</v>
      </c>
      <c r="FU22" s="134">
        <v>12.610921030618721</v>
      </c>
      <c r="FV22" s="133">
        <v>15.125287576523688</v>
      </c>
      <c r="FW22" s="133">
        <v>17.80503948298794</v>
      </c>
      <c r="FX22" s="133">
        <v>19.633966348037688</v>
      </c>
      <c r="FY22" s="133">
        <v>21.371753136896189</v>
      </c>
      <c r="FZ22" s="133">
        <v>23.586608281161062</v>
      </c>
      <c r="GA22" s="81"/>
      <c r="GB22" s="81">
        <v>23</v>
      </c>
      <c r="GC22" s="133">
        <v>8.7852943362274427</v>
      </c>
      <c r="GD22" s="133">
        <v>9.7679073297936601</v>
      </c>
      <c r="GE22" s="133">
        <v>10.70047109961914</v>
      </c>
      <c r="GF22" s="133">
        <v>11.886685799891323</v>
      </c>
      <c r="GG22" s="133">
        <v>14.165314178764858</v>
      </c>
      <c r="GH22" s="134">
        <v>17.223424236636699</v>
      </c>
      <c r="GI22" s="133">
        <v>20.941741121412292</v>
      </c>
      <c r="GJ22" s="133">
        <v>24.956186058007589</v>
      </c>
      <c r="GK22" s="133">
        <v>27.722736660232005</v>
      </c>
      <c r="GL22" s="133">
        <v>30.369487795031226</v>
      </c>
      <c r="GM22" s="133">
        <v>33.766238338981999</v>
      </c>
      <c r="GN22" s="81"/>
      <c r="GO22" s="81">
        <v>21</v>
      </c>
      <c r="GP22" s="133">
        <f t="shared" si="63"/>
        <v>0.38543108604342746</v>
      </c>
      <c r="GQ22" s="133">
        <f t="shared" si="64"/>
        <v>0.42587481868016741</v>
      </c>
      <c r="GR22" s="133">
        <f t="shared" si="65"/>
        <v>0.45765269251387697</v>
      </c>
      <c r="GS22" s="133">
        <f t="shared" si="351"/>
        <v>0.49160705773993546</v>
      </c>
      <c r="GT22" s="133">
        <f t="shared" si="352"/>
        <v>0.54473210568145547</v>
      </c>
      <c r="GU22" s="134">
        <f t="shared" si="353"/>
        <v>0.59535270292147247</v>
      </c>
      <c r="GV22" s="133">
        <f t="shared" si="354"/>
        <v>0.64177471388617069</v>
      </c>
      <c r="GW22" s="133">
        <f t="shared" si="66"/>
        <v>0.68273478256448727</v>
      </c>
      <c r="GX22" s="133">
        <f t="shared" si="67"/>
        <v>0.70543033979640624</v>
      </c>
      <c r="GY22" s="133">
        <f t="shared" si="68"/>
        <v>0.72450634525942814</v>
      </c>
      <c r="GZ22" s="133">
        <f t="shared" si="69"/>
        <v>0.74603766708726826</v>
      </c>
      <c r="HA22" s="81"/>
      <c r="HB22" s="81">
        <v>21</v>
      </c>
      <c r="HC22" s="133">
        <f t="shared" si="70"/>
        <v>0.36053062981766776</v>
      </c>
      <c r="HD22" s="133">
        <f t="shared" si="71"/>
        <v>0.40547605567648637</v>
      </c>
      <c r="HE22" s="133">
        <f t="shared" si="72"/>
        <v>0.44034575976868284</v>
      </c>
      <c r="HF22" s="133">
        <f t="shared" si="355"/>
        <v>0.47728185717791272</v>
      </c>
      <c r="HG22" s="133">
        <f t="shared" si="356"/>
        <v>0.53302974245155044</v>
      </c>
      <c r="HH22" s="134">
        <f t="shared" si="357"/>
        <v>0.58875758158068836</v>
      </c>
      <c r="HI22" s="133">
        <f t="shared" si="358"/>
        <v>0.63947191786459856</v>
      </c>
      <c r="HJ22" s="133">
        <f t="shared" si="73"/>
        <v>0.68165005730930617</v>
      </c>
      <c r="HK22" s="133">
        <f t="shared" si="74"/>
        <v>0.7056804562840121</v>
      </c>
      <c r="HL22" s="133">
        <f t="shared" si="75"/>
        <v>0.72585430893521641</v>
      </c>
      <c r="HM22" s="133">
        <f t="shared" si="76"/>
        <v>0.74860109835254585</v>
      </c>
      <c r="HN22" s="81"/>
      <c r="HO22" s="81">
        <v>23</v>
      </c>
      <c r="HP22" s="83">
        <f t="shared" si="77"/>
        <v>0.41768301668283891</v>
      </c>
      <c r="HQ22" s="83">
        <f t="shared" si="78"/>
        <v>0.45335185457694716</v>
      </c>
      <c r="HR22" s="83">
        <f t="shared" si="79"/>
        <v>0.48176520751694502</v>
      </c>
      <c r="HS22" s="83">
        <f t="shared" si="359"/>
        <v>0.51242683949131296</v>
      </c>
      <c r="HT22" s="83">
        <f t="shared" si="360"/>
        <v>0.55957740411548729</v>
      </c>
      <c r="HU22" s="84">
        <f t="shared" si="361"/>
        <v>0.6075219994454828</v>
      </c>
      <c r="HV22" s="83">
        <f t="shared" si="362"/>
        <v>0.65169044006563548</v>
      </c>
      <c r="HW22" s="83">
        <f t="shared" si="80"/>
        <v>0.68873168148987662</v>
      </c>
      <c r="HX22" s="83">
        <f t="shared" si="81"/>
        <v>0.70993944282650012</v>
      </c>
      <c r="HY22" s="83">
        <f t="shared" si="82"/>
        <v>0.72779484492369073</v>
      </c>
      <c r="HZ22" s="83">
        <f t="shared" si="83"/>
        <v>0.74797829910517111</v>
      </c>
      <c r="IA22" s="81"/>
      <c r="IB22" s="81">
        <v>21</v>
      </c>
      <c r="IC22" s="83">
        <f t="shared" si="84"/>
        <v>0.27922905587042779</v>
      </c>
      <c r="ID22" s="83">
        <f t="shared" si="85"/>
        <v>0.29964971802178786</v>
      </c>
      <c r="IE22" s="83">
        <f t="shared" si="86"/>
        <v>0.31469464752302501</v>
      </c>
      <c r="IF22" s="83">
        <f t="shared" si="363"/>
        <v>0.32999019719396683</v>
      </c>
      <c r="IG22" s="83">
        <f t="shared" si="364"/>
        <v>0.35201314394082883</v>
      </c>
      <c r="IH22" s="84">
        <f t="shared" si="365"/>
        <v>0.37294556954819669</v>
      </c>
      <c r="II22" s="83">
        <f t="shared" si="366"/>
        <v>0.3911944363970658</v>
      </c>
      <c r="IJ22" s="83">
        <f t="shared" si="87"/>
        <v>0.40586289519664304</v>
      </c>
      <c r="IK22" s="83">
        <f t="shared" si="88"/>
        <v>0.4140323596842127</v>
      </c>
      <c r="IL22" s="83">
        <f t="shared" si="89"/>
        <v>0.42079231645218734</v>
      </c>
      <c r="IM22" s="83">
        <f t="shared" si="90"/>
        <v>0.4283118323831116</v>
      </c>
      <c r="IN22" s="81"/>
      <c r="IO22" s="81">
        <v>21</v>
      </c>
      <c r="IP22" s="133">
        <f t="shared" si="91"/>
        <v>0.2656368168649208</v>
      </c>
      <c r="IQ22" s="133">
        <f t="shared" si="92"/>
        <v>0.28943289904017511</v>
      </c>
      <c r="IR22" s="133">
        <f t="shared" si="93"/>
        <v>0.30649576846868753</v>
      </c>
      <c r="IS22" s="133">
        <f t="shared" si="367"/>
        <v>0.32354684367888525</v>
      </c>
      <c r="IT22" s="133">
        <f t="shared" si="368"/>
        <v>0.34770758325178069</v>
      </c>
      <c r="IU22" s="134">
        <f t="shared" si="369"/>
        <v>0.37035777994477997</v>
      </c>
      <c r="IV22" s="133">
        <f t="shared" si="370"/>
        <v>0.38991973132753804</v>
      </c>
      <c r="IW22" s="133">
        <f t="shared" si="94"/>
        <v>0.40554679642084729</v>
      </c>
      <c r="IX22" s="133">
        <f t="shared" si="95"/>
        <v>0.41421902739431665</v>
      </c>
      <c r="IY22" s="133">
        <f t="shared" si="96"/>
        <v>0.42138020317427599</v>
      </c>
      <c r="IZ22" s="133">
        <f t="shared" si="97"/>
        <v>0.42933169258413356</v>
      </c>
      <c r="JA22" s="81"/>
      <c r="JB22" s="81">
        <v>23</v>
      </c>
      <c r="JC22" s="133">
        <f t="shared" si="98"/>
        <v>0.29582357914254154</v>
      </c>
      <c r="JD22" s="133">
        <f t="shared" si="99"/>
        <v>0.3128462284284067</v>
      </c>
      <c r="JE22" s="133">
        <f t="shared" si="100"/>
        <v>0.32574200522505115</v>
      </c>
      <c r="JF22" s="133">
        <f t="shared" si="371"/>
        <v>0.33910422304187376</v>
      </c>
      <c r="JG22" s="133">
        <f t="shared" si="372"/>
        <v>0.35870644705328808</v>
      </c>
      <c r="JH22" s="134">
        <f t="shared" si="373"/>
        <v>0.3776549309537256</v>
      </c>
      <c r="JI22" s="133">
        <f t="shared" si="374"/>
        <v>0.39437347864148947</v>
      </c>
      <c r="JJ22" s="133">
        <f t="shared" si="101"/>
        <v>0.40792174673111503</v>
      </c>
      <c r="JK22" s="133">
        <f t="shared" si="102"/>
        <v>0.41550379008453275</v>
      </c>
      <c r="JL22" s="133">
        <f t="shared" si="103"/>
        <v>0.42179537920739846</v>
      </c>
      <c r="JM22" s="133">
        <f t="shared" si="104"/>
        <v>0.42881128084590286</v>
      </c>
      <c r="JN22" s="81"/>
      <c r="JO22" s="81">
        <v>20</v>
      </c>
      <c r="JP22" s="133">
        <f t="shared" si="105"/>
        <v>-8.3576507594178864</v>
      </c>
      <c r="JQ22" s="133">
        <f t="shared" si="106"/>
        <v>-7.0255112781653004</v>
      </c>
      <c r="JR22" s="133">
        <f t="shared" si="107"/>
        <v>-5.8615457818652494</v>
      </c>
      <c r="JS22" s="133">
        <f t="shared" si="375"/>
        <v>-4.4997852931334812</v>
      </c>
      <c r="JT22" s="133">
        <f t="shared" si="376"/>
        <v>-2.1839334130662778</v>
      </c>
      <c r="JU22" s="134">
        <f t="shared" si="377"/>
        <v>0.45765969312509824</v>
      </c>
      <c r="JV22" s="133">
        <f t="shared" si="378"/>
        <v>3.1578692041539753</v>
      </c>
      <c r="JW22" s="133">
        <f t="shared" si="108"/>
        <v>5.6267711240174449</v>
      </c>
      <c r="JX22" s="133">
        <f t="shared" si="109"/>
        <v>7.1265840739400836</v>
      </c>
      <c r="JY22" s="133">
        <f t="shared" si="110"/>
        <v>8.4389748374592486</v>
      </c>
      <c r="JZ22" s="133">
        <f t="shared" si="111"/>
        <v>9.9779467438327174</v>
      </c>
      <c r="KA22" s="81"/>
      <c r="KB22" s="81">
        <v>20</v>
      </c>
      <c r="KC22" s="133">
        <f t="shared" si="112"/>
        <v>-6.4487850733316829</v>
      </c>
      <c r="KD22" s="133">
        <f t="shared" si="113"/>
        <v>-5.4140163577977329</v>
      </c>
      <c r="KE22" s="133">
        <f t="shared" si="114"/>
        <v>-4.4803078933767226</v>
      </c>
      <c r="KF22" s="133">
        <f t="shared" si="379"/>
        <v>-3.356201345718933</v>
      </c>
      <c r="KG22" s="133">
        <f t="shared" si="380"/>
        <v>-1.3739970547851197</v>
      </c>
      <c r="KH22" s="134">
        <f t="shared" si="381"/>
        <v>0.98282473815019422</v>
      </c>
      <c r="KI22" s="133">
        <f t="shared" si="382"/>
        <v>3.4845404609976942</v>
      </c>
      <c r="KJ22" s="133">
        <f t="shared" si="115"/>
        <v>5.8449127156960419</v>
      </c>
      <c r="KK22" s="133">
        <f t="shared" si="116"/>
        <v>7.309948978095024</v>
      </c>
      <c r="KL22" s="133">
        <f t="shared" si="117"/>
        <v>8.6100311523738231</v>
      </c>
      <c r="KM22" s="133">
        <f t="shared" si="118"/>
        <v>10.155090754333417</v>
      </c>
      <c r="KN22" s="81"/>
      <c r="KO22" s="81">
        <v>22</v>
      </c>
      <c r="KP22" s="133">
        <f t="shared" si="119"/>
        <v>-10.172160547896247</v>
      </c>
      <c r="KQ22" s="133">
        <f t="shared" si="120"/>
        <v>-8.5500724882483965</v>
      </c>
      <c r="KR22" s="133">
        <f t="shared" si="121"/>
        <v>-7.1651480434401478</v>
      </c>
      <c r="KS22" s="133">
        <f t="shared" si="383"/>
        <v>-5.5786419864398304</v>
      </c>
      <c r="KT22" s="133">
        <f t="shared" si="384"/>
        <v>-2.9532604280645707</v>
      </c>
      <c r="KU22" s="134">
        <f t="shared" si="385"/>
        <v>-5.3752963725759884E-2</v>
      </c>
      <c r="KV22" s="133">
        <f t="shared" si="386"/>
        <v>2.8217893685885471</v>
      </c>
      <c r="KW22" s="133">
        <f t="shared" si="122"/>
        <v>5.3839778307067903</v>
      </c>
      <c r="KX22" s="133">
        <f t="shared" si="123"/>
        <v>6.9126715489832051</v>
      </c>
      <c r="KY22" s="133">
        <f t="shared" si="124"/>
        <v>8.2345166430813421</v>
      </c>
      <c r="KZ22" s="133">
        <f t="shared" si="125"/>
        <v>9.7669633284405002</v>
      </c>
      <c r="LA22" s="81"/>
      <c r="LB22" s="81">
        <v>20</v>
      </c>
      <c r="LC22" s="133">
        <f t="shared" si="126"/>
        <v>-22.254557504522417</v>
      </c>
      <c r="LD22" s="133">
        <f t="shared" si="127"/>
        <v>-18.795859080672862</v>
      </c>
      <c r="LE22" s="133">
        <f t="shared" si="128"/>
        <v>-15.701012274425523</v>
      </c>
      <c r="LF22" s="133">
        <f t="shared" si="387"/>
        <v>-12.009110641356241</v>
      </c>
      <c r="LG22" s="133">
        <f t="shared" si="388"/>
        <v>-5.5870055929543057</v>
      </c>
      <c r="LH22" s="134">
        <f t="shared" si="389"/>
        <v>1.9138933856342604</v>
      </c>
      <c r="LI22" s="133">
        <f t="shared" si="390"/>
        <v>9.7334821770441664</v>
      </c>
      <c r="LJ22" s="133">
        <f t="shared" si="129"/>
        <v>16.992599364153385</v>
      </c>
      <c r="LK22" s="133">
        <f t="shared" si="130"/>
        <v>21.445986975616826</v>
      </c>
      <c r="LL22" s="133">
        <f t="shared" si="131"/>
        <v>25.367031221520385</v>
      </c>
      <c r="LM22" s="133">
        <f t="shared" si="132"/>
        <v>29.991431601591749</v>
      </c>
      <c r="LN22" s="81"/>
      <c r="LO22" s="81">
        <v>20</v>
      </c>
      <c r="LP22" s="133">
        <f t="shared" si="133"/>
        <v>-19.251316289552783</v>
      </c>
      <c r="LQ22" s="133">
        <f t="shared" si="134"/>
        <v>-16.017714438944392</v>
      </c>
      <c r="LR22" s="133">
        <f t="shared" si="135"/>
        <v>-13.100652869108352</v>
      </c>
      <c r="LS22" s="133">
        <f t="shared" si="391"/>
        <v>-9.5972709707612616</v>
      </c>
      <c r="LT22" s="133">
        <f t="shared" si="392"/>
        <v>-3.4540251117290417</v>
      </c>
      <c r="LU22" s="134">
        <f t="shared" si="393"/>
        <v>3.7835534936740949</v>
      </c>
      <c r="LV22" s="133">
        <f t="shared" si="394"/>
        <v>11.385232540053881</v>
      </c>
      <c r="LW22" s="133">
        <f t="shared" si="136"/>
        <v>18.484481561928657</v>
      </c>
      <c r="LX22" s="133">
        <f t="shared" si="137"/>
        <v>22.857266812392293</v>
      </c>
      <c r="LY22" s="133">
        <f t="shared" si="138"/>
        <v>26.717270824413095</v>
      </c>
      <c r="LZ22" s="133">
        <f t="shared" si="139"/>
        <v>31.280742000591335</v>
      </c>
      <c r="MA22" s="81"/>
      <c r="MB22" s="81">
        <v>22</v>
      </c>
      <c r="MC22" s="133">
        <f t="shared" si="140"/>
        <v>-24.017386805823566</v>
      </c>
      <c r="MD22" s="133">
        <f t="shared" si="141"/>
        <v>-20.432880370268482</v>
      </c>
      <c r="ME22" s="133">
        <f t="shared" si="142"/>
        <v>-17.26514595151756</v>
      </c>
      <c r="MF22" s="133">
        <f t="shared" si="395"/>
        <v>-13.529619217304305</v>
      </c>
      <c r="MG22" s="133">
        <f t="shared" si="396"/>
        <v>-7.1283114337545612</v>
      </c>
      <c r="MH22" s="134">
        <f t="shared" si="397"/>
        <v>0.21828267335457241</v>
      </c>
      <c r="MI22" s="133">
        <f t="shared" si="398"/>
        <v>7.7539881892170257</v>
      </c>
      <c r="MJ22" s="133">
        <f t="shared" si="143"/>
        <v>14.654937203985661</v>
      </c>
      <c r="MK22" s="133">
        <f t="shared" si="144"/>
        <v>18.849046717157201</v>
      </c>
      <c r="ML22" s="133">
        <f t="shared" si="145"/>
        <v>22.519162602974788</v>
      </c>
      <c r="MM22" s="133">
        <f t="shared" si="146"/>
        <v>26.82227438574683</v>
      </c>
      <c r="MN22" s="81"/>
      <c r="MO22" s="81">
        <v>20</v>
      </c>
      <c r="MP22" s="133">
        <f t="shared" si="147"/>
        <v>-27.507474579130058</v>
      </c>
      <c r="MQ22" s="133">
        <f t="shared" si="148"/>
        <v>-23.189143387486247</v>
      </c>
      <c r="MR22" s="133">
        <f t="shared" si="149"/>
        <v>-19.439225547452775</v>
      </c>
      <c r="MS22" s="133">
        <f t="shared" si="399"/>
        <v>-15.083845357580529</v>
      </c>
      <c r="MT22" s="133">
        <f t="shared" si="400"/>
        <v>-7.7581282486282568</v>
      </c>
      <c r="MU22" s="134">
        <f t="shared" si="401"/>
        <v>0.47697274512848509</v>
      </c>
      <c r="MV22" s="133">
        <f t="shared" si="402"/>
        <v>8.7708502073680066</v>
      </c>
      <c r="MW22" s="133">
        <f t="shared" si="150"/>
        <v>16.253648775619922</v>
      </c>
      <c r="MX22" s="133">
        <f t="shared" si="151"/>
        <v>20.755793126109673</v>
      </c>
      <c r="MY22" s="133">
        <f t="shared" si="152"/>
        <v>24.669882781425564</v>
      </c>
      <c r="MZ22" s="133">
        <f t="shared" si="153"/>
        <v>29.230854784718552</v>
      </c>
      <c r="NA22" s="81"/>
      <c r="NB22" s="81">
        <v>20</v>
      </c>
      <c r="NC22" s="133">
        <f t="shared" si="154"/>
        <v>-24.122759110755705</v>
      </c>
      <c r="ND22" s="133">
        <f t="shared" si="155"/>
        <v>-19.978400224903886</v>
      </c>
      <c r="NE22" s="133">
        <f t="shared" si="156"/>
        <v>-16.331613963322475</v>
      </c>
      <c r="NF22" s="133">
        <f t="shared" si="403"/>
        <v>-12.063785628100254</v>
      </c>
      <c r="NG22" s="133">
        <f t="shared" si="404"/>
        <v>-4.8349716840674049</v>
      </c>
      <c r="NH22" s="134">
        <f t="shared" si="405"/>
        <v>3.3415597635130148</v>
      </c>
      <c r="NI22" s="133">
        <f t="shared" si="406"/>
        <v>11.614094090237206</v>
      </c>
      <c r="NJ22" s="133">
        <f t="shared" si="157"/>
        <v>19.102279150134887</v>
      </c>
      <c r="NK22" s="133">
        <f t="shared" si="158"/>
        <v>23.616985853239481</v>
      </c>
      <c r="NL22" s="133">
        <f t="shared" si="159"/>
        <v>27.547006752434942</v>
      </c>
      <c r="NM22" s="133">
        <f t="shared" si="160"/>
        <v>32.131902116330977</v>
      </c>
      <c r="NN22" s="81"/>
      <c r="NO22" s="81">
        <v>22</v>
      </c>
      <c r="NP22" s="133">
        <f t="shared" si="161"/>
        <v>-28.392600897736447</v>
      </c>
      <c r="NQ22" s="133">
        <f t="shared" si="162"/>
        <v>-24.370498129194186</v>
      </c>
      <c r="NR22" s="133">
        <f t="shared" si="163"/>
        <v>-20.905983485855856</v>
      </c>
      <c r="NS22" s="133">
        <f t="shared" si="407"/>
        <v>-16.90699268090772</v>
      </c>
      <c r="NT22" s="133">
        <f t="shared" si="408"/>
        <v>-10.227384158754084</v>
      </c>
      <c r="NU22" s="134">
        <f t="shared" si="409"/>
        <v>-2.7725015082187667</v>
      </c>
      <c r="NV22" s="133">
        <f t="shared" si="410"/>
        <v>4.690573416716191</v>
      </c>
      <c r="NW22" s="133">
        <f t="shared" si="164"/>
        <v>11.392124276865175</v>
      </c>
      <c r="NX22" s="133">
        <f t="shared" si="165"/>
        <v>15.411687168975128</v>
      </c>
      <c r="NY22" s="133">
        <f t="shared" si="166"/>
        <v>18.899309113366527</v>
      </c>
      <c r="NZ22" s="133">
        <f t="shared" si="167"/>
        <v>22.955793953903367</v>
      </c>
      <c r="OA22" s="81"/>
      <c r="OB22" s="81">
        <v>20</v>
      </c>
      <c r="OC22" s="133">
        <v>16.118816449298198</v>
      </c>
      <c r="OD22" s="133">
        <v>17.925210816480558</v>
      </c>
      <c r="OE22" s="133">
        <v>19.639911439382974</v>
      </c>
      <c r="OF22" s="133">
        <v>21.821399239682712</v>
      </c>
      <c r="OG22" s="133">
        <v>26.012981215708535</v>
      </c>
      <c r="OH22" s="134">
        <v>31.640388163307136</v>
      </c>
      <c r="OI22" s="133">
        <v>38.485176105851359</v>
      </c>
      <c r="OJ22" s="133">
        <v>45.87763379097143</v>
      </c>
      <c r="OK22" s="133">
        <v>50.973456077671507</v>
      </c>
      <c r="OL22" s="133">
        <v>55.849505669652444</v>
      </c>
      <c r="OM22" s="133">
        <v>62.10841635139618</v>
      </c>
      <c r="ON22" s="81"/>
      <c r="OO22" s="81">
        <v>20</v>
      </c>
      <c r="OP22" s="133">
        <v>15.570582217222533</v>
      </c>
      <c r="OQ22" s="133">
        <v>17.196691569177002</v>
      </c>
      <c r="OR22" s="133">
        <v>18.730426721358196</v>
      </c>
      <c r="OS22" s="133">
        <v>20.669255330485022</v>
      </c>
      <c r="OT22" s="133">
        <v>25.304969832926389</v>
      </c>
      <c r="OU22" s="134">
        <v>29.256458312693923</v>
      </c>
      <c r="OV22" s="133">
        <v>35.136524721325394</v>
      </c>
      <c r="OW22" s="133">
        <v>41.411281602389131</v>
      </c>
      <c r="OX22" s="133">
        <v>45.697856527015162</v>
      </c>
      <c r="OY22" s="133">
        <v>49.773547985041944</v>
      </c>
      <c r="OZ22" s="133">
        <v>54.971634397565857</v>
      </c>
      <c r="PA22" s="81"/>
      <c r="PB22" s="81">
        <v>22</v>
      </c>
      <c r="PC22" s="133">
        <v>20.050490496584597</v>
      </c>
      <c r="PD22" s="133">
        <v>21.977865514806862</v>
      </c>
      <c r="PE22" s="133">
        <v>23.783058284483332</v>
      </c>
      <c r="PF22" s="133">
        <v>26.049110995652242</v>
      </c>
      <c r="PG22" s="133">
        <v>30.319912358725784</v>
      </c>
      <c r="PH22" s="134">
        <v>35.910258150548614</v>
      </c>
      <c r="PI22" s="133">
        <v>42.531344589059259</v>
      </c>
      <c r="PJ22" s="133">
        <v>49.504439543225722</v>
      </c>
      <c r="PK22" s="133">
        <v>54.221228616354004</v>
      </c>
      <c r="PL22" s="133">
        <v>58.674789850281556</v>
      </c>
      <c r="PM22" s="133">
        <v>64.314967290137048</v>
      </c>
      <c r="PN22" s="81"/>
      <c r="PO22" s="81">
        <v>20</v>
      </c>
      <c r="PP22" s="133">
        <v>7.7372212974039396</v>
      </c>
      <c r="PQ22" s="133">
        <v>8.4489606047462562</v>
      </c>
      <c r="PR22" s="133">
        <v>9.1132452006910167</v>
      </c>
      <c r="PS22" s="133">
        <v>9.9441995876031779</v>
      </c>
      <c r="PT22" s="133">
        <v>11.502397173391451</v>
      </c>
      <c r="PU22" s="134">
        <v>13.528546853335737</v>
      </c>
      <c r="PV22" s="133">
        <v>15.911603225307232</v>
      </c>
      <c r="PW22" s="133">
        <v>18.404857862171426</v>
      </c>
      <c r="PX22" s="133">
        <v>20.083030351144561</v>
      </c>
      <c r="PY22" s="133">
        <v>21.662023120345321</v>
      </c>
      <c r="PZ22" s="133">
        <v>23.654691125909658</v>
      </c>
      <c r="QA22" s="81"/>
      <c r="QB22" s="81">
        <v>20</v>
      </c>
      <c r="QC22" s="133">
        <v>7.4885935235275021</v>
      </c>
      <c r="QD22" s="133">
        <v>8.1681241865393535</v>
      </c>
      <c r="QE22" s="133">
        <v>8.8016754442410985</v>
      </c>
      <c r="QF22" s="133">
        <v>9.5933460040564125</v>
      </c>
      <c r="QG22" s="133">
        <v>11.075615279844355</v>
      </c>
      <c r="QH22" s="134">
        <v>12.999176041389765</v>
      </c>
      <c r="QI22" s="133">
        <v>15.256811787472653</v>
      </c>
      <c r="QJ22" s="133">
        <v>17.61414397891949</v>
      </c>
      <c r="QK22" s="133">
        <v>19.19845588780527</v>
      </c>
      <c r="QL22" s="133">
        <v>20.687562272070942</v>
      </c>
      <c r="QM22" s="133">
        <v>22.564795007787289</v>
      </c>
      <c r="QN22" s="81"/>
      <c r="QO22" s="81">
        <v>22</v>
      </c>
      <c r="QP22" s="133">
        <v>8.5673530157314293</v>
      </c>
      <c r="QQ22" s="133">
        <v>9.3117611085647471</v>
      </c>
      <c r="QR22" s="133">
        <v>10.003523986288537</v>
      </c>
      <c r="QS22" s="133">
        <v>10.865101651925901</v>
      </c>
      <c r="QT22" s="133">
        <v>12.47065530231221</v>
      </c>
      <c r="QU22" s="134">
        <v>14.541313768613549</v>
      </c>
      <c r="QV22" s="133">
        <v>16.955789490714633</v>
      </c>
      <c r="QW22" s="133">
        <v>19.461373937517592</v>
      </c>
      <c r="QX22" s="133">
        <v>21.137531774512318</v>
      </c>
      <c r="QY22" s="133">
        <v>22.707821179259348</v>
      </c>
      <c r="QZ22" s="133">
        <v>24.68087934849942</v>
      </c>
      <c r="RA22" s="81"/>
      <c r="RB22" s="81">
        <v>20</v>
      </c>
      <c r="RC22" s="133">
        <f t="shared" si="168"/>
        <v>0.25352063004218678</v>
      </c>
      <c r="RD22" s="133">
        <f t="shared" si="169"/>
        <v>0.27426190414177448</v>
      </c>
      <c r="RE22" s="133">
        <f t="shared" si="170"/>
        <v>0.29367887166735607</v>
      </c>
      <c r="RF22" s="133">
        <f t="shared" si="411"/>
        <v>0.31806523973820633</v>
      </c>
      <c r="RG22" s="133">
        <f t="shared" si="412"/>
        <v>0.36414301552279182</v>
      </c>
      <c r="RH22" s="134">
        <f t="shared" si="413"/>
        <v>0.42485076788163018</v>
      </c>
      <c r="RI22" s="133">
        <f t="shared" si="414"/>
        <v>0.49754193167898975</v>
      </c>
      <c r="RJ22" s="133">
        <f t="shared" si="171"/>
        <v>0.57520653059035287</v>
      </c>
      <c r="RK22" s="133">
        <f t="shared" si="172"/>
        <v>0.62845167155596093</v>
      </c>
      <c r="RL22" s="133">
        <f t="shared" si="173"/>
        <v>0.67928132053196577</v>
      </c>
      <c r="RM22" s="133">
        <f t="shared" si="174"/>
        <v>0.74445634549790674</v>
      </c>
      <c r="RN22" s="81"/>
      <c r="RO22" s="81">
        <v>20</v>
      </c>
      <c r="RP22" s="133">
        <f t="shared" si="175"/>
        <v>0.27588423596829104</v>
      </c>
      <c r="RQ22" s="133">
        <f t="shared" si="176"/>
        <v>0.2961247410591662</v>
      </c>
      <c r="RR22" s="133">
        <f t="shared" si="177"/>
        <v>0.31499168134639649</v>
      </c>
      <c r="RS22" s="133">
        <f t="shared" si="415"/>
        <v>0.33859036360481976</v>
      </c>
      <c r="RT22" s="133">
        <f t="shared" si="416"/>
        <v>0.38293410418483709</v>
      </c>
      <c r="RU22" s="134">
        <f t="shared" si="417"/>
        <v>0.44097502150691198</v>
      </c>
      <c r="RV22" s="133">
        <f t="shared" si="418"/>
        <v>0.51006078780939668</v>
      </c>
      <c r="RW22" s="133">
        <f t="shared" si="178"/>
        <v>0.58353304101768644</v>
      </c>
      <c r="RX22" s="133">
        <f t="shared" si="179"/>
        <v>0.63376468493971194</v>
      </c>
      <c r="RY22" s="133">
        <f t="shared" si="180"/>
        <v>0.68164390891315452</v>
      </c>
      <c r="RZ22" s="133">
        <f t="shared" si="181"/>
        <v>0.74296352114071529</v>
      </c>
      <c r="SA22" s="81"/>
      <c r="SB22" s="81">
        <v>22</v>
      </c>
      <c r="SC22" s="133">
        <f t="shared" si="182"/>
        <v>0.23485183167076049</v>
      </c>
      <c r="SD22" s="133">
        <f t="shared" si="183"/>
        <v>0.25620404604157576</v>
      </c>
      <c r="SE22" s="133">
        <f t="shared" si="184"/>
        <v>0.27613623647172725</v>
      </c>
      <c r="SF22" s="133">
        <f t="shared" si="419"/>
        <v>0.30107616064708165</v>
      </c>
      <c r="SG22" s="133">
        <f t="shared" si="420"/>
        <v>0.34786878492261958</v>
      </c>
      <c r="SH22" s="134">
        <f t="shared" si="421"/>
        <v>0.40877375768585128</v>
      </c>
      <c r="SI22" s="133">
        <f t="shared" si="422"/>
        <v>0.48050490049547984</v>
      </c>
      <c r="SJ22" s="133">
        <f t="shared" si="185"/>
        <v>0.55567353146349951</v>
      </c>
      <c r="SK22" s="133">
        <f t="shared" si="186"/>
        <v>0.60633943251179523</v>
      </c>
      <c r="SL22" s="133">
        <f t="shared" si="187"/>
        <v>0.65406339955747561</v>
      </c>
      <c r="SM22" s="133">
        <f t="shared" si="188"/>
        <v>0.71436265919928421</v>
      </c>
      <c r="SN22" s="81"/>
      <c r="SO22" s="81">
        <v>20</v>
      </c>
      <c r="SP22" s="133">
        <f t="shared" si="189"/>
        <v>0.20115089643334988</v>
      </c>
      <c r="SQ22" s="133">
        <f t="shared" si="190"/>
        <v>0.21461170516532999</v>
      </c>
      <c r="SR22" s="133">
        <f t="shared" si="191"/>
        <v>0.22671726315129931</v>
      </c>
      <c r="SS22" s="133">
        <f t="shared" si="423"/>
        <v>0.24129927171721749</v>
      </c>
      <c r="ST22" s="133">
        <f t="shared" si="424"/>
        <v>0.2671695278012462</v>
      </c>
      <c r="SU22" s="134">
        <f t="shared" si="425"/>
        <v>0.2983866428905913</v>
      </c>
      <c r="SV22" s="133">
        <f t="shared" si="426"/>
        <v>0.33225112809436563</v>
      </c>
      <c r="SW22" s="133">
        <f t="shared" si="192"/>
        <v>0.36500569270258354</v>
      </c>
      <c r="SX22" s="133">
        <f t="shared" si="193"/>
        <v>0.3857622107510823</v>
      </c>
      <c r="SY22" s="133">
        <f t="shared" si="194"/>
        <v>0.40446849750383584</v>
      </c>
      <c r="SZ22" s="133">
        <f t="shared" si="195"/>
        <v>0.42706138230277346</v>
      </c>
      <c r="TA22" s="81"/>
      <c r="TB22" s="81">
        <v>20</v>
      </c>
      <c r="TC22" s="133">
        <f t="shared" si="196"/>
        <v>0.21551494354074957</v>
      </c>
      <c r="TD22" s="133">
        <f t="shared" si="197"/>
        <v>0.22810590474901105</v>
      </c>
      <c r="TE22" s="133">
        <f t="shared" si="198"/>
        <v>0.23941512148519345</v>
      </c>
      <c r="TF22" s="133">
        <f t="shared" si="427"/>
        <v>0.25302476108251126</v>
      </c>
      <c r="TG22" s="133">
        <f t="shared" si="428"/>
        <v>0.27714773056865349</v>
      </c>
      <c r="TH22" s="134">
        <f t="shared" si="429"/>
        <v>0.30624245594174782</v>
      </c>
      <c r="TI22" s="133">
        <f t="shared" si="430"/>
        <v>0.3378152559605625</v>
      </c>
      <c r="TJ22" s="133">
        <f t="shared" si="199"/>
        <v>0.36838545722777455</v>
      </c>
      <c r="TK22" s="133">
        <f t="shared" si="200"/>
        <v>0.38778147781707095</v>
      </c>
      <c r="TL22" s="133">
        <f t="shared" si="201"/>
        <v>0.40528055824680642</v>
      </c>
      <c r="TM22" s="133">
        <f t="shared" si="202"/>
        <v>0.42644206325723144</v>
      </c>
      <c r="TN22" s="81"/>
      <c r="TO22" s="81">
        <v>22</v>
      </c>
      <c r="TP22" s="133">
        <f t="shared" si="203"/>
        <v>0.18869399851002028</v>
      </c>
      <c r="TQ22" s="133">
        <f t="shared" si="204"/>
        <v>0.20308489103014324</v>
      </c>
      <c r="TR22" s="133">
        <f t="shared" si="205"/>
        <v>0.21594007790885344</v>
      </c>
      <c r="TS22" s="133">
        <f t="shared" si="431"/>
        <v>0.23131490249524919</v>
      </c>
      <c r="TT22" s="133">
        <f t="shared" si="432"/>
        <v>0.25829586523846054</v>
      </c>
      <c r="TU22" s="134">
        <f t="shared" si="433"/>
        <v>0.29035763816855759</v>
      </c>
      <c r="TV22" s="133">
        <f t="shared" si="434"/>
        <v>0.32454627761566712</v>
      </c>
      <c r="TW22" s="133">
        <f t="shared" si="206"/>
        <v>0.35705482294346597</v>
      </c>
      <c r="TX22" s="133">
        <f t="shared" si="207"/>
        <v>0.37738339653452024</v>
      </c>
      <c r="TY22" s="133">
        <f t="shared" si="208"/>
        <v>0.3955301902108822</v>
      </c>
      <c r="TZ22" s="133">
        <f t="shared" si="209"/>
        <v>0.41723502747245622</v>
      </c>
      <c r="UA22" s="81"/>
      <c r="UB22" s="81">
        <v>20</v>
      </c>
      <c r="UC22" s="133">
        <f t="shared" si="210"/>
        <v>-29.237798691480847</v>
      </c>
      <c r="UD22" s="133">
        <f t="shared" si="211"/>
        <v>-25.609137602354693</v>
      </c>
      <c r="UE22" s="133">
        <f t="shared" si="212"/>
        <v>-22.60020825200025</v>
      </c>
      <c r="UF22" s="133">
        <f t="shared" si="435"/>
        <v>-19.241176941772736</v>
      </c>
      <c r="UG22" s="133">
        <f t="shared" si="436"/>
        <v>-13.860180307575092</v>
      </c>
      <c r="UH22" s="134">
        <f t="shared" si="437"/>
        <v>-8.1350438752812551</v>
      </c>
      <c r="UI22" s="133">
        <f t="shared" si="438"/>
        <v>-2.6468148072351667</v>
      </c>
      <c r="UJ22" s="133">
        <f t="shared" si="213"/>
        <v>2.1067967141799784</v>
      </c>
      <c r="UK22" s="133">
        <f t="shared" si="214"/>
        <v>4.8883545089865947</v>
      </c>
      <c r="UL22" s="133">
        <f t="shared" si="215"/>
        <v>7.2632396744212855</v>
      </c>
      <c r="UM22" s="133">
        <f t="shared" si="216"/>
        <v>9.9834637504530264</v>
      </c>
      <c r="UN22" s="81"/>
      <c r="UO22" s="81">
        <v>20</v>
      </c>
      <c r="UP22" s="133">
        <f t="shared" si="217"/>
        <v>-24.889240626983614</v>
      </c>
      <c r="UQ22" s="133">
        <f t="shared" si="218"/>
        <v>-22.008187917442925</v>
      </c>
      <c r="UR22" s="133">
        <f t="shared" si="219"/>
        <v>-19.541575268866481</v>
      </c>
      <c r="US22" s="133">
        <f t="shared" si="439"/>
        <v>-16.708101141666727</v>
      </c>
      <c r="UT22" s="133">
        <f t="shared" si="440"/>
        <v>-12.001365775286608</v>
      </c>
      <c r="UU22" s="134">
        <f t="shared" si="441"/>
        <v>-6.7789205713596878</v>
      </c>
      <c r="UV22" s="133">
        <f t="shared" si="442"/>
        <v>-1.5765639770317179</v>
      </c>
      <c r="UW22" s="133">
        <f t="shared" si="220"/>
        <v>3.0766384915144513</v>
      </c>
      <c r="UX22" s="133">
        <f t="shared" si="221"/>
        <v>5.8603380928113111</v>
      </c>
      <c r="UY22" s="133">
        <f t="shared" si="222"/>
        <v>8.271623412965603</v>
      </c>
      <c r="UZ22" s="133">
        <f t="shared" si="223"/>
        <v>11.07182180479186</v>
      </c>
      <c r="VA22" s="81"/>
      <c r="VB22" s="81">
        <v>23</v>
      </c>
      <c r="VC22" s="133">
        <f t="shared" si="224"/>
        <v>-31.62501468588659</v>
      </c>
      <c r="VD22" s="133">
        <f t="shared" si="225"/>
        <v>-27.38288122454869</v>
      </c>
      <c r="VE22" s="133">
        <f t="shared" si="226"/>
        <v>-23.972185593123825</v>
      </c>
      <c r="VF22" s="133">
        <f t="shared" si="443"/>
        <v>-20.257345216493242</v>
      </c>
      <c r="VG22" s="133">
        <f t="shared" si="444"/>
        <v>-14.47166108600593</v>
      </c>
      <c r="VH22" s="134">
        <f t="shared" si="445"/>
        <v>-8.4951265050339941</v>
      </c>
      <c r="VI22" s="133">
        <f t="shared" si="446"/>
        <v>-2.9053131154223166</v>
      </c>
      <c r="VJ22" s="133">
        <f t="shared" si="227"/>
        <v>1.8442382053961381</v>
      </c>
      <c r="VK22" s="133">
        <f t="shared" si="228"/>
        <v>4.5886636856156997</v>
      </c>
      <c r="VL22" s="133">
        <f t="shared" si="229"/>
        <v>6.9133043120634028</v>
      </c>
      <c r="VM22" s="133">
        <f t="shared" si="230"/>
        <v>9.5563555554225701</v>
      </c>
      <c r="VN22" s="81"/>
      <c r="VO22" s="81">
        <v>20</v>
      </c>
      <c r="VP22" s="133">
        <f t="shared" si="231"/>
        <v>-47.139196333603309</v>
      </c>
      <c r="VQ22" s="133">
        <f t="shared" si="232"/>
        <v>-43.796498160044173</v>
      </c>
      <c r="VR22" s="133">
        <f t="shared" si="233"/>
        <v>-40.539411766331085</v>
      </c>
      <c r="VS22" s="133">
        <f t="shared" si="447"/>
        <v>-36.366220868081953</v>
      </c>
      <c r="VT22" s="133">
        <f t="shared" si="448"/>
        <v>-28.456454533520198</v>
      </c>
      <c r="VU22" s="134">
        <f t="shared" si="449"/>
        <v>-18.315563806988699</v>
      </c>
      <c r="VV22" s="133">
        <f t="shared" si="450"/>
        <v>-6.8505175850495164</v>
      </c>
      <c r="VW22" s="133">
        <f t="shared" si="234"/>
        <v>4.5130846903843249</v>
      </c>
      <c r="VX22" s="133">
        <f t="shared" si="235"/>
        <v>11.797556035815894</v>
      </c>
      <c r="VY22" s="133">
        <f t="shared" si="236"/>
        <v>18.395883685750853</v>
      </c>
      <c r="VZ22" s="133">
        <f t="shared" si="237"/>
        <v>26.389337349060007</v>
      </c>
      <c r="WA22" s="81"/>
      <c r="WB22" s="81">
        <v>20</v>
      </c>
      <c r="WC22" s="133">
        <f t="shared" si="238"/>
        <v>-43.816156944275761</v>
      </c>
      <c r="WD22" s="133">
        <f t="shared" si="239"/>
        <v>-40.807777212781239</v>
      </c>
      <c r="WE22" s="133">
        <f t="shared" si="240"/>
        <v>-37.77755969683443</v>
      </c>
      <c r="WF22" s="133">
        <f t="shared" si="451"/>
        <v>-33.80443342977636</v>
      </c>
      <c r="WG22" s="133">
        <f t="shared" si="452"/>
        <v>-26.097664064369553</v>
      </c>
      <c r="WH22" s="134">
        <f t="shared" si="453"/>
        <v>-16.010722753613173</v>
      </c>
      <c r="WI22" s="133">
        <f t="shared" si="454"/>
        <v>-4.4355450834655414</v>
      </c>
      <c r="WJ22" s="133">
        <f t="shared" si="241"/>
        <v>7.1559125029179143</v>
      </c>
      <c r="WK22" s="133">
        <f t="shared" si="242"/>
        <v>14.632382941776434</v>
      </c>
      <c r="WL22" s="133">
        <f t="shared" si="243"/>
        <v>21.429663979199269</v>
      </c>
      <c r="WM22" s="133">
        <f t="shared" si="244"/>
        <v>29.691318288517941</v>
      </c>
      <c r="WN22" s="81"/>
      <c r="WO22" s="81">
        <v>23</v>
      </c>
      <c r="WP22" s="133">
        <f t="shared" si="245"/>
        <v>-48.187253327996643</v>
      </c>
      <c r="WQ22" s="133">
        <f t="shared" si="246"/>
        <v>-44.594755167699589</v>
      </c>
      <c r="WR22" s="133">
        <f t="shared" si="247"/>
        <v>-41.121740060158487</v>
      </c>
      <c r="WS22" s="133">
        <f t="shared" si="455"/>
        <v>-36.722065164347526</v>
      </c>
      <c r="WT22" s="133">
        <f t="shared" si="456"/>
        <v>-28.532917718855202</v>
      </c>
      <c r="WU22" s="134">
        <f t="shared" si="457"/>
        <v>-18.281175474167199</v>
      </c>
      <c r="WV22" s="133">
        <f t="shared" si="458"/>
        <v>-6.9622293110438278</v>
      </c>
      <c r="WW22" s="133">
        <f t="shared" si="248"/>
        <v>4.0258155310142953</v>
      </c>
      <c r="WX22" s="133">
        <f t="shared" si="249"/>
        <v>10.967213822844606</v>
      </c>
      <c r="WY22" s="133">
        <f t="shared" si="250"/>
        <v>17.193766354102699</v>
      </c>
      <c r="WZ22" s="133">
        <f t="shared" si="251"/>
        <v>24.666225492074609</v>
      </c>
      <c r="XA22" s="81"/>
      <c r="XB22" s="81">
        <v>20</v>
      </c>
      <c r="XC22" s="133">
        <f t="shared" si="252"/>
        <v>-51.574316955757588</v>
      </c>
      <c r="XD22" s="133">
        <f t="shared" si="253"/>
        <v>-47.65724078225233</v>
      </c>
      <c r="XE22" s="133">
        <f t="shared" si="254"/>
        <v>-43.878343780352424</v>
      </c>
      <c r="XF22" s="133">
        <f t="shared" si="459"/>
        <v>-39.145465582937817</v>
      </c>
      <c r="XG22" s="133">
        <f t="shared" si="460"/>
        <v>-30.514106202134432</v>
      </c>
      <c r="XH22" s="134">
        <f t="shared" si="461"/>
        <v>-19.997801916612495</v>
      </c>
      <c r="XI22" s="133">
        <f t="shared" si="462"/>
        <v>-8.6904811614067796</v>
      </c>
      <c r="XJ22" s="133">
        <f t="shared" si="255"/>
        <v>2.0388242668100105</v>
      </c>
      <c r="XK22" s="133">
        <f t="shared" si="256"/>
        <v>8.7103007197027082</v>
      </c>
      <c r="XL22" s="133">
        <f t="shared" si="257"/>
        <v>14.632610790838918</v>
      </c>
      <c r="XM22" s="133">
        <f t="shared" si="258"/>
        <v>21.66932231683915</v>
      </c>
      <c r="XN22" s="81"/>
      <c r="XO22" s="81">
        <v>20</v>
      </c>
      <c r="XP22" s="133">
        <f t="shared" si="259"/>
        <v>-48.582779375048588</v>
      </c>
      <c r="XQ22" s="133">
        <f t="shared" si="260"/>
        <v>-44.657047941115003</v>
      </c>
      <c r="XR22" s="133">
        <f t="shared" si="261"/>
        <v>-40.843320233436373</v>
      </c>
      <c r="XS22" s="133">
        <f t="shared" si="463"/>
        <v>-36.064418316696965</v>
      </c>
      <c r="XT22" s="133">
        <f t="shared" si="464"/>
        <v>-27.368340457915838</v>
      </c>
      <c r="XU22" s="134">
        <f t="shared" si="465"/>
        <v>-16.816647715493609</v>
      </c>
      <c r="XV22" s="133">
        <f t="shared" si="466"/>
        <v>-5.5214252192287887</v>
      </c>
      <c r="XW22" s="133">
        <f t="shared" si="262"/>
        <v>5.154316118306383</v>
      </c>
      <c r="XX22" s="133">
        <f t="shared" si="263"/>
        <v>11.774158264903882</v>
      </c>
      <c r="XY22" s="133">
        <f t="shared" si="264"/>
        <v>17.639891236389495</v>
      </c>
      <c r="XZ22" s="133">
        <f t="shared" si="265"/>
        <v>24.597161530311048</v>
      </c>
      <c r="YA22" s="81"/>
      <c r="YB22" s="81">
        <v>23</v>
      </c>
      <c r="YC22" s="133">
        <f t="shared" si="266"/>
        <v>-53.001266314314648</v>
      </c>
      <c r="YD22" s="133">
        <f t="shared" si="267"/>
        <v>-48.978921855371155</v>
      </c>
      <c r="YE22" s="133">
        <f t="shared" si="268"/>
        <v>-45.094998293922863</v>
      </c>
      <c r="YF22" s="133">
        <f t="shared" si="467"/>
        <v>-40.262406820739848</v>
      </c>
      <c r="YG22" s="133">
        <f t="shared" si="468"/>
        <v>-31.547080054454174</v>
      </c>
      <c r="YH22" s="134">
        <f t="shared" si="469"/>
        <v>-21.074783403047739</v>
      </c>
      <c r="YI22" s="133">
        <f t="shared" si="470"/>
        <v>-9.9582211031937149</v>
      </c>
      <c r="YJ22" s="133">
        <f t="shared" si="269"/>
        <v>0.47873189960188967</v>
      </c>
      <c r="YK22" s="133">
        <f t="shared" si="270"/>
        <v>6.9218787974371168</v>
      </c>
      <c r="YL22" s="133">
        <f t="shared" si="271"/>
        <v>12.614852355823182</v>
      </c>
      <c r="YM22" s="133">
        <f t="shared" si="272"/>
        <v>19.349218569666398</v>
      </c>
      <c r="YN22" s="81"/>
      <c r="YO22" s="81">
        <v>20</v>
      </c>
      <c r="YP22" s="133">
        <v>20.570546217555563</v>
      </c>
      <c r="YQ22" s="133">
        <v>23.096821336586967</v>
      </c>
      <c r="YR22" s="133">
        <v>25.516342584632138</v>
      </c>
      <c r="YS22" s="133">
        <v>28.622109650758034</v>
      </c>
      <c r="YT22" s="133">
        <v>34.666952906993053</v>
      </c>
      <c r="YU22" s="134">
        <v>42.920548592959847</v>
      </c>
      <c r="YV22" s="133">
        <v>53.139181181078698</v>
      </c>
      <c r="YW22" s="133">
        <v>64.361904625427854</v>
      </c>
      <c r="YX22" s="133">
        <v>72.195828434680223</v>
      </c>
      <c r="YY22" s="133">
        <v>79.758745356119462</v>
      </c>
      <c r="YZ22" s="133">
        <v>89.553941448013546</v>
      </c>
      <c r="ZA22" s="81"/>
      <c r="ZB22" s="81">
        <v>20</v>
      </c>
      <c r="ZC22" s="133">
        <v>18.953979249257266</v>
      </c>
      <c r="ZD22" s="133">
        <v>21.36710912263603</v>
      </c>
      <c r="ZE22" s="133">
        <v>23.686865316608426</v>
      </c>
      <c r="ZF22" s="133">
        <v>26.675658890867972</v>
      </c>
      <c r="ZG22" s="133">
        <v>32.524131027804948</v>
      </c>
      <c r="ZH22" s="134">
        <v>40.565929881405168</v>
      </c>
      <c r="ZI22" s="133">
        <v>50.596114796618508</v>
      </c>
      <c r="ZJ22" s="133">
        <v>61.688997969097073</v>
      </c>
      <c r="ZK22" s="133">
        <v>69.472876429505718</v>
      </c>
      <c r="ZL22" s="133">
        <v>77.015316283462951</v>
      </c>
      <c r="ZM22" s="133">
        <v>86.820537550581406</v>
      </c>
      <c r="ZN22" s="81"/>
      <c r="ZO22" s="81">
        <v>23</v>
      </c>
      <c r="ZP22" s="133">
        <v>22.737461318608204</v>
      </c>
      <c r="ZQ22" s="133">
        <v>25.314740357642204</v>
      </c>
      <c r="ZR22" s="133">
        <v>27.763811419845805</v>
      </c>
      <c r="ZS22" s="133">
        <v>30.882918023090106</v>
      </c>
      <c r="ZT22" s="133">
        <v>36.885320779389424</v>
      </c>
      <c r="ZU22" s="134">
        <v>44.960154124290824</v>
      </c>
      <c r="ZV22" s="133">
        <v>54.80270785687464</v>
      </c>
      <c r="ZW22" s="133">
        <v>65.454160043058195</v>
      </c>
      <c r="ZX22" s="133">
        <v>72.807563353317576</v>
      </c>
      <c r="ZY22" s="133">
        <v>79.851321021736112</v>
      </c>
      <c r="ZZ22" s="133">
        <v>88.902425409545259</v>
      </c>
      <c r="AAA22" s="81"/>
      <c r="AAB22" s="81">
        <v>20</v>
      </c>
      <c r="AAC22" s="133">
        <v>8.2803517252121921</v>
      </c>
      <c r="AAD22" s="133">
        <v>9.1754145139903684</v>
      </c>
      <c r="AAE22" s="133">
        <v>10.02222708517245</v>
      </c>
      <c r="AAF22" s="133">
        <v>11.095992873845038</v>
      </c>
      <c r="AAG22" s="133">
        <v>13.149305264314714</v>
      </c>
      <c r="AAH22" s="134">
        <v>15.888722817862991</v>
      </c>
      <c r="AAI22" s="133">
        <v>19.198847977770832</v>
      </c>
      <c r="AAJ22" s="133">
        <v>22.751592908638859</v>
      </c>
      <c r="AAK22" s="133">
        <v>25.189163110899138</v>
      </c>
      <c r="AAL22" s="133">
        <v>27.513908216130204</v>
      </c>
      <c r="AAM22" s="133">
        <v>30.488018040853298</v>
      </c>
      <c r="AAN22" s="81"/>
      <c r="AAO22" s="81">
        <v>20</v>
      </c>
      <c r="AAP22" s="133">
        <v>7.7921658407114158</v>
      </c>
      <c r="AAQ22" s="133">
        <v>8.6713525773506017</v>
      </c>
      <c r="AAR22" s="133">
        <v>9.5064418246612252</v>
      </c>
      <c r="AAS22" s="133">
        <v>10.569540269432391</v>
      </c>
      <c r="AAT22" s="133">
        <v>12.614086272355634</v>
      </c>
      <c r="AAU22" s="134">
        <v>15.36229276127024</v>
      </c>
      <c r="AAV22" s="133">
        <v>18.709245662936464</v>
      </c>
      <c r="AAW22" s="133">
        <v>22.328316356909049</v>
      </c>
      <c r="AAX22" s="133">
        <v>24.825275664208498</v>
      </c>
      <c r="AAY22" s="133">
        <v>27.216058484278854</v>
      </c>
      <c r="AAZ22" s="133">
        <v>30.286834714163309</v>
      </c>
      <c r="ABA22" s="81"/>
      <c r="ABB22" s="81">
        <v>23</v>
      </c>
      <c r="ABC22" s="133">
        <v>9.2170803200991891</v>
      </c>
      <c r="ABD22" s="133">
        <v>10.143306413215486</v>
      </c>
      <c r="ABE22" s="133">
        <v>11.014020909490918</v>
      </c>
      <c r="ABF22" s="133">
        <v>12.111062608396709</v>
      </c>
      <c r="ABG22" s="133">
        <v>14.189653145460884</v>
      </c>
      <c r="ABH22" s="134">
        <v>16.929493273427465</v>
      </c>
      <c r="ABI22" s="133">
        <v>20.198361408623192</v>
      </c>
      <c r="ABJ22" s="133">
        <v>23.664954245742088</v>
      </c>
      <c r="ABK22" s="133">
        <v>26.022080841343996</v>
      </c>
      <c r="ABL22" s="133">
        <v>28.255849800772179</v>
      </c>
      <c r="ABM22" s="133">
        <v>31.095285333473313</v>
      </c>
      <c r="ABN22" s="81"/>
      <c r="ABO22" s="81">
        <v>20</v>
      </c>
      <c r="ABP22" s="133">
        <f t="shared" si="273"/>
        <v>0.17726497566961333</v>
      </c>
      <c r="ABQ22" s="133">
        <f t="shared" si="274"/>
        <v>0.20146599937643031</v>
      </c>
      <c r="ABR22" s="133">
        <f t="shared" si="275"/>
        <v>0.22413395960335053</v>
      </c>
      <c r="ABS22" s="133">
        <f t="shared" si="471"/>
        <v>0.25251428944836662</v>
      </c>
      <c r="ABT22" s="133">
        <f t="shared" si="472"/>
        <v>0.30556496998706995</v>
      </c>
      <c r="ABU22" s="134">
        <f t="shared" si="473"/>
        <v>0.37379396104716128</v>
      </c>
      <c r="ABV22" s="133">
        <f t="shared" si="474"/>
        <v>0.45250869502566887</v>
      </c>
      <c r="ABW22" s="133">
        <f t="shared" si="276"/>
        <v>0.53284222280914439</v>
      </c>
      <c r="ABX22" s="133">
        <f t="shared" si="277"/>
        <v>0.58571130648240488</v>
      </c>
      <c r="ABY22" s="133">
        <f t="shared" si="278"/>
        <v>0.63457816551767032</v>
      </c>
      <c r="ABZ22" s="133">
        <f t="shared" si="279"/>
        <v>0.69505878053604553</v>
      </c>
      <c r="ACA22" s="81"/>
      <c r="ACB22" s="81">
        <v>20</v>
      </c>
      <c r="ACC22" s="133">
        <f t="shared" si="280"/>
        <v>0.18883835691463474</v>
      </c>
      <c r="ACD22" s="133">
        <f t="shared" si="281"/>
        <v>0.21201270460179097</v>
      </c>
      <c r="ACE22" s="133">
        <f t="shared" si="282"/>
        <v>0.23385760447418036</v>
      </c>
      <c r="ACF22" s="133">
        <f t="shared" si="475"/>
        <v>0.26141753002156748</v>
      </c>
      <c r="ACG22" s="133">
        <f t="shared" si="476"/>
        <v>0.31361188186671823</v>
      </c>
      <c r="ACH22" s="134">
        <f t="shared" si="477"/>
        <v>0.38210475222054896</v>
      </c>
      <c r="ACI22" s="133">
        <f t="shared" si="478"/>
        <v>0.46307088511802502</v>
      </c>
      <c r="ACJ22" s="133">
        <f t="shared" si="283"/>
        <v>0.54784018995415662</v>
      </c>
      <c r="ACK22" s="133">
        <f t="shared" si="284"/>
        <v>0.60478729338159998</v>
      </c>
      <c r="ACL22" s="133">
        <f t="shared" si="285"/>
        <v>0.65822651465254822</v>
      </c>
      <c r="ACM22" s="133">
        <f t="shared" si="286"/>
        <v>0.72541557147838687</v>
      </c>
      <c r="ACN22" s="81"/>
      <c r="ACO22" s="81">
        <v>23</v>
      </c>
      <c r="ACP22" s="133">
        <f t="shared" si="287"/>
        <v>0.17143610678316673</v>
      </c>
      <c r="ACQ22" s="133">
        <f t="shared" si="288"/>
        <v>0.19893322033859956</v>
      </c>
      <c r="ACR22" s="133">
        <f t="shared" si="289"/>
        <v>0.22427327805239913</v>
      </c>
      <c r="ACS22" s="133">
        <f t="shared" si="479"/>
        <v>0.25543788931214517</v>
      </c>
      <c r="ACT22" s="133">
        <f t="shared" si="480"/>
        <v>0.31214362490098707</v>
      </c>
      <c r="ACU22" s="134">
        <f t="shared" si="481"/>
        <v>0.38216225768120327</v>
      </c>
      <c r="ACV22" s="133">
        <f t="shared" si="482"/>
        <v>0.45950960855873585</v>
      </c>
      <c r="ACW22" s="133">
        <f t="shared" si="290"/>
        <v>0.5353010940059526</v>
      </c>
      <c r="ACX22" s="133">
        <f t="shared" si="291"/>
        <v>0.58356012445690664</v>
      </c>
      <c r="ACY22" s="133">
        <f t="shared" si="292"/>
        <v>0.62716017779914734</v>
      </c>
      <c r="ACZ22" s="133">
        <f t="shared" si="293"/>
        <v>0.67989526490226182</v>
      </c>
      <c r="ADA22" s="81"/>
      <c r="ADB22" s="81">
        <v>20</v>
      </c>
      <c r="ADC22" s="133">
        <f t="shared" si="294"/>
        <v>0.14837231734683273</v>
      </c>
      <c r="ADD22" s="133">
        <f t="shared" si="295"/>
        <v>0.16676186539117552</v>
      </c>
      <c r="ADE22" s="133">
        <f t="shared" si="296"/>
        <v>0.18295371034336552</v>
      </c>
      <c r="ADF22" s="133">
        <f t="shared" si="483"/>
        <v>0.20202957656516576</v>
      </c>
      <c r="ADG22" s="133">
        <f t="shared" si="484"/>
        <v>0.23476370621590761</v>
      </c>
      <c r="ADH22" s="134">
        <f t="shared" si="485"/>
        <v>0.27249771920985438</v>
      </c>
      <c r="ADI22" s="133">
        <f t="shared" si="486"/>
        <v>0.31144806853066148</v>
      </c>
      <c r="ADJ22" s="133">
        <f t="shared" si="297"/>
        <v>0.34735779217176427</v>
      </c>
      <c r="ADK22" s="133">
        <f t="shared" si="298"/>
        <v>0.36929771083840335</v>
      </c>
      <c r="ADL22" s="133">
        <f t="shared" si="299"/>
        <v>0.38856846367405151</v>
      </c>
      <c r="ADM22" s="133">
        <f t="shared" si="300"/>
        <v>0.41124800992718835</v>
      </c>
      <c r="ADN22" s="81"/>
      <c r="ADO22" s="81">
        <v>20</v>
      </c>
      <c r="ADP22" s="133">
        <f t="shared" si="301"/>
        <v>0.1572816691473613</v>
      </c>
      <c r="ADQ22" s="133">
        <f t="shared" si="302"/>
        <v>0.17435439348262238</v>
      </c>
      <c r="ADR22" s="133">
        <f t="shared" si="303"/>
        <v>0.18958396145158965</v>
      </c>
      <c r="ADS22" s="133">
        <f t="shared" si="487"/>
        <v>0.20775705466910224</v>
      </c>
      <c r="ADT22" s="133">
        <f t="shared" si="488"/>
        <v>0.2395040172686127</v>
      </c>
      <c r="ADU22" s="134">
        <f t="shared" si="489"/>
        <v>0.27694044298435344</v>
      </c>
      <c r="ADV22" s="133">
        <f t="shared" si="490"/>
        <v>0.31647511712608661</v>
      </c>
      <c r="ADW22" s="133">
        <f t="shared" si="304"/>
        <v>0.35368179503285191</v>
      </c>
      <c r="ADX22" s="133">
        <f t="shared" si="305"/>
        <v>0.37675588921650099</v>
      </c>
      <c r="ADY22" s="133">
        <f t="shared" si="306"/>
        <v>0.39722926370940198</v>
      </c>
      <c r="ADZ22" s="133">
        <f t="shared" si="307"/>
        <v>0.42156462151761009</v>
      </c>
      <c r="AEA22" s="81"/>
      <c r="AEB22" s="81">
        <v>23</v>
      </c>
      <c r="AEC22" s="133">
        <f t="shared" si="308"/>
        <v>0.1440489166791091</v>
      </c>
      <c r="AED22" s="133">
        <f t="shared" si="309"/>
        <v>0.16517193029486604</v>
      </c>
      <c r="AEE22" s="133">
        <f t="shared" si="310"/>
        <v>0.18325209964654016</v>
      </c>
      <c r="AEF22" s="133">
        <f t="shared" si="491"/>
        <v>0.20400948969057689</v>
      </c>
      <c r="AEG22" s="133">
        <f t="shared" si="492"/>
        <v>0.23845311383041401</v>
      </c>
      <c r="AEH22" s="134">
        <f t="shared" si="493"/>
        <v>0.27661091372428487</v>
      </c>
      <c r="AEI22" s="133">
        <f t="shared" si="494"/>
        <v>0.31455861563826965</v>
      </c>
      <c r="AEJ22" s="133">
        <f t="shared" si="311"/>
        <v>0.3484487713341527</v>
      </c>
      <c r="AEK22" s="133">
        <f t="shared" si="312"/>
        <v>0.3687005309893957</v>
      </c>
      <c r="AEL22" s="133">
        <f t="shared" si="313"/>
        <v>0.38622983007110373</v>
      </c>
      <c r="AEM22" s="133">
        <f t="shared" si="314"/>
        <v>0.40657160734795605</v>
      </c>
      <c r="AEN22" s="81"/>
    </row>
    <row r="23" spans="1:820">
      <c r="A23" s="81"/>
      <c r="B23" s="81">
        <v>22</v>
      </c>
      <c r="C23" s="133">
        <f t="shared" si="0"/>
        <v>1.6660396176977361</v>
      </c>
      <c r="D23" s="133">
        <f t="shared" si="1"/>
        <v>1.9671462756783429</v>
      </c>
      <c r="E23" s="133">
        <f t="shared" si="2"/>
        <v>2.2787950833614885</v>
      </c>
      <c r="F23" s="133">
        <f t="shared" si="315"/>
        <v>2.7136437199717816</v>
      </c>
      <c r="G23" s="133">
        <f t="shared" si="316"/>
        <v>3.6793397962463379</v>
      </c>
      <c r="H23" s="134">
        <f t="shared" si="317"/>
        <v>5.2775139058993794</v>
      </c>
      <c r="I23" s="133">
        <f t="shared" si="318"/>
        <v>7.7665957348374342</v>
      </c>
      <c r="J23" s="133">
        <f t="shared" si="3"/>
        <v>11.263089152929643</v>
      </c>
      <c r="K23" s="133">
        <f t="shared" si="4"/>
        <v>14.256036896598498</v>
      </c>
      <c r="L23" s="133">
        <f t="shared" si="5"/>
        <v>17.640319684323568</v>
      </c>
      <c r="M23" s="133">
        <f t="shared" si="6"/>
        <v>22.847215684216462</v>
      </c>
      <c r="N23" s="81"/>
      <c r="O23" s="75">
        <v>22</v>
      </c>
      <c r="P23" s="151">
        <f t="shared" si="7"/>
        <v>2.3370253559083181</v>
      </c>
      <c r="Q23" s="151">
        <f t="shared" si="8"/>
        <v>2.6180824255531996</v>
      </c>
      <c r="R23" s="151">
        <f t="shared" si="9"/>
        <v>2.8992452917632843</v>
      </c>
      <c r="S23" s="151">
        <f t="shared" si="319"/>
        <v>3.278913885979533</v>
      </c>
      <c r="T23" s="151">
        <f t="shared" si="320"/>
        <v>4.0854890458058737</v>
      </c>
      <c r="U23" s="134">
        <f t="shared" si="321"/>
        <v>5.3547892884338086</v>
      </c>
      <c r="V23" s="151">
        <f t="shared" si="322"/>
        <v>7.255000603023773</v>
      </c>
      <c r="W23" s="151">
        <f t="shared" si="10"/>
        <v>9.874126641015355</v>
      </c>
      <c r="X23" s="151">
        <f t="shared" si="11"/>
        <v>12.120397417097209</v>
      </c>
      <c r="Y23" s="151">
        <f t="shared" si="12"/>
        <v>14.695003697801321</v>
      </c>
      <c r="Z23" s="151">
        <f t="shared" si="13"/>
        <v>18.766125603705191</v>
      </c>
      <c r="AA23" s="81"/>
      <c r="AB23" s="75">
        <v>24</v>
      </c>
      <c r="AC23" s="151">
        <f t="shared" si="14"/>
        <v>1.3560982818458549</v>
      </c>
      <c r="AD23" s="151">
        <f t="shared" si="15"/>
        <v>1.6336519513082688</v>
      </c>
      <c r="AE23" s="151">
        <f t="shared" si="16"/>
        <v>1.9298701252578137</v>
      </c>
      <c r="AF23" s="151">
        <f t="shared" si="323"/>
        <v>2.3576409076282703</v>
      </c>
      <c r="AG23" s="151">
        <f t="shared" si="324"/>
        <v>3.363981621977473</v>
      </c>
      <c r="AH23" s="134">
        <f t="shared" si="325"/>
        <v>5.1862447359552579</v>
      </c>
      <c r="AI23" s="151">
        <f t="shared" si="326"/>
        <v>8.3783592447092854</v>
      </c>
      <c r="AJ23" s="151">
        <f t="shared" si="17"/>
        <v>13.5313173497054</v>
      </c>
      <c r="AK23" s="151">
        <f t="shared" si="18"/>
        <v>18.527980392206221</v>
      </c>
      <c r="AL23" s="151">
        <f t="shared" si="19"/>
        <v>24.806661430048315</v>
      </c>
      <c r="AM23" s="151">
        <f t="shared" si="20"/>
        <v>35.745590792249601</v>
      </c>
      <c r="AN23" s="81"/>
      <c r="AO23" s="81">
        <v>22</v>
      </c>
      <c r="AP23" s="133">
        <f t="shared" si="21"/>
        <v>1.1908217188865438</v>
      </c>
      <c r="AQ23" s="133">
        <f t="shared" si="22"/>
        <v>2.8360517111917938</v>
      </c>
      <c r="AR23" s="133">
        <f t="shared" si="23"/>
        <v>4.3779088743606449</v>
      </c>
      <c r="AS23" s="133">
        <f t="shared" si="327"/>
        <v>6.3023631725575404</v>
      </c>
      <c r="AT23" s="133">
        <f t="shared" si="328"/>
        <v>9.8657746063367746</v>
      </c>
      <c r="AU23" s="134">
        <f t="shared" si="329"/>
        <v>14.363353731170754</v>
      </c>
      <c r="AV23" s="133">
        <f t="shared" si="330"/>
        <v>19.421617828965545</v>
      </c>
      <c r="AW23" s="133">
        <f t="shared" si="24"/>
        <v>24.441966055539275</v>
      </c>
      <c r="AX23" s="133">
        <f t="shared" si="25"/>
        <v>27.671800314740334</v>
      </c>
      <c r="AY23" s="133">
        <f t="shared" si="26"/>
        <v>30.607736529501505</v>
      </c>
      <c r="AZ23" s="133">
        <f t="shared" si="27"/>
        <v>34.179251316929239</v>
      </c>
      <c r="BA23" s="81"/>
      <c r="BB23" s="81">
        <v>22</v>
      </c>
      <c r="BC23" s="133">
        <f t="shared" si="28"/>
        <v>4.0964367050060604</v>
      </c>
      <c r="BD23" s="133">
        <f t="shared" si="29"/>
        <v>5.8209234971923669</v>
      </c>
      <c r="BE23" s="133">
        <f t="shared" si="30"/>
        <v>7.385418179823378</v>
      </c>
      <c r="BF23" s="133">
        <f t="shared" si="331"/>
        <v>9.280494175148835</v>
      </c>
      <c r="BG23" s="133">
        <f t="shared" si="332"/>
        <v>12.654088881675214</v>
      </c>
      <c r="BH23" s="134">
        <f t="shared" si="333"/>
        <v>16.718049281382104</v>
      </c>
      <c r="BI23" s="133">
        <f t="shared" si="334"/>
        <v>21.092305768744108</v>
      </c>
      <c r="BJ23" s="133">
        <f t="shared" si="31"/>
        <v>25.273489701990162</v>
      </c>
      <c r="BK23" s="133">
        <f t="shared" si="32"/>
        <v>27.893751240856677</v>
      </c>
      <c r="BL23" s="133">
        <f t="shared" si="33"/>
        <v>30.234418972972019</v>
      </c>
      <c r="BM23" s="133">
        <f t="shared" si="34"/>
        <v>33.034374521009362</v>
      </c>
      <c r="BN23" s="81"/>
      <c r="BO23" s="75">
        <v>24</v>
      </c>
      <c r="BP23" s="151">
        <f t="shared" si="35"/>
        <v>2.7606410946777218</v>
      </c>
      <c r="BQ23" s="151">
        <f t="shared" si="36"/>
        <v>3.5272605156789845</v>
      </c>
      <c r="BR23" s="151">
        <f t="shared" si="37"/>
        <v>4.3249548386922116</v>
      </c>
      <c r="BS23" s="151">
        <f t="shared" si="335"/>
        <v>5.4307245722901474</v>
      </c>
      <c r="BT23" s="151">
        <f t="shared" si="336"/>
        <v>7.8114006666760218</v>
      </c>
      <c r="BU23" s="134">
        <f t="shared" si="337"/>
        <v>11.461116009371409</v>
      </c>
      <c r="BV23" s="151">
        <f t="shared" si="338"/>
        <v>16.473389321172807</v>
      </c>
      <c r="BW23" s="151">
        <f t="shared" si="38"/>
        <v>22.453433701699129</v>
      </c>
      <c r="BX23" s="151">
        <f t="shared" si="39"/>
        <v>26.856541012042971</v>
      </c>
      <c r="BY23" s="151">
        <f t="shared" si="40"/>
        <v>31.251569850779333</v>
      </c>
      <c r="BZ23" s="151">
        <f t="shared" si="41"/>
        <v>37.118682818407343</v>
      </c>
      <c r="CA23" s="81"/>
      <c r="CB23" s="81">
        <v>22</v>
      </c>
      <c r="CC23" s="133">
        <f t="shared" si="42"/>
        <v>-6.1043423749118126</v>
      </c>
      <c r="CD23" s="133">
        <f t="shared" si="43"/>
        <v>-4.3676398920850108</v>
      </c>
      <c r="CE23" s="133">
        <f t="shared" si="44"/>
        <v>-2.5129521374576766</v>
      </c>
      <c r="CF23" s="133">
        <f t="shared" si="339"/>
        <v>-5.527256785327328E-2</v>
      </c>
      <c r="CG23" s="133">
        <f t="shared" si="340"/>
        <v>4.6633990203172884</v>
      </c>
      <c r="CH23" s="134">
        <f t="shared" si="341"/>
        <v>10.676620062311667</v>
      </c>
      <c r="CI23" s="133">
        <f t="shared" si="342"/>
        <v>17.360301697565866</v>
      </c>
      <c r="CJ23" s="133">
        <f t="shared" si="45"/>
        <v>23.856824648898609</v>
      </c>
      <c r="CK23" s="133">
        <f t="shared" si="46"/>
        <v>27.957913546058318</v>
      </c>
      <c r="CL23" s="133">
        <f t="shared" si="47"/>
        <v>31.632804841155878</v>
      </c>
      <c r="CM23" s="133">
        <f t="shared" si="48"/>
        <v>36.037051727543748</v>
      </c>
      <c r="CN23" s="81"/>
      <c r="CO23" s="81">
        <v>22</v>
      </c>
      <c r="CP23" s="133">
        <f t="shared" si="49"/>
        <v>-0.89491047673169977</v>
      </c>
      <c r="CQ23" s="133">
        <f t="shared" si="50"/>
        <v>1.1893022087090577</v>
      </c>
      <c r="CR23" s="133">
        <f t="shared" si="51"/>
        <v>3.144844411348882</v>
      </c>
      <c r="CS23" s="133">
        <f t="shared" si="343"/>
        <v>5.5677641165814835</v>
      </c>
      <c r="CT23" s="133">
        <f t="shared" si="344"/>
        <v>9.9704245495844184</v>
      </c>
      <c r="CU23" s="134">
        <f t="shared" si="345"/>
        <v>15.35282255649992</v>
      </c>
      <c r="CV23" s="133">
        <f t="shared" si="346"/>
        <v>21.183608380018093</v>
      </c>
      <c r="CW23" s="133">
        <f t="shared" si="52"/>
        <v>26.762657407951902</v>
      </c>
      <c r="CX23" s="133">
        <f t="shared" si="53"/>
        <v>30.254336353379504</v>
      </c>
      <c r="CY23" s="133">
        <f t="shared" si="54"/>
        <v>33.368063162352477</v>
      </c>
      <c r="CZ23" s="133">
        <f t="shared" si="55"/>
        <v>37.084473343299884</v>
      </c>
      <c r="DA23" s="81"/>
      <c r="DB23" s="81">
        <v>24</v>
      </c>
      <c r="DC23" s="133">
        <f t="shared" si="56"/>
        <v>-6.5118616180822304</v>
      </c>
      <c r="DD23" s="133">
        <f t="shared" si="57"/>
        <v>-5.4869640373804387</v>
      </c>
      <c r="DE23" s="133">
        <f t="shared" si="58"/>
        <v>-4.2826531184801846</v>
      </c>
      <c r="DF23" s="133">
        <f t="shared" si="347"/>
        <v>-2.5738488412608618</v>
      </c>
      <c r="DG23" s="133">
        <f t="shared" si="348"/>
        <v>0.95420187828658865</v>
      </c>
      <c r="DH23" s="134">
        <f t="shared" si="349"/>
        <v>5.7797883448022445</v>
      </c>
      <c r="DI23" s="133">
        <f t="shared" si="350"/>
        <v>11.457569987271075</v>
      </c>
      <c r="DJ23" s="133">
        <f t="shared" si="59"/>
        <v>17.222463328058542</v>
      </c>
      <c r="DK23" s="133">
        <f t="shared" si="60"/>
        <v>20.966252211995531</v>
      </c>
      <c r="DL23" s="133">
        <f t="shared" si="61"/>
        <v>24.381820473957724</v>
      </c>
      <c r="DM23" s="133">
        <f t="shared" si="62"/>
        <v>28.544502284181544</v>
      </c>
      <c r="DN23" s="81"/>
      <c r="DO23" s="81">
        <v>22</v>
      </c>
      <c r="DP23" s="133">
        <v>13.165275811935652</v>
      </c>
      <c r="DQ23" s="133">
        <v>14.550431697228346</v>
      </c>
      <c r="DR23" s="133">
        <v>15.857755228985967</v>
      </c>
      <c r="DS23" s="133">
        <v>17.511452169870701</v>
      </c>
      <c r="DT23" s="133">
        <v>20.66274313978241</v>
      </c>
      <c r="DU23" s="134">
        <v>24.847857906312843</v>
      </c>
      <c r="DV23" s="133">
        <v>29.880642582426017</v>
      </c>
      <c r="DW23" s="133">
        <v>35.257843641009252</v>
      </c>
      <c r="DX23" s="133">
        <v>38.93464324658985</v>
      </c>
      <c r="DY23" s="133">
        <v>42.432833291806901</v>
      </c>
      <c r="DZ23" s="133">
        <v>46.897311636461374</v>
      </c>
      <c r="EA23" s="81"/>
      <c r="EB23" s="81">
        <v>22</v>
      </c>
      <c r="EC23" s="133">
        <v>13.614218482307185</v>
      </c>
      <c r="ED23" s="133">
        <v>14.646408743285864</v>
      </c>
      <c r="EE23" s="133">
        <v>15.596527490313708</v>
      </c>
      <c r="EF23" s="133">
        <v>16.768698929479392</v>
      </c>
      <c r="EG23" s="133">
        <v>18.923406413435323</v>
      </c>
      <c r="EH23" s="134">
        <v>21.652860538361182</v>
      </c>
      <c r="EI23" s="133">
        <v>24.776002758195027</v>
      </c>
      <c r="EJ23" s="133">
        <v>27.959615201241785</v>
      </c>
      <c r="EK23" s="133">
        <v>30.060945924334643</v>
      </c>
      <c r="EL23" s="133">
        <v>32.011012235927481</v>
      </c>
      <c r="EM23" s="133">
        <v>34.437993639004993</v>
      </c>
      <c r="EN23" s="81"/>
      <c r="EO23" s="81">
        <v>24</v>
      </c>
      <c r="EP23" s="133">
        <v>16.357413999031248</v>
      </c>
      <c r="EQ23" s="133">
        <v>17.850008763290457</v>
      </c>
      <c r="ER23" s="133">
        <v>19.242209409978059</v>
      </c>
      <c r="ES23" s="133">
        <v>20.982619835620472</v>
      </c>
      <c r="ET23" s="133">
        <v>24.243266154226276</v>
      </c>
      <c r="EU23" s="134">
        <v>28.478098752664028</v>
      </c>
      <c r="EV23" s="133">
        <v>33.4526752050323</v>
      </c>
      <c r="EW23" s="133">
        <v>38.65113674650447</v>
      </c>
      <c r="EX23" s="133">
        <v>42.14703682342936</v>
      </c>
      <c r="EY23" s="133">
        <v>45.434269490912278</v>
      </c>
      <c r="EZ23" s="133">
        <v>49.58009307672441</v>
      </c>
      <c r="FA23" s="81"/>
      <c r="FB23" s="81">
        <v>22</v>
      </c>
      <c r="FC23" s="133">
        <v>7.0149870702274475</v>
      </c>
      <c r="FD23" s="133">
        <v>7.8744999456095401</v>
      </c>
      <c r="FE23" s="133">
        <v>8.697498162293785</v>
      </c>
      <c r="FF23" s="133">
        <v>9.7536733830456495</v>
      </c>
      <c r="FG23" s="133">
        <v>11.808638184769693</v>
      </c>
      <c r="FH23" s="134">
        <v>14.613225440844007</v>
      </c>
      <c r="FI23" s="133">
        <v>18.083910646051795</v>
      </c>
      <c r="FJ23" s="133">
        <v>21.89394184104297</v>
      </c>
      <c r="FK23" s="133">
        <v>24.55261890260773</v>
      </c>
      <c r="FL23" s="133">
        <v>27.118719824741891</v>
      </c>
      <c r="FM23" s="133">
        <v>30.441447097065939</v>
      </c>
      <c r="FN23" s="81"/>
      <c r="FO23" s="81">
        <v>22</v>
      </c>
      <c r="FP23" s="133">
        <v>6.8052403912678967</v>
      </c>
      <c r="FQ23" s="133">
        <v>7.5036212988730613</v>
      </c>
      <c r="FR23" s="133">
        <v>8.1613272244045465</v>
      </c>
      <c r="FS23" s="133">
        <v>8.9914830610230769</v>
      </c>
      <c r="FT23" s="133">
        <v>10.568477618652649</v>
      </c>
      <c r="FU23" s="134">
        <v>12.654227675983689</v>
      </c>
      <c r="FV23" s="133">
        <v>15.151612545690964</v>
      </c>
      <c r="FW23" s="133">
        <v>17.809017376651958</v>
      </c>
      <c r="FX23" s="133">
        <v>19.620519270052274</v>
      </c>
      <c r="FY23" s="133">
        <v>21.340293132821184</v>
      </c>
      <c r="FZ23" s="133">
        <v>23.530319117176347</v>
      </c>
      <c r="GA23" s="81"/>
      <c r="GB23" s="81">
        <v>24</v>
      </c>
      <c r="GC23" s="133">
        <v>8.9026779702606813</v>
      </c>
      <c r="GD23" s="133">
        <v>9.8791907663296037</v>
      </c>
      <c r="GE23" s="133">
        <v>10.804294608279035</v>
      </c>
      <c r="GF23" s="133">
        <v>11.978898904617905</v>
      </c>
      <c r="GG23" s="133">
        <v>14.229360805174991</v>
      </c>
      <c r="GH23" s="134">
        <v>17.239380960164969</v>
      </c>
      <c r="GI23" s="133">
        <v>20.886128334142231</v>
      </c>
      <c r="GJ23" s="133">
        <v>24.809981139011711</v>
      </c>
      <c r="GK23" s="133">
        <v>27.507233620042634</v>
      </c>
      <c r="GL23" s="133">
        <v>30.083056691506229</v>
      </c>
      <c r="GM23" s="133">
        <v>33.382793007056975</v>
      </c>
      <c r="GN23" s="81"/>
      <c r="GO23" s="81">
        <v>22</v>
      </c>
      <c r="GP23" s="133">
        <f t="shared" si="63"/>
        <v>0.38981110831685944</v>
      </c>
      <c r="GQ23" s="133">
        <f t="shared" si="64"/>
        <v>0.42986262841627731</v>
      </c>
      <c r="GR23" s="133">
        <f t="shared" si="65"/>
        <v>0.46138445645669451</v>
      </c>
      <c r="GS23" s="133">
        <f t="shared" si="351"/>
        <v>0.49510496111343349</v>
      </c>
      <c r="GT23" s="133">
        <f t="shared" si="352"/>
        <v>0.54792839748588451</v>
      </c>
      <c r="GU23" s="134">
        <f t="shared" si="353"/>
        <v>0.59831759286583608</v>
      </c>
      <c r="GV23" s="133">
        <f t="shared" si="354"/>
        <v>0.6445640928619244</v>
      </c>
      <c r="GW23" s="133">
        <f t="shared" si="66"/>
        <v>0.68539250546499697</v>
      </c>
      <c r="GX23" s="133">
        <f t="shared" si="67"/>
        <v>0.70802300160574261</v>
      </c>
      <c r="GY23" s="133">
        <f t="shared" si="68"/>
        <v>0.72704816996719568</v>
      </c>
      <c r="GZ23" s="133">
        <f t="shared" si="69"/>
        <v>0.74852597053485193</v>
      </c>
      <c r="HA23" s="81"/>
      <c r="HB23" s="81">
        <v>22</v>
      </c>
      <c r="HC23" s="133">
        <f t="shared" si="70"/>
        <v>0.36459938720222435</v>
      </c>
      <c r="HD23" s="133">
        <f t="shared" si="71"/>
        <v>0.40920370102440934</v>
      </c>
      <c r="HE23" s="133">
        <f t="shared" si="72"/>
        <v>0.44386615314562733</v>
      </c>
      <c r="HF23" s="133">
        <f t="shared" si="355"/>
        <v>0.48062405124042012</v>
      </c>
      <c r="HG23" s="133">
        <f t="shared" si="356"/>
        <v>0.5361642207322459</v>
      </c>
      <c r="HH23" s="134">
        <f t="shared" si="357"/>
        <v>0.59173944219052632</v>
      </c>
      <c r="HI23" s="133">
        <f t="shared" si="358"/>
        <v>0.64235052642326751</v>
      </c>
      <c r="HJ23" s="133">
        <f t="shared" si="73"/>
        <v>0.68446298738823452</v>
      </c>
      <c r="HK23" s="133">
        <f t="shared" si="74"/>
        <v>0.70846279968742243</v>
      </c>
      <c r="HL23" s="133">
        <f t="shared" si="75"/>
        <v>0.72861434502202849</v>
      </c>
      <c r="HM23" s="133">
        <f t="shared" si="76"/>
        <v>0.75133933961281552</v>
      </c>
      <c r="HN23" s="81"/>
      <c r="HO23" s="81">
        <v>24</v>
      </c>
      <c r="HP23" s="83">
        <f t="shared" si="77"/>
        <v>0.42185867251195502</v>
      </c>
      <c r="HQ23" s="83">
        <f t="shared" si="78"/>
        <v>0.45717149841318683</v>
      </c>
      <c r="HR23" s="83">
        <f t="shared" si="79"/>
        <v>0.48533958630396651</v>
      </c>
      <c r="HS23" s="83">
        <f t="shared" si="359"/>
        <v>0.51576756840034521</v>
      </c>
      <c r="HT23" s="83">
        <f t="shared" si="360"/>
        <v>0.56260961822389732</v>
      </c>
      <c r="HU23" s="84">
        <f t="shared" si="361"/>
        <v>0.61029039248796368</v>
      </c>
      <c r="HV23" s="83">
        <f t="shared" si="362"/>
        <v>0.65425066508268637</v>
      </c>
      <c r="HW23" s="83">
        <f t="shared" si="80"/>
        <v>0.69113820412006688</v>
      </c>
      <c r="HX23" s="83">
        <f t="shared" si="81"/>
        <v>0.71226527887154545</v>
      </c>
      <c r="HY23" s="83">
        <f t="shared" si="82"/>
        <v>0.73005643911234386</v>
      </c>
      <c r="HZ23" s="83">
        <f t="shared" si="83"/>
        <v>0.75017100976214635</v>
      </c>
      <c r="IA23" s="81"/>
      <c r="IB23" s="81">
        <v>22</v>
      </c>
      <c r="IC23" s="83">
        <f t="shared" si="84"/>
        <v>0.28157140098108446</v>
      </c>
      <c r="ID23" s="83">
        <f t="shared" si="85"/>
        <v>0.3016131228827596</v>
      </c>
      <c r="IE23" s="83">
        <f t="shared" si="86"/>
        <v>0.31643266158868993</v>
      </c>
      <c r="IF23" s="83">
        <f t="shared" si="363"/>
        <v>0.33153550549361077</v>
      </c>
      <c r="IG23" s="83">
        <f t="shared" si="364"/>
        <v>0.35333169357238386</v>
      </c>
      <c r="IH23" s="84">
        <f t="shared" si="365"/>
        <v>0.37409155266921429</v>
      </c>
      <c r="II23" s="83">
        <f t="shared" si="366"/>
        <v>0.39221637681391419</v>
      </c>
      <c r="IJ23" s="83">
        <f t="shared" si="87"/>
        <v>0.40679948882715278</v>
      </c>
      <c r="IK23" s="83">
        <f t="shared" si="88"/>
        <v>0.41492615132223509</v>
      </c>
      <c r="IL23" s="83">
        <f t="shared" si="89"/>
        <v>0.42165298067710988</v>
      </c>
      <c r="IM23" s="83">
        <f t="shared" si="90"/>
        <v>0.42913789141160708</v>
      </c>
      <c r="IN23" s="81"/>
      <c r="IO23" s="81">
        <v>22</v>
      </c>
      <c r="IP23" s="133">
        <f t="shared" si="91"/>
        <v>0.26793378203723062</v>
      </c>
      <c r="IQ23" s="133">
        <f t="shared" si="92"/>
        <v>0.29133140823574022</v>
      </c>
      <c r="IR23" s="133">
        <f t="shared" si="93"/>
        <v>0.30817466550048694</v>
      </c>
      <c r="IS23" s="133">
        <f t="shared" si="367"/>
        <v>0.32504739523685666</v>
      </c>
      <c r="IT23" s="133">
        <f t="shared" si="368"/>
        <v>0.34900898224113025</v>
      </c>
      <c r="IU23" s="134">
        <f t="shared" si="369"/>
        <v>0.37151544257040348</v>
      </c>
      <c r="IV23" s="133">
        <f t="shared" si="370"/>
        <v>0.39097851616309653</v>
      </c>
      <c r="IW23" s="133">
        <f t="shared" si="94"/>
        <v>0.40653992480210238</v>
      </c>
      <c r="IX23" s="133">
        <f t="shared" si="95"/>
        <v>0.41518003198794917</v>
      </c>
      <c r="IY23" s="133">
        <f t="shared" si="96"/>
        <v>0.42231674417899773</v>
      </c>
      <c r="IZ23" s="133">
        <f t="shared" si="97"/>
        <v>0.43024307596981204</v>
      </c>
      <c r="JA23" s="81"/>
      <c r="JB23" s="81">
        <v>24</v>
      </c>
      <c r="JC23" s="133">
        <f t="shared" si="98"/>
        <v>0.29792471241197871</v>
      </c>
      <c r="JD23" s="133">
        <f t="shared" si="99"/>
        <v>0.31464881415047086</v>
      </c>
      <c r="JE23" s="133">
        <f t="shared" si="100"/>
        <v>0.32735388310259961</v>
      </c>
      <c r="JF23" s="133">
        <f t="shared" si="371"/>
        <v>0.34054473501875471</v>
      </c>
      <c r="JG23" s="133">
        <f t="shared" si="372"/>
        <v>0.35993486930804652</v>
      </c>
      <c r="JH23" s="134">
        <f t="shared" si="373"/>
        <v>0.37871383739335296</v>
      </c>
      <c r="JI23" s="133">
        <f t="shared" si="374"/>
        <v>0.39530583158857929</v>
      </c>
      <c r="JJ23" s="133">
        <f t="shared" si="101"/>
        <v>0.40876454048719302</v>
      </c>
      <c r="JK23" s="133">
        <f t="shared" si="102"/>
        <v>0.41630084843992515</v>
      </c>
      <c r="JL23" s="133">
        <f t="shared" si="103"/>
        <v>0.42255664075412586</v>
      </c>
      <c r="JM23" s="133">
        <f t="shared" si="104"/>
        <v>0.42953475898203342</v>
      </c>
      <c r="JN23" s="81"/>
      <c r="JO23" s="81">
        <v>21</v>
      </c>
      <c r="JP23" s="133">
        <f t="shared" si="105"/>
        <v>-8.2945057157826945</v>
      </c>
      <c r="JQ23" s="133">
        <f t="shared" si="106"/>
        <v>-6.9512291165090048</v>
      </c>
      <c r="JR23" s="133">
        <f t="shared" si="107"/>
        <v>-5.7774754941658788</v>
      </c>
      <c r="JS23" s="133">
        <f t="shared" si="375"/>
        <v>-4.4042061727429243</v>
      </c>
      <c r="JT23" s="133">
        <f t="shared" si="376"/>
        <v>-2.0686635445325514</v>
      </c>
      <c r="JU23" s="134">
        <f t="shared" si="377"/>
        <v>0.59553714107973832</v>
      </c>
      <c r="JV23" s="133">
        <f t="shared" si="378"/>
        <v>3.3189844802433264</v>
      </c>
      <c r="JW23" s="133">
        <f t="shared" si="108"/>
        <v>5.8092257840305344</v>
      </c>
      <c r="JX23" s="133">
        <f t="shared" si="109"/>
        <v>7.3220385228911482</v>
      </c>
      <c r="JY23" s="133">
        <f t="shared" si="110"/>
        <v>8.645824653651875</v>
      </c>
      <c r="JZ23" s="133">
        <f t="shared" si="111"/>
        <v>10.198181085691541</v>
      </c>
      <c r="KA23" s="81"/>
      <c r="KB23" s="81">
        <v>21</v>
      </c>
      <c r="KC23" s="133">
        <f t="shared" si="112"/>
        <v>-6.3770395947556748</v>
      </c>
      <c r="KD23" s="133">
        <f t="shared" si="113"/>
        <v>-5.3306003707313891</v>
      </c>
      <c r="KE23" s="133">
        <f t="shared" si="114"/>
        <v>-4.3864253957668602</v>
      </c>
      <c r="KF23" s="133">
        <f t="shared" si="379"/>
        <v>-3.2497811475967282</v>
      </c>
      <c r="KG23" s="133">
        <f t="shared" si="380"/>
        <v>-1.2455965612772637</v>
      </c>
      <c r="KH23" s="134">
        <f t="shared" si="381"/>
        <v>1.1372031566032348</v>
      </c>
      <c r="KI23" s="133">
        <f t="shared" si="382"/>
        <v>3.6663596399540594</v>
      </c>
      <c r="KJ23" s="133">
        <f t="shared" si="115"/>
        <v>6.0525273214982978</v>
      </c>
      <c r="KK23" s="133">
        <f t="shared" si="116"/>
        <v>7.5335370811549698</v>
      </c>
      <c r="KL23" s="133">
        <f t="shared" si="117"/>
        <v>8.8477738726154893</v>
      </c>
      <c r="KM23" s="133">
        <f t="shared" si="118"/>
        <v>10.40963322055565</v>
      </c>
      <c r="KN23" s="81"/>
      <c r="KO23" s="81">
        <v>23</v>
      </c>
      <c r="KP23" s="133">
        <f t="shared" si="119"/>
        <v>-10.050953311887534</v>
      </c>
      <c r="KQ23" s="133">
        <f t="shared" si="120"/>
        <v>-8.4258224153474384</v>
      </c>
      <c r="KR23" s="133">
        <f t="shared" si="121"/>
        <v>-7.0382180124181914</v>
      </c>
      <c r="KS23" s="133">
        <f t="shared" si="383"/>
        <v>-5.4485689783699094</v>
      </c>
      <c r="KT23" s="133">
        <f t="shared" si="384"/>
        <v>-2.817853780417682</v>
      </c>
      <c r="KU23" s="134">
        <f t="shared" si="385"/>
        <v>8.7688695379622317E-2</v>
      </c>
      <c r="KV23" s="133">
        <f t="shared" si="386"/>
        <v>2.9693274264264211</v>
      </c>
      <c r="KW23" s="133">
        <f t="shared" si="122"/>
        <v>5.5370199869572119</v>
      </c>
      <c r="KX23" s="133">
        <f t="shared" si="123"/>
        <v>7.06902423774957</v>
      </c>
      <c r="KY23" s="133">
        <f t="shared" si="124"/>
        <v>8.3937458458169409</v>
      </c>
      <c r="KZ23" s="133">
        <f t="shared" si="125"/>
        <v>9.9295418993470257</v>
      </c>
      <c r="LA23" s="81"/>
      <c r="LB23" s="81">
        <v>21</v>
      </c>
      <c r="LC23" s="133">
        <f t="shared" si="126"/>
        <v>-22.013673539181642</v>
      </c>
      <c r="LD23" s="133">
        <f t="shared" si="127"/>
        <v>-18.543394993049567</v>
      </c>
      <c r="LE23" s="133">
        <f t="shared" si="128"/>
        <v>-15.439610974445852</v>
      </c>
      <c r="LF23" s="133">
        <f t="shared" si="387"/>
        <v>-11.738313143038802</v>
      </c>
      <c r="LG23" s="133">
        <f t="shared" si="388"/>
        <v>-5.302192422443337</v>
      </c>
      <c r="LH23" s="134">
        <f t="shared" si="389"/>
        <v>2.2125023362642509</v>
      </c>
      <c r="LI23" s="133">
        <f t="shared" si="390"/>
        <v>10.044460107948694</v>
      </c>
      <c r="LJ23" s="133">
        <f t="shared" si="129"/>
        <v>17.313736396622161</v>
      </c>
      <c r="LK23" s="133">
        <f t="shared" si="130"/>
        <v>21.772863187690646</v>
      </c>
      <c r="LL23" s="133">
        <f t="shared" si="131"/>
        <v>25.698699668520923</v>
      </c>
      <c r="LM23" s="133">
        <f t="shared" si="132"/>
        <v>30.328476469471845</v>
      </c>
      <c r="LN23" s="81"/>
      <c r="LO23" s="81">
        <v>21</v>
      </c>
      <c r="LP23" s="133">
        <f t="shared" si="133"/>
        <v>-18.958404394134828</v>
      </c>
      <c r="LQ23" s="133">
        <f t="shared" si="134"/>
        <v>-15.708853922931423</v>
      </c>
      <c r="LR23" s="133">
        <f t="shared" si="135"/>
        <v>-12.77964859151745</v>
      </c>
      <c r="LS23" s="133">
        <f t="shared" si="391"/>
        <v>-9.2636640593027408</v>
      </c>
      <c r="LT23" s="133">
        <f t="shared" si="392"/>
        <v>-3.1019594315599868</v>
      </c>
      <c r="LU23" s="134">
        <f t="shared" si="393"/>
        <v>4.153350864152582</v>
      </c>
      <c r="LV23" s="133">
        <f t="shared" si="394"/>
        <v>11.770518474865209</v>
      </c>
      <c r="LW23" s="133">
        <f t="shared" si="136"/>
        <v>18.882172301510881</v>
      </c>
      <c r="LX23" s="133">
        <f t="shared" si="137"/>
        <v>23.261830637617212</v>
      </c>
      <c r="LY23" s="133">
        <f t="shared" si="138"/>
        <v>27.127495688304403</v>
      </c>
      <c r="LZ23" s="133">
        <f t="shared" si="139"/>
        <v>31.697230618022321</v>
      </c>
      <c r="MA23" s="81"/>
      <c r="MB23" s="81">
        <v>23</v>
      </c>
      <c r="MC23" s="133">
        <f t="shared" si="140"/>
        <v>-23.663967314138986</v>
      </c>
      <c r="MD23" s="133">
        <f t="shared" si="141"/>
        <v>-20.082178084927989</v>
      </c>
      <c r="ME23" s="133">
        <f t="shared" si="142"/>
        <v>-16.918875050805383</v>
      </c>
      <c r="MF23" s="133">
        <f t="shared" si="395"/>
        <v>-13.190236199957084</v>
      </c>
      <c r="MG23" s="133">
        <f t="shared" si="396"/>
        <v>-6.8035749207419549</v>
      </c>
      <c r="MH23" s="134">
        <f t="shared" si="397"/>
        <v>0.5232777020865953</v>
      </c>
      <c r="MI23" s="133">
        <f t="shared" si="398"/>
        <v>8.0365780717494459</v>
      </c>
      <c r="MJ23" s="133">
        <f t="shared" si="143"/>
        <v>14.915656596575019</v>
      </c>
      <c r="MK23" s="133">
        <f t="shared" si="144"/>
        <v>19.095985071718339</v>
      </c>
      <c r="ML23" s="133">
        <f t="shared" si="145"/>
        <v>22.753788270346504</v>
      </c>
      <c r="MM23" s="133">
        <f t="shared" si="146"/>
        <v>27.042200366222694</v>
      </c>
      <c r="MN23" s="81"/>
      <c r="MO23" s="81">
        <v>21</v>
      </c>
      <c r="MP23" s="133">
        <f t="shared" si="147"/>
        <v>-27.466332586860581</v>
      </c>
      <c r="MQ23" s="133">
        <f t="shared" si="148"/>
        <v>-23.14260509887594</v>
      </c>
      <c r="MR23" s="133">
        <f t="shared" si="149"/>
        <v>-19.388081444973729</v>
      </c>
      <c r="MS23" s="133">
        <f t="shared" si="399"/>
        <v>-15.027406245444126</v>
      </c>
      <c r="MT23" s="133">
        <f t="shared" si="400"/>
        <v>-7.6928635433785111</v>
      </c>
      <c r="MU23" s="134">
        <f t="shared" si="401"/>
        <v>0.55208529691368824</v>
      </c>
      <c r="MV23" s="133">
        <f t="shared" si="402"/>
        <v>8.8558323187165868</v>
      </c>
      <c r="MW23" s="133">
        <f t="shared" si="150"/>
        <v>16.347506952110564</v>
      </c>
      <c r="MX23" s="133">
        <f t="shared" si="151"/>
        <v>20.854981950157843</v>
      </c>
      <c r="MY23" s="133">
        <f t="shared" si="152"/>
        <v>24.773701065740227</v>
      </c>
      <c r="MZ23" s="133">
        <f t="shared" si="153"/>
        <v>29.340062640368778</v>
      </c>
      <c r="NA23" s="81"/>
      <c r="NB23" s="81">
        <v>21</v>
      </c>
      <c r="NC23" s="133">
        <f t="shared" si="154"/>
        <v>-23.938290637244265</v>
      </c>
      <c r="ND23" s="133">
        <f t="shared" si="155"/>
        <v>-19.795265788502093</v>
      </c>
      <c r="NE23" s="133">
        <f t="shared" si="156"/>
        <v>-16.151783906508211</v>
      </c>
      <c r="NF23" s="133">
        <f t="shared" si="403"/>
        <v>-11.888875002079679</v>
      </c>
      <c r="NG23" s="133">
        <f t="shared" si="404"/>
        <v>-4.6696965148720579</v>
      </c>
      <c r="NH23" s="134">
        <f t="shared" si="405"/>
        <v>3.4948955668005297</v>
      </c>
      <c r="NI23" s="133">
        <f t="shared" si="406"/>
        <v>11.754723608930906</v>
      </c>
      <c r="NJ23" s="133">
        <f t="shared" si="157"/>
        <v>19.231062662939546</v>
      </c>
      <c r="NK23" s="133">
        <f t="shared" si="158"/>
        <v>23.738512493444393</v>
      </c>
      <c r="NL23" s="133">
        <f t="shared" si="159"/>
        <v>27.66215980633282</v>
      </c>
      <c r="NM23" s="133">
        <f t="shared" si="160"/>
        <v>32.239562794362925</v>
      </c>
      <c r="NN23" s="81"/>
      <c r="NO23" s="81">
        <v>23</v>
      </c>
      <c r="NP23" s="133">
        <f t="shared" si="161"/>
        <v>-28.269934733733336</v>
      </c>
      <c r="NQ23" s="133">
        <f t="shared" si="162"/>
        <v>-24.250948485337194</v>
      </c>
      <c r="NR23" s="133">
        <f t="shared" si="163"/>
        <v>-20.789174543616063</v>
      </c>
      <c r="NS23" s="133">
        <f t="shared" si="407"/>
        <v>-16.793384457234968</v>
      </c>
      <c r="NT23" s="133">
        <f t="shared" si="408"/>
        <v>-10.11917611713864</v>
      </c>
      <c r="NU23" s="134">
        <f t="shared" si="409"/>
        <v>-2.6703686930075961</v>
      </c>
      <c r="NV23" s="133">
        <f t="shared" si="410"/>
        <v>4.78659279255195</v>
      </c>
      <c r="NW23" s="133">
        <f t="shared" si="164"/>
        <v>11.482635812459776</v>
      </c>
      <c r="NX23" s="133">
        <f t="shared" si="165"/>
        <v>15.498888877383557</v>
      </c>
      <c r="NY23" s="133">
        <f t="shared" si="166"/>
        <v>18.983635882439657</v>
      </c>
      <c r="NZ23" s="133">
        <f t="shared" si="167"/>
        <v>23.036773683293553</v>
      </c>
      <c r="OA23" s="81"/>
      <c r="OB23" s="81">
        <v>21</v>
      </c>
      <c r="OC23" s="133">
        <v>16.05138786357454</v>
      </c>
      <c r="OD23" s="133">
        <v>17.848598587128752</v>
      </c>
      <c r="OE23" s="133">
        <v>19.554437467927453</v>
      </c>
      <c r="OF23" s="133">
        <v>21.724467550588631</v>
      </c>
      <c r="OG23" s="133">
        <v>25.893525632713235</v>
      </c>
      <c r="OH23" s="134">
        <v>31.489797882940856</v>
      </c>
      <c r="OI23" s="133">
        <v>38.29557182648368</v>
      </c>
      <c r="OJ23" s="133">
        <v>45.644726085891968</v>
      </c>
      <c r="OK23" s="133">
        <v>50.710094439426747</v>
      </c>
      <c r="OL23" s="133">
        <v>55.556595430609832</v>
      </c>
      <c r="OM23" s="133">
        <v>61.777048759672887</v>
      </c>
      <c r="ON23" s="81"/>
      <c r="OO23" s="81">
        <v>21</v>
      </c>
      <c r="OP23" s="133">
        <v>15.392900391690739</v>
      </c>
      <c r="OQ23" s="133">
        <v>16.995019412713113</v>
      </c>
      <c r="OR23" s="133">
        <v>18.505678857965815</v>
      </c>
      <c r="OS23" s="133">
        <v>20.41477057938976</v>
      </c>
      <c r="OT23" s="133">
        <v>25.316293521529659</v>
      </c>
      <c r="OU23" s="134">
        <v>28.863950447172879</v>
      </c>
      <c r="OV23" s="133">
        <v>34.644702613355584</v>
      </c>
      <c r="OW23" s="133">
        <v>40.810041542076235</v>
      </c>
      <c r="OX23" s="133">
        <v>45.020106628416393</v>
      </c>
      <c r="OY23" s="133">
        <v>49.021870183545118</v>
      </c>
      <c r="OZ23" s="133">
        <v>54.124149069825954</v>
      </c>
      <c r="PA23" s="81"/>
      <c r="PB23" s="81">
        <v>23</v>
      </c>
      <c r="PC23" s="133">
        <v>20.195228014329416</v>
      </c>
      <c r="PD23" s="133">
        <v>22.109951089294551</v>
      </c>
      <c r="PE23" s="133">
        <v>23.901296613755235</v>
      </c>
      <c r="PF23" s="133">
        <v>26.147463470959263</v>
      </c>
      <c r="PG23" s="133">
        <v>30.373999509443163</v>
      </c>
      <c r="PH23" s="134">
        <v>35.894763835566302</v>
      </c>
      <c r="PI23" s="133">
        <v>42.41897977283201</v>
      </c>
      <c r="PJ23" s="133">
        <v>49.275681071017864</v>
      </c>
      <c r="PK23" s="133">
        <v>53.90645083537364</v>
      </c>
      <c r="PL23" s="133">
        <v>58.273944867970684</v>
      </c>
      <c r="PM23" s="133">
        <v>63.798936555550526</v>
      </c>
      <c r="PN23" s="81"/>
      <c r="PO23" s="81">
        <v>21</v>
      </c>
      <c r="PP23" s="133">
        <v>7.7804760837453992</v>
      </c>
      <c r="PQ23" s="133">
        <v>8.4957585465388981</v>
      </c>
      <c r="PR23" s="133">
        <v>9.163318278113481</v>
      </c>
      <c r="PS23" s="133">
        <v>9.9983298032083443</v>
      </c>
      <c r="PT23" s="133">
        <v>11.564028015043595</v>
      </c>
      <c r="PU23" s="134">
        <v>13.599747736152096</v>
      </c>
      <c r="PV23" s="133">
        <v>15.993833484869564</v>
      </c>
      <c r="PW23" s="133">
        <v>18.49840344610605</v>
      </c>
      <c r="PX23" s="133">
        <v>20.184078831871762</v>
      </c>
      <c r="PY23" s="133">
        <v>21.770055901873807</v>
      </c>
      <c r="PZ23" s="133">
        <v>23.771442325151451</v>
      </c>
      <c r="QA23" s="81"/>
      <c r="QB23" s="81">
        <v>21</v>
      </c>
      <c r="QC23" s="133">
        <v>7.5136410494218255</v>
      </c>
      <c r="QD23" s="133">
        <v>8.1963777201341141</v>
      </c>
      <c r="QE23" s="133">
        <v>8.8329853247880799</v>
      </c>
      <c r="QF23" s="133">
        <v>9.6285590389278468</v>
      </c>
      <c r="QG23" s="133">
        <v>11.118362832677892</v>
      </c>
      <c r="QH23" s="134">
        <v>13.052087305615181</v>
      </c>
      <c r="QI23" s="133">
        <v>15.322128410192374</v>
      </c>
      <c r="QJ23" s="133">
        <v>17.692884505838826</v>
      </c>
      <c r="QK23" s="133">
        <v>19.286456024706244</v>
      </c>
      <c r="QL23" s="133">
        <v>20.784423174510973</v>
      </c>
      <c r="QM23" s="133">
        <v>22.673026554350752</v>
      </c>
      <c r="QN23" s="81"/>
      <c r="QO23" s="81">
        <v>23</v>
      </c>
      <c r="QP23" s="133">
        <v>8.6482310059498317</v>
      </c>
      <c r="QQ23" s="133">
        <v>9.3944601267597267</v>
      </c>
      <c r="QR23" s="133">
        <v>10.08755871154799</v>
      </c>
      <c r="QS23" s="133">
        <v>10.950356488558544</v>
      </c>
      <c r="QT23" s="133">
        <v>12.556995044199565</v>
      </c>
      <c r="QU23" s="134">
        <v>14.627040636791337</v>
      </c>
      <c r="QV23" s="133">
        <v>17.038337359954202</v>
      </c>
      <c r="QW23" s="133">
        <v>19.538205720872252</v>
      </c>
      <c r="QX23" s="133">
        <v>21.209325656307723</v>
      </c>
      <c r="QY23" s="133">
        <v>22.774093977036166</v>
      </c>
      <c r="QZ23" s="133">
        <v>24.739200148926553</v>
      </c>
      <c r="RA23" s="81"/>
      <c r="RB23" s="81">
        <v>21</v>
      </c>
      <c r="RC23" s="133">
        <f t="shared" si="168"/>
        <v>0.25410835979194513</v>
      </c>
      <c r="RD23" s="133">
        <f t="shared" si="169"/>
        <v>0.27501858285472625</v>
      </c>
      <c r="RE23" s="133">
        <f t="shared" si="170"/>
        <v>0.29460303455641512</v>
      </c>
      <c r="RF23" s="133">
        <f t="shared" si="411"/>
        <v>0.31921173747752507</v>
      </c>
      <c r="RG23" s="133">
        <f t="shared" si="412"/>
        <v>0.36574323787376695</v>
      </c>
      <c r="RH23" s="134">
        <f t="shared" si="413"/>
        <v>0.42710924652242188</v>
      </c>
      <c r="RI23" s="133">
        <f t="shared" si="414"/>
        <v>0.50066838695152072</v>
      </c>
      <c r="RJ23" s="133">
        <f t="shared" si="171"/>
        <v>0.57934492529841863</v>
      </c>
      <c r="RK23" s="133">
        <f t="shared" si="172"/>
        <v>0.63332914726560663</v>
      </c>
      <c r="RL23" s="133">
        <f t="shared" si="173"/>
        <v>0.68489591118159865</v>
      </c>
      <c r="RM23" s="133">
        <f t="shared" si="174"/>
        <v>0.75105805665235525</v>
      </c>
      <c r="RN23" s="81"/>
      <c r="RO23" s="81">
        <v>21</v>
      </c>
      <c r="RP23" s="133">
        <f t="shared" si="175"/>
        <v>0.2769620396069839</v>
      </c>
      <c r="RQ23" s="133">
        <f t="shared" si="176"/>
        <v>0.29741389382547168</v>
      </c>
      <c r="RR23" s="133">
        <f t="shared" si="177"/>
        <v>0.31648754362649234</v>
      </c>
      <c r="RS23" s="133">
        <f t="shared" si="415"/>
        <v>0.34035727574258096</v>
      </c>
      <c r="RT23" s="133">
        <f t="shared" si="416"/>
        <v>0.38524547235958634</v>
      </c>
      <c r="RU23" s="134">
        <f t="shared" si="417"/>
        <v>0.44406247373173274</v>
      </c>
      <c r="RV23" s="133">
        <f t="shared" si="418"/>
        <v>0.51415632866178673</v>
      </c>
      <c r="RW23" s="133">
        <f t="shared" si="178"/>
        <v>0.58879088063236074</v>
      </c>
      <c r="RX23" s="133">
        <f t="shared" si="179"/>
        <v>0.6398659500530014</v>
      </c>
      <c r="RY23" s="133">
        <f t="shared" si="180"/>
        <v>0.68858334841638458</v>
      </c>
      <c r="RZ23" s="133">
        <f t="shared" si="181"/>
        <v>0.75102228894709999</v>
      </c>
      <c r="SA23" s="81"/>
      <c r="SB23" s="81">
        <v>23</v>
      </c>
      <c r="SC23" s="133">
        <f t="shared" si="182"/>
        <v>0.23595520052778643</v>
      </c>
      <c r="SD23" s="133">
        <f t="shared" si="183"/>
        <v>0.2574392631349926</v>
      </c>
      <c r="SE23" s="133">
        <f t="shared" si="184"/>
        <v>0.27749684547672299</v>
      </c>
      <c r="SF23" s="133">
        <f t="shared" si="419"/>
        <v>0.30259656298183685</v>
      </c>
      <c r="SG23" s="133">
        <f t="shared" si="420"/>
        <v>0.34969684591995143</v>
      </c>
      <c r="SH23" s="134">
        <f t="shared" si="421"/>
        <v>0.41101573282153797</v>
      </c>
      <c r="SI23" s="133">
        <f t="shared" si="422"/>
        <v>0.48325111127707537</v>
      </c>
      <c r="SJ23" s="133">
        <f t="shared" si="185"/>
        <v>0.55896481280594468</v>
      </c>
      <c r="SK23" s="133">
        <f t="shared" si="186"/>
        <v>0.61000657742824316</v>
      </c>
      <c r="SL23" s="133">
        <f t="shared" si="187"/>
        <v>0.6580902270196326</v>
      </c>
      <c r="SM23" s="133">
        <f t="shared" si="188"/>
        <v>0.718851154416833</v>
      </c>
      <c r="SN23" s="81"/>
      <c r="SO23" s="81">
        <v>21</v>
      </c>
      <c r="SP23" s="133">
        <f t="shared" si="189"/>
        <v>0.20155456812129233</v>
      </c>
      <c r="SQ23" s="133">
        <f t="shared" si="190"/>
        <v>0.21510389066525304</v>
      </c>
      <c r="SR23" s="133">
        <f t="shared" si="191"/>
        <v>0.22729143309269756</v>
      </c>
      <c r="SS23" s="133">
        <f t="shared" si="423"/>
        <v>0.24197497446914781</v>
      </c>
      <c r="ST23" s="133">
        <f t="shared" si="424"/>
        <v>0.26803217304461679</v>
      </c>
      <c r="SU23" s="134">
        <f t="shared" si="425"/>
        <v>0.29948520271071039</v>
      </c>
      <c r="SV23" s="133">
        <f t="shared" si="426"/>
        <v>0.33361679336357414</v>
      </c>
      <c r="SW23" s="133">
        <f t="shared" si="192"/>
        <v>0.36663943405696153</v>
      </c>
      <c r="SX23" s="133">
        <f t="shared" si="193"/>
        <v>0.38757028255049658</v>
      </c>
      <c r="SY23" s="133">
        <f t="shared" si="194"/>
        <v>0.40643640703310019</v>
      </c>
      <c r="SZ23" s="133">
        <f t="shared" si="195"/>
        <v>0.42922556718334848</v>
      </c>
      <c r="TA23" s="81"/>
      <c r="TB23" s="81">
        <v>21</v>
      </c>
      <c r="TC23" s="133">
        <f t="shared" si="196"/>
        <v>0.21621517477310662</v>
      </c>
      <c r="TD23" s="133">
        <f t="shared" si="197"/>
        <v>0.22890548427587093</v>
      </c>
      <c r="TE23" s="133">
        <f t="shared" si="198"/>
        <v>0.24030614919497953</v>
      </c>
      <c r="TF23" s="133">
        <f t="shared" si="427"/>
        <v>0.25402844718033013</v>
      </c>
      <c r="TG23" s="133">
        <f t="shared" si="428"/>
        <v>0.27835758830336677</v>
      </c>
      <c r="TH23" s="134">
        <f t="shared" si="429"/>
        <v>0.30771099243000322</v>
      </c>
      <c r="TI23" s="133">
        <f t="shared" si="430"/>
        <v>0.33957556972916775</v>
      </c>
      <c r="TJ23" s="133">
        <f t="shared" si="199"/>
        <v>0.37043810628893853</v>
      </c>
      <c r="TK23" s="133">
        <f t="shared" si="200"/>
        <v>0.39002417943822371</v>
      </c>
      <c r="TL23" s="133">
        <f t="shared" si="201"/>
        <v>0.4076975640293824</v>
      </c>
      <c r="TM23" s="133">
        <f t="shared" si="202"/>
        <v>0.42907325121386269</v>
      </c>
      <c r="TN23" s="81"/>
      <c r="TO23" s="81">
        <v>23</v>
      </c>
      <c r="TP23" s="133">
        <f t="shared" si="203"/>
        <v>0.18946737479953774</v>
      </c>
      <c r="TQ23" s="133">
        <f t="shared" si="204"/>
        <v>0.20390751015992506</v>
      </c>
      <c r="TR23" s="133">
        <f t="shared" si="205"/>
        <v>0.21680637192684143</v>
      </c>
      <c r="TS23" s="133">
        <f t="shared" si="431"/>
        <v>0.23223307984060573</v>
      </c>
      <c r="TT23" s="133">
        <f t="shared" si="432"/>
        <v>0.25930426641541987</v>
      </c>
      <c r="TU23" s="134">
        <f t="shared" si="433"/>
        <v>0.29147206828556521</v>
      </c>
      <c r="TV23" s="133">
        <f t="shared" si="434"/>
        <v>0.32577256471860089</v>
      </c>
      <c r="TW23" s="133">
        <f t="shared" si="206"/>
        <v>0.35838648150668051</v>
      </c>
      <c r="TX23" s="133">
        <f t="shared" si="207"/>
        <v>0.37878051468458307</v>
      </c>
      <c r="TY23" s="133">
        <f t="shared" si="208"/>
        <v>0.39698548664896899</v>
      </c>
      <c r="TZ23" s="133">
        <f t="shared" si="209"/>
        <v>0.41875961510319698</v>
      </c>
      <c r="UA23" s="81"/>
      <c r="UB23" s="81">
        <v>21</v>
      </c>
      <c r="UC23" s="133">
        <f t="shared" si="210"/>
        <v>-29.108762501770201</v>
      </c>
      <c r="UD23" s="133">
        <f t="shared" si="211"/>
        <v>-25.45681282905224</v>
      </c>
      <c r="UE23" s="133">
        <f t="shared" si="212"/>
        <v>-22.428839840366805</v>
      </c>
      <c r="UF23" s="133">
        <f t="shared" si="435"/>
        <v>-19.04878273034933</v>
      </c>
      <c r="UG23" s="133">
        <f t="shared" si="436"/>
        <v>-13.634517719857634</v>
      </c>
      <c r="UH23" s="134">
        <f t="shared" si="437"/>
        <v>-7.874424357107344</v>
      </c>
      <c r="UI23" s="133">
        <f t="shared" si="438"/>
        <v>-2.3530144138172773</v>
      </c>
      <c r="UJ23" s="133">
        <f t="shared" si="213"/>
        <v>2.4291280023630719</v>
      </c>
      <c r="UK23" s="133">
        <f t="shared" si="214"/>
        <v>5.2273046800915637</v>
      </c>
      <c r="UL23" s="133">
        <f t="shared" si="215"/>
        <v>7.6163397083746531</v>
      </c>
      <c r="UM23" s="133">
        <f t="shared" si="216"/>
        <v>10.352730617682624</v>
      </c>
      <c r="UN23" s="81"/>
      <c r="UO23" s="81">
        <v>21</v>
      </c>
      <c r="UP23" s="133">
        <f t="shared" si="217"/>
        <v>-24.70966783625552</v>
      </c>
      <c r="UQ23" s="133">
        <f t="shared" si="218"/>
        <v>-21.812742197564081</v>
      </c>
      <c r="UR23" s="133">
        <f t="shared" si="219"/>
        <v>-19.332416917634056</v>
      </c>
      <c r="US23" s="133">
        <f t="shared" si="439"/>
        <v>-16.483099169357875</v>
      </c>
      <c r="UT23" s="133">
        <f t="shared" si="440"/>
        <v>-11.74990197890973</v>
      </c>
      <c r="UU23" s="134">
        <f t="shared" si="441"/>
        <v>-6.4979584137666286</v>
      </c>
      <c r="UV23" s="133">
        <f t="shared" si="442"/>
        <v>-1.2661226596949646</v>
      </c>
      <c r="UW23" s="133">
        <f t="shared" si="220"/>
        <v>3.4135034470128787</v>
      </c>
      <c r="UX23" s="133">
        <f t="shared" si="221"/>
        <v>6.2130302400451001</v>
      </c>
      <c r="UY23" s="133">
        <f t="shared" si="222"/>
        <v>8.6380353114862061</v>
      </c>
      <c r="UZ23" s="133">
        <f t="shared" si="223"/>
        <v>11.454176496097496</v>
      </c>
      <c r="VA23" s="81"/>
      <c r="VB23" s="81">
        <v>24</v>
      </c>
      <c r="VC23" s="133">
        <f t="shared" si="224"/>
        <v>-31.350250803853584</v>
      </c>
      <c r="VD23" s="133">
        <f t="shared" si="225"/>
        <v>-27.110735822441484</v>
      </c>
      <c r="VE23" s="133">
        <f t="shared" si="226"/>
        <v>-23.700344053307234</v>
      </c>
      <c r="VF23" s="133">
        <f t="shared" si="443"/>
        <v>-19.984430064682329</v>
      </c>
      <c r="VG23" s="133">
        <f t="shared" si="444"/>
        <v>-14.194835382997098</v>
      </c>
      <c r="VH23" s="134">
        <f t="shared" si="445"/>
        <v>-8.2121118688127623</v>
      </c>
      <c r="VI23" s="133">
        <f t="shared" si="446"/>
        <v>-2.6150347236893552</v>
      </c>
      <c r="VJ23" s="133">
        <f t="shared" si="227"/>
        <v>2.1415616014356402</v>
      </c>
      <c r="VK23" s="133">
        <f t="shared" si="228"/>
        <v>4.8903616737268436</v>
      </c>
      <c r="VL23" s="133">
        <f t="shared" si="229"/>
        <v>7.2188604977053501</v>
      </c>
      <c r="VM23" s="133">
        <f t="shared" si="230"/>
        <v>9.8664528226353099</v>
      </c>
      <c r="VN23" s="81"/>
      <c r="VO23" s="81">
        <v>21</v>
      </c>
      <c r="VP23" s="133">
        <f t="shared" si="231"/>
        <v>-46.888462069750702</v>
      </c>
      <c r="VQ23" s="133">
        <f t="shared" si="232"/>
        <v>-43.499310006098469</v>
      </c>
      <c r="VR23" s="133">
        <f t="shared" si="233"/>
        <v>-40.202499951457881</v>
      </c>
      <c r="VS23" s="133">
        <f t="shared" si="447"/>
        <v>-35.983508792241324</v>
      </c>
      <c r="VT23" s="133">
        <f t="shared" si="448"/>
        <v>-27.996845468591125</v>
      </c>
      <c r="VU23" s="134">
        <f t="shared" si="449"/>
        <v>-17.768934601284542</v>
      </c>
      <c r="VV23" s="133">
        <f t="shared" si="450"/>
        <v>-6.2150347172775042</v>
      </c>
      <c r="VW23" s="133">
        <f t="shared" si="234"/>
        <v>5.2300826253670394</v>
      </c>
      <c r="VX23" s="133">
        <f t="shared" si="235"/>
        <v>12.564293015950547</v>
      </c>
      <c r="VY23" s="133">
        <f t="shared" si="236"/>
        <v>19.206312949660862</v>
      </c>
      <c r="VZ23" s="133">
        <f t="shared" si="237"/>
        <v>27.251227004412009</v>
      </c>
      <c r="WA23" s="81"/>
      <c r="WB23" s="81">
        <v>21</v>
      </c>
      <c r="WC23" s="133">
        <f t="shared" si="238"/>
        <v>-43.549867022087405</v>
      </c>
      <c r="WD23" s="133">
        <f t="shared" si="239"/>
        <v>-40.484511560273866</v>
      </c>
      <c r="WE23" s="133">
        <f t="shared" si="240"/>
        <v>-37.407717674141736</v>
      </c>
      <c r="WF23" s="133">
        <f t="shared" si="451"/>
        <v>-33.382952696216719</v>
      </c>
      <c r="WG23" s="133">
        <f t="shared" si="452"/>
        <v>-25.593663527610172</v>
      </c>
      <c r="WH23" s="134">
        <f t="shared" si="453"/>
        <v>-15.418568906236501</v>
      </c>
      <c r="WI23" s="133">
        <f t="shared" si="454"/>
        <v>-3.7580771079184316</v>
      </c>
      <c r="WJ23" s="133">
        <f t="shared" si="241"/>
        <v>7.9081590936138895</v>
      </c>
      <c r="WK23" s="133">
        <f t="shared" si="242"/>
        <v>15.42883193286665</v>
      </c>
      <c r="WL23" s="133">
        <f t="shared" si="243"/>
        <v>22.264137415095412</v>
      </c>
      <c r="WM23" s="133">
        <f t="shared" si="244"/>
        <v>30.569686319434275</v>
      </c>
      <c r="WN23" s="81"/>
      <c r="WO23" s="81">
        <v>24</v>
      </c>
      <c r="WP23" s="133">
        <f t="shared" si="245"/>
        <v>-47.86714204909147</v>
      </c>
      <c r="WQ23" s="133">
        <f t="shared" si="246"/>
        <v>-44.225015031815772</v>
      </c>
      <c r="WR23" s="133">
        <f t="shared" si="247"/>
        <v>-40.713515562760868</v>
      </c>
      <c r="WS23" s="133">
        <f t="shared" si="455"/>
        <v>-36.272925831302196</v>
      </c>
      <c r="WT23" s="133">
        <f t="shared" si="456"/>
        <v>-28.021477488404997</v>
      </c>
      <c r="WU23" s="134">
        <f t="shared" si="457"/>
        <v>-17.706523926192588</v>
      </c>
      <c r="WV23" s="133">
        <f t="shared" si="458"/>
        <v>-6.3290331362418542</v>
      </c>
      <c r="WW23" s="133">
        <f t="shared" si="248"/>
        <v>4.70856094460202</v>
      </c>
      <c r="WX23" s="133">
        <f t="shared" si="249"/>
        <v>11.678572201061463</v>
      </c>
      <c r="WY23" s="133">
        <f t="shared" si="250"/>
        <v>17.929373735889506</v>
      </c>
      <c r="WZ23" s="133">
        <f t="shared" si="251"/>
        <v>25.429435105966796</v>
      </c>
      <c r="XA23" s="81"/>
      <c r="XB23" s="81">
        <v>21</v>
      </c>
      <c r="XC23" s="133">
        <f t="shared" si="252"/>
        <v>-51.477576170692586</v>
      </c>
      <c r="XD23" s="133">
        <f t="shared" si="253"/>
        <v>-47.525109215510618</v>
      </c>
      <c r="XE23" s="133">
        <f t="shared" si="254"/>
        <v>-43.715431675052457</v>
      </c>
      <c r="XF23" s="133">
        <f t="shared" si="459"/>
        <v>-38.946181166411733</v>
      </c>
      <c r="XG23" s="133">
        <f t="shared" si="460"/>
        <v>-30.251720764144139</v>
      </c>
      <c r="XH23" s="134">
        <f t="shared" si="461"/>
        <v>-19.661509203799703</v>
      </c>
      <c r="XI23" s="133">
        <f t="shared" si="462"/>
        <v>-8.2767276430211183</v>
      </c>
      <c r="XJ23" s="133">
        <f t="shared" si="255"/>
        <v>2.5248853803842124</v>
      </c>
      <c r="XK23" s="133">
        <f t="shared" si="256"/>
        <v>9.2409049491939115</v>
      </c>
      <c r="XL23" s="133">
        <f t="shared" si="257"/>
        <v>15.202543533514508</v>
      </c>
      <c r="XM23" s="133">
        <f t="shared" si="258"/>
        <v>22.285764839380484</v>
      </c>
      <c r="XN23" s="81"/>
      <c r="XO23" s="81">
        <v>21</v>
      </c>
      <c r="XP23" s="133">
        <f t="shared" si="259"/>
        <v>-48.361543093211658</v>
      </c>
      <c r="XQ23" s="133">
        <f t="shared" si="260"/>
        <v>-44.391884381344866</v>
      </c>
      <c r="XR23" s="133">
        <f t="shared" si="261"/>
        <v>-40.548773504958127</v>
      </c>
      <c r="XS23" s="133">
        <f t="shared" si="463"/>
        <v>-35.740798997410224</v>
      </c>
      <c r="XT23" s="133">
        <f t="shared" si="464"/>
        <v>-27.002615582863534</v>
      </c>
      <c r="XU23" s="134">
        <f t="shared" si="465"/>
        <v>-16.409313776847952</v>
      </c>
      <c r="XV23" s="133">
        <f t="shared" si="466"/>
        <v>-5.075721338305037</v>
      </c>
      <c r="XW23" s="133">
        <f t="shared" si="262"/>
        <v>5.632697433523596</v>
      </c>
      <c r="XX23" s="133">
        <f t="shared" si="263"/>
        <v>12.271564042700881</v>
      </c>
      <c r="XY23" s="133">
        <f t="shared" si="264"/>
        <v>18.153529356418353</v>
      </c>
      <c r="XZ23" s="133">
        <f t="shared" si="265"/>
        <v>25.12941263450265</v>
      </c>
      <c r="YA23" s="81"/>
      <c r="YB23" s="81">
        <v>24</v>
      </c>
      <c r="YC23" s="133">
        <f t="shared" si="266"/>
        <v>-52.83229909913414</v>
      </c>
      <c r="YD23" s="133">
        <f t="shared" si="267"/>
        <v>-48.766318212933726</v>
      </c>
      <c r="YE23" s="133">
        <f t="shared" si="268"/>
        <v>-44.850535885902133</v>
      </c>
      <c r="YF23" s="133">
        <f t="shared" si="467"/>
        <v>-39.983783077886464</v>
      </c>
      <c r="YG23" s="133">
        <f t="shared" si="468"/>
        <v>-31.21410984962904</v>
      </c>
      <c r="YH23" s="134">
        <f t="shared" si="469"/>
        <v>-20.682653660212324</v>
      </c>
      <c r="YI23" s="133">
        <f t="shared" si="470"/>
        <v>-9.5071793444153556</v>
      </c>
      <c r="YJ23" s="133">
        <f t="shared" si="269"/>
        <v>0.98286590834219112</v>
      </c>
      <c r="YK23" s="133">
        <f t="shared" si="270"/>
        <v>7.4580318951049378</v>
      </c>
      <c r="YL23" s="133">
        <f t="shared" si="271"/>
        <v>13.178917386732827</v>
      </c>
      <c r="YM23" s="133">
        <f t="shared" si="272"/>
        <v>19.945915150463144</v>
      </c>
      <c r="YN23" s="81"/>
      <c r="YO23" s="81">
        <v>21</v>
      </c>
      <c r="YP23" s="133">
        <v>20.425558115993983</v>
      </c>
      <c r="YQ23" s="133">
        <v>22.942875137292855</v>
      </c>
      <c r="YR23" s="133">
        <v>25.354679536816004</v>
      </c>
      <c r="YS23" s="133">
        <v>28.451649614144362</v>
      </c>
      <c r="YT23" s="133">
        <v>34.482486940446329</v>
      </c>
      <c r="YU23" s="134">
        <v>42.722536219675014</v>
      </c>
      <c r="YV23" s="133">
        <v>52.931654964263991</v>
      </c>
      <c r="YW23" s="133">
        <v>64.151468396196677</v>
      </c>
      <c r="YX23" s="133">
        <v>71.987307052773403</v>
      </c>
      <c r="YY23" s="133">
        <v>79.554767661818417</v>
      </c>
      <c r="YZ23" s="133">
        <v>89.359374694992098</v>
      </c>
      <c r="ZA23" s="81"/>
      <c r="ZB23" s="81">
        <v>21</v>
      </c>
      <c r="ZC23" s="133">
        <v>18.586151316931616</v>
      </c>
      <c r="ZD23" s="133">
        <v>20.983531323144295</v>
      </c>
      <c r="ZE23" s="133">
        <v>23.29131735363562</v>
      </c>
      <c r="ZF23" s="133">
        <v>26.268782472669493</v>
      </c>
      <c r="ZG23" s="133">
        <v>32.106675056774684</v>
      </c>
      <c r="ZH23" s="134">
        <v>40.154842722802101</v>
      </c>
      <c r="ZI23" s="133">
        <v>50.220441426641742</v>
      </c>
      <c r="ZJ23" s="133">
        <v>61.381276264728065</v>
      </c>
      <c r="ZK23" s="133">
        <v>69.228003277422431</v>
      </c>
      <c r="ZL23" s="133">
        <v>76.841756006746309</v>
      </c>
      <c r="ZM23" s="133">
        <v>86.753377103096</v>
      </c>
      <c r="ZN23" s="81"/>
      <c r="ZO23" s="81">
        <v>24</v>
      </c>
      <c r="ZP23" s="133">
        <v>22.728424008358196</v>
      </c>
      <c r="ZQ23" s="133">
        <v>25.288348831919023</v>
      </c>
      <c r="ZR23" s="133">
        <v>27.719472612894471</v>
      </c>
      <c r="ZS23" s="133">
        <v>30.813867515711401</v>
      </c>
      <c r="ZT23" s="133">
        <v>36.763572077281232</v>
      </c>
      <c r="ZU23" s="134">
        <v>44.758450509799005</v>
      </c>
      <c r="ZV23" s="133">
        <v>54.491954367952083</v>
      </c>
      <c r="ZW23" s="133">
        <v>65.0135492085397</v>
      </c>
      <c r="ZX23" s="133">
        <v>72.271176295981462</v>
      </c>
      <c r="ZY23" s="133">
        <v>79.219046895997081</v>
      </c>
      <c r="ZZ23" s="133">
        <v>88.141566318079143</v>
      </c>
      <c r="AAA23" s="81"/>
      <c r="AAB23" s="81">
        <v>21</v>
      </c>
      <c r="AAC23" s="133">
        <v>8.3365093031083628</v>
      </c>
      <c r="AAD23" s="133">
        <v>9.2403739901478747</v>
      </c>
      <c r="AAE23" s="133">
        <v>10.095748578842455</v>
      </c>
      <c r="AAF23" s="133">
        <v>11.180668677254202</v>
      </c>
      <c r="AAG23" s="133">
        <v>13.256131719011885</v>
      </c>
      <c r="AAH23" s="134">
        <v>16.026538250893442</v>
      </c>
      <c r="AAI23" s="133">
        <v>19.375933624661975</v>
      </c>
      <c r="AAJ23" s="133">
        <v>22.972680411314094</v>
      </c>
      <c r="AAK23" s="133">
        <v>25.44139508838682</v>
      </c>
      <c r="AAL23" s="133">
        <v>27.796486222441324</v>
      </c>
      <c r="AAM23" s="133">
        <v>30.810249106491273</v>
      </c>
      <c r="AAN23" s="81"/>
      <c r="AAO23" s="81">
        <v>21</v>
      </c>
      <c r="AAP23" s="133">
        <v>7.7953910032852134</v>
      </c>
      <c r="AAQ23" s="133">
        <v>8.6834846407086292</v>
      </c>
      <c r="AAR23" s="133">
        <v>9.527804674157311</v>
      </c>
      <c r="AAS23" s="133">
        <v>10.603636495004126</v>
      </c>
      <c r="AAT23" s="133">
        <v>12.675399095119559</v>
      </c>
      <c r="AAU23" s="134">
        <v>15.465003515647075</v>
      </c>
      <c r="AAV23" s="133">
        <v>18.868544646540023</v>
      </c>
      <c r="AAW23" s="133">
        <v>22.555123787170448</v>
      </c>
      <c r="AAX23" s="133">
        <v>25.101935012131158</v>
      </c>
      <c r="AAY23" s="133">
        <v>27.542667907507099</v>
      </c>
      <c r="AAZ23" s="133">
        <v>30.680479483092569</v>
      </c>
      <c r="ABA23" s="81"/>
      <c r="ABB23" s="81">
        <v>24</v>
      </c>
      <c r="ABC23" s="133">
        <v>9.3103530715207228</v>
      </c>
      <c r="ABD23" s="133">
        <v>10.241912800889745</v>
      </c>
      <c r="ABE23" s="133">
        <v>11.117320894163669</v>
      </c>
      <c r="ABF23" s="133">
        <v>12.219872787258664</v>
      </c>
      <c r="ABG23" s="133">
        <v>14.307802716930906</v>
      </c>
      <c r="ABH23" s="134">
        <v>17.058050293553006</v>
      </c>
      <c r="ABI23" s="133">
        <v>20.336950793503807</v>
      </c>
      <c r="ABJ23" s="133">
        <v>23.811792878955167</v>
      </c>
      <c r="ABK23" s="133">
        <v>26.173309431963954</v>
      </c>
      <c r="ABL23" s="133">
        <v>28.410423470126194</v>
      </c>
      <c r="ABM23" s="133">
        <v>31.253066084835023</v>
      </c>
      <c r="ABN23" s="81"/>
      <c r="ABO23" s="81">
        <v>21</v>
      </c>
      <c r="ABP23" s="133">
        <f t="shared" si="273"/>
        <v>0.17897293766315575</v>
      </c>
      <c r="ABQ23" s="133">
        <f t="shared" si="274"/>
        <v>0.20342770908251495</v>
      </c>
      <c r="ABR23" s="133">
        <f t="shared" si="275"/>
        <v>0.22633486098780353</v>
      </c>
      <c r="ABS23" s="133">
        <f t="shared" si="471"/>
        <v>0.25501644168868082</v>
      </c>
      <c r="ABT23" s="133">
        <f t="shared" si="472"/>
        <v>0.30863468903787827</v>
      </c>
      <c r="ABU23" s="134">
        <f t="shared" si="473"/>
        <v>0.37760047268553243</v>
      </c>
      <c r="ABV23" s="133">
        <f t="shared" si="474"/>
        <v>0.45717270013610301</v>
      </c>
      <c r="ABW23" s="133">
        <f t="shared" si="276"/>
        <v>0.53838788206530885</v>
      </c>
      <c r="ABX23" s="133">
        <f t="shared" si="277"/>
        <v>0.59184018149809914</v>
      </c>
      <c r="ABY23" s="133">
        <f t="shared" si="278"/>
        <v>0.64124793365341326</v>
      </c>
      <c r="ABZ23" s="133">
        <f t="shared" si="279"/>
        <v>0.702400163054271</v>
      </c>
      <c r="ACA23" s="81"/>
      <c r="ACB23" s="81">
        <v>21</v>
      </c>
      <c r="ACC23" s="133">
        <f t="shared" si="280"/>
        <v>0.1910577105010452</v>
      </c>
      <c r="ACD23" s="133">
        <f t="shared" si="281"/>
        <v>0.21449037807728119</v>
      </c>
      <c r="ACE23" s="133">
        <f t="shared" si="282"/>
        <v>0.23657764355830441</v>
      </c>
      <c r="ACF23" s="133">
        <f t="shared" si="475"/>
        <v>0.2644419531181566</v>
      </c>
      <c r="ACG23" s="133">
        <f t="shared" si="476"/>
        <v>0.31720911107531563</v>
      </c>
      <c r="ACH23" s="134">
        <f t="shared" si="477"/>
        <v>0.38644765492320177</v>
      </c>
      <c r="ACI23" s="133">
        <f t="shared" si="478"/>
        <v>0.46828819165800306</v>
      </c>
      <c r="ACJ23" s="133">
        <f t="shared" si="283"/>
        <v>0.55396633323769362</v>
      </c>
      <c r="ACK23" s="133">
        <f t="shared" si="284"/>
        <v>0.61152077247774483</v>
      </c>
      <c r="ACL23" s="133">
        <f t="shared" si="285"/>
        <v>0.66552786169560341</v>
      </c>
      <c r="ACM23" s="133">
        <f t="shared" si="286"/>
        <v>0.73342835858694211</v>
      </c>
      <c r="ACN23" s="81"/>
      <c r="ACO23" s="81">
        <v>24</v>
      </c>
      <c r="ACP23" s="133">
        <f t="shared" si="287"/>
        <v>0.1733426368808203</v>
      </c>
      <c r="ACQ23" s="133">
        <f t="shared" si="288"/>
        <v>0.20108401001522214</v>
      </c>
      <c r="ACR23" s="133">
        <f t="shared" si="289"/>
        <v>0.22664565288767355</v>
      </c>
      <c r="ACS23" s="133">
        <f t="shared" si="479"/>
        <v>0.25807898684458808</v>
      </c>
      <c r="ACT23" s="133">
        <f t="shared" si="480"/>
        <v>0.31526510447983702</v>
      </c>
      <c r="ACU23" s="134">
        <f t="shared" si="481"/>
        <v>0.38586519821407866</v>
      </c>
      <c r="ACV23" s="133">
        <f t="shared" si="482"/>
        <v>0.46384362166318421</v>
      </c>
      <c r="ACW23" s="133">
        <f t="shared" si="290"/>
        <v>0.54024469889114524</v>
      </c>
      <c r="ACX23" s="133">
        <f t="shared" si="291"/>
        <v>0.58888819196085129</v>
      </c>
      <c r="ACY23" s="133">
        <f t="shared" si="292"/>
        <v>0.63283347429392811</v>
      </c>
      <c r="ACZ23" s="133">
        <f t="shared" si="293"/>
        <v>0.6859837361839447</v>
      </c>
      <c r="ADA23" s="81"/>
      <c r="ADB23" s="81">
        <v>21</v>
      </c>
      <c r="ADC23" s="133">
        <f t="shared" si="294"/>
        <v>0.14974217212109087</v>
      </c>
      <c r="ADD23" s="133">
        <f t="shared" si="295"/>
        <v>0.1682243022658412</v>
      </c>
      <c r="ADE23" s="133">
        <f t="shared" si="296"/>
        <v>0.18449622291837717</v>
      </c>
      <c r="ADF23" s="133">
        <f t="shared" si="483"/>
        <v>0.20366498339228586</v>
      </c>
      <c r="ADG23" s="133">
        <f t="shared" si="484"/>
        <v>0.23655554853365507</v>
      </c>
      <c r="ADH23" s="134">
        <f t="shared" si="485"/>
        <v>0.27446621525350889</v>
      </c>
      <c r="ADI23" s="133">
        <f t="shared" si="486"/>
        <v>0.31359571417691118</v>
      </c>
      <c r="ADJ23" s="133">
        <f t="shared" si="297"/>
        <v>0.3496683166475178</v>
      </c>
      <c r="ADK23" s="133">
        <f t="shared" si="298"/>
        <v>0.37170684727900177</v>
      </c>
      <c r="ADL23" s="133">
        <f t="shared" si="299"/>
        <v>0.39106371912892984</v>
      </c>
      <c r="ADM23" s="133">
        <f t="shared" si="300"/>
        <v>0.4138440801425351</v>
      </c>
      <c r="ADN23" s="81"/>
      <c r="ADO23" s="81">
        <v>21</v>
      </c>
      <c r="ADP23" s="133">
        <f t="shared" si="301"/>
        <v>0.15898764096706694</v>
      </c>
      <c r="ADQ23" s="133">
        <f t="shared" si="302"/>
        <v>0.17614223235474449</v>
      </c>
      <c r="ADR23" s="133">
        <f t="shared" si="303"/>
        <v>0.19144173829083402</v>
      </c>
      <c r="ADS23" s="133">
        <f t="shared" si="487"/>
        <v>0.2096950006185575</v>
      </c>
      <c r="ADT23" s="133">
        <f t="shared" si="488"/>
        <v>0.24157478272779392</v>
      </c>
      <c r="ADU23" s="134">
        <f t="shared" si="489"/>
        <v>0.27915819876678122</v>
      </c>
      <c r="ADV23" s="133">
        <f t="shared" si="490"/>
        <v>0.31883906701569631</v>
      </c>
      <c r="ADW23" s="133">
        <f t="shared" si="304"/>
        <v>0.35617644507495821</v>
      </c>
      <c r="ADX23" s="133">
        <f t="shared" si="305"/>
        <v>0.37932874621453216</v>
      </c>
      <c r="ADY23" s="133">
        <f t="shared" si="306"/>
        <v>0.39986989520975558</v>
      </c>
      <c r="ADZ23" s="133">
        <f t="shared" si="307"/>
        <v>0.42428401122553661</v>
      </c>
      <c r="AEA23" s="81"/>
      <c r="AEB23" s="81">
        <v>24</v>
      </c>
      <c r="AEC23" s="133">
        <f t="shared" si="308"/>
        <v>0.14561838089914839</v>
      </c>
      <c r="AED23" s="133">
        <f t="shared" si="309"/>
        <v>0.16679066673580528</v>
      </c>
      <c r="AEE23" s="133">
        <f t="shared" si="310"/>
        <v>0.18491365766540099</v>
      </c>
      <c r="AEF23" s="133">
        <f t="shared" si="491"/>
        <v>0.20572079191173601</v>
      </c>
      <c r="AEG23" s="133">
        <f t="shared" si="492"/>
        <v>0.24024802750922866</v>
      </c>
      <c r="AEH23" s="134">
        <f t="shared" si="493"/>
        <v>0.27849963179072096</v>
      </c>
      <c r="AEI23" s="133">
        <f t="shared" si="494"/>
        <v>0.31654153678457658</v>
      </c>
      <c r="AEJ23" s="133">
        <f t="shared" si="311"/>
        <v>0.35051641991967913</v>
      </c>
      <c r="AEK23" s="133">
        <f t="shared" si="312"/>
        <v>0.37081903167553787</v>
      </c>
      <c r="AEL23" s="133">
        <f t="shared" si="313"/>
        <v>0.38839246321639992</v>
      </c>
      <c r="AEM23" s="133">
        <f t="shared" si="314"/>
        <v>0.40878557574953367</v>
      </c>
      <c r="AEN23" s="81"/>
    </row>
    <row r="24" spans="1:820">
      <c r="A24" s="81"/>
      <c r="B24" s="81">
        <v>23</v>
      </c>
      <c r="C24" s="133">
        <f t="shared" si="0"/>
        <v>1.6757793302581949</v>
      </c>
      <c r="D24" s="133">
        <f t="shared" si="1"/>
        <v>1.9805861848298192</v>
      </c>
      <c r="E24" s="133">
        <f t="shared" si="2"/>
        <v>2.2964139199388613</v>
      </c>
      <c r="F24" s="133">
        <f t="shared" si="315"/>
        <v>2.7376138764235725</v>
      </c>
      <c r="G24" s="133">
        <f t="shared" si="316"/>
        <v>3.7192377990358958</v>
      </c>
      <c r="H24" s="134">
        <f t="shared" si="317"/>
        <v>5.3481444892964021</v>
      </c>
      <c r="I24" s="133">
        <f t="shared" si="318"/>
        <v>7.8932406344979631</v>
      </c>
      <c r="J24" s="133">
        <f t="shared" si="3"/>
        <v>11.480826145702752</v>
      </c>
      <c r="K24" s="133">
        <f t="shared" si="4"/>
        <v>14.560631460147375</v>
      </c>
      <c r="L24" s="133">
        <f t="shared" si="5"/>
        <v>18.051101069681319</v>
      </c>
      <c r="M24" s="133">
        <f t="shared" si="6"/>
        <v>23.435031133345941</v>
      </c>
      <c r="N24" s="81"/>
      <c r="O24" s="75">
        <v>23</v>
      </c>
      <c r="P24" s="151">
        <f t="shared" si="7"/>
        <v>2.3487299766475949</v>
      </c>
      <c r="Q24" s="151">
        <f t="shared" si="8"/>
        <v>2.6332941615067753</v>
      </c>
      <c r="R24" s="151">
        <f t="shared" si="9"/>
        <v>2.9182740938869038</v>
      </c>
      <c r="S24" s="151">
        <f t="shared" si="319"/>
        <v>3.303555630839464</v>
      </c>
      <c r="T24" s="151">
        <f t="shared" si="320"/>
        <v>4.1236555894394424</v>
      </c>
      <c r="U24" s="134">
        <f t="shared" si="321"/>
        <v>5.4181391734997826</v>
      </c>
      <c r="V24" s="151">
        <f t="shared" si="322"/>
        <v>7.3636755382937746</v>
      </c>
      <c r="W24" s="151">
        <f t="shared" si="10"/>
        <v>10.057898703171643</v>
      </c>
      <c r="X24" s="151">
        <f t="shared" si="11"/>
        <v>12.37857094477271</v>
      </c>
      <c r="Y24" s="151">
        <f t="shared" si="12"/>
        <v>15.048402075310804</v>
      </c>
      <c r="Z24" s="151">
        <f t="shared" si="13"/>
        <v>19.289267984393156</v>
      </c>
      <c r="AA24" s="81"/>
      <c r="AB24" s="75">
        <v>25</v>
      </c>
      <c r="AC24" s="151">
        <f t="shared" si="14"/>
        <v>1.3670859119259073</v>
      </c>
      <c r="AD24" s="151">
        <f t="shared" si="15"/>
        <v>1.6478490875815635</v>
      </c>
      <c r="AE24" s="151">
        <f t="shared" si="16"/>
        <v>1.947698930181829</v>
      </c>
      <c r="AF24" s="151">
        <f t="shared" si="323"/>
        <v>2.3810403152132786</v>
      </c>
      <c r="AG24" s="151">
        <f t="shared" si="324"/>
        <v>3.4017401586826348</v>
      </c>
      <c r="AH24" s="134">
        <f t="shared" si="325"/>
        <v>5.2534427663250796</v>
      </c>
      <c r="AI24" s="151">
        <f t="shared" si="326"/>
        <v>8.5047841105859572</v>
      </c>
      <c r="AJ24" s="151">
        <f t="shared" si="17"/>
        <v>13.767708373284401</v>
      </c>
      <c r="AK24" s="151">
        <f t="shared" si="18"/>
        <v>18.883348771623695</v>
      </c>
      <c r="AL24" s="151">
        <f t="shared" si="19"/>
        <v>25.324714583192399</v>
      </c>
      <c r="AM24" s="151">
        <f t="shared" si="20"/>
        <v>36.5743706791026</v>
      </c>
      <c r="AN24" s="81"/>
      <c r="AO24" s="81">
        <v>23</v>
      </c>
      <c r="AP24" s="133">
        <f t="shared" si="21"/>
        <v>1.1463233330711438</v>
      </c>
      <c r="AQ24" s="133">
        <f t="shared" si="22"/>
        <v>2.8100456728436027</v>
      </c>
      <c r="AR24" s="133">
        <f t="shared" si="23"/>
        <v>4.3712009225261808</v>
      </c>
      <c r="AS24" s="133">
        <f t="shared" si="327"/>
        <v>6.3218483871929996</v>
      </c>
      <c r="AT24" s="133">
        <f t="shared" si="328"/>
        <v>9.9384833928024285</v>
      </c>
      <c r="AU24" s="134">
        <f t="shared" si="329"/>
        <v>14.50964358214388</v>
      </c>
      <c r="AV24" s="133">
        <f t="shared" si="330"/>
        <v>19.656762461754379</v>
      </c>
      <c r="AW24" s="133">
        <f t="shared" si="24"/>
        <v>24.770013075231279</v>
      </c>
      <c r="AX24" s="133">
        <f t="shared" si="25"/>
        <v>28.061579341505347</v>
      </c>
      <c r="AY24" s="133">
        <f t="shared" si="26"/>
        <v>31.054753905107862</v>
      </c>
      <c r="AZ24" s="133">
        <f t="shared" si="27"/>
        <v>34.697161750400035</v>
      </c>
      <c r="BA24" s="81"/>
      <c r="BB24" s="81">
        <v>23</v>
      </c>
      <c r="BC24" s="133">
        <f t="shared" si="28"/>
        <v>4.0571717771800779</v>
      </c>
      <c r="BD24" s="133">
        <f t="shared" si="29"/>
        <v>5.8081188801896699</v>
      </c>
      <c r="BE24" s="133">
        <f t="shared" si="30"/>
        <v>7.3980570903021627</v>
      </c>
      <c r="BF24" s="133">
        <f t="shared" si="331"/>
        <v>9.32544912550917</v>
      </c>
      <c r="BG24" s="133">
        <f t="shared" si="332"/>
        <v>12.759800997923289</v>
      </c>
      <c r="BH24" s="134">
        <f t="shared" si="333"/>
        <v>16.901155906860364</v>
      </c>
      <c r="BI24" s="133">
        <f t="shared" si="334"/>
        <v>21.362564215936906</v>
      </c>
      <c r="BJ24" s="133">
        <f t="shared" si="31"/>
        <v>25.629925347071133</v>
      </c>
      <c r="BK24" s="133">
        <f t="shared" si="32"/>
        <v>28.305361217167647</v>
      </c>
      <c r="BL24" s="133">
        <f t="shared" si="33"/>
        <v>30.695972814334869</v>
      </c>
      <c r="BM24" s="133">
        <f t="shared" si="34"/>
        <v>33.556398746502417</v>
      </c>
      <c r="BN24" s="81"/>
      <c r="BO24" s="75">
        <v>25</v>
      </c>
      <c r="BP24" s="151">
        <f t="shared" si="35"/>
        <v>2.771432328992987</v>
      </c>
      <c r="BQ24" s="151">
        <f t="shared" si="36"/>
        <v>3.5452497684316677</v>
      </c>
      <c r="BR24" s="151">
        <f t="shared" si="37"/>
        <v>4.3511618952929219</v>
      </c>
      <c r="BS24" s="151">
        <f t="shared" si="335"/>
        <v>5.4692724148298053</v>
      </c>
      <c r="BT24" s="151">
        <f t="shared" si="336"/>
        <v>7.8792606101112987</v>
      </c>
      <c r="BU24" s="134">
        <f t="shared" si="337"/>
        <v>11.578883093360787</v>
      </c>
      <c r="BV24" s="151">
        <f t="shared" si="338"/>
        <v>16.666114699115923</v>
      </c>
      <c r="BW24" s="151">
        <f t="shared" si="38"/>
        <v>22.74211487849713</v>
      </c>
      <c r="BX24" s="151">
        <f t="shared" si="39"/>
        <v>27.219183005529608</v>
      </c>
      <c r="BY24" s="151">
        <f t="shared" si="40"/>
        <v>31.690241387517432</v>
      </c>
      <c r="BZ24" s="151">
        <f t="shared" si="41"/>
        <v>37.661683013498163</v>
      </c>
      <c r="CA24" s="81"/>
      <c r="CB24" s="81">
        <v>23</v>
      </c>
      <c r="CC24" s="133">
        <f t="shared" si="42"/>
        <v>-6.1950503979889806</v>
      </c>
      <c r="CD24" s="133">
        <f t="shared" si="43"/>
        <v>-4.4812144372161962</v>
      </c>
      <c r="CE24" s="133">
        <f t="shared" si="44"/>
        <v>-2.6341841961633561</v>
      </c>
      <c r="CF24" s="133">
        <f t="shared" si="339"/>
        <v>-0.17775469646837649</v>
      </c>
      <c r="CG24" s="133">
        <f t="shared" si="340"/>
        <v>4.550654174244996</v>
      </c>
      <c r="CH24" s="134">
        <f t="shared" si="341"/>
        <v>10.586862169915161</v>
      </c>
      <c r="CI24" s="133">
        <f t="shared" si="342"/>
        <v>17.302988792475443</v>
      </c>
      <c r="CJ24" s="133">
        <f t="shared" si="45"/>
        <v>23.835083119912611</v>
      </c>
      <c r="CK24" s="133">
        <f t="shared" si="46"/>
        <v>27.960026539673837</v>
      </c>
      <c r="CL24" s="133">
        <f t="shared" si="47"/>
        <v>31.657003216234553</v>
      </c>
      <c r="CM24" s="133">
        <f t="shared" si="48"/>
        <v>36.08845016994556</v>
      </c>
      <c r="CN24" s="81"/>
      <c r="CO24" s="81">
        <v>23</v>
      </c>
      <c r="CP24" s="133">
        <f t="shared" si="49"/>
        <v>-0.99333047927919704</v>
      </c>
      <c r="CQ24" s="133">
        <f t="shared" si="50"/>
        <v>1.0878842195934508</v>
      </c>
      <c r="CR24" s="133">
        <f t="shared" si="51"/>
        <v>3.0429685024455653</v>
      </c>
      <c r="CS24" s="133">
        <f t="shared" si="343"/>
        <v>5.4673199823603467</v>
      </c>
      <c r="CT24" s="133">
        <f t="shared" si="344"/>
        <v>9.8761694374051956</v>
      </c>
      <c r="CU24" s="134">
        <f t="shared" si="345"/>
        <v>15.270010561975454</v>
      </c>
      <c r="CV24" s="133">
        <f t="shared" si="346"/>
        <v>21.116171303560666</v>
      </c>
      <c r="CW24" s="133">
        <f t="shared" si="52"/>
        <v>26.711870584171262</v>
      </c>
      <c r="CX24" s="133">
        <f t="shared" si="53"/>
        <v>30.214688338752243</v>
      </c>
      <c r="CY24" s="133">
        <f t="shared" si="54"/>
        <v>33.338727285278047</v>
      </c>
      <c r="CZ24" s="133">
        <f t="shared" si="55"/>
        <v>37.067846258898257</v>
      </c>
      <c r="DA24" s="81"/>
      <c r="DB24" s="81">
        <v>25</v>
      </c>
      <c r="DC24" s="133">
        <f t="shared" si="56"/>
        <v>-6.5485233697074028</v>
      </c>
      <c r="DD24" s="133">
        <f t="shared" si="57"/>
        <v>-5.5368735046071249</v>
      </c>
      <c r="DE24" s="133">
        <f t="shared" si="58"/>
        <v>-4.3372717936675489</v>
      </c>
      <c r="DF24" s="133">
        <f t="shared" si="347"/>
        <v>-2.6284422554191957</v>
      </c>
      <c r="DG24" s="133">
        <f t="shared" si="348"/>
        <v>0.90987109978082525</v>
      </c>
      <c r="DH24" s="134">
        <f t="shared" si="349"/>
        <v>5.7592106680599153</v>
      </c>
      <c r="DI24" s="133">
        <f t="shared" si="350"/>
        <v>11.471749980143446</v>
      </c>
      <c r="DJ24" s="133">
        <f t="shared" si="59"/>
        <v>17.276137118968506</v>
      </c>
      <c r="DK24" s="133">
        <f t="shared" si="60"/>
        <v>21.047080158789264</v>
      </c>
      <c r="DL24" s="133">
        <f t="shared" si="61"/>
        <v>24.488204426997708</v>
      </c>
      <c r="DM24" s="133">
        <f t="shared" si="62"/>
        <v>28.682854457036033</v>
      </c>
      <c r="DN24" s="81"/>
      <c r="DO24" s="81">
        <v>23</v>
      </c>
      <c r="DP24" s="133">
        <v>13.148003983442933</v>
      </c>
      <c r="DQ24" s="133">
        <v>14.527424916444767</v>
      </c>
      <c r="DR24" s="133">
        <v>15.8290100600031</v>
      </c>
      <c r="DS24" s="133">
        <v>17.475036369509773</v>
      </c>
      <c r="DT24" s="133">
        <v>20.610579171488354</v>
      </c>
      <c r="DU24" s="134">
        <v>24.772809880835254</v>
      </c>
      <c r="DV24" s="133">
        <v>29.775587783625205</v>
      </c>
      <c r="DW24" s="133">
        <v>35.118216432600455</v>
      </c>
      <c r="DX24" s="133">
        <v>38.770087773378329</v>
      </c>
      <c r="DY24" s="133">
        <v>42.243695143612207</v>
      </c>
      <c r="DZ24" s="133">
        <v>46.675686299214782</v>
      </c>
      <c r="EA24" s="81"/>
      <c r="EB24" s="81">
        <v>23</v>
      </c>
      <c r="EC24" s="133">
        <v>13.571238607244263</v>
      </c>
      <c r="ED24" s="133">
        <v>14.593171727068682</v>
      </c>
      <c r="EE24" s="133">
        <v>15.533430245677337</v>
      </c>
      <c r="EF24" s="133">
        <v>16.692921389237611</v>
      </c>
      <c r="EG24" s="133">
        <v>18.82295741558455</v>
      </c>
      <c r="EH24" s="134">
        <v>21.518892422121045</v>
      </c>
      <c r="EI24" s="133">
        <v>24.600955144881933</v>
      </c>
      <c r="EJ24" s="133">
        <v>27.740065401216579</v>
      </c>
      <c r="EK24" s="133">
        <v>29.810719445157968</v>
      </c>
      <c r="EL24" s="133">
        <v>31.731465903048992</v>
      </c>
      <c r="EM24" s="133">
        <v>34.120889365812033</v>
      </c>
      <c r="EN24" s="81"/>
      <c r="EO24" s="81">
        <v>25</v>
      </c>
      <c r="EP24" s="133">
        <v>16.429423652913492</v>
      </c>
      <c r="EQ24" s="133">
        <v>17.897694664917758</v>
      </c>
      <c r="ER24" s="133">
        <v>19.265017087707438</v>
      </c>
      <c r="ES24" s="133">
        <v>20.971594552925058</v>
      </c>
      <c r="ET24" s="133">
        <v>24.161499282303566</v>
      </c>
      <c r="EU24" s="134">
        <v>28.291943033943365</v>
      </c>
      <c r="EV24" s="133">
        <v>33.128492205040963</v>
      </c>
      <c r="EW24" s="133">
        <v>38.167533642512382</v>
      </c>
      <c r="EX24" s="133">
        <v>41.548576728054634</v>
      </c>
      <c r="EY24" s="133">
        <v>44.722745337971951</v>
      </c>
      <c r="EZ24" s="133">
        <v>48.719544735457134</v>
      </c>
      <c r="FA24" s="81"/>
      <c r="FB24" s="81">
        <v>23</v>
      </c>
      <c r="FC24" s="133">
        <v>7.0724678767328415</v>
      </c>
      <c r="FD24" s="133">
        <v>7.9333654300767975</v>
      </c>
      <c r="FE24" s="133">
        <v>8.7571445636139256</v>
      </c>
      <c r="FF24" s="133">
        <v>9.8136226125197918</v>
      </c>
      <c r="FG24" s="133">
        <v>11.86721421611114</v>
      </c>
      <c r="FH24" s="134">
        <v>14.666422122178556</v>
      </c>
      <c r="FI24" s="133">
        <v>18.125899975235949</v>
      </c>
      <c r="FJ24" s="133">
        <v>21.918912756183257</v>
      </c>
      <c r="FK24" s="133">
        <v>24.563250760948826</v>
      </c>
      <c r="FL24" s="133">
        <v>27.113832050447492</v>
      </c>
      <c r="FM24" s="133">
        <v>30.414268628010632</v>
      </c>
      <c r="FN24" s="81"/>
      <c r="FO24" s="81">
        <v>23</v>
      </c>
      <c r="FP24" s="133">
        <v>6.8666736980769914</v>
      </c>
      <c r="FQ24" s="133">
        <v>7.5642573200662584</v>
      </c>
      <c r="FR24" s="133">
        <v>8.2206405799974132</v>
      </c>
      <c r="FS24" s="133">
        <v>9.0484059295941535</v>
      </c>
      <c r="FT24" s="133">
        <v>10.618887662714616</v>
      </c>
      <c r="FU24" s="134">
        <v>12.692607085043049</v>
      </c>
      <c r="FV24" s="133">
        <v>15.171294746902019</v>
      </c>
      <c r="FW24" s="133">
        <v>17.804492401073222</v>
      </c>
      <c r="FX24" s="133">
        <v>19.597289657363376</v>
      </c>
      <c r="FY24" s="133">
        <v>21.297831075618909</v>
      </c>
      <c r="FZ24" s="133">
        <v>23.461472278841732</v>
      </c>
      <c r="GA24" s="81"/>
      <c r="GB24" s="81">
        <v>25</v>
      </c>
      <c r="GC24" s="133">
        <v>9.0123708837523591</v>
      </c>
      <c r="GD24" s="133">
        <v>9.9812009796676033</v>
      </c>
      <c r="GE24" s="133">
        <v>10.897347812872106</v>
      </c>
      <c r="GF24" s="133">
        <v>12.058451484992009</v>
      </c>
      <c r="GG24" s="133">
        <v>14.277181887911329</v>
      </c>
      <c r="GH24" s="134">
        <v>17.234504056014163</v>
      </c>
      <c r="GI24" s="133">
        <v>20.804394900107429</v>
      </c>
      <c r="GJ24" s="133">
        <v>24.632360998130718</v>
      </c>
      <c r="GK24" s="133">
        <v>27.256919312597745</v>
      </c>
      <c r="GL24" s="133">
        <v>29.758756552626814</v>
      </c>
      <c r="GM24" s="133">
        <v>32.957823627992873</v>
      </c>
      <c r="GN24" s="81"/>
      <c r="GO24" s="81">
        <v>23</v>
      </c>
      <c r="GP24" s="133">
        <f t="shared" si="63"/>
        <v>0.39408356615129597</v>
      </c>
      <c r="GQ24" s="133">
        <f t="shared" si="64"/>
        <v>0.43376139330828822</v>
      </c>
      <c r="GR24" s="133">
        <f t="shared" si="65"/>
        <v>0.46503816343118431</v>
      </c>
      <c r="GS24" s="133">
        <f t="shared" si="351"/>
        <v>0.49853414910080102</v>
      </c>
      <c r="GT24" s="133">
        <f t="shared" si="352"/>
        <v>0.55106714012013625</v>
      </c>
      <c r="GU24" s="134">
        <f t="shared" si="353"/>
        <v>0.60123291288334302</v>
      </c>
      <c r="GV24" s="133">
        <f t="shared" si="354"/>
        <v>0.64730967133968209</v>
      </c>
      <c r="GW24" s="133">
        <f t="shared" si="66"/>
        <v>0.68801062864584617</v>
      </c>
      <c r="GX24" s="133">
        <f t="shared" si="67"/>
        <v>0.7105781088362132</v>
      </c>
      <c r="GY24" s="133">
        <f t="shared" si="68"/>
        <v>0.72955402759190158</v>
      </c>
      <c r="GZ24" s="133">
        <f t="shared" si="69"/>
        <v>0.75097997111037784</v>
      </c>
      <c r="HA24" s="81"/>
      <c r="HB24" s="81">
        <v>23</v>
      </c>
      <c r="HC24" s="133">
        <f t="shared" si="70"/>
        <v>0.36867882870181107</v>
      </c>
      <c r="HD24" s="133">
        <f t="shared" si="71"/>
        <v>0.41293702637427326</v>
      </c>
      <c r="HE24" s="133">
        <f t="shared" si="72"/>
        <v>0.44738699283528277</v>
      </c>
      <c r="HF24" s="133">
        <f t="shared" si="355"/>
        <v>0.4839605237062371</v>
      </c>
      <c r="HG24" s="133">
        <f t="shared" si="356"/>
        <v>0.53928315497251633</v>
      </c>
      <c r="HH24" s="134">
        <f t="shared" si="357"/>
        <v>0.59469580762027219</v>
      </c>
      <c r="HI24" s="133">
        <f t="shared" si="358"/>
        <v>0.64519467915636886</v>
      </c>
      <c r="HJ24" s="133">
        <f t="shared" si="73"/>
        <v>0.6872341354844379</v>
      </c>
      <c r="HK24" s="133">
        <f t="shared" si="74"/>
        <v>0.71119924552407421</v>
      </c>
      <c r="HL24" s="133">
        <f t="shared" si="75"/>
        <v>0.73132506210749493</v>
      </c>
      <c r="HM24" s="133">
        <f t="shared" si="76"/>
        <v>0.75402444087189446</v>
      </c>
      <c r="HN24" s="81"/>
      <c r="HO24" s="81">
        <v>25</v>
      </c>
      <c r="HP24" s="83">
        <f t="shared" si="77"/>
        <v>0.42585622568963161</v>
      </c>
      <c r="HQ24" s="83">
        <f t="shared" si="78"/>
        <v>0.46084244866351809</v>
      </c>
      <c r="HR24" s="83">
        <f t="shared" si="79"/>
        <v>0.48878510191484603</v>
      </c>
      <c r="HS24" s="83">
        <f t="shared" si="359"/>
        <v>0.51899812029615222</v>
      </c>
      <c r="HT24" s="83">
        <f t="shared" si="360"/>
        <v>0.56555623386893139</v>
      </c>
      <c r="HU24" s="84">
        <f t="shared" si="361"/>
        <v>0.61299436481541458</v>
      </c>
      <c r="HV24" s="83">
        <f t="shared" si="362"/>
        <v>0.65676348181988287</v>
      </c>
      <c r="HW24" s="83">
        <f t="shared" si="80"/>
        <v>0.69351016648159947</v>
      </c>
      <c r="HX24" s="83">
        <f t="shared" si="81"/>
        <v>0.7145634310530079</v>
      </c>
      <c r="HY24" s="83">
        <f t="shared" si="82"/>
        <v>0.73229590263295052</v>
      </c>
      <c r="HZ24" s="83">
        <f t="shared" si="83"/>
        <v>0.75234763195904664</v>
      </c>
      <c r="IA24" s="81"/>
      <c r="IB24" s="81">
        <v>23</v>
      </c>
      <c r="IC24" s="83">
        <f t="shared" si="84"/>
        <v>0.28383326631552624</v>
      </c>
      <c r="ID24" s="83">
        <f t="shared" si="85"/>
        <v>0.30351820840054505</v>
      </c>
      <c r="IE24" s="83">
        <f t="shared" si="86"/>
        <v>0.31812373440859304</v>
      </c>
      <c r="IF24" s="83">
        <f t="shared" si="363"/>
        <v>0.33304258349377885</v>
      </c>
      <c r="IG24" s="83">
        <f t="shared" si="364"/>
        <v>0.3546211189705521</v>
      </c>
      <c r="IH24" s="84">
        <f t="shared" si="365"/>
        <v>0.37521455754709254</v>
      </c>
      <c r="II24" s="83">
        <f t="shared" si="366"/>
        <v>0.39321936409924296</v>
      </c>
      <c r="IJ24" s="83">
        <f t="shared" si="87"/>
        <v>0.40771971928537692</v>
      </c>
      <c r="IK24" s="83">
        <f t="shared" si="88"/>
        <v>0.41580482630972432</v>
      </c>
      <c r="IL24" s="83">
        <f t="shared" si="89"/>
        <v>0.42249946993719051</v>
      </c>
      <c r="IM24" s="83">
        <f t="shared" si="90"/>
        <v>0.42995073832606395</v>
      </c>
      <c r="IN24" s="81"/>
      <c r="IO24" s="81">
        <v>23</v>
      </c>
      <c r="IP24" s="133">
        <f t="shared" si="91"/>
        <v>0.27021047508056723</v>
      </c>
      <c r="IQ24" s="133">
        <f t="shared" si="92"/>
        <v>0.29321726115954178</v>
      </c>
      <c r="IR24" s="133">
        <f t="shared" si="93"/>
        <v>0.30984273778406785</v>
      </c>
      <c r="IS24" s="133">
        <f t="shared" si="367"/>
        <v>0.32653732346493231</v>
      </c>
      <c r="IT24" s="133">
        <f t="shared" si="368"/>
        <v>0.35029851778955096</v>
      </c>
      <c r="IU24" s="134">
        <f t="shared" si="369"/>
        <v>0.37265925866666078</v>
      </c>
      <c r="IV24" s="133">
        <f t="shared" si="370"/>
        <v>0.3920214528953242</v>
      </c>
      <c r="IW24" s="133">
        <f t="shared" si="94"/>
        <v>0.4075155229758346</v>
      </c>
      <c r="IX24" s="133">
        <f t="shared" si="95"/>
        <v>0.416122560017744</v>
      </c>
      <c r="IY24" s="133">
        <f t="shared" si="96"/>
        <v>0.42323402513071601</v>
      </c>
      <c r="IZ24" s="133">
        <f t="shared" si="97"/>
        <v>0.43113433006116036</v>
      </c>
      <c r="JA24" s="81"/>
      <c r="JB24" s="81">
        <v>25</v>
      </c>
      <c r="JC24" s="133">
        <f t="shared" si="98"/>
        <v>0.29992110075438461</v>
      </c>
      <c r="JD24" s="133">
        <f t="shared" si="99"/>
        <v>0.31637092991259291</v>
      </c>
      <c r="JE24" s="133">
        <f t="shared" si="100"/>
        <v>0.32889978484409538</v>
      </c>
      <c r="JF24" s="133">
        <f t="shared" si="371"/>
        <v>0.34193167683730286</v>
      </c>
      <c r="JG24" s="133">
        <f t="shared" si="372"/>
        <v>0.36112434896234419</v>
      </c>
      <c r="JH24" s="134">
        <f t="shared" si="373"/>
        <v>0.37974499907006681</v>
      </c>
      <c r="JI24" s="133">
        <f t="shared" si="374"/>
        <v>0.39621857465093552</v>
      </c>
      <c r="JJ24" s="133">
        <f t="shared" si="101"/>
        <v>0.40959339746465689</v>
      </c>
      <c r="JK24" s="133">
        <f t="shared" si="102"/>
        <v>0.41708684940157825</v>
      </c>
      <c r="JL24" s="133">
        <f t="shared" si="103"/>
        <v>0.42330909362196034</v>
      </c>
      <c r="JM24" s="133">
        <f t="shared" si="104"/>
        <v>0.43025179983886902</v>
      </c>
      <c r="JN24" s="81"/>
      <c r="JO24" s="81">
        <v>22</v>
      </c>
      <c r="JP24" s="133">
        <f t="shared" si="105"/>
        <v>-8.2135593108362439</v>
      </c>
      <c r="JQ24" s="133">
        <f t="shared" si="106"/>
        <v>-6.8600341252307988</v>
      </c>
      <c r="JR24" s="133">
        <f t="shared" si="107"/>
        <v>-5.6773037815367822</v>
      </c>
      <c r="JS24" s="133">
        <f t="shared" si="375"/>
        <v>-4.2935102072595406</v>
      </c>
      <c r="JT24" s="133">
        <f t="shared" si="376"/>
        <v>-1.9400241011823525</v>
      </c>
      <c r="JU24" s="134">
        <f t="shared" si="377"/>
        <v>0.74470059009280831</v>
      </c>
      <c r="JV24" s="133">
        <f t="shared" si="378"/>
        <v>3.489176837739759</v>
      </c>
      <c r="JW24" s="133">
        <f t="shared" si="108"/>
        <v>5.9986811135105782</v>
      </c>
      <c r="JX24" s="133">
        <f t="shared" si="109"/>
        <v>7.523209797185924</v>
      </c>
      <c r="JY24" s="133">
        <f t="shared" si="110"/>
        <v>8.8572555277454548</v>
      </c>
      <c r="JZ24" s="133">
        <f t="shared" si="111"/>
        <v>10.421651229342675</v>
      </c>
      <c r="KA24" s="81"/>
      <c r="KB24" s="81">
        <v>22</v>
      </c>
      <c r="KC24" s="133">
        <f t="shared" si="112"/>
        <v>-6.2920207161739787</v>
      </c>
      <c r="KD24" s="133">
        <f t="shared" si="113"/>
        <v>-5.2339564804261469</v>
      </c>
      <c r="KE24" s="133">
        <f t="shared" si="114"/>
        <v>-4.2794503593351605</v>
      </c>
      <c r="KF24" s="133">
        <f t="shared" si="379"/>
        <v>-3.130524106448755</v>
      </c>
      <c r="KG24" s="133">
        <f t="shared" si="380"/>
        <v>-1.104998556697975</v>
      </c>
      <c r="KH24" s="134">
        <f t="shared" si="381"/>
        <v>1.3027888475942362</v>
      </c>
      <c r="KI24" s="133">
        <f t="shared" si="382"/>
        <v>3.858137448307069</v>
      </c>
      <c r="KJ24" s="133">
        <f t="shared" si="115"/>
        <v>6.2687826858746067</v>
      </c>
      <c r="KK24" s="133">
        <f t="shared" si="116"/>
        <v>7.764893185430557</v>
      </c>
      <c r="KL24" s="133">
        <f t="shared" si="117"/>
        <v>9.0924801241094091</v>
      </c>
      <c r="KM24" s="133">
        <f t="shared" si="118"/>
        <v>10.670150680834782</v>
      </c>
      <c r="KN24" s="81"/>
      <c r="KO24" s="81">
        <v>24</v>
      </c>
      <c r="KP24" s="133">
        <f t="shared" si="119"/>
        <v>-9.9106409215258289</v>
      </c>
      <c r="KQ24" s="133">
        <f t="shared" si="120"/>
        <v>-8.2840401628815545</v>
      </c>
      <c r="KR24" s="133">
        <f t="shared" si="121"/>
        <v>-6.8950766706864695</v>
      </c>
      <c r="KS24" s="133">
        <f t="shared" si="383"/>
        <v>-5.303777897698259</v>
      </c>
      <c r="KT24" s="133">
        <f t="shared" si="384"/>
        <v>-2.6701635956246008</v>
      </c>
      <c r="KU24" s="134">
        <f t="shared" si="385"/>
        <v>0.23876531208738427</v>
      </c>
      <c r="KV24" s="133">
        <f t="shared" si="386"/>
        <v>3.1239049472442275</v>
      </c>
      <c r="KW24" s="133">
        <f t="shared" si="122"/>
        <v>5.6948092746662091</v>
      </c>
      <c r="KX24" s="133">
        <f t="shared" si="123"/>
        <v>7.2287639060799265</v>
      </c>
      <c r="KY24" s="133">
        <f t="shared" si="124"/>
        <v>8.5551898788142822</v>
      </c>
      <c r="KZ24" s="133">
        <f t="shared" si="125"/>
        <v>10.092980544919957</v>
      </c>
      <c r="LA24" s="81"/>
      <c r="LB24" s="81">
        <v>22</v>
      </c>
      <c r="LC24" s="133">
        <f t="shared" si="126"/>
        <v>-21.732808563190154</v>
      </c>
      <c r="LD24" s="133">
        <f t="shared" si="127"/>
        <v>-18.250617213265627</v>
      </c>
      <c r="LE24" s="133">
        <f t="shared" si="128"/>
        <v>-15.137837286450889</v>
      </c>
      <c r="LF24" s="133">
        <f t="shared" si="387"/>
        <v>-11.427289275261401</v>
      </c>
      <c r="LG24" s="133">
        <f t="shared" si="388"/>
        <v>-4.9778107270220602</v>
      </c>
      <c r="LH24" s="134">
        <f t="shared" si="389"/>
        <v>2.5494587160713209</v>
      </c>
      <c r="LI24" s="133">
        <f t="shared" si="390"/>
        <v>10.392154029282231</v>
      </c>
      <c r="LJ24" s="133">
        <f t="shared" si="129"/>
        <v>17.669837103648526</v>
      </c>
      <c r="LK24" s="133">
        <f t="shared" si="130"/>
        <v>22.133538864746534</v>
      </c>
      <c r="LL24" s="133">
        <f t="shared" si="131"/>
        <v>26.063095189533165</v>
      </c>
      <c r="LM24" s="133">
        <f t="shared" si="132"/>
        <v>30.696933537044849</v>
      </c>
      <c r="LN24" s="81"/>
      <c r="LO24" s="81">
        <v>22</v>
      </c>
      <c r="LP24" s="133">
        <f t="shared" si="133"/>
        <v>-18.628354931152892</v>
      </c>
      <c r="LQ24" s="133">
        <f t="shared" si="134"/>
        <v>-15.361987681792172</v>
      </c>
      <c r="LR24" s="133">
        <f t="shared" si="135"/>
        <v>-12.420091544695349</v>
      </c>
      <c r="LS24" s="133">
        <f t="shared" si="391"/>
        <v>-8.8910634499637347</v>
      </c>
      <c r="LT24" s="133">
        <f t="shared" si="392"/>
        <v>-2.7105355851230399</v>
      </c>
      <c r="LU24" s="134">
        <f t="shared" si="393"/>
        <v>4.5624727155053968</v>
      </c>
      <c r="LV24" s="133">
        <f t="shared" si="394"/>
        <v>12.194723500482841</v>
      </c>
      <c r="LW24" s="133">
        <f t="shared" si="136"/>
        <v>19.318156347015066</v>
      </c>
      <c r="LX24" s="133">
        <f t="shared" si="137"/>
        <v>23.704209207155355</v>
      </c>
      <c r="LY24" s="133">
        <f t="shared" si="138"/>
        <v>27.57506326506569</v>
      </c>
      <c r="LZ24" s="133">
        <f t="shared" si="139"/>
        <v>32.150451257379444</v>
      </c>
      <c r="MA24" s="81"/>
      <c r="MB24" s="81">
        <v>24</v>
      </c>
      <c r="MC24" s="133">
        <f t="shared" si="140"/>
        <v>-23.274334816131933</v>
      </c>
      <c r="MD24" s="133">
        <f t="shared" si="141"/>
        <v>-19.695806573351245</v>
      </c>
      <c r="ME24" s="133">
        <f t="shared" si="142"/>
        <v>-16.537517426684524</v>
      </c>
      <c r="MF24" s="133">
        <f t="shared" si="395"/>
        <v>-12.816549370778009</v>
      </c>
      <c r="MG24" s="133">
        <f t="shared" si="396"/>
        <v>-6.4460578973148479</v>
      </c>
      <c r="MH24" s="134">
        <f t="shared" si="397"/>
        <v>0.85910141044735155</v>
      </c>
      <c r="MI24" s="133">
        <f t="shared" si="398"/>
        <v>8.3478347234589805</v>
      </c>
      <c r="MJ24" s="133">
        <f t="shared" si="143"/>
        <v>15.202958110071933</v>
      </c>
      <c r="MK24" s="133">
        <f t="shared" si="144"/>
        <v>19.368199617534096</v>
      </c>
      <c r="ML24" s="133">
        <f t="shared" si="145"/>
        <v>23.012526820762659</v>
      </c>
      <c r="MM24" s="133">
        <f t="shared" si="146"/>
        <v>27.284853690513053</v>
      </c>
      <c r="MN24" s="81"/>
      <c r="MO24" s="81">
        <v>22</v>
      </c>
      <c r="MP24" s="133">
        <f t="shared" si="147"/>
        <v>-27.358951134264153</v>
      </c>
      <c r="MQ24" s="133">
        <f t="shared" si="148"/>
        <v>-23.030730848959823</v>
      </c>
      <c r="MR24" s="133">
        <f t="shared" si="149"/>
        <v>-19.272570193919051</v>
      </c>
      <c r="MS24" s="133">
        <f t="shared" si="399"/>
        <v>-14.907850769391835</v>
      </c>
      <c r="MT24" s="133">
        <f t="shared" si="400"/>
        <v>-7.5667724383893855</v>
      </c>
      <c r="MU24" s="134">
        <f t="shared" si="401"/>
        <v>0.68528033142711564</v>
      </c>
      <c r="MV24" s="133">
        <f t="shared" si="402"/>
        <v>8.9960208418953442</v>
      </c>
      <c r="MW24" s="133">
        <f t="shared" si="150"/>
        <v>16.4939110254412</v>
      </c>
      <c r="MX24" s="133">
        <f t="shared" si="151"/>
        <v>21.005093238115094</v>
      </c>
      <c r="MY24" s="133">
        <f t="shared" si="152"/>
        <v>24.92701901479537</v>
      </c>
      <c r="MZ24" s="133">
        <f t="shared" si="153"/>
        <v>29.497100603391637</v>
      </c>
      <c r="NA24" s="81"/>
      <c r="NB24" s="81">
        <v>22</v>
      </c>
      <c r="NC24" s="133">
        <f t="shared" si="154"/>
        <v>-23.688834440512167</v>
      </c>
      <c r="ND24" s="133">
        <f t="shared" si="155"/>
        <v>-19.547307364175062</v>
      </c>
      <c r="NE24" s="133">
        <f t="shared" si="156"/>
        <v>-15.907844257543102</v>
      </c>
      <c r="NF24" s="133">
        <f t="shared" si="403"/>
        <v>-11.651002511926162</v>
      </c>
      <c r="NG24" s="133">
        <f t="shared" si="404"/>
        <v>-4.4438074512476682</v>
      </c>
      <c r="NH24" s="134">
        <f t="shared" si="405"/>
        <v>3.7058569499440459</v>
      </c>
      <c r="NI24" s="133">
        <f t="shared" si="406"/>
        <v>11.949750878912834</v>
      </c>
      <c r="NJ24" s="133">
        <f t="shared" si="157"/>
        <v>19.411208407769561</v>
      </c>
      <c r="NK24" s="133">
        <f t="shared" si="158"/>
        <v>23.909533049507669</v>
      </c>
      <c r="NL24" s="133">
        <f t="shared" si="159"/>
        <v>27.825161545478782</v>
      </c>
      <c r="NM24" s="133">
        <f t="shared" si="160"/>
        <v>32.393133782415518</v>
      </c>
      <c r="NN24" s="81"/>
      <c r="NO24" s="81">
        <v>24</v>
      </c>
      <c r="NP24" s="133">
        <f t="shared" si="161"/>
        <v>-28.095251983841351</v>
      </c>
      <c r="NQ24" s="133">
        <f t="shared" si="162"/>
        <v>-24.080015102810684</v>
      </c>
      <c r="NR24" s="133">
        <f t="shared" si="163"/>
        <v>-20.621548136433304</v>
      </c>
      <c r="NS24" s="133">
        <f t="shared" si="407"/>
        <v>-16.62962673275733</v>
      </c>
      <c r="NT24" s="133">
        <f t="shared" si="408"/>
        <v>-9.9619553874387634</v>
      </c>
      <c r="NU24" s="134">
        <f t="shared" si="409"/>
        <v>-2.5205110482302686</v>
      </c>
      <c r="NV24" s="133">
        <f t="shared" si="410"/>
        <v>4.9290351306112328</v>
      </c>
      <c r="NW24" s="133">
        <f t="shared" si="164"/>
        <v>11.6183939696108</v>
      </c>
      <c r="NX24" s="133">
        <f t="shared" si="165"/>
        <v>15.630629124726184</v>
      </c>
      <c r="NY24" s="133">
        <f t="shared" si="166"/>
        <v>19.111885550365976</v>
      </c>
      <c r="NZ24" s="133">
        <f t="shared" si="167"/>
        <v>23.160958971853795</v>
      </c>
      <c r="OA24" s="81"/>
      <c r="OB24" s="81">
        <v>22</v>
      </c>
      <c r="OC24" s="133">
        <v>15.970584443556444</v>
      </c>
      <c r="OD24" s="133">
        <v>17.756461730495651</v>
      </c>
      <c r="OE24" s="133">
        <v>19.451340928826138</v>
      </c>
      <c r="OF24" s="133">
        <v>21.607171415264567</v>
      </c>
      <c r="OG24" s="133">
        <v>25.748235668872059</v>
      </c>
      <c r="OH24" s="134">
        <v>31.305675160829399</v>
      </c>
      <c r="OI24" s="133">
        <v>38.062619508340987</v>
      </c>
      <c r="OJ24" s="133">
        <v>45.357408354848801</v>
      </c>
      <c r="OK24" s="133">
        <v>50.384459398528222</v>
      </c>
      <c r="OL24" s="133">
        <v>55.193726776782484</v>
      </c>
      <c r="OM24" s="133">
        <v>61.365650126272257</v>
      </c>
      <c r="ON24" s="81"/>
      <c r="OO24" s="81">
        <v>22</v>
      </c>
      <c r="OP24" s="133">
        <v>15.206729874703536</v>
      </c>
      <c r="OQ24" s="133">
        <v>16.783867867385531</v>
      </c>
      <c r="OR24" s="133">
        <v>18.270511783982048</v>
      </c>
      <c r="OS24" s="133">
        <v>20.14867210236347</v>
      </c>
      <c r="OT24" s="133">
        <v>25.324862154871873</v>
      </c>
      <c r="OU24" s="134">
        <v>28.454473876775268</v>
      </c>
      <c r="OV24" s="133">
        <v>34.132202883349237</v>
      </c>
      <c r="OW24" s="133">
        <v>40.18414114293477</v>
      </c>
      <c r="OX24" s="133">
        <v>44.314964636837431</v>
      </c>
      <c r="OY24" s="133">
        <v>48.240196479228388</v>
      </c>
      <c r="OZ24" s="133">
        <v>53.243339644702587</v>
      </c>
      <c r="PA24" s="81"/>
      <c r="PB24" s="81">
        <v>24</v>
      </c>
      <c r="PC24" s="133">
        <v>20.312522296238864</v>
      </c>
      <c r="PD24" s="133">
        <v>22.211538938613423</v>
      </c>
      <c r="PE24" s="133">
        <v>23.986200902634625</v>
      </c>
      <c r="PF24" s="133">
        <v>26.20895795315149</v>
      </c>
      <c r="PG24" s="133">
        <v>30.384705073804515</v>
      </c>
      <c r="PH24" s="134">
        <v>35.827592964460017</v>
      </c>
      <c r="PI24" s="133">
        <v>42.245478918064805</v>
      </c>
      <c r="PJ24" s="133">
        <v>48.976247736422373</v>
      </c>
      <c r="PK24" s="133">
        <v>53.514786390621509</v>
      </c>
      <c r="PL24" s="133">
        <v>57.790521457094336</v>
      </c>
      <c r="PM24" s="133">
        <v>63.193354272142933</v>
      </c>
      <c r="PN24" s="81"/>
      <c r="PO24" s="81">
        <v>22</v>
      </c>
      <c r="PP24" s="133">
        <v>7.8211716684774952</v>
      </c>
      <c r="PQ24" s="133">
        <v>8.5396249617079576</v>
      </c>
      <c r="PR24" s="133">
        <v>9.2101024022748899</v>
      </c>
      <c r="PS24" s="133">
        <v>10.048711556827582</v>
      </c>
      <c r="PT24" s="133">
        <v>11.621015258510338</v>
      </c>
      <c r="PU24" s="134">
        <v>13.665083964468302</v>
      </c>
      <c r="PV24" s="133">
        <v>16.068692416458084</v>
      </c>
      <c r="PW24" s="133">
        <v>18.582931622621029</v>
      </c>
      <c r="PX24" s="133">
        <v>20.274966726737514</v>
      </c>
      <c r="PY24" s="133">
        <v>21.86682911641838</v>
      </c>
      <c r="PZ24" s="133">
        <v>23.875517335667855</v>
      </c>
      <c r="QA24" s="81"/>
      <c r="QB24" s="81">
        <v>22</v>
      </c>
      <c r="QC24" s="133">
        <v>7.5381622000418851</v>
      </c>
      <c r="QD24" s="133">
        <v>8.2237828451047061</v>
      </c>
      <c r="QE24" s="133">
        <v>8.8631268910636631</v>
      </c>
      <c r="QF24" s="133">
        <v>9.6621794666794738</v>
      </c>
      <c r="QG24" s="133">
        <v>11.158657216827571</v>
      </c>
      <c r="QH24" s="134">
        <v>13.101315985536729</v>
      </c>
      <c r="QI24" s="133">
        <v>15.382180599116841</v>
      </c>
      <c r="QJ24" s="133">
        <v>17.764571766111885</v>
      </c>
      <c r="QK24" s="133">
        <v>19.366131463822608</v>
      </c>
      <c r="QL24" s="133">
        <v>20.871718500574641</v>
      </c>
      <c r="QM24" s="133">
        <v>22.770069945155402</v>
      </c>
      <c r="QN24" s="81"/>
      <c r="QO24" s="81">
        <v>24</v>
      </c>
      <c r="QP24" s="133">
        <v>8.7230733919281942</v>
      </c>
      <c r="QQ24" s="133">
        <v>9.4708575688098247</v>
      </c>
      <c r="QR24" s="133">
        <v>10.16506691026027</v>
      </c>
      <c r="QS24" s="133">
        <v>11.028832678395638</v>
      </c>
      <c r="QT24" s="133">
        <v>12.63616290373354</v>
      </c>
      <c r="QU24" s="134">
        <v>14.705221139990536</v>
      </c>
      <c r="QV24" s="133">
        <v>17.113069087779191</v>
      </c>
      <c r="QW24" s="133">
        <v>19.607109390608823</v>
      </c>
      <c r="QX24" s="133">
        <v>21.273202693605075</v>
      </c>
      <c r="QY24" s="133">
        <v>22.832518302056915</v>
      </c>
      <c r="QZ24" s="133">
        <v>24.789832557883017</v>
      </c>
      <c r="RA24" s="81"/>
      <c r="RB24" s="81">
        <v>22</v>
      </c>
      <c r="RC24" s="133">
        <f t="shared" si="168"/>
        <v>0.25494250955355235</v>
      </c>
      <c r="RD24" s="133">
        <f t="shared" si="169"/>
        <v>0.27603499091013844</v>
      </c>
      <c r="RE24" s="133">
        <f t="shared" si="170"/>
        <v>0.29579895678562274</v>
      </c>
      <c r="RF24" s="133">
        <f t="shared" si="411"/>
        <v>0.32064456338219927</v>
      </c>
      <c r="RG24" s="133">
        <f t="shared" si="412"/>
        <v>0.3676558450875167</v>
      </c>
      <c r="RH24" s="134">
        <f t="shared" si="413"/>
        <v>0.42971189958163319</v>
      </c>
      <c r="RI24" s="133">
        <f t="shared" si="414"/>
        <v>0.50417390031116338</v>
      </c>
      <c r="RJ24" s="133">
        <f t="shared" si="171"/>
        <v>0.58389646504784276</v>
      </c>
      <c r="RK24" s="133">
        <f t="shared" si="172"/>
        <v>0.63864151950796733</v>
      </c>
      <c r="RL24" s="133">
        <f t="shared" si="173"/>
        <v>0.69096508600294659</v>
      </c>
      <c r="RM24" s="133">
        <f t="shared" si="174"/>
        <v>0.75813821964783157</v>
      </c>
      <c r="RN24" s="81"/>
      <c r="RO24" s="81">
        <v>22</v>
      </c>
      <c r="RP24" s="133">
        <f t="shared" si="175"/>
        <v>0.27826686826076347</v>
      </c>
      <c r="RQ24" s="133">
        <f t="shared" si="176"/>
        <v>0.2989466524432024</v>
      </c>
      <c r="RR24" s="133">
        <f t="shared" si="177"/>
        <v>0.31824258748335627</v>
      </c>
      <c r="RS24" s="133">
        <f t="shared" si="415"/>
        <v>0.34240302170825665</v>
      </c>
      <c r="RT24" s="133">
        <f t="shared" si="416"/>
        <v>0.38787313702720444</v>
      </c>
      <c r="RU24" s="134">
        <f t="shared" si="417"/>
        <v>0.44751635820967089</v>
      </c>
      <c r="RV24" s="133">
        <f t="shared" si="418"/>
        <v>0.51867966653311193</v>
      </c>
      <c r="RW24" s="133">
        <f t="shared" si="178"/>
        <v>0.59454383881192652</v>
      </c>
      <c r="RX24" s="133">
        <f t="shared" si="179"/>
        <v>0.64650959562436416</v>
      </c>
      <c r="RY24" s="133">
        <f t="shared" si="180"/>
        <v>0.69611115385907207</v>
      </c>
      <c r="RZ24" s="133">
        <f t="shared" si="181"/>
        <v>0.75972965176491769</v>
      </c>
      <c r="SA24" s="81"/>
      <c r="SB24" s="81">
        <v>24</v>
      </c>
      <c r="SC24" s="133">
        <f t="shared" si="182"/>
        <v>0.23728721660479041</v>
      </c>
      <c r="SD24" s="133">
        <f t="shared" si="183"/>
        <v>0.25891300773132064</v>
      </c>
      <c r="SE24" s="133">
        <f t="shared" si="184"/>
        <v>0.27910440893962268</v>
      </c>
      <c r="SF24" s="133">
        <f t="shared" si="419"/>
        <v>0.30437346625982448</v>
      </c>
      <c r="SG24" s="133">
        <f t="shared" si="420"/>
        <v>0.35179661732243089</v>
      </c>
      <c r="SH24" s="134">
        <f t="shared" si="421"/>
        <v>0.41354458372666475</v>
      </c>
      <c r="SI24" s="133">
        <f t="shared" si="422"/>
        <v>0.48629630439973454</v>
      </c>
      <c r="SJ24" s="133">
        <f t="shared" si="185"/>
        <v>0.56256203857654696</v>
      </c>
      <c r="SK24" s="133">
        <f t="shared" si="186"/>
        <v>0.61398145272726457</v>
      </c>
      <c r="SL24" s="133">
        <f t="shared" si="187"/>
        <v>0.66242453120109634</v>
      </c>
      <c r="SM24" s="133">
        <f t="shared" si="188"/>
        <v>0.72364433403126294</v>
      </c>
      <c r="SN24" s="81"/>
      <c r="SO24" s="81">
        <v>22</v>
      </c>
      <c r="SP24" s="133">
        <f t="shared" si="189"/>
        <v>0.20212065843011293</v>
      </c>
      <c r="SQ24" s="133">
        <f t="shared" si="190"/>
        <v>0.21575977386879217</v>
      </c>
      <c r="SR24" s="133">
        <f t="shared" si="191"/>
        <v>0.22803009599583104</v>
      </c>
      <c r="SS24" s="133">
        <f t="shared" si="423"/>
        <v>0.24281571486693282</v>
      </c>
      <c r="ST24" s="133">
        <f t="shared" si="424"/>
        <v>0.26905981021721587</v>
      </c>
      <c r="SU24" s="134">
        <f t="shared" si="425"/>
        <v>0.30074716665768381</v>
      </c>
      <c r="SV24" s="133">
        <f t="shared" si="426"/>
        <v>0.33514248545539604</v>
      </c>
      <c r="SW24" s="133">
        <f t="shared" si="192"/>
        <v>0.36842849973590763</v>
      </c>
      <c r="SX24" s="133">
        <f t="shared" si="193"/>
        <v>0.38953004265792696</v>
      </c>
      <c r="SY24" s="133">
        <f t="shared" si="194"/>
        <v>0.40855232660900181</v>
      </c>
      <c r="SZ24" s="133">
        <f t="shared" si="195"/>
        <v>0.43153284490794336</v>
      </c>
      <c r="TA24" s="81"/>
      <c r="TB24" s="81">
        <v>22</v>
      </c>
      <c r="TC24" s="133">
        <f t="shared" si="196"/>
        <v>0.21705710760966873</v>
      </c>
      <c r="TD24" s="133">
        <f t="shared" si="197"/>
        <v>0.22985070750036218</v>
      </c>
      <c r="TE24" s="133">
        <f t="shared" si="198"/>
        <v>0.24134621496309705</v>
      </c>
      <c r="TF24" s="133">
        <f t="shared" si="427"/>
        <v>0.25518508429174369</v>
      </c>
      <c r="TG24" s="133">
        <f t="shared" si="428"/>
        <v>0.27972690760790442</v>
      </c>
      <c r="TH24" s="134">
        <f t="shared" si="429"/>
        <v>0.30934619054994883</v>
      </c>
      <c r="TI24" s="133">
        <f t="shared" si="430"/>
        <v>0.34150964294399516</v>
      </c>
      <c r="TJ24" s="133">
        <f t="shared" si="199"/>
        <v>0.37267075661954346</v>
      </c>
      <c r="TK24" s="133">
        <f t="shared" si="200"/>
        <v>0.39245055076618451</v>
      </c>
      <c r="TL24" s="133">
        <f t="shared" si="201"/>
        <v>0.4103013688362474</v>
      </c>
      <c r="TM24" s="133">
        <f t="shared" si="202"/>
        <v>0.43189480740021935</v>
      </c>
      <c r="TN24" s="81"/>
      <c r="TO24" s="81">
        <v>24</v>
      </c>
      <c r="TP24" s="133">
        <f t="shared" si="203"/>
        <v>0.1903961913399202</v>
      </c>
      <c r="TQ24" s="133">
        <f t="shared" si="204"/>
        <v>0.20488447520338268</v>
      </c>
      <c r="TR24" s="133">
        <f t="shared" si="205"/>
        <v>0.21782561963330946</v>
      </c>
      <c r="TS24" s="133">
        <f t="shared" si="431"/>
        <v>0.23330207966471431</v>
      </c>
      <c r="TT24" s="133">
        <f t="shared" si="432"/>
        <v>0.26045865718150818</v>
      </c>
      <c r="TU24" s="134">
        <f t="shared" si="433"/>
        <v>0.29272517557101468</v>
      </c>
      <c r="TV24" s="133">
        <f t="shared" si="434"/>
        <v>0.3271281349408906</v>
      </c>
      <c r="TW24" s="133">
        <f t="shared" si="206"/>
        <v>0.35983718151445343</v>
      </c>
      <c r="TX24" s="133">
        <f t="shared" si="207"/>
        <v>0.38028969729808126</v>
      </c>
      <c r="TY24" s="133">
        <f t="shared" si="208"/>
        <v>0.39854628065023867</v>
      </c>
      <c r="TZ24" s="133">
        <f t="shared" si="209"/>
        <v>0.42038145635869856</v>
      </c>
      <c r="UA24" s="81"/>
      <c r="UB24" s="81">
        <v>22</v>
      </c>
      <c r="UC24" s="133">
        <f t="shared" si="210"/>
        <v>-28.934626357737322</v>
      </c>
      <c r="UD24" s="133">
        <f t="shared" si="211"/>
        <v>-25.264753592786853</v>
      </c>
      <c r="UE24" s="133">
        <f t="shared" si="212"/>
        <v>-22.221911631603078</v>
      </c>
      <c r="UF24" s="133">
        <f t="shared" si="435"/>
        <v>-18.825249430709825</v>
      </c>
      <c r="UG24" s="133">
        <f t="shared" si="436"/>
        <v>-13.384373201416821</v>
      </c>
      <c r="UH24" s="134">
        <f t="shared" si="437"/>
        <v>-7.5959553485591726</v>
      </c>
      <c r="UI24" s="133">
        <f t="shared" si="438"/>
        <v>-2.0473844665355685</v>
      </c>
      <c r="UJ24" s="133">
        <f t="shared" si="213"/>
        <v>2.7582887007501427</v>
      </c>
      <c r="UK24" s="133">
        <f t="shared" si="214"/>
        <v>5.5702362694799206</v>
      </c>
      <c r="UL24" s="133">
        <f t="shared" si="215"/>
        <v>7.9710298559675437</v>
      </c>
      <c r="UM24" s="133">
        <f t="shared" si="216"/>
        <v>10.720890218737139</v>
      </c>
      <c r="UN24" s="81"/>
      <c r="UO24" s="81">
        <v>22</v>
      </c>
      <c r="UP24" s="133">
        <f t="shared" si="217"/>
        <v>-24.496321931052961</v>
      </c>
      <c r="UQ24" s="133">
        <f t="shared" si="218"/>
        <v>-21.586290619612519</v>
      </c>
      <c r="UR24" s="133">
        <f t="shared" si="219"/>
        <v>-19.094585540899914</v>
      </c>
      <c r="US24" s="133">
        <f t="shared" si="439"/>
        <v>-16.232076327492507</v>
      </c>
      <c r="UT24" s="133">
        <f t="shared" si="440"/>
        <v>-11.476778733233694</v>
      </c>
      <c r="UU24" s="134">
        <f t="shared" si="441"/>
        <v>-6.2001334031750055</v>
      </c>
      <c r="UV24" s="133">
        <f t="shared" si="442"/>
        <v>-0.94356696039138654</v>
      </c>
      <c r="UW24" s="133">
        <f t="shared" si="220"/>
        <v>3.7582534010040547</v>
      </c>
      <c r="UX24" s="133">
        <f t="shared" si="221"/>
        <v>6.5710835060229442</v>
      </c>
      <c r="UY24" s="133">
        <f t="shared" si="222"/>
        <v>9.0076252944583004</v>
      </c>
      <c r="UZ24" s="133">
        <f t="shared" si="223"/>
        <v>11.837177405502558</v>
      </c>
      <c r="VA24" s="81"/>
      <c r="VB24" s="81">
        <v>25</v>
      </c>
      <c r="VC24" s="133">
        <f t="shared" si="224"/>
        <v>-31.038711445562363</v>
      </c>
      <c r="VD24" s="133">
        <f t="shared" si="225"/>
        <v>-26.807471124510045</v>
      </c>
      <c r="VE24" s="133">
        <f t="shared" si="226"/>
        <v>-23.401481547860001</v>
      </c>
      <c r="VF24" s="133">
        <f t="shared" si="443"/>
        <v>-19.688600792055958</v>
      </c>
      <c r="VG24" s="133">
        <f t="shared" si="444"/>
        <v>-13.900914028781457</v>
      </c>
      <c r="VH24" s="134">
        <f t="shared" si="445"/>
        <v>-7.9174493875929315</v>
      </c>
      <c r="VI24" s="133">
        <f t="shared" si="446"/>
        <v>-2.3178129399711622</v>
      </c>
      <c r="VJ24" s="133">
        <f t="shared" si="227"/>
        <v>2.4420644375258433</v>
      </c>
      <c r="VK24" s="133">
        <f t="shared" si="228"/>
        <v>5.1931458201965626</v>
      </c>
      <c r="VL24" s="133">
        <f t="shared" si="229"/>
        <v>7.523770937309223</v>
      </c>
      <c r="VM24" s="133">
        <f t="shared" si="230"/>
        <v>10.173976961586959</v>
      </c>
      <c r="VN24" s="81"/>
      <c r="VO24" s="81">
        <v>22</v>
      </c>
      <c r="VP24" s="133">
        <f t="shared" si="231"/>
        <v>-46.605518829852159</v>
      </c>
      <c r="VQ24" s="133">
        <f t="shared" si="232"/>
        <v>-43.168411207962258</v>
      </c>
      <c r="VR24" s="133">
        <f t="shared" si="233"/>
        <v>-39.831334484467874</v>
      </c>
      <c r="VS24" s="133">
        <f t="shared" si="447"/>
        <v>-35.566701491054673</v>
      </c>
      <c r="VT24" s="133">
        <f t="shared" si="448"/>
        <v>-27.505115363142068</v>
      </c>
      <c r="VU24" s="134">
        <f t="shared" si="449"/>
        <v>-17.194682410527271</v>
      </c>
      <c r="VV24" s="133">
        <f t="shared" si="450"/>
        <v>-5.5586442596946881</v>
      </c>
      <c r="VW24" s="133">
        <f t="shared" si="234"/>
        <v>5.9602066223495243</v>
      </c>
      <c r="VX24" s="133">
        <f t="shared" si="235"/>
        <v>13.338734622865367</v>
      </c>
      <c r="VY24" s="133">
        <f t="shared" si="236"/>
        <v>20.019301107706831</v>
      </c>
      <c r="VZ24" s="133">
        <f t="shared" si="237"/>
        <v>28.109187877917542</v>
      </c>
      <c r="WA24" s="81"/>
      <c r="WB24" s="81">
        <v>22</v>
      </c>
      <c r="WC24" s="133">
        <f t="shared" si="238"/>
        <v>-43.25171430480421</v>
      </c>
      <c r="WD24" s="133">
        <f t="shared" si="239"/>
        <v>-40.12713558004976</v>
      </c>
      <c r="WE24" s="133">
        <f t="shared" si="240"/>
        <v>-37.002678442935292</v>
      </c>
      <c r="WF24" s="133">
        <f t="shared" si="451"/>
        <v>-32.925902327866112</v>
      </c>
      <c r="WG24" s="133">
        <f t="shared" si="452"/>
        <v>-25.055378518976191</v>
      </c>
      <c r="WH24" s="134">
        <f t="shared" si="453"/>
        <v>-14.796108441938898</v>
      </c>
      <c r="WI24" s="133">
        <f t="shared" si="454"/>
        <v>-3.0567241170084571</v>
      </c>
      <c r="WJ24" s="133">
        <f t="shared" si="241"/>
        <v>8.6766000253486766</v>
      </c>
      <c r="WK24" s="133">
        <f t="shared" si="242"/>
        <v>16.236035550598423</v>
      </c>
      <c r="WL24" s="133">
        <f t="shared" si="243"/>
        <v>23.104161837939564</v>
      </c>
      <c r="WM24" s="133">
        <f t="shared" si="244"/>
        <v>31.447002897108753</v>
      </c>
      <c r="WN24" s="81"/>
      <c r="WO24" s="81">
        <v>25</v>
      </c>
      <c r="WP24" s="133">
        <f t="shared" si="245"/>
        <v>-47.521675326961031</v>
      </c>
      <c r="WQ24" s="133">
        <f t="shared" si="246"/>
        <v>-43.829836672564369</v>
      </c>
      <c r="WR24" s="133">
        <f t="shared" si="247"/>
        <v>-40.280307942719453</v>
      </c>
      <c r="WS24" s="133">
        <f t="shared" si="455"/>
        <v>-35.79986025598263</v>
      </c>
      <c r="WT24" s="133">
        <f t="shared" si="456"/>
        <v>-27.488979197440333</v>
      </c>
      <c r="WU24" s="134">
        <f t="shared" si="457"/>
        <v>-17.115413694028199</v>
      </c>
      <c r="WV24" s="133">
        <f t="shared" si="458"/>
        <v>-5.6852535946497085</v>
      </c>
      <c r="WW24" s="133">
        <f t="shared" si="248"/>
        <v>5.3956567589042521</v>
      </c>
      <c r="WX24" s="133">
        <f t="shared" si="249"/>
        <v>12.390145015351059</v>
      </c>
      <c r="WY24" s="133">
        <f t="shared" si="250"/>
        <v>18.66137989555228</v>
      </c>
      <c r="WZ24" s="133">
        <f t="shared" si="251"/>
        <v>26.184351918968254</v>
      </c>
      <c r="XA24" s="81"/>
      <c r="XB24" s="81">
        <v>22</v>
      </c>
      <c r="XC24" s="133">
        <f t="shared" si="252"/>
        <v>-51.331276188750692</v>
      </c>
      <c r="XD24" s="133">
        <f t="shared" si="253"/>
        <v>-47.339503131929916</v>
      </c>
      <c r="XE24" s="133">
        <f t="shared" si="254"/>
        <v>-43.497804219718162</v>
      </c>
      <c r="XF24" s="133">
        <f t="shared" si="459"/>
        <v>-38.69228795832808</v>
      </c>
      <c r="XG24" s="133">
        <f t="shared" si="460"/>
        <v>-29.937398473504967</v>
      </c>
      <c r="XH24" s="134">
        <f t="shared" si="461"/>
        <v>-19.278825536567581</v>
      </c>
      <c r="XI24" s="133">
        <f t="shared" si="462"/>
        <v>-7.8240959320046741</v>
      </c>
      <c r="XJ24" s="133">
        <f t="shared" si="255"/>
        <v>3.0417718788003967</v>
      </c>
      <c r="XK24" s="133">
        <f t="shared" si="256"/>
        <v>9.7970035251484191</v>
      </c>
      <c r="XL24" s="133">
        <f t="shared" si="257"/>
        <v>15.793073238156744</v>
      </c>
      <c r="XM24" s="133">
        <f t="shared" si="258"/>
        <v>22.916815283992882</v>
      </c>
      <c r="XN24" s="81"/>
      <c r="XO24" s="81">
        <v>22</v>
      </c>
      <c r="XP24" s="133">
        <f t="shared" si="259"/>
        <v>-48.087570944595072</v>
      </c>
      <c r="XQ24" s="133">
        <f t="shared" si="260"/>
        <v>-44.070463285773442</v>
      </c>
      <c r="XR24" s="133">
        <f t="shared" si="261"/>
        <v>-40.197019100839839</v>
      </c>
      <c r="XS24" s="133">
        <f t="shared" si="463"/>
        <v>-35.360368056163423</v>
      </c>
      <c r="XT24" s="133">
        <f t="shared" si="464"/>
        <v>-26.583120964691751</v>
      </c>
      <c r="XU24" s="134">
        <f t="shared" si="465"/>
        <v>-15.954007988010915</v>
      </c>
      <c r="XV24" s="133">
        <f t="shared" si="466"/>
        <v>-4.5896554440350741</v>
      </c>
      <c r="XW24" s="133">
        <f t="shared" si="262"/>
        <v>6.1434208497243645</v>
      </c>
      <c r="XX24" s="133">
        <f t="shared" si="263"/>
        <v>12.796051046990321</v>
      </c>
      <c r="XY24" s="133">
        <f t="shared" si="264"/>
        <v>18.689441152521731</v>
      </c>
      <c r="XZ24" s="133">
        <f t="shared" si="265"/>
        <v>25.67808527900123</v>
      </c>
      <c r="YA24" s="81"/>
      <c r="YB24" s="81">
        <v>25</v>
      </c>
      <c r="YC24" s="133">
        <f t="shared" si="266"/>
        <v>-52.626116921474306</v>
      </c>
      <c r="YD24" s="133">
        <f t="shared" si="267"/>
        <v>-48.514315431744052</v>
      </c>
      <c r="YE24" s="133">
        <f t="shared" si="268"/>
        <v>-44.566540040364032</v>
      </c>
      <c r="YF24" s="133">
        <f t="shared" si="467"/>
        <v>-39.666609298786469</v>
      </c>
      <c r="YG24" s="133">
        <f t="shared" si="468"/>
        <v>-30.845951289830623</v>
      </c>
      <c r="YH24" s="134">
        <f t="shared" si="469"/>
        <v>-20.260755125071405</v>
      </c>
      <c r="YI24" s="133">
        <f t="shared" si="470"/>
        <v>-9.0330113449510847</v>
      </c>
      <c r="YJ24" s="133">
        <f t="shared" si="269"/>
        <v>1.5033764763321926</v>
      </c>
      <c r="YK24" s="133">
        <f t="shared" si="270"/>
        <v>8.0062184814669948</v>
      </c>
      <c r="YL24" s="133">
        <f t="shared" si="271"/>
        <v>13.751089885416597</v>
      </c>
      <c r="YM24" s="133">
        <f t="shared" si="272"/>
        <v>20.545984538177883</v>
      </c>
      <c r="YN24" s="81"/>
      <c r="YO24" s="81">
        <v>22</v>
      </c>
      <c r="YP24" s="133">
        <v>20.270908920902869</v>
      </c>
      <c r="YQ24" s="133">
        <v>22.776842532460638</v>
      </c>
      <c r="YR24" s="133">
        <v>25.178491373138371</v>
      </c>
      <c r="YS24" s="133">
        <v>28.263385811608927</v>
      </c>
      <c r="YT24" s="133">
        <v>34.273421494010272</v>
      </c>
      <c r="YU24" s="134">
        <v>42.489909120154486</v>
      </c>
      <c r="YV24" s="133">
        <v>52.676164162790201</v>
      </c>
      <c r="YW24" s="133">
        <v>63.877427462970097</v>
      </c>
      <c r="YX24" s="133">
        <v>71.70375501389519</v>
      </c>
      <c r="YY24" s="133">
        <v>79.264383308003076</v>
      </c>
      <c r="YZ24" s="133">
        <v>89.063217840089536</v>
      </c>
      <c r="ZA24" s="81"/>
      <c r="ZB24" s="81">
        <v>22</v>
      </c>
      <c r="ZC24" s="133">
        <v>18.224852170363317</v>
      </c>
      <c r="ZD24" s="133">
        <v>20.60398570097281</v>
      </c>
      <c r="ZE24" s="133">
        <v>22.897134102878773</v>
      </c>
      <c r="ZF24" s="133">
        <v>25.859498863695379</v>
      </c>
      <c r="ZG24" s="133">
        <v>31.678518583011524</v>
      </c>
      <c r="ZH24" s="134">
        <v>39.720088236289456</v>
      </c>
      <c r="ZI24" s="133">
        <v>49.803004688000044</v>
      </c>
      <c r="ZJ24" s="133">
        <v>61.009898831162637</v>
      </c>
      <c r="ZK24" s="133">
        <v>68.903182486067706</v>
      </c>
      <c r="ZL24" s="133">
        <v>76.571855193246932</v>
      </c>
      <c r="ZM24" s="133">
        <v>86.567802841451993</v>
      </c>
      <c r="ZN24" s="81"/>
      <c r="ZO24" s="81">
        <v>25</v>
      </c>
      <c r="ZP24" s="133">
        <v>22.705782443133749</v>
      </c>
      <c r="ZQ24" s="133">
        <v>25.247038111571349</v>
      </c>
      <c r="ZR24" s="133">
        <v>27.659003480597729</v>
      </c>
      <c r="ZS24" s="133">
        <v>30.727195308576018</v>
      </c>
      <c r="ZT24" s="133">
        <v>36.62148104387159</v>
      </c>
      <c r="ZU24" s="134">
        <v>44.533024943457399</v>
      </c>
      <c r="ZV24" s="133">
        <v>54.15374403451321</v>
      </c>
      <c r="ZW24" s="133">
        <v>64.541859115305812</v>
      </c>
      <c r="ZX24" s="133">
        <v>71.701437544768012</v>
      </c>
      <c r="ZY24" s="133">
        <v>78.551404796495873</v>
      </c>
      <c r="ZZ24" s="133">
        <v>87.342962770891802</v>
      </c>
      <c r="AAA24" s="81"/>
      <c r="AAB24" s="81">
        <v>22</v>
      </c>
      <c r="AAC24" s="133">
        <v>8.3889113996715725</v>
      </c>
      <c r="AAD24" s="133">
        <v>9.3010398767500817</v>
      </c>
      <c r="AAE24" s="133">
        <v>10.164457325568151</v>
      </c>
      <c r="AAF24" s="133">
        <v>11.25986083394706</v>
      </c>
      <c r="AAG24" s="133">
        <v>13.35615736016338</v>
      </c>
      <c r="AAH24" s="134">
        <v>16.155736825145638</v>
      </c>
      <c r="AAI24" s="133">
        <v>19.542135160960246</v>
      </c>
      <c r="AAJ24" s="133">
        <v>23.180378178073127</v>
      </c>
      <c r="AAK24" s="133">
        <v>25.67848179231521</v>
      </c>
      <c r="AAL24" s="133">
        <v>28.062220549748524</v>
      </c>
      <c r="AAM24" s="133">
        <v>31.113432950738428</v>
      </c>
      <c r="AAN24" s="81"/>
      <c r="AAO24" s="81">
        <v>22</v>
      </c>
      <c r="AAP24" s="133">
        <v>7.7976405065239138</v>
      </c>
      <c r="AAQ24" s="133">
        <v>8.6941798736958944</v>
      </c>
      <c r="AAR24" s="133">
        <v>9.5472748308430671</v>
      </c>
      <c r="AAS24" s="133">
        <v>10.635238721930062</v>
      </c>
      <c r="AAT24" s="133">
        <v>12.733009226249635</v>
      </c>
      <c r="AAU24" s="134">
        <v>15.562308218342265</v>
      </c>
      <c r="AAV24" s="133">
        <v>19.020282855321248</v>
      </c>
      <c r="AAW24" s="133">
        <v>22.771979399323889</v>
      </c>
      <c r="AAX24" s="133">
        <v>25.366970300287988</v>
      </c>
      <c r="AAY24" s="133">
        <v>27.856041696976085</v>
      </c>
      <c r="AAZ24" s="133">
        <v>31.058810274730941</v>
      </c>
      <c r="ABA24" s="81"/>
      <c r="ABB24" s="81">
        <v>25</v>
      </c>
      <c r="ABC24" s="133">
        <v>9.3977599118820514</v>
      </c>
      <c r="ABD24" s="133">
        <v>10.334237980058703</v>
      </c>
      <c r="ABE24" s="133">
        <v>11.213965617774281</v>
      </c>
      <c r="ABF24" s="133">
        <v>12.321577294782459</v>
      </c>
      <c r="ABG24" s="133">
        <v>14.418051102206096</v>
      </c>
      <c r="ABH24" s="134">
        <v>17.177759672883763</v>
      </c>
      <c r="ABI24" s="133">
        <v>20.465694377668164</v>
      </c>
      <c r="ABJ24" s="133">
        <v>23.947861569987523</v>
      </c>
      <c r="ABK24" s="133">
        <v>26.313209567153759</v>
      </c>
      <c r="ABL24" s="133">
        <v>28.553186790234477</v>
      </c>
      <c r="ABM24" s="133">
        <v>31.398485399299599</v>
      </c>
      <c r="ABN24" s="81"/>
      <c r="ABO24" s="81">
        <v>22</v>
      </c>
      <c r="ABP24" s="133">
        <f t="shared" si="273"/>
        <v>0.18080561913578694</v>
      </c>
      <c r="ABQ24" s="133">
        <f t="shared" si="274"/>
        <v>0.20552162903741705</v>
      </c>
      <c r="ABR24" s="133">
        <f t="shared" si="275"/>
        <v>0.22867428599474873</v>
      </c>
      <c r="ABS24" s="133">
        <f t="shared" si="471"/>
        <v>0.25766419673067809</v>
      </c>
      <c r="ABT24" s="133">
        <f t="shared" si="472"/>
        <v>0.31186118584402805</v>
      </c>
      <c r="ABU24" s="134">
        <f t="shared" si="473"/>
        <v>0.38157496850214312</v>
      </c>
      <c r="ABV24" s="133">
        <f t="shared" si="474"/>
        <v>0.46201416208288948</v>
      </c>
      <c r="ABW24" s="133">
        <f t="shared" si="276"/>
        <v>0.54411764549505282</v>
      </c>
      <c r="ABX24" s="133">
        <f t="shared" si="277"/>
        <v>0.59815615564529356</v>
      </c>
      <c r="ABY24" s="133">
        <f t="shared" si="278"/>
        <v>0.64810672368023714</v>
      </c>
      <c r="ABZ24" s="133">
        <f t="shared" si="279"/>
        <v>0.70993194221386358</v>
      </c>
      <c r="ACA24" s="81"/>
      <c r="ACB24" s="81">
        <v>22</v>
      </c>
      <c r="ACC24" s="133">
        <f t="shared" si="280"/>
        <v>0.19345398750128581</v>
      </c>
      <c r="ACD24" s="133">
        <f t="shared" si="281"/>
        <v>0.21715328077797616</v>
      </c>
      <c r="ACE24" s="133">
        <f t="shared" si="282"/>
        <v>0.23948966105499386</v>
      </c>
      <c r="ACF24" s="133">
        <f t="shared" si="475"/>
        <v>0.26766554833667716</v>
      </c>
      <c r="ACG24" s="133">
        <f t="shared" si="476"/>
        <v>0.3210156638206535</v>
      </c>
      <c r="ACH24" s="134">
        <f t="shared" si="477"/>
        <v>0.39100749839310561</v>
      </c>
      <c r="ACI24" s="133">
        <f t="shared" si="478"/>
        <v>0.4737247305813117</v>
      </c>
      <c r="ACJ24" s="133">
        <f t="shared" si="283"/>
        <v>0.56030780139938341</v>
      </c>
      <c r="ACK24" s="133">
        <f t="shared" si="284"/>
        <v>0.61846390263283313</v>
      </c>
      <c r="ACL24" s="133">
        <f t="shared" si="285"/>
        <v>0.67303158316710554</v>
      </c>
      <c r="ACM24" s="133">
        <f t="shared" si="286"/>
        <v>0.74163196098542639</v>
      </c>
      <c r="ACN24" s="81"/>
      <c r="ACO24" s="81">
        <v>25</v>
      </c>
      <c r="ACP24" s="133">
        <f t="shared" si="287"/>
        <v>0.17532029792884446</v>
      </c>
      <c r="ACQ24" s="133">
        <f t="shared" si="288"/>
        <v>0.20330807570047588</v>
      </c>
      <c r="ACR24" s="133">
        <f t="shared" si="289"/>
        <v>0.2290927692170627</v>
      </c>
      <c r="ACS24" s="133">
        <f t="shared" si="479"/>
        <v>0.26079607594405807</v>
      </c>
      <c r="ACT24" s="133">
        <f t="shared" si="480"/>
        <v>0.31846360270842439</v>
      </c>
      <c r="ACU24" s="134">
        <f t="shared" si="481"/>
        <v>0.38964472334499584</v>
      </c>
      <c r="ACV24" s="133">
        <f t="shared" si="482"/>
        <v>0.46825210368660491</v>
      </c>
      <c r="ACW24" s="133">
        <f t="shared" si="290"/>
        <v>0.5452594216919755</v>
      </c>
      <c r="ACX24" s="133">
        <f t="shared" si="291"/>
        <v>0.59428470775792608</v>
      </c>
      <c r="ACY24" s="133">
        <f t="shared" si="292"/>
        <v>0.63857249932067972</v>
      </c>
      <c r="ACZ24" s="133">
        <f t="shared" si="293"/>
        <v>0.69213429943187921</v>
      </c>
      <c r="ADA24" s="81"/>
      <c r="ADB24" s="81">
        <v>22</v>
      </c>
      <c r="ADC24" s="133">
        <f t="shared" si="294"/>
        <v>0.15120381809595898</v>
      </c>
      <c r="ADD24" s="133">
        <f t="shared" si="295"/>
        <v>0.16977654889796739</v>
      </c>
      <c r="ADE24" s="133">
        <f t="shared" si="296"/>
        <v>0.18612656494360014</v>
      </c>
      <c r="ADF24" s="133">
        <f t="shared" si="483"/>
        <v>0.205385649888262</v>
      </c>
      <c r="ADG24" s="133">
        <f t="shared" si="484"/>
        <v>0.23842775222950013</v>
      </c>
      <c r="ADH24" s="134">
        <f t="shared" si="485"/>
        <v>0.27650881963708007</v>
      </c>
      <c r="ADI24" s="133">
        <f t="shared" si="486"/>
        <v>0.31581048405890116</v>
      </c>
      <c r="ADJ24" s="133">
        <f t="shared" si="297"/>
        <v>0.35203914706815725</v>
      </c>
      <c r="ADK24" s="133">
        <f t="shared" si="298"/>
        <v>0.37417197371810118</v>
      </c>
      <c r="ADL24" s="133">
        <f t="shared" si="299"/>
        <v>0.39361109110659015</v>
      </c>
      <c r="ADM24" s="133">
        <f t="shared" si="300"/>
        <v>0.41648761858846811</v>
      </c>
      <c r="ADN24" s="81"/>
      <c r="ADO24" s="81">
        <v>22</v>
      </c>
      <c r="ADP24" s="133">
        <f t="shared" si="301"/>
        <v>0.16081659735831702</v>
      </c>
      <c r="ADQ24" s="133">
        <f t="shared" si="302"/>
        <v>0.17805019460845728</v>
      </c>
      <c r="ADR24" s="133">
        <f t="shared" si="303"/>
        <v>0.19341664406610681</v>
      </c>
      <c r="ADS24" s="133">
        <f t="shared" si="487"/>
        <v>0.21174603132911429</v>
      </c>
      <c r="ADT24" s="133">
        <f t="shared" si="488"/>
        <v>0.24375052994659457</v>
      </c>
      <c r="ADU24" s="134">
        <f t="shared" si="489"/>
        <v>0.28146999498870107</v>
      </c>
      <c r="ADV24" s="133">
        <f t="shared" si="490"/>
        <v>0.32128419968015376</v>
      </c>
      <c r="ADW24" s="133">
        <f t="shared" si="304"/>
        <v>0.35873918236777869</v>
      </c>
      <c r="ADX24" s="133">
        <f t="shared" si="305"/>
        <v>0.38196115699762506</v>
      </c>
      <c r="ADY24" s="133">
        <f t="shared" si="306"/>
        <v>0.40256227453328502</v>
      </c>
      <c r="ADZ24" s="133">
        <f t="shared" si="307"/>
        <v>0.4270456092656863</v>
      </c>
      <c r="AEA24" s="81"/>
      <c r="AEB24" s="81">
        <v>25</v>
      </c>
      <c r="AEC24" s="133">
        <f t="shared" si="308"/>
        <v>0.14723622266082625</v>
      </c>
      <c r="AED24" s="133">
        <f t="shared" si="309"/>
        <v>0.16845454861718942</v>
      </c>
      <c r="AEE24" s="133">
        <f t="shared" si="310"/>
        <v>0.18661762119398553</v>
      </c>
      <c r="AEF24" s="133">
        <f t="shared" si="491"/>
        <v>0.20747137898089699</v>
      </c>
      <c r="AEG24" s="133">
        <f t="shared" si="492"/>
        <v>0.24207709553650092</v>
      </c>
      <c r="AEH24" s="134">
        <f t="shared" si="493"/>
        <v>0.28041687505237539</v>
      </c>
      <c r="AEI24" s="133">
        <f t="shared" si="494"/>
        <v>0.31854742886022636</v>
      </c>
      <c r="AEJ24" s="133">
        <f t="shared" si="311"/>
        <v>0.3526021084089575</v>
      </c>
      <c r="AEK24" s="133">
        <f t="shared" si="312"/>
        <v>0.37295263669997347</v>
      </c>
      <c r="AEL24" s="133">
        <f t="shared" si="313"/>
        <v>0.3905676656478152</v>
      </c>
      <c r="AEM24" s="133">
        <f t="shared" si="314"/>
        <v>0.41100917785859009</v>
      </c>
      <c r="AEN24" s="81"/>
    </row>
    <row r="25" spans="1:820">
      <c r="A25" s="81"/>
      <c r="B25" s="81">
        <v>24</v>
      </c>
      <c r="C25" s="133">
        <f t="shared" si="0"/>
        <v>1.6861238960696061</v>
      </c>
      <c r="D25" s="133">
        <f t="shared" si="1"/>
        <v>1.9946824592208574</v>
      </c>
      <c r="E25" s="133">
        <f t="shared" si="2"/>
        <v>2.3147363213062011</v>
      </c>
      <c r="F25" s="133">
        <f t="shared" si="315"/>
        <v>2.7623456791019647</v>
      </c>
      <c r="G25" s="133">
        <f t="shared" si="316"/>
        <v>3.7600055517350195</v>
      </c>
      <c r="H25" s="134">
        <f t="shared" si="317"/>
        <v>5.4197952204335902</v>
      </c>
      <c r="I25" s="133">
        <f t="shared" si="318"/>
        <v>8.0211397106949534</v>
      </c>
      <c r="J25" s="133">
        <f t="shared" si="3"/>
        <v>11.70023700624643</v>
      </c>
      <c r="K25" s="133">
        <f t="shared" si="4"/>
        <v>14.867385141688434</v>
      </c>
      <c r="L25" s="133">
        <f t="shared" si="5"/>
        <v>18.464751120428964</v>
      </c>
      <c r="M25" s="133">
        <f t="shared" si="6"/>
        <v>24.027158581560187</v>
      </c>
      <c r="N25" s="81"/>
      <c r="O25" s="75">
        <v>24</v>
      </c>
      <c r="P25" s="151">
        <f t="shared" si="7"/>
        <v>2.360968259456028</v>
      </c>
      <c r="Q25" s="151">
        <f t="shared" si="8"/>
        <v>2.6491391337169872</v>
      </c>
      <c r="R25" s="151">
        <f t="shared" si="9"/>
        <v>2.9380457539429474</v>
      </c>
      <c r="S25" s="151">
        <f t="shared" si="319"/>
        <v>3.3291045428935426</v>
      </c>
      <c r="T25" s="151">
        <f t="shared" si="320"/>
        <v>4.1631421670496129</v>
      </c>
      <c r="U25" s="134">
        <f t="shared" si="321"/>
        <v>5.4836397261097476</v>
      </c>
      <c r="V25" s="151">
        <f t="shared" si="322"/>
        <v>7.4761689585907272</v>
      </c>
      <c r="W25" s="151">
        <f t="shared" si="10"/>
        <v>10.248636196669583</v>
      </c>
      <c r="X25" s="151">
        <f t="shared" si="11"/>
        <v>12.647197876306834</v>
      </c>
      <c r="Y25" s="151">
        <f t="shared" si="12"/>
        <v>15.417149385903302</v>
      </c>
      <c r="Z25" s="151">
        <f t="shared" si="13"/>
        <v>19.837454274470378</v>
      </c>
      <c r="AA25" s="81"/>
      <c r="AB25" s="75">
        <v>26</v>
      </c>
      <c r="AC25" s="151">
        <f t="shared" si="14"/>
        <v>1.3786208261933408</v>
      </c>
      <c r="AD25" s="151">
        <f t="shared" si="15"/>
        <v>1.6626103106446557</v>
      </c>
      <c r="AE25" s="151">
        <f t="shared" si="16"/>
        <v>1.9660905315705284</v>
      </c>
      <c r="AF25" s="151">
        <f t="shared" si="323"/>
        <v>2.4049707578732202</v>
      </c>
      <c r="AG25" s="151">
        <f t="shared" si="324"/>
        <v>3.4398426227960988</v>
      </c>
      <c r="AH25" s="134">
        <f t="shared" si="325"/>
        <v>5.3203483210963913</v>
      </c>
      <c r="AI25" s="151">
        <f t="shared" si="326"/>
        <v>8.6291713549193112</v>
      </c>
      <c r="AJ25" s="151">
        <f t="shared" si="17"/>
        <v>13.998135854895999</v>
      </c>
      <c r="AK25" s="151">
        <f t="shared" si="18"/>
        <v>19.228055259030914</v>
      </c>
      <c r="AL25" s="151">
        <f t="shared" si="19"/>
        <v>25.825311763462789</v>
      </c>
      <c r="AM25" s="151">
        <f t="shared" si="20"/>
        <v>37.372142074026499</v>
      </c>
      <c r="AN25" s="81"/>
      <c r="AO25" s="81">
        <v>24</v>
      </c>
      <c r="AP25" s="133">
        <f t="shared" si="21"/>
        <v>1.1095618916623851</v>
      </c>
      <c r="AQ25" s="133">
        <f t="shared" si="22"/>
        <v>2.7928327178676886</v>
      </c>
      <c r="AR25" s="133">
        <f t="shared" si="23"/>
        <v>4.374298453058354</v>
      </c>
      <c r="AS25" s="133">
        <f t="shared" si="327"/>
        <v>6.3524273938203875</v>
      </c>
      <c r="AT25" s="133">
        <f t="shared" si="328"/>
        <v>10.024727926989399</v>
      </c>
      <c r="AU25" s="134">
        <f t="shared" si="329"/>
        <v>14.672629445309123</v>
      </c>
      <c r="AV25" s="133">
        <f t="shared" si="330"/>
        <v>19.912233244701898</v>
      </c>
      <c r="AW25" s="133">
        <f t="shared" si="24"/>
        <v>25.122048746152974</v>
      </c>
      <c r="AX25" s="133">
        <f t="shared" si="25"/>
        <v>28.477728374539321</v>
      </c>
      <c r="AY25" s="133">
        <f t="shared" si="26"/>
        <v>31.530320417211609</v>
      </c>
      <c r="AZ25" s="133">
        <f t="shared" si="27"/>
        <v>35.246288549561442</v>
      </c>
      <c r="BA25" s="81"/>
      <c r="BB25" s="81">
        <v>24</v>
      </c>
      <c r="BC25" s="133">
        <f t="shared" si="28"/>
        <v>4.0248298125102737</v>
      </c>
      <c r="BD25" s="133">
        <f t="shared" si="29"/>
        <v>5.8035820160514708</v>
      </c>
      <c r="BE25" s="133">
        <f t="shared" si="30"/>
        <v>7.420245716565316</v>
      </c>
      <c r="BF25" s="133">
        <f t="shared" si="331"/>
        <v>9.3815699552338394</v>
      </c>
      <c r="BG25" s="133">
        <f t="shared" si="332"/>
        <v>12.879690228565547</v>
      </c>
      <c r="BH25" s="134">
        <f t="shared" si="333"/>
        <v>17.102238368167068</v>
      </c>
      <c r="BI25" s="133">
        <f t="shared" si="334"/>
        <v>21.655040937692288</v>
      </c>
      <c r="BJ25" s="133">
        <f t="shared" si="31"/>
        <v>26.012747260863225</v>
      </c>
      <c r="BK25" s="133">
        <f t="shared" si="32"/>
        <v>28.746014819152759</v>
      </c>
      <c r="BL25" s="133">
        <f t="shared" si="33"/>
        <v>31.188969368601459</v>
      </c>
      <c r="BM25" s="133">
        <f t="shared" si="34"/>
        <v>34.112763316154336</v>
      </c>
      <c r="BN25" s="81"/>
      <c r="BO25" s="75">
        <v>26</v>
      </c>
      <c r="BP25" s="151">
        <f t="shared" si="35"/>
        <v>2.7865836058463436</v>
      </c>
      <c r="BQ25" s="151">
        <f t="shared" si="36"/>
        <v>3.5684537035594079</v>
      </c>
      <c r="BR25" s="151">
        <f t="shared" si="37"/>
        <v>4.3834177557257172</v>
      </c>
      <c r="BS25" s="151">
        <f t="shared" si="335"/>
        <v>5.5149546312910598</v>
      </c>
      <c r="BT25" s="151">
        <f t="shared" si="336"/>
        <v>7.9563918736790704</v>
      </c>
      <c r="BU25" s="134">
        <f t="shared" si="337"/>
        <v>11.708843342618978</v>
      </c>
      <c r="BV25" s="151">
        <f t="shared" si="338"/>
        <v>16.874600338238011</v>
      </c>
      <c r="BW25" s="151">
        <f t="shared" si="38"/>
        <v>23.050370175137044</v>
      </c>
      <c r="BX25" s="151">
        <f t="shared" si="39"/>
        <v>27.60398737795818</v>
      </c>
      <c r="BY25" s="151">
        <f t="shared" si="40"/>
        <v>32.153514356413311</v>
      </c>
      <c r="BZ25" s="151">
        <f t="shared" si="41"/>
        <v>38.232356978262231</v>
      </c>
      <c r="CA25" s="81"/>
      <c r="CB25" s="81">
        <v>24</v>
      </c>
      <c r="CC25" s="133">
        <f t="shared" si="42"/>
        <v>-6.2663394868400379</v>
      </c>
      <c r="CD25" s="133">
        <f t="shared" si="43"/>
        <v>-4.5702309577745854</v>
      </c>
      <c r="CE25" s="133">
        <f t="shared" si="44"/>
        <v>-2.7276154845860878</v>
      </c>
      <c r="CF25" s="133">
        <f t="shared" si="339"/>
        <v>-0.26948425560108635</v>
      </c>
      <c r="CG25" s="133">
        <f t="shared" si="340"/>
        <v>4.4724060643396308</v>
      </c>
      <c r="CH25" s="134">
        <f t="shared" si="341"/>
        <v>10.534646913024339</v>
      </c>
      <c r="CI25" s="133">
        <f t="shared" si="342"/>
        <v>17.28545783664304</v>
      </c>
      <c r="CJ25" s="133">
        <f t="shared" si="45"/>
        <v>23.854622029900124</v>
      </c>
      <c r="CK25" s="133">
        <f t="shared" si="46"/>
        <v>28.004129313074561</v>
      </c>
      <c r="CL25" s="133">
        <f t="shared" si="47"/>
        <v>31.723706514611717</v>
      </c>
      <c r="CM25" s="133">
        <f t="shared" si="48"/>
        <v>36.182846500176296</v>
      </c>
      <c r="CN25" s="81"/>
      <c r="CO25" s="81">
        <v>24</v>
      </c>
      <c r="CP25" s="133">
        <f t="shared" si="49"/>
        <v>-1.0697814834907726</v>
      </c>
      <c r="CQ25" s="133">
        <f t="shared" si="50"/>
        <v>1.0108254018806084</v>
      </c>
      <c r="CR25" s="133">
        <f t="shared" si="51"/>
        <v>2.9673300438944574</v>
      </c>
      <c r="CS25" s="133">
        <f t="shared" si="343"/>
        <v>5.3951269202174066</v>
      </c>
      <c r="CT25" s="133">
        <f t="shared" si="344"/>
        <v>9.8132555779414794</v>
      </c>
      <c r="CU25" s="134">
        <f t="shared" si="345"/>
        <v>15.221697283807494</v>
      </c>
      <c r="CV25" s="133">
        <f t="shared" si="346"/>
        <v>21.086173138534104</v>
      </c>
      <c r="CW25" s="133">
        <f t="shared" si="52"/>
        <v>26.70102156237483</v>
      </c>
      <c r="CX25" s="133">
        <f t="shared" si="53"/>
        <v>30.216425252348817</v>
      </c>
      <c r="CY25" s="133">
        <f t="shared" si="54"/>
        <v>33.352005035184455</v>
      </c>
      <c r="CZ25" s="133">
        <f t="shared" si="55"/>
        <v>37.095233918122503</v>
      </c>
      <c r="DA25" s="81"/>
      <c r="DB25" s="81">
        <v>26</v>
      </c>
      <c r="DC25" s="133">
        <f t="shared" si="56"/>
        <v>-6.5751887229983241</v>
      </c>
      <c r="DD25" s="133">
        <f t="shared" si="57"/>
        <v>-5.5720716337095153</v>
      </c>
      <c r="DE25" s="133">
        <f t="shared" si="58"/>
        <v>-4.3738538157398885</v>
      </c>
      <c r="DF25" s="133">
        <f t="shared" si="347"/>
        <v>-2.6616884287581337</v>
      </c>
      <c r="DG25" s="133">
        <f t="shared" si="348"/>
        <v>0.89155159869386313</v>
      </c>
      <c r="DH25" s="134">
        <f t="shared" si="349"/>
        <v>5.7689398378556289</v>
      </c>
      <c r="DI25" s="133">
        <f t="shared" si="350"/>
        <v>11.519821985780585</v>
      </c>
      <c r="DJ25" s="133">
        <f t="shared" si="59"/>
        <v>17.366433331473058</v>
      </c>
      <c r="DK25" s="133">
        <f t="shared" si="60"/>
        <v>21.165976954699254</v>
      </c>
      <c r="DL25" s="133">
        <f t="shared" si="61"/>
        <v>24.633806937117431</v>
      </c>
      <c r="DM25" s="133">
        <f t="shared" si="62"/>
        <v>28.861647718395634</v>
      </c>
      <c r="DN25" s="81"/>
      <c r="DO25" s="81">
        <v>24</v>
      </c>
      <c r="DP25" s="133">
        <v>13.12819250408408</v>
      </c>
      <c r="DQ25" s="133">
        <v>14.500885513101572</v>
      </c>
      <c r="DR25" s="133">
        <v>15.795737150038045</v>
      </c>
      <c r="DS25" s="133">
        <v>17.432761053391328</v>
      </c>
      <c r="DT25" s="133">
        <v>20.549818319300094</v>
      </c>
      <c r="DU25" s="134">
        <v>24.685184177120878</v>
      </c>
      <c r="DV25" s="133">
        <v>29.65273504564653</v>
      </c>
      <c r="DW25" s="133">
        <v>34.954779451866337</v>
      </c>
      <c r="DX25" s="133">
        <v>38.577390347174216</v>
      </c>
      <c r="DY25" s="133">
        <v>42.022145289528886</v>
      </c>
      <c r="DZ25" s="133">
        <v>46.41601025189204</v>
      </c>
      <c r="EA25" s="81"/>
      <c r="EB25" s="81">
        <v>24</v>
      </c>
      <c r="EC25" s="133">
        <v>13.524414642727468</v>
      </c>
      <c r="ED25" s="133">
        <v>14.536330589439531</v>
      </c>
      <c r="EE25" s="133">
        <v>15.466986674044515</v>
      </c>
      <c r="EF25" s="133">
        <v>16.614161439576922</v>
      </c>
      <c r="EG25" s="133">
        <v>18.72031753246462</v>
      </c>
      <c r="EH25" s="134">
        <v>21.383942922461294</v>
      </c>
      <c r="EI25" s="133">
        <v>24.426562963907177</v>
      </c>
      <c r="EJ25" s="133">
        <v>27.523087251445833</v>
      </c>
      <c r="EK25" s="133">
        <v>29.564453926791195</v>
      </c>
      <c r="EL25" s="133">
        <v>31.457252027776928</v>
      </c>
      <c r="EM25" s="133">
        <v>33.810928383283006</v>
      </c>
      <c r="EN25" s="81"/>
      <c r="EO25" s="81">
        <v>26</v>
      </c>
      <c r="EP25" s="133">
        <v>16.485343299437819</v>
      </c>
      <c r="EQ25" s="133">
        <v>17.928027071220505</v>
      </c>
      <c r="ER25" s="133">
        <v>19.269397582049255</v>
      </c>
      <c r="ES25" s="133">
        <v>20.940939229226689</v>
      </c>
      <c r="ET25" s="133">
        <v>24.058252722736636</v>
      </c>
      <c r="EU25" s="134">
        <v>28.082654726468704</v>
      </c>
      <c r="EV25" s="133">
        <v>32.78024824058577</v>
      </c>
      <c r="EW25" s="133">
        <v>37.65998687324295</v>
      </c>
      <c r="EX25" s="133">
        <v>40.926837132714653</v>
      </c>
      <c r="EY25" s="133">
        <v>43.98897287209229</v>
      </c>
      <c r="EZ25" s="133">
        <v>47.838584987972276</v>
      </c>
      <c r="FA25" s="81"/>
      <c r="FB25" s="81">
        <v>24</v>
      </c>
      <c r="FC25" s="133">
        <v>7.1285315672156919</v>
      </c>
      <c r="FD25" s="133">
        <v>7.9900266260748092</v>
      </c>
      <c r="FE25" s="133">
        <v>8.8137820581806192</v>
      </c>
      <c r="FF25" s="133">
        <v>9.8694661249215798</v>
      </c>
      <c r="FG25" s="133">
        <v>11.919374053658887</v>
      </c>
      <c r="FH25" s="134">
        <v>14.709742734366431</v>
      </c>
      <c r="FI25" s="133">
        <v>18.153346839956328</v>
      </c>
      <c r="FJ25" s="133">
        <v>21.923833424471617</v>
      </c>
      <c r="FK25" s="133">
        <v>24.549793707505337</v>
      </c>
      <c r="FL25" s="133">
        <v>27.080827316034043</v>
      </c>
      <c r="FM25" s="133">
        <v>30.353590956427482</v>
      </c>
      <c r="FN25" s="81"/>
      <c r="FO25" s="81">
        <v>24</v>
      </c>
      <c r="FP25" s="133">
        <v>6.9271494849581954</v>
      </c>
      <c r="FQ25" s="133">
        <v>7.623617269082188</v>
      </c>
      <c r="FR25" s="133">
        <v>8.2783720557084983</v>
      </c>
      <c r="FS25" s="133">
        <v>9.1033549144933215</v>
      </c>
      <c r="FT25" s="133">
        <v>10.66656714237241</v>
      </c>
      <c r="FU25" s="134">
        <v>12.727244135937852</v>
      </c>
      <c r="FV25" s="133">
        <v>15.186023875694362</v>
      </c>
      <c r="FW25" s="133">
        <v>17.793741408222363</v>
      </c>
      <c r="FX25" s="133">
        <v>19.566980344168794</v>
      </c>
      <c r="FY25" s="133">
        <v>21.247491522520473</v>
      </c>
      <c r="FZ25" s="133">
        <v>23.383751664013914</v>
      </c>
      <c r="GA25" s="81"/>
      <c r="GB25" s="81">
        <v>26</v>
      </c>
      <c r="GC25" s="133">
        <v>9.1144871859729228</v>
      </c>
      <c r="GD25" s="133">
        <v>10.074301058491386</v>
      </c>
      <c r="GE25" s="133">
        <v>10.980253848172493</v>
      </c>
      <c r="GF25" s="133">
        <v>12.126327499426793</v>
      </c>
      <c r="GG25" s="133">
        <v>14.310536984334872</v>
      </c>
      <c r="GH25" s="134">
        <v>17.2117369665662</v>
      </c>
      <c r="GI25" s="133">
        <v>20.701102252874716</v>
      </c>
      <c r="GJ25" s="133">
        <v>24.429811038854503</v>
      </c>
      <c r="GK25" s="133">
        <v>26.979694049201527</v>
      </c>
      <c r="GL25" s="133">
        <v>29.40589999110308</v>
      </c>
      <c r="GM25" s="133">
        <v>32.502529584130301</v>
      </c>
      <c r="GN25" s="81"/>
      <c r="GO25" s="81">
        <v>24</v>
      </c>
      <c r="GP25" s="133">
        <f t="shared" si="63"/>
        <v>0.39825399123962218</v>
      </c>
      <c r="GQ25" s="133">
        <f t="shared" si="64"/>
        <v>0.43757525180213885</v>
      </c>
      <c r="GR25" s="133">
        <f t="shared" si="65"/>
        <v>0.46861719204667429</v>
      </c>
      <c r="GS25" s="133">
        <f t="shared" si="351"/>
        <v>0.50189739171000591</v>
      </c>
      <c r="GT25" s="133">
        <f t="shared" si="352"/>
        <v>0.55415041728418757</v>
      </c>
      <c r="GU25" s="134">
        <f t="shared" si="353"/>
        <v>0.60410027928499377</v>
      </c>
      <c r="GV25" s="133">
        <f t="shared" si="354"/>
        <v>0.65001273619182443</v>
      </c>
      <c r="GW25" s="133">
        <f t="shared" si="66"/>
        <v>0.69059020150396144</v>
      </c>
      <c r="GX25" s="133">
        <f t="shared" si="67"/>
        <v>0.71309659539886627</v>
      </c>
      <c r="GY25" s="133">
        <f t="shared" si="68"/>
        <v>0.7320247622346221</v>
      </c>
      <c r="GZ25" s="133">
        <f t="shared" si="69"/>
        <v>0.75340041843911865</v>
      </c>
      <c r="HA25" s="81"/>
      <c r="HB25" s="81">
        <v>24</v>
      </c>
      <c r="HC25" s="133">
        <f t="shared" si="70"/>
        <v>0.37275884451645336</v>
      </c>
      <c r="HD25" s="133">
        <f t="shared" si="71"/>
        <v>0.41666817256044197</v>
      </c>
      <c r="HE25" s="133">
        <f t="shared" si="72"/>
        <v>0.45090194828569008</v>
      </c>
      <c r="HF25" s="133">
        <f t="shared" si="355"/>
        <v>0.48728638893531012</v>
      </c>
      <c r="HG25" s="133">
        <f t="shared" si="356"/>
        <v>0.54238356950282585</v>
      </c>
      <c r="HH25" s="134">
        <f t="shared" si="357"/>
        <v>0.5976253631708196</v>
      </c>
      <c r="HI25" s="133">
        <f t="shared" si="358"/>
        <v>0.64800441175735346</v>
      </c>
      <c r="HJ25" s="133">
        <f t="shared" si="73"/>
        <v>0.68996456972469966</v>
      </c>
      <c r="HK25" s="133">
        <f t="shared" si="74"/>
        <v>0.71389141971947367</v>
      </c>
      <c r="HL25" s="133">
        <f t="shared" si="75"/>
        <v>0.73398853949680032</v>
      </c>
      <c r="HM25" s="133">
        <f t="shared" si="76"/>
        <v>0.75665897787677205</v>
      </c>
      <c r="HN25" s="81"/>
      <c r="HO25" s="81">
        <v>26</v>
      </c>
      <c r="HP25" s="83">
        <f t="shared" si="77"/>
        <v>0.42969076606511614</v>
      </c>
      <c r="HQ25" s="83">
        <f t="shared" si="78"/>
        <v>0.46437664607973189</v>
      </c>
      <c r="HR25" s="83">
        <f t="shared" si="79"/>
        <v>0.49211166119133914</v>
      </c>
      <c r="HS25" s="83">
        <f t="shared" si="359"/>
        <v>0.52212654496786359</v>
      </c>
      <c r="HT25" s="83">
        <f t="shared" si="360"/>
        <v>0.56842293516088616</v>
      </c>
      <c r="HU25" s="84">
        <f t="shared" si="361"/>
        <v>0.6156376204965982</v>
      </c>
      <c r="HV25" s="83">
        <f t="shared" si="362"/>
        <v>0.65923103429181229</v>
      </c>
      <c r="HW25" s="83">
        <f t="shared" si="80"/>
        <v>0.69584854813535568</v>
      </c>
      <c r="HX25" s="83">
        <f t="shared" si="81"/>
        <v>0.71683425945008172</v>
      </c>
      <c r="HY25" s="83">
        <f t="shared" si="82"/>
        <v>0.73451309681696819</v>
      </c>
      <c r="HZ25" s="83">
        <f t="shared" si="83"/>
        <v>0.75450748563902015</v>
      </c>
      <c r="IA25" s="81"/>
      <c r="IB25" s="81">
        <v>24</v>
      </c>
      <c r="IC25" s="83">
        <f t="shared" si="84"/>
        <v>0.28602006496368038</v>
      </c>
      <c r="ID25" s="83">
        <f t="shared" si="85"/>
        <v>0.3053683738737164</v>
      </c>
      <c r="IE25" s="83">
        <f t="shared" si="86"/>
        <v>0.31977036027768424</v>
      </c>
      <c r="IF25" s="83">
        <f t="shared" si="363"/>
        <v>0.33451329619261455</v>
      </c>
      <c r="IG25" s="83">
        <f t="shared" si="364"/>
        <v>0.35588268890174674</v>
      </c>
      <c r="IH25" s="84">
        <f t="shared" si="365"/>
        <v>0.37631548682414911</v>
      </c>
      <c r="II25" s="83">
        <f t="shared" si="366"/>
        <v>0.39420407669085089</v>
      </c>
      <c r="IJ25" s="83">
        <f t="shared" si="87"/>
        <v>0.40862412690457389</v>
      </c>
      <c r="IK25" s="83">
        <f t="shared" si="88"/>
        <v>0.41666886010406828</v>
      </c>
      <c r="IL25" s="83">
        <f t="shared" si="89"/>
        <v>0.42333221131382981</v>
      </c>
      <c r="IM25" s="83">
        <f t="shared" si="90"/>
        <v>0.4307507512685641</v>
      </c>
      <c r="IN25" s="81"/>
      <c r="IO25" s="81">
        <v>24</v>
      </c>
      <c r="IP25" s="133">
        <f t="shared" si="91"/>
        <v>0.27246246167446148</v>
      </c>
      <c r="IQ25" s="133">
        <f t="shared" si="92"/>
        <v>0.29508711207365096</v>
      </c>
      <c r="IR25" s="133">
        <f t="shared" si="93"/>
        <v>0.31149742123218144</v>
      </c>
      <c r="IS25" s="133">
        <f t="shared" si="367"/>
        <v>0.3280147765006694</v>
      </c>
      <c r="IT25" s="133">
        <f t="shared" si="368"/>
        <v>0.35157521100072142</v>
      </c>
      <c r="IU25" s="134">
        <f t="shared" si="369"/>
        <v>0.37378893653166634</v>
      </c>
      <c r="IV25" s="133">
        <f t="shared" si="370"/>
        <v>0.39304875941908668</v>
      </c>
      <c r="IW25" s="133">
        <f t="shared" si="94"/>
        <v>0.40847417029358402</v>
      </c>
      <c r="IX25" s="133">
        <f t="shared" si="95"/>
        <v>0.41704737653366625</v>
      </c>
      <c r="IY25" s="133">
        <f t="shared" si="96"/>
        <v>0.42413295728573847</v>
      </c>
      <c r="IZ25" s="133">
        <f t="shared" si="97"/>
        <v>0.43200652152198921</v>
      </c>
      <c r="JA25" s="81"/>
      <c r="JB25" s="81">
        <v>26</v>
      </c>
      <c r="JC25" s="133">
        <f t="shared" si="98"/>
        <v>0.30182256343949859</v>
      </c>
      <c r="JD25" s="133">
        <f t="shared" si="99"/>
        <v>0.31801956322891772</v>
      </c>
      <c r="JE25" s="133">
        <f t="shared" si="100"/>
        <v>0.33038512422321625</v>
      </c>
      <c r="JF25" s="133">
        <f t="shared" si="371"/>
        <v>0.34326918474244728</v>
      </c>
      <c r="JG25" s="133">
        <f t="shared" si="372"/>
        <v>0.36227759664846271</v>
      </c>
      <c r="JH25" s="134">
        <f t="shared" si="373"/>
        <v>0.38075009150479266</v>
      </c>
      <c r="JI25" s="133">
        <f t="shared" si="374"/>
        <v>0.39711265951795066</v>
      </c>
      <c r="JJ25" s="133">
        <f t="shared" si="101"/>
        <v>0.41040877718693447</v>
      </c>
      <c r="JK25" s="133">
        <f t="shared" si="102"/>
        <v>0.41786200626916103</v>
      </c>
      <c r="JL25" s="133">
        <f t="shared" si="103"/>
        <v>0.42405276034781292</v>
      </c>
      <c r="JM25" s="133">
        <f t="shared" si="104"/>
        <v>0.43096222613024837</v>
      </c>
      <c r="JN25" s="81"/>
      <c r="JO25" s="81">
        <v>23</v>
      </c>
      <c r="JP25" s="133">
        <f t="shared" si="105"/>
        <v>-8.1167885994284692</v>
      </c>
      <c r="JQ25" s="133">
        <f t="shared" si="106"/>
        <v>-6.7538165081209041</v>
      </c>
      <c r="JR25" s="133">
        <f t="shared" si="107"/>
        <v>-5.5628414403834388</v>
      </c>
      <c r="JS25" s="133">
        <f t="shared" si="375"/>
        <v>-4.1694117339383006</v>
      </c>
      <c r="JT25" s="133">
        <f t="shared" si="376"/>
        <v>-1.7995580069710435</v>
      </c>
      <c r="JU25" s="134">
        <f t="shared" si="377"/>
        <v>0.90381183497583351</v>
      </c>
      <c r="JV25" s="133">
        <f t="shared" si="378"/>
        <v>3.6673253978281224</v>
      </c>
      <c r="JW25" s="133">
        <f t="shared" si="108"/>
        <v>6.1942207428701117</v>
      </c>
      <c r="JX25" s="133">
        <f t="shared" si="109"/>
        <v>7.7293080649096417</v>
      </c>
      <c r="JY25" s="133">
        <f t="shared" si="110"/>
        <v>9.0725896212627042</v>
      </c>
      <c r="JZ25" s="133">
        <f t="shared" si="111"/>
        <v>10.647812042183865</v>
      </c>
      <c r="KA25" s="81"/>
      <c r="KB25" s="81">
        <v>23</v>
      </c>
      <c r="KC25" s="133">
        <f t="shared" si="112"/>
        <v>-6.1950678253691223</v>
      </c>
      <c r="KD25" s="133">
        <f t="shared" si="113"/>
        <v>-5.1254348843669284</v>
      </c>
      <c r="KE25" s="133">
        <f t="shared" si="114"/>
        <v>-4.1607319404934549</v>
      </c>
      <c r="KF25" s="133">
        <f t="shared" si="379"/>
        <v>-2.9997676020231872</v>
      </c>
      <c r="KG25" s="133">
        <f t="shared" si="380"/>
        <v>-0.95349844605852674</v>
      </c>
      <c r="KH25" s="134">
        <f t="shared" si="381"/>
        <v>1.4783619856377879</v>
      </c>
      <c r="KI25" s="133">
        <f t="shared" si="382"/>
        <v>4.0587561461246597</v>
      </c>
      <c r="KJ25" s="133">
        <f t="shared" si="115"/>
        <v>6.4926727546744818</v>
      </c>
      <c r="KK25" s="133">
        <f t="shared" si="116"/>
        <v>8.0030865537491085</v>
      </c>
      <c r="KL25" s="133">
        <f t="shared" si="117"/>
        <v>9.3432892778142413</v>
      </c>
      <c r="KM25" s="133">
        <f t="shared" si="118"/>
        <v>10.935869361377064</v>
      </c>
      <c r="KN25" s="81"/>
      <c r="KO25" s="81">
        <v>25</v>
      </c>
      <c r="KP25" s="133">
        <f t="shared" si="119"/>
        <v>-9.7533226989110293</v>
      </c>
      <c r="KQ25" s="133">
        <f t="shared" si="120"/>
        <v>-8.1266590002798047</v>
      </c>
      <c r="KR25" s="133">
        <f t="shared" si="121"/>
        <v>-6.7375193857513604</v>
      </c>
      <c r="KS25" s="133">
        <f t="shared" si="383"/>
        <v>-5.1459094518149389</v>
      </c>
      <c r="KT25" s="133">
        <f t="shared" si="384"/>
        <v>-2.5115804502626631</v>
      </c>
      <c r="KU25" s="134">
        <f t="shared" si="385"/>
        <v>0.39835647184404621</v>
      </c>
      <c r="KV25" s="133">
        <f t="shared" si="386"/>
        <v>3.2846649289224494</v>
      </c>
      <c r="KW25" s="133">
        <f t="shared" si="122"/>
        <v>5.8567205604460675</v>
      </c>
      <c r="KX25" s="133">
        <f t="shared" si="123"/>
        <v>7.3914027352587404</v>
      </c>
      <c r="KY25" s="133">
        <f t="shared" si="124"/>
        <v>8.7184791273665709</v>
      </c>
      <c r="KZ25" s="133">
        <f t="shared" si="125"/>
        <v>10.257046138275545</v>
      </c>
      <c r="LA25" s="81"/>
      <c r="LB25" s="81">
        <v>23</v>
      </c>
      <c r="LC25" s="133">
        <f t="shared" si="126"/>
        <v>-21.416108909963206</v>
      </c>
      <c r="LD25" s="133">
        <f t="shared" si="127"/>
        <v>-17.92179838754199</v>
      </c>
      <c r="LE25" s="133">
        <f t="shared" si="128"/>
        <v>-14.800031408630883</v>
      </c>
      <c r="LF25" s="133">
        <f t="shared" si="387"/>
        <v>-11.080420902045351</v>
      </c>
      <c r="LG25" s="133">
        <f t="shared" si="388"/>
        <v>-4.6182456310120621</v>
      </c>
      <c r="LH25" s="134">
        <f t="shared" si="389"/>
        <v>2.9204474942190188</v>
      </c>
      <c r="LI25" s="133">
        <f t="shared" si="390"/>
        <v>10.772377922154917</v>
      </c>
      <c r="LJ25" s="133">
        <f t="shared" si="129"/>
        <v>18.056871093881519</v>
      </c>
      <c r="LK25" s="133">
        <f t="shared" si="130"/>
        <v>22.524092232064199</v>
      </c>
      <c r="LL25" s="133">
        <f t="shared" si="131"/>
        <v>26.456398514415888</v>
      </c>
      <c r="LM25" s="133">
        <f t="shared" si="132"/>
        <v>31.093111623150428</v>
      </c>
      <c r="LN25" s="81"/>
      <c r="LO25" s="81">
        <v>23</v>
      </c>
      <c r="LP25" s="133">
        <f t="shared" si="133"/>
        <v>-18.26481022000609</v>
      </c>
      <c r="LQ25" s="133">
        <f t="shared" si="134"/>
        <v>-14.980975759318063</v>
      </c>
      <c r="LR25" s="133">
        <f t="shared" si="135"/>
        <v>-12.02598522636853</v>
      </c>
      <c r="LS25" s="133">
        <f t="shared" si="391"/>
        <v>-8.4835998972234776</v>
      </c>
      <c r="LT25" s="133">
        <f t="shared" si="392"/>
        <v>-2.2840277226484424</v>
      </c>
      <c r="LU25" s="134">
        <f t="shared" si="393"/>
        <v>5.0065607212266592</v>
      </c>
      <c r="LV25" s="133">
        <f t="shared" si="394"/>
        <v>12.65346476518577</v>
      </c>
      <c r="LW25" s="133">
        <f t="shared" si="136"/>
        <v>19.788068774580669</v>
      </c>
      <c r="LX25" s="133">
        <f t="shared" si="137"/>
        <v>24.18006356778071</v>
      </c>
      <c r="LY25" s="133">
        <f t="shared" si="138"/>
        <v>28.055665323953189</v>
      </c>
      <c r="LZ25" s="133">
        <f t="shared" si="139"/>
        <v>32.636140173860525</v>
      </c>
      <c r="MA25" s="81"/>
      <c r="MB25" s="81">
        <v>25</v>
      </c>
      <c r="MC25" s="133">
        <f t="shared" si="140"/>
        <v>-22.852008039535299</v>
      </c>
      <c r="MD25" s="133">
        <f t="shared" si="141"/>
        <v>-19.277332173978461</v>
      </c>
      <c r="ME25" s="133">
        <f t="shared" si="142"/>
        <v>-16.124641639390656</v>
      </c>
      <c r="MF25" s="133">
        <f t="shared" si="395"/>
        <v>-12.412098714199274</v>
      </c>
      <c r="MG25" s="133">
        <f t="shared" si="396"/>
        <v>-6.0592004555442571</v>
      </c>
      <c r="MH25" s="134">
        <f t="shared" si="397"/>
        <v>1.2224782799355154</v>
      </c>
      <c r="MI25" s="133">
        <f t="shared" si="398"/>
        <v>8.6846863424772351</v>
      </c>
      <c r="MJ25" s="133">
        <f t="shared" si="143"/>
        <v>15.513977536011488</v>
      </c>
      <c r="MK25" s="133">
        <f t="shared" si="144"/>
        <v>19.662959706205939</v>
      </c>
      <c r="ML25" s="133">
        <f t="shared" si="145"/>
        <v>23.292768238303111</v>
      </c>
      <c r="MM25" s="133">
        <f t="shared" si="146"/>
        <v>27.547769636188505</v>
      </c>
      <c r="MN25" s="81"/>
      <c r="MO25" s="81">
        <v>23</v>
      </c>
      <c r="MP25" s="133">
        <f t="shared" si="147"/>
        <v>-27.19265358412747</v>
      </c>
      <c r="MQ25" s="133">
        <f t="shared" si="148"/>
        <v>-22.86076833663455</v>
      </c>
      <c r="MR25" s="133">
        <f t="shared" si="149"/>
        <v>-19.0998459598718</v>
      </c>
      <c r="MS25" s="133">
        <f t="shared" si="399"/>
        <v>-14.732206681883284</v>
      </c>
      <c r="MT25" s="133">
        <f t="shared" si="400"/>
        <v>-7.3866448893457246</v>
      </c>
      <c r="MU25" s="134">
        <f t="shared" si="401"/>
        <v>0.87005728531019599</v>
      </c>
      <c r="MV25" s="133">
        <f t="shared" si="402"/>
        <v>9.1852208679887468</v>
      </c>
      <c r="MW25" s="133">
        <f t="shared" si="150"/>
        <v>16.686949964369724</v>
      </c>
      <c r="MX25" s="133">
        <f t="shared" si="151"/>
        <v>21.200389524226388</v>
      </c>
      <c r="MY25" s="133">
        <f t="shared" si="152"/>
        <v>25.124251437878193</v>
      </c>
      <c r="MZ25" s="133">
        <f t="shared" si="153"/>
        <v>29.696562321183229</v>
      </c>
      <c r="NA25" s="81"/>
      <c r="NB25" s="81">
        <v>23</v>
      </c>
      <c r="NC25" s="133">
        <f t="shared" si="154"/>
        <v>-23.381302968358021</v>
      </c>
      <c r="ND25" s="133">
        <f t="shared" si="155"/>
        <v>-19.241651735279532</v>
      </c>
      <c r="NE25" s="133">
        <f t="shared" si="156"/>
        <v>-15.606918341881016</v>
      </c>
      <c r="NF25" s="133">
        <f t="shared" si="403"/>
        <v>-11.357208855221195</v>
      </c>
      <c r="NG25" s="133">
        <f t="shared" si="404"/>
        <v>-4.1641193937072565</v>
      </c>
      <c r="NH25" s="134">
        <f t="shared" si="405"/>
        <v>3.9679462518331263</v>
      </c>
      <c r="NI25" s="133">
        <f t="shared" si="406"/>
        <v>12.193033476982048</v>
      </c>
      <c r="NJ25" s="133">
        <f t="shared" si="157"/>
        <v>19.636913341457412</v>
      </c>
      <c r="NK25" s="133">
        <f t="shared" si="158"/>
        <v>24.124454834169558</v>
      </c>
      <c r="NL25" s="133">
        <f t="shared" si="159"/>
        <v>28.030605164186728</v>
      </c>
      <c r="NM25" s="133">
        <f t="shared" si="160"/>
        <v>32.587427870366056</v>
      </c>
      <c r="NN25" s="81"/>
      <c r="NO25" s="81">
        <v>25</v>
      </c>
      <c r="NP25" s="133">
        <f t="shared" si="161"/>
        <v>-27.873942351467839</v>
      </c>
      <c r="NQ25" s="133">
        <f t="shared" si="162"/>
        <v>-23.863025564636153</v>
      </c>
      <c r="NR25" s="133">
        <f t="shared" si="163"/>
        <v>-20.408374175104392</v>
      </c>
      <c r="NS25" s="133">
        <f t="shared" si="407"/>
        <v>-16.420920359929259</v>
      </c>
      <c r="NT25" s="133">
        <f t="shared" si="408"/>
        <v>-9.760804129202068</v>
      </c>
      <c r="NU25" s="134">
        <f t="shared" si="409"/>
        <v>-2.3278754662138894</v>
      </c>
      <c r="NV25" s="133">
        <f t="shared" si="410"/>
        <v>5.1130906831610758</v>
      </c>
      <c r="NW25" s="133">
        <f t="shared" si="164"/>
        <v>11.794713111272991</v>
      </c>
      <c r="NX25" s="133">
        <f t="shared" si="165"/>
        <v>15.80229703642938</v>
      </c>
      <c r="NY25" s="133">
        <f t="shared" si="166"/>
        <v>19.279512269604218</v>
      </c>
      <c r="NZ25" s="133">
        <f t="shared" si="167"/>
        <v>23.323879764602005</v>
      </c>
      <c r="OA25" s="81"/>
      <c r="OB25" s="81">
        <v>23</v>
      </c>
      <c r="OC25" s="133">
        <v>15.879786750509568</v>
      </c>
      <c r="OD25" s="133">
        <v>17.652633776372994</v>
      </c>
      <c r="OE25" s="133">
        <v>19.334892305206573</v>
      </c>
      <c r="OF25" s="133">
        <v>21.474346148775812</v>
      </c>
      <c r="OG25" s="133">
        <v>25.583056833951435</v>
      </c>
      <c r="OH25" s="134">
        <v>31.095500217610994</v>
      </c>
      <c r="OI25" s="133">
        <v>37.795723163942881</v>
      </c>
      <c r="OJ25" s="133">
        <v>45.027221182171715</v>
      </c>
      <c r="OK25" s="133">
        <v>50.009595011970497</v>
      </c>
      <c r="OL25" s="133">
        <v>54.775403264617921</v>
      </c>
      <c r="OM25" s="133">
        <v>60.890624601896363</v>
      </c>
      <c r="ON25" s="81"/>
      <c r="OO25" s="81">
        <v>23</v>
      </c>
      <c r="OP25" s="133">
        <v>15.016541866697793</v>
      </c>
      <c r="OQ25" s="133">
        <v>16.568150907221501</v>
      </c>
      <c r="OR25" s="133">
        <v>18.030255441626597</v>
      </c>
      <c r="OS25" s="133">
        <v>19.876813622079169</v>
      </c>
      <c r="OT25" s="133">
        <v>25.329962486612096</v>
      </c>
      <c r="OU25" s="134">
        <v>28.036179997212589</v>
      </c>
      <c r="OV25" s="133">
        <v>33.608734010414231</v>
      </c>
      <c r="OW25" s="133">
        <v>39.544939333887172</v>
      </c>
      <c r="OX25" s="133">
        <v>43.594911418803036</v>
      </c>
      <c r="OY25" s="133">
        <v>47.442070828404866</v>
      </c>
      <c r="OZ25" s="133">
        <v>52.344101312651546</v>
      </c>
      <c r="PA25" s="81"/>
      <c r="PB25" s="81">
        <v>25</v>
      </c>
      <c r="PC25" s="133">
        <v>20.40425187973041</v>
      </c>
      <c r="PD25" s="133">
        <v>22.284989740060457</v>
      </c>
      <c r="PE25" s="133">
        <v>24.040606468613436</v>
      </c>
      <c r="PF25" s="133">
        <v>26.237054281926472</v>
      </c>
      <c r="PG25" s="133">
        <v>30.356742995893846</v>
      </c>
      <c r="PH25" s="134">
        <v>35.715231406175313</v>
      </c>
      <c r="PI25" s="133">
        <v>42.019585387312155</v>
      </c>
      <c r="PJ25" s="133">
        <v>48.617414923570102</v>
      </c>
      <c r="PK25" s="133">
        <v>53.05930014960316</v>
      </c>
      <c r="PL25" s="133">
        <v>57.239324283987379</v>
      </c>
      <c r="PM25" s="133">
        <v>62.51529151450098</v>
      </c>
      <c r="PN25" s="81"/>
      <c r="PO25" s="81">
        <v>23</v>
      </c>
      <c r="PP25" s="133">
        <v>7.859918581798234</v>
      </c>
      <c r="PQ25" s="133">
        <v>8.5812428485326908</v>
      </c>
      <c r="PR25" s="133">
        <v>9.2543494384059777</v>
      </c>
      <c r="PS25" s="133">
        <v>10.096184402054492</v>
      </c>
      <c r="PT25" s="133">
        <v>11.674367068674464</v>
      </c>
      <c r="PU25" s="134">
        <v>13.725790115502974</v>
      </c>
      <c r="PV25" s="133">
        <v>16.137689793938463</v>
      </c>
      <c r="PW25" s="133">
        <v>18.660248940827767</v>
      </c>
      <c r="PX25" s="133">
        <v>20.357704833684107</v>
      </c>
      <c r="PY25" s="133">
        <v>21.954548731487456</v>
      </c>
      <c r="PZ25" s="133">
        <v>23.969372244023504</v>
      </c>
      <c r="QA25" s="81"/>
      <c r="QB25" s="81">
        <v>23</v>
      </c>
      <c r="QC25" s="133">
        <v>7.5626431335181064</v>
      </c>
      <c r="QD25" s="133">
        <v>8.2508994974298648</v>
      </c>
      <c r="QE25" s="133">
        <v>8.892730898522176</v>
      </c>
      <c r="QF25" s="133">
        <v>9.6949290667050363</v>
      </c>
      <c r="QG25" s="133">
        <v>11.19739742425679</v>
      </c>
      <c r="QH25" s="134">
        <v>13.148002533569542</v>
      </c>
      <c r="QI25" s="133">
        <v>15.438406271823929</v>
      </c>
      <c r="QJ25" s="133">
        <v>17.830968069321173</v>
      </c>
      <c r="QK25" s="133">
        <v>19.439469449309357</v>
      </c>
      <c r="QL25" s="133">
        <v>20.951651474678574</v>
      </c>
      <c r="QM25" s="133">
        <v>22.858406455354295</v>
      </c>
      <c r="QN25" s="81"/>
      <c r="QO25" s="81">
        <v>25</v>
      </c>
      <c r="QP25" s="133">
        <v>8.7923310674395783</v>
      </c>
      <c r="QQ25" s="133">
        <v>9.5414699396110692</v>
      </c>
      <c r="QR25" s="133">
        <v>10.23662702190677</v>
      </c>
      <c r="QS25" s="133">
        <v>11.101186911301925</v>
      </c>
      <c r="QT25" s="133">
        <v>12.70896408292802</v>
      </c>
      <c r="QU25" s="134">
        <v>14.776855940042941</v>
      </c>
      <c r="QV25" s="133">
        <v>17.181217135242349</v>
      </c>
      <c r="QW25" s="133">
        <v>19.669560851234614</v>
      </c>
      <c r="QX25" s="133">
        <v>21.330802715141761</v>
      </c>
      <c r="QY25" s="133">
        <v>22.884888057581939</v>
      </c>
      <c r="QZ25" s="133">
        <v>24.834764500783272</v>
      </c>
      <c r="RA25" s="81"/>
      <c r="RB25" s="81">
        <v>23</v>
      </c>
      <c r="RC25" s="133">
        <f t="shared" si="168"/>
        <v>0.2559979556448031</v>
      </c>
      <c r="RD25" s="133">
        <f t="shared" si="169"/>
        <v>0.27728494028445938</v>
      </c>
      <c r="RE25" s="133">
        <f t="shared" si="170"/>
        <v>0.29723951384354036</v>
      </c>
      <c r="RF25" s="133">
        <f t="shared" si="411"/>
        <v>0.32233549191482308</v>
      </c>
      <c r="RG25" s="133">
        <f t="shared" si="412"/>
        <v>0.36985073540246888</v>
      </c>
      <c r="RH25" s="134">
        <f t="shared" si="413"/>
        <v>0.43262650491546539</v>
      </c>
      <c r="RI25" s="133">
        <f t="shared" si="414"/>
        <v>0.50802414967171128</v>
      </c>
      <c r="RJ25" s="133">
        <f t="shared" si="171"/>
        <v>0.58882502265208747</v>
      </c>
      <c r="RK25" s="133">
        <f t="shared" si="172"/>
        <v>0.64435164627987318</v>
      </c>
      <c r="RL25" s="133">
        <f t="shared" si="173"/>
        <v>0.69745088255370158</v>
      </c>
      <c r="RM25" s="133">
        <f t="shared" si="174"/>
        <v>0.76565800980347076</v>
      </c>
      <c r="RN25" s="81"/>
      <c r="RO25" s="81">
        <v>23</v>
      </c>
      <c r="RP25" s="133">
        <f t="shared" si="175"/>
        <v>0.27977665765869358</v>
      </c>
      <c r="RQ25" s="133">
        <f t="shared" si="176"/>
        <v>0.30069970838110521</v>
      </c>
      <c r="RR25" s="133">
        <f t="shared" si="177"/>
        <v>0.3202323705628124</v>
      </c>
      <c r="RS25" s="133">
        <f t="shared" si="415"/>
        <v>0.34470177457567452</v>
      </c>
      <c r="RT25" s="133">
        <f t="shared" si="416"/>
        <v>0.39078876458956008</v>
      </c>
      <c r="RU25" s="134">
        <f t="shared" si="417"/>
        <v>0.45130523388296262</v>
      </c>
      <c r="RV25" s="133">
        <f t="shared" si="418"/>
        <v>0.52359589603674661</v>
      </c>
      <c r="RW25" s="133">
        <f t="shared" si="178"/>
        <v>0.60075358229978271</v>
      </c>
      <c r="RX25" s="133">
        <f t="shared" si="179"/>
        <v>0.65365508669179384</v>
      </c>
      <c r="RY25" s="133">
        <f t="shared" si="180"/>
        <v>0.70418479338416917</v>
      </c>
      <c r="RZ25" s="133">
        <f t="shared" si="181"/>
        <v>0.76904065918022502</v>
      </c>
      <c r="SA25" s="81"/>
      <c r="SB25" s="81">
        <v>25</v>
      </c>
      <c r="SC25" s="133">
        <f t="shared" si="182"/>
        <v>0.23882785413552751</v>
      </c>
      <c r="SD25" s="133">
        <f t="shared" si="183"/>
        <v>0.26060442159091712</v>
      </c>
      <c r="SE25" s="133">
        <f t="shared" si="184"/>
        <v>0.28093735968958755</v>
      </c>
      <c r="SF25" s="133">
        <f t="shared" si="419"/>
        <v>0.30638450128451744</v>
      </c>
      <c r="SG25" s="133">
        <f t="shared" si="420"/>
        <v>0.35414445402893746</v>
      </c>
      <c r="SH25" s="134">
        <f t="shared" si="421"/>
        <v>0.41633539387258578</v>
      </c>
      <c r="SI25" s="133">
        <f t="shared" si="422"/>
        <v>0.48961454514215114</v>
      </c>
      <c r="SJ25" s="133">
        <f t="shared" si="185"/>
        <v>0.56643867936224224</v>
      </c>
      <c r="SK25" s="133">
        <f t="shared" si="186"/>
        <v>0.61823736606280266</v>
      </c>
      <c r="SL25" s="133">
        <f t="shared" si="187"/>
        <v>0.66703962374065551</v>
      </c>
      <c r="SM25" s="133">
        <f t="shared" si="188"/>
        <v>0.72871571471931706</v>
      </c>
      <c r="SN25" s="81"/>
      <c r="SO25" s="81">
        <v>23</v>
      </c>
      <c r="SP25" s="133">
        <f t="shared" si="189"/>
        <v>0.20283176810776823</v>
      </c>
      <c r="SQ25" s="133">
        <f t="shared" si="190"/>
        <v>0.21656184055293207</v>
      </c>
      <c r="SR25" s="133">
        <f t="shared" si="191"/>
        <v>0.22891566711032432</v>
      </c>
      <c r="SS25" s="133">
        <f t="shared" si="423"/>
        <v>0.24380386125282605</v>
      </c>
      <c r="ST25" s="133">
        <f t="shared" si="424"/>
        <v>0.2702348170091543</v>
      </c>
      <c r="SU25" s="134">
        <f t="shared" si="425"/>
        <v>0.30215506274617182</v>
      </c>
      <c r="SV25" s="133">
        <f t="shared" si="426"/>
        <v>0.33681104419035129</v>
      </c>
      <c r="SW25" s="133">
        <f t="shared" si="192"/>
        <v>0.37035615904270869</v>
      </c>
      <c r="SX25" s="133">
        <f t="shared" si="193"/>
        <v>0.39162509054874201</v>
      </c>
      <c r="SY25" s="133">
        <f t="shared" si="194"/>
        <v>0.41080018856198569</v>
      </c>
      <c r="SZ25" s="133">
        <f t="shared" si="195"/>
        <v>0.43396759137895963</v>
      </c>
      <c r="TA25" s="81"/>
      <c r="TB25" s="81">
        <v>23</v>
      </c>
      <c r="TC25" s="133">
        <f t="shared" si="196"/>
        <v>0.21802580011360642</v>
      </c>
      <c r="TD25" s="133">
        <f t="shared" si="197"/>
        <v>0.2309262549282145</v>
      </c>
      <c r="TE25" s="133">
        <f t="shared" si="198"/>
        <v>0.24251967495653243</v>
      </c>
      <c r="TF25" s="133">
        <f t="shared" si="427"/>
        <v>0.2564786555409746</v>
      </c>
      <c r="TG25" s="133">
        <f t="shared" si="428"/>
        <v>0.28123905287149153</v>
      </c>
      <c r="TH25" s="134">
        <f t="shared" si="429"/>
        <v>0.31113073315132495</v>
      </c>
      <c r="TI25" s="133">
        <f t="shared" si="430"/>
        <v>0.34359948925567263</v>
      </c>
      <c r="TJ25" s="133">
        <f t="shared" si="199"/>
        <v>0.37506483544526231</v>
      </c>
      <c r="TK25" s="133">
        <f t="shared" si="200"/>
        <v>0.39504167523226535</v>
      </c>
      <c r="TL25" s="133">
        <f t="shared" si="201"/>
        <v>0.41307276330890591</v>
      </c>
      <c r="TM25" s="133">
        <f t="shared" si="202"/>
        <v>0.4348871890269978</v>
      </c>
      <c r="TN25" s="81"/>
      <c r="TO25" s="81">
        <v>25</v>
      </c>
      <c r="TP25" s="133">
        <f t="shared" si="203"/>
        <v>0.19146533954901845</v>
      </c>
      <c r="TQ25" s="133">
        <f t="shared" si="204"/>
        <v>0.20600071981418785</v>
      </c>
      <c r="TR25" s="133">
        <f t="shared" si="205"/>
        <v>0.21898283421772111</v>
      </c>
      <c r="TS25" s="133">
        <f t="shared" si="431"/>
        <v>0.23450705730798307</v>
      </c>
      <c r="TT25" s="133">
        <f t="shared" si="432"/>
        <v>0.2617445526844841</v>
      </c>
      <c r="TU25" s="134">
        <f t="shared" si="433"/>
        <v>0.29410306135576442</v>
      </c>
      <c r="TV25" s="133">
        <f t="shared" si="434"/>
        <v>0.32859987620819348</v>
      </c>
      <c r="TW25" s="133">
        <f t="shared" si="206"/>
        <v>0.36139469141890807</v>
      </c>
      <c r="TX25" s="133">
        <f t="shared" si="207"/>
        <v>0.38189932147043071</v>
      </c>
      <c r="TY25" s="133">
        <f t="shared" si="208"/>
        <v>0.40020152697600203</v>
      </c>
      <c r="TZ25" s="133">
        <f t="shared" si="209"/>
        <v>0.42209023643548932</v>
      </c>
      <c r="UA25" s="81"/>
      <c r="UB25" s="81">
        <v>23</v>
      </c>
      <c r="UC25" s="133">
        <f t="shared" si="210"/>
        <v>-28.720812788069665</v>
      </c>
      <c r="UD25" s="133">
        <f t="shared" si="211"/>
        <v>-25.037785190028565</v>
      </c>
      <c r="UE25" s="133">
        <f t="shared" si="212"/>
        <v>-21.98378541500179</v>
      </c>
      <c r="UF25" s="133">
        <f t="shared" si="435"/>
        <v>-18.574449096315313</v>
      </c>
      <c r="UG25" s="133">
        <f t="shared" si="436"/>
        <v>-13.112883338763766</v>
      </c>
      <c r="UH25" s="134">
        <f t="shared" si="437"/>
        <v>-7.3020429816140577</v>
      </c>
      <c r="UI25" s="133">
        <f t="shared" si="438"/>
        <v>-1.7316699240923512</v>
      </c>
      <c r="UJ25" s="133">
        <f t="shared" si="213"/>
        <v>3.0930818021293618</v>
      </c>
      <c r="UK25" s="133">
        <f t="shared" si="214"/>
        <v>5.9162639121751965</v>
      </c>
      <c r="UL25" s="133">
        <f t="shared" si="215"/>
        <v>8.3266861762213438</v>
      </c>
      <c r="UM25" s="133">
        <f t="shared" si="216"/>
        <v>11.087613240154241</v>
      </c>
      <c r="UN25" s="81"/>
      <c r="UO25" s="81">
        <v>23</v>
      </c>
      <c r="UP25" s="133">
        <f t="shared" si="217"/>
        <v>-24.25318205643935</v>
      </c>
      <c r="UQ25" s="133">
        <f t="shared" si="218"/>
        <v>-21.332510386894953</v>
      </c>
      <c r="UR25" s="133">
        <f t="shared" si="219"/>
        <v>-18.831507328748259</v>
      </c>
      <c r="US25" s="133">
        <f t="shared" si="439"/>
        <v>-15.958175650184117</v>
      </c>
      <c r="UT25" s="133">
        <f t="shared" si="440"/>
        <v>-11.18467639945689</v>
      </c>
      <c r="UU25" s="134">
        <f t="shared" si="441"/>
        <v>-5.8876194735455876</v>
      </c>
      <c r="UV25" s="133">
        <f t="shared" si="442"/>
        <v>-0.61057087778217323</v>
      </c>
      <c r="UW25" s="133">
        <f t="shared" si="220"/>
        <v>4.109658899612505</v>
      </c>
      <c r="UX25" s="133">
        <f t="shared" si="221"/>
        <v>6.9335334825950738</v>
      </c>
      <c r="UY25" s="133">
        <f t="shared" si="222"/>
        <v>9.3796580932569071</v>
      </c>
      <c r="UZ25" s="133">
        <f t="shared" si="223"/>
        <v>12.2203549090259</v>
      </c>
      <c r="VA25" s="81"/>
      <c r="VB25" s="81">
        <v>26</v>
      </c>
      <c r="VC25" s="133">
        <f t="shared" si="224"/>
        <v>-30.694986303368225</v>
      </c>
      <c r="VD25" s="133">
        <f t="shared" si="225"/>
        <v>-26.47693300762198</v>
      </c>
      <c r="VE25" s="133">
        <f t="shared" si="226"/>
        <v>-23.078932571530615</v>
      </c>
      <c r="VF25" s="133">
        <f t="shared" si="443"/>
        <v>-19.372698660987162</v>
      </c>
      <c r="VG25" s="133">
        <f t="shared" si="444"/>
        <v>-13.59206648762234</v>
      </c>
      <c r="VH25" s="134">
        <f t="shared" si="445"/>
        <v>-7.6127024194393655</v>
      </c>
      <c r="VI25" s="133">
        <f t="shared" si="446"/>
        <v>-2.0147016725236142</v>
      </c>
      <c r="VJ25" s="133">
        <f t="shared" si="227"/>
        <v>2.7450929237635933</v>
      </c>
      <c r="VK25" s="133">
        <f t="shared" si="228"/>
        <v>5.4965824248891977</v>
      </c>
      <c r="VL25" s="133">
        <f t="shared" si="229"/>
        <v>7.8277828614937732</v>
      </c>
      <c r="VM25" s="133">
        <f t="shared" si="230"/>
        <v>10.478875425021428</v>
      </c>
      <c r="VN25" s="81"/>
      <c r="VO25" s="81">
        <v>23</v>
      </c>
      <c r="VP25" s="133">
        <f t="shared" si="231"/>
        <v>-46.292691564891499</v>
      </c>
      <c r="VQ25" s="133">
        <f t="shared" si="232"/>
        <v>-42.806489641514581</v>
      </c>
      <c r="VR25" s="133">
        <f t="shared" si="233"/>
        <v>-39.428814879362861</v>
      </c>
      <c r="VS25" s="133">
        <f t="shared" si="447"/>
        <v>-35.118841834794125</v>
      </c>
      <c r="VT25" s="133">
        <f t="shared" si="448"/>
        <v>-26.984334944882665</v>
      </c>
      <c r="VU25" s="134">
        <f t="shared" si="449"/>
        <v>-16.595634248215596</v>
      </c>
      <c r="VV25" s="133">
        <f t="shared" si="450"/>
        <v>-4.8836712306961587</v>
      </c>
      <c r="VW25" s="133">
        <f t="shared" si="234"/>
        <v>6.7017830498184381</v>
      </c>
      <c r="VX25" s="133">
        <f t="shared" si="235"/>
        <v>14.119683357887844</v>
      </c>
      <c r="VY25" s="133">
        <f t="shared" si="236"/>
        <v>20.834113493445834</v>
      </c>
      <c r="VZ25" s="133">
        <f t="shared" si="237"/>
        <v>28.963079929148243</v>
      </c>
      <c r="WA25" s="81"/>
      <c r="WB25" s="81">
        <v>23</v>
      </c>
      <c r="WC25" s="133">
        <f t="shared" si="238"/>
        <v>-42.923301493545317</v>
      </c>
      <c r="WD25" s="133">
        <f t="shared" si="239"/>
        <v>-39.737828960452582</v>
      </c>
      <c r="WE25" s="133">
        <f t="shared" si="240"/>
        <v>-36.564981777565094</v>
      </c>
      <c r="WF25" s="133">
        <f t="shared" si="451"/>
        <v>-32.436106990887424</v>
      </c>
      <c r="WG25" s="133">
        <f t="shared" si="452"/>
        <v>-24.48584484188493</v>
      </c>
      <c r="WH25" s="134">
        <f t="shared" si="453"/>
        <v>-14.146278509161263</v>
      </c>
      <c r="WI25" s="133">
        <f t="shared" si="454"/>
        <v>-2.3340170744658764</v>
      </c>
      <c r="WJ25" s="133">
        <f t="shared" si="241"/>
        <v>9.4593050398343266</v>
      </c>
      <c r="WK25" s="133">
        <f t="shared" si="242"/>
        <v>17.052523586091176</v>
      </c>
      <c r="WL25" s="133">
        <f t="shared" si="243"/>
        <v>23.94872399678966</v>
      </c>
      <c r="WM25" s="133">
        <f t="shared" si="244"/>
        <v>32.322851535245924</v>
      </c>
      <c r="WN25" s="81"/>
      <c r="WO25" s="81">
        <v>26</v>
      </c>
      <c r="WP25" s="133">
        <f t="shared" si="245"/>
        <v>-47.152274670637226</v>
      </c>
      <c r="WQ25" s="133">
        <f t="shared" si="246"/>
        <v>-43.410913971601616</v>
      </c>
      <c r="WR25" s="133">
        <f t="shared" si="247"/>
        <v>-39.823944509079894</v>
      </c>
      <c r="WS25" s="133">
        <f t="shared" si="455"/>
        <v>-35.304761557497329</v>
      </c>
      <c r="WT25" s="133">
        <f t="shared" si="456"/>
        <v>-26.937262537244358</v>
      </c>
      <c r="WU25" s="134">
        <f t="shared" si="457"/>
        <v>-16.509436637152191</v>
      </c>
      <c r="WV25" s="133">
        <f t="shared" si="458"/>
        <v>-5.0320758316730334</v>
      </c>
      <c r="WW25" s="133">
        <f t="shared" si="248"/>
        <v>6.0863966526892099</v>
      </c>
      <c r="WX25" s="133">
        <f t="shared" si="249"/>
        <v>13.101558901602864</v>
      </c>
      <c r="WY25" s="133">
        <f t="shared" si="250"/>
        <v>19.389726023683544</v>
      </c>
      <c r="WZ25" s="133">
        <f t="shared" si="251"/>
        <v>26.931311288410164</v>
      </c>
      <c r="XA25" s="81"/>
      <c r="XB25" s="81">
        <v>23</v>
      </c>
      <c r="XC25" s="133">
        <f t="shared" si="252"/>
        <v>-51.139933904273171</v>
      </c>
      <c r="XD25" s="133">
        <f t="shared" si="253"/>
        <v>-47.105676314026766</v>
      </c>
      <c r="XE25" s="133">
        <f t="shared" si="254"/>
        <v>-43.231009241102171</v>
      </c>
      <c r="XF25" s="133">
        <f t="shared" si="459"/>
        <v>-38.389455094613254</v>
      </c>
      <c r="XG25" s="133">
        <f t="shared" si="460"/>
        <v>-29.576684333116425</v>
      </c>
      <c r="XH25" s="134">
        <f t="shared" si="461"/>
        <v>-18.85484133136746</v>
      </c>
      <c r="XI25" s="133">
        <f t="shared" si="462"/>
        <v>-7.3369903911429688</v>
      </c>
      <c r="XJ25" s="133">
        <f t="shared" si="255"/>
        <v>3.5858450225927427</v>
      </c>
      <c r="XK25" s="133">
        <f t="shared" si="256"/>
        <v>10.375473316888254</v>
      </c>
      <c r="XL25" s="133">
        <f t="shared" si="257"/>
        <v>16.401554441102398</v>
      </c>
      <c r="XM25" s="133">
        <f t="shared" si="258"/>
        <v>23.56041618467993</v>
      </c>
      <c r="XN25" s="81"/>
      <c r="XO25" s="81">
        <v>23</v>
      </c>
      <c r="XP25" s="133">
        <f t="shared" si="259"/>
        <v>-47.764570697783455</v>
      </c>
      <c r="XQ25" s="133">
        <f t="shared" si="260"/>
        <v>-43.697758094558722</v>
      </c>
      <c r="XR25" s="133">
        <f t="shared" si="261"/>
        <v>-39.793524072166534</v>
      </c>
      <c r="XS25" s="133">
        <f t="shared" si="463"/>
        <v>-34.928836877878169</v>
      </c>
      <c r="XT25" s="133">
        <f t="shared" si="464"/>
        <v>-26.115539516785066</v>
      </c>
      <c r="XU25" s="134">
        <f t="shared" si="465"/>
        <v>-15.455996161500011</v>
      </c>
      <c r="XV25" s="133">
        <f t="shared" si="466"/>
        <v>-4.0678140330020724</v>
      </c>
      <c r="XW25" s="133">
        <f t="shared" si="262"/>
        <v>6.682671308329212</v>
      </c>
      <c r="XX25" s="133">
        <f t="shared" si="263"/>
        <v>13.344325980515102</v>
      </c>
      <c r="XY25" s="133">
        <f t="shared" si="264"/>
        <v>19.244817180707322</v>
      </c>
      <c r="XZ25" s="133">
        <f t="shared" si="265"/>
        <v>26.240965705495974</v>
      </c>
      <c r="YA25" s="81"/>
      <c r="YB25" s="81">
        <v>26</v>
      </c>
      <c r="YC25" s="133">
        <f t="shared" si="266"/>
        <v>-52.38520504109632</v>
      </c>
      <c r="YD25" s="133">
        <f t="shared" si="267"/>
        <v>-48.226141708297149</v>
      </c>
      <c r="YE25" s="133">
        <f t="shared" si="268"/>
        <v>-44.246465414590659</v>
      </c>
      <c r="YF25" s="133">
        <f t="shared" si="467"/>
        <v>-39.314399791353388</v>
      </c>
      <c r="YG25" s="133">
        <f t="shared" si="468"/>
        <v>-30.445961498603015</v>
      </c>
      <c r="YH25" s="134">
        <f t="shared" si="469"/>
        <v>-19.812050377744555</v>
      </c>
      <c r="YI25" s="133">
        <f t="shared" si="470"/>
        <v>-8.5381391586058726</v>
      </c>
      <c r="YJ25" s="133">
        <f t="shared" si="269"/>
        <v>2.0384155049137576</v>
      </c>
      <c r="YK25" s="133">
        <f t="shared" si="270"/>
        <v>8.5649668642683636</v>
      </c>
      <c r="YL25" s="133">
        <f t="shared" si="271"/>
        <v>14.330241624425092</v>
      </c>
      <c r="YM25" s="133">
        <f t="shared" si="272"/>
        <v>21.148715763990104</v>
      </c>
      <c r="YN25" s="81"/>
      <c r="YO25" s="81">
        <v>23</v>
      </c>
      <c r="YP25" s="133">
        <v>20.110098138946945</v>
      </c>
      <c r="YQ25" s="133">
        <v>22.602679920841414</v>
      </c>
      <c r="YR25" s="133">
        <v>24.992172657364087</v>
      </c>
      <c r="YS25" s="133">
        <v>28.06227571902723</v>
      </c>
      <c r="YT25" s="133">
        <v>34.04581002506805</v>
      </c>
      <c r="YU25" s="134">
        <v>42.230215676557286</v>
      </c>
      <c r="YV25" s="133">
        <v>52.382102666243696</v>
      </c>
      <c r="YW25" s="133">
        <v>63.551193564794936</v>
      </c>
      <c r="YX25" s="133">
        <v>71.35798637990996</v>
      </c>
      <c r="YY25" s="133">
        <v>78.901755116397524</v>
      </c>
      <c r="YZ25" s="133">
        <v>88.681373097562158</v>
      </c>
      <c r="ZA25" s="81"/>
      <c r="ZB25" s="81">
        <v>23</v>
      </c>
      <c r="ZC25" s="133">
        <v>17.873791562002758</v>
      </c>
      <c r="ZD25" s="133">
        <v>20.232751517060155</v>
      </c>
      <c r="ZE25" s="133">
        <v>22.509132318053876</v>
      </c>
      <c r="ZF25" s="133">
        <v>25.453301909030461</v>
      </c>
      <c r="ZG25" s="133">
        <v>31.246427987529632</v>
      </c>
      <c r="ZH25" s="134">
        <v>39.270068106309829</v>
      </c>
      <c r="ZI25" s="133">
        <v>49.354065357156202</v>
      </c>
      <c r="ZJ25" s="133">
        <v>60.586962531846758</v>
      </c>
      <c r="ZK25" s="133">
        <v>68.511670164971676</v>
      </c>
      <c r="ZL25" s="133">
        <v>76.219897613722395</v>
      </c>
      <c r="ZM25" s="133">
        <v>86.279301385196177</v>
      </c>
      <c r="ZN25" s="81"/>
      <c r="ZO25" s="81">
        <v>26</v>
      </c>
      <c r="ZP25" s="133">
        <v>22.671478546617958</v>
      </c>
      <c r="ZQ25" s="133">
        <v>25.193055942966339</v>
      </c>
      <c r="ZR25" s="133">
        <v>27.584949118309915</v>
      </c>
      <c r="ZS25" s="133">
        <v>30.625833626666726</v>
      </c>
      <c r="ZT25" s="133">
        <v>36.46274774115939</v>
      </c>
      <c r="ZU25" s="134">
        <v>44.288649435688008</v>
      </c>
      <c r="ZV25" s="133">
        <v>53.794203408952939</v>
      </c>
      <c r="ZW25" s="133">
        <v>64.046729070236694</v>
      </c>
      <c r="ZX25" s="133">
        <v>71.107054083174091</v>
      </c>
      <c r="ZY25" s="133">
        <v>77.858139690468761</v>
      </c>
      <c r="ZZ25" s="133">
        <v>86.517712764255279</v>
      </c>
      <c r="AAA25" s="81"/>
      <c r="AAB25" s="81">
        <v>23</v>
      </c>
      <c r="AAC25" s="133">
        <v>8.4382854748964284</v>
      </c>
      <c r="AAD25" s="133">
        <v>9.3582047895635938</v>
      </c>
      <c r="AAE25" s="133">
        <v>10.229206196750036</v>
      </c>
      <c r="AAF25" s="133">
        <v>11.334496833388085</v>
      </c>
      <c r="AAG25" s="133">
        <v>13.450447349293846</v>
      </c>
      <c r="AAH25" s="134">
        <v>16.277558396489312</v>
      </c>
      <c r="AAI25" s="133">
        <v>19.698891826451426</v>
      </c>
      <c r="AAJ25" s="133">
        <v>23.376327264094247</v>
      </c>
      <c r="AAK25" s="133">
        <v>25.902196343964693</v>
      </c>
      <c r="AAL25" s="133">
        <v>28.313005892605151</v>
      </c>
      <c r="AAM25" s="133">
        <v>31.399614073186104</v>
      </c>
      <c r="AAN25" s="81"/>
      <c r="AAO25" s="81">
        <v>23</v>
      </c>
      <c r="AAP25" s="133">
        <v>7.7997782491920971</v>
      </c>
      <c r="AAQ25" s="133">
        <v>8.7043620045613839</v>
      </c>
      <c r="AAR25" s="133">
        <v>9.565827545992942</v>
      </c>
      <c r="AAS25" s="133">
        <v>10.665380832770335</v>
      </c>
      <c r="AAT25" s="133">
        <v>12.788043320898112</v>
      </c>
      <c r="AAU25" s="134">
        <v>15.655421504381049</v>
      </c>
      <c r="AAV25" s="133">
        <v>19.16573289045002</v>
      </c>
      <c r="AAW25" s="133">
        <v>22.980166045901424</v>
      </c>
      <c r="AAX25" s="133">
        <v>25.621643428278627</v>
      </c>
      <c r="AAY25" s="133">
        <v>28.157402271573709</v>
      </c>
      <c r="AAZ25" s="133">
        <v>31.422973147374211</v>
      </c>
      <c r="ABA25" s="81"/>
      <c r="ABB25" s="81">
        <v>26</v>
      </c>
      <c r="ABC25" s="133">
        <v>9.4796614440431721</v>
      </c>
      <c r="ABD25" s="133">
        <v>10.420705870711751</v>
      </c>
      <c r="ABE25" s="133">
        <v>11.304440229444214</v>
      </c>
      <c r="ABF25" s="133">
        <v>12.416740522892894</v>
      </c>
      <c r="ABG25" s="133">
        <v>14.521118389125531</v>
      </c>
      <c r="ABH25" s="134">
        <v>17.2895559383714</v>
      </c>
      <c r="ABI25" s="133">
        <v>20.585793499895523</v>
      </c>
      <c r="ABJ25" s="133">
        <v>24.074655018757543</v>
      </c>
      <c r="ABK25" s="133">
        <v>26.443480480127278</v>
      </c>
      <c r="ABL25" s="133">
        <v>28.686036076139281</v>
      </c>
      <c r="ABM25" s="133">
        <v>31.533694141990114</v>
      </c>
      <c r="ABN25" s="81"/>
      <c r="ABO25" s="81">
        <v>23</v>
      </c>
      <c r="ABP25" s="133">
        <f t="shared" si="273"/>
        <v>0.18275119872468354</v>
      </c>
      <c r="ABQ25" s="133">
        <f t="shared" si="274"/>
        <v>0.20773519765290402</v>
      </c>
      <c r="ABR25" s="133">
        <f t="shared" si="275"/>
        <v>0.23113904248727335</v>
      </c>
      <c r="ABS25" s="133">
        <f t="shared" si="471"/>
        <v>0.26044364660293562</v>
      </c>
      <c r="ABT25" s="133">
        <f t="shared" si="472"/>
        <v>0.3152293976597198</v>
      </c>
      <c r="ABU25" s="134">
        <f t="shared" si="473"/>
        <v>0.38570118208544457</v>
      </c>
      <c r="ABV25" s="133">
        <f t="shared" si="474"/>
        <v>0.46701573252356549</v>
      </c>
      <c r="ABW25" s="133">
        <f t="shared" si="276"/>
        <v>0.55001332814458948</v>
      </c>
      <c r="ABX25" s="133">
        <f t="shared" si="277"/>
        <v>0.60464061545879666</v>
      </c>
      <c r="ABY25" s="133">
        <f t="shared" si="278"/>
        <v>0.65513560079238942</v>
      </c>
      <c r="ABZ25" s="133">
        <f t="shared" si="279"/>
        <v>0.71763487426215811</v>
      </c>
      <c r="ACA25" s="81"/>
      <c r="ACB25" s="81">
        <v>23</v>
      </c>
      <c r="ACC25" s="133">
        <f t="shared" si="280"/>
        <v>0.19601268061898716</v>
      </c>
      <c r="ACD25" s="133">
        <f t="shared" si="281"/>
        <v>0.21998613779662285</v>
      </c>
      <c r="ACE25" s="133">
        <f t="shared" si="282"/>
        <v>0.24257774696700496</v>
      </c>
      <c r="ACF25" s="133">
        <f t="shared" si="475"/>
        <v>0.2710717132916472</v>
      </c>
      <c r="ACG25" s="133">
        <f t="shared" si="476"/>
        <v>0.32501391446972394</v>
      </c>
      <c r="ACH25" s="134">
        <f t="shared" si="477"/>
        <v>0.39576579129536754</v>
      </c>
      <c r="ACI25" s="133">
        <f t="shared" si="478"/>
        <v>0.47936155385021145</v>
      </c>
      <c r="ACJ25" s="133">
        <f t="shared" si="283"/>
        <v>0.5668457052768815</v>
      </c>
      <c r="ACK25" s="133">
        <f t="shared" si="284"/>
        <v>0.62559809564917057</v>
      </c>
      <c r="ACL25" s="133">
        <f t="shared" si="285"/>
        <v>0.68071954155980419</v>
      </c>
      <c r="ACM25" s="133">
        <f t="shared" si="286"/>
        <v>0.75000901639815032</v>
      </c>
      <c r="ACN25" s="81"/>
      <c r="ACO25" s="81">
        <v>26</v>
      </c>
      <c r="ACP25" s="133">
        <f t="shared" si="287"/>
        <v>0.1773626812188504</v>
      </c>
      <c r="ACQ25" s="133">
        <f t="shared" si="288"/>
        <v>0.20559869351479421</v>
      </c>
      <c r="ACR25" s="133">
        <f t="shared" si="289"/>
        <v>0.23160765965566685</v>
      </c>
      <c r="ACS25" s="133">
        <f t="shared" si="479"/>
        <v>0.26358194048480671</v>
      </c>
      <c r="ACT25" s="133">
        <f t="shared" si="480"/>
        <v>0.32173156554746252</v>
      </c>
      <c r="ACU25" s="134">
        <f t="shared" si="481"/>
        <v>0.3934930183983994</v>
      </c>
      <c r="ACV25" s="133">
        <f t="shared" si="482"/>
        <v>0.47272710268288159</v>
      </c>
      <c r="ACW25" s="133">
        <f t="shared" si="290"/>
        <v>0.55033729368398865</v>
      </c>
      <c r="ACX25" s="133">
        <f t="shared" si="291"/>
        <v>0.59974174183790219</v>
      </c>
      <c r="ACY25" s="133">
        <f t="shared" si="292"/>
        <v>0.64436938623194662</v>
      </c>
      <c r="ACZ25" s="133">
        <f t="shared" si="293"/>
        <v>0.69833919663549393</v>
      </c>
      <c r="ADA25" s="81"/>
      <c r="ADB25" s="81">
        <v>23</v>
      </c>
      <c r="ADC25" s="133">
        <f t="shared" si="294"/>
        <v>0.15274651990239457</v>
      </c>
      <c r="ADD25" s="133">
        <f t="shared" si="295"/>
        <v>0.1714079579951068</v>
      </c>
      <c r="ADE25" s="133">
        <f t="shared" si="296"/>
        <v>0.18783419875228799</v>
      </c>
      <c r="ADF25" s="133">
        <f t="shared" si="483"/>
        <v>0.20718119937310411</v>
      </c>
      <c r="ADG25" s="133">
        <f t="shared" si="484"/>
        <v>0.24037028176189146</v>
      </c>
      <c r="ADH25" s="134">
        <f t="shared" si="485"/>
        <v>0.27861596956038415</v>
      </c>
      <c r="ADI25" s="133">
        <f t="shared" si="486"/>
        <v>0.31808337184112934</v>
      </c>
      <c r="ADJ25" s="133">
        <f t="shared" si="297"/>
        <v>0.35446183866104697</v>
      </c>
      <c r="ADK25" s="133">
        <f t="shared" si="298"/>
        <v>0.37668500754292494</v>
      </c>
      <c r="ADL25" s="133">
        <f t="shared" si="299"/>
        <v>0.39620282552363417</v>
      </c>
      <c r="ADM25" s="133">
        <f t="shared" si="300"/>
        <v>0.41917126909880448</v>
      </c>
      <c r="ADN25" s="81"/>
      <c r="ADO25" s="81">
        <v>23</v>
      </c>
      <c r="ADP25" s="133">
        <f t="shared" si="301"/>
        <v>0.16275540172147721</v>
      </c>
      <c r="ADQ25" s="133">
        <f t="shared" si="302"/>
        <v>0.18006525181666552</v>
      </c>
      <c r="ADR25" s="133">
        <f t="shared" si="303"/>
        <v>0.1954958082938093</v>
      </c>
      <c r="ADS25" s="133">
        <f t="shared" si="487"/>
        <v>0.21389752982917859</v>
      </c>
      <c r="ADT25" s="133">
        <f t="shared" si="488"/>
        <v>0.24601922721237895</v>
      </c>
      <c r="ADU25" s="134">
        <f t="shared" si="489"/>
        <v>0.28386467875776733</v>
      </c>
      <c r="ADV25" s="133">
        <f t="shared" si="490"/>
        <v>0.32380046626920672</v>
      </c>
      <c r="ADW25" s="133">
        <f t="shared" si="304"/>
        <v>0.3613611305321543</v>
      </c>
      <c r="ADX25" s="133">
        <f t="shared" si="305"/>
        <v>0.38464502729999711</v>
      </c>
      <c r="ADY25" s="133">
        <f t="shared" si="306"/>
        <v>0.40529903252841581</v>
      </c>
      <c r="ADZ25" s="133">
        <f t="shared" si="307"/>
        <v>0.42984294299957709</v>
      </c>
      <c r="AEA25" s="81"/>
      <c r="AEB25" s="81">
        <v>26</v>
      </c>
      <c r="AEC25" s="133">
        <f t="shared" si="308"/>
        <v>0.14889634255681689</v>
      </c>
      <c r="AED25" s="133">
        <f t="shared" si="309"/>
        <v>0.17015776715954703</v>
      </c>
      <c r="AEE25" s="133">
        <f t="shared" si="310"/>
        <v>0.18835842474015874</v>
      </c>
      <c r="AEF25" s="133">
        <f t="shared" si="491"/>
        <v>0.20925595990194693</v>
      </c>
      <c r="AEG25" s="133">
        <f t="shared" si="492"/>
        <v>0.24393547374175023</v>
      </c>
      <c r="AEH25" s="134">
        <f t="shared" si="493"/>
        <v>0.28235828503098109</v>
      </c>
      <c r="AEI25" s="133">
        <f t="shared" si="494"/>
        <v>0.32057240932211556</v>
      </c>
      <c r="AEJ25" s="133">
        <f t="shared" si="311"/>
        <v>0.3547023747685189</v>
      </c>
      <c r="AEK25" s="133">
        <f t="shared" si="312"/>
        <v>0.37509813365220346</v>
      </c>
      <c r="AEL25" s="133">
        <f t="shared" si="313"/>
        <v>0.39275244015496447</v>
      </c>
      <c r="AEM25" s="133">
        <f t="shared" si="314"/>
        <v>0.41323966529110467</v>
      </c>
      <c r="AEN25" s="81"/>
    </row>
    <row r="26" spans="1:820">
      <c r="A26" s="81"/>
      <c r="B26" s="81">
        <v>25</v>
      </c>
      <c r="C26" s="133">
        <f t="shared" si="0"/>
        <v>1.6970219473308421</v>
      </c>
      <c r="D26" s="133">
        <f t="shared" si="1"/>
        <v>2.0093819013739469</v>
      </c>
      <c r="E26" s="133">
        <f t="shared" si="2"/>
        <v>2.3337081083781808</v>
      </c>
      <c r="F26" s="133">
        <f t="shared" si="315"/>
        <v>2.7877848285601829</v>
      </c>
      <c r="G26" s="133">
        <f t="shared" si="316"/>
        <v>3.8015923737364328</v>
      </c>
      <c r="H26" s="134">
        <f t="shared" si="317"/>
        <v>5.4924292137515565</v>
      </c>
      <c r="I26" s="133">
        <f t="shared" si="318"/>
        <v>8.1502888707154266</v>
      </c>
      <c r="J26" s="133">
        <f t="shared" si="3"/>
        <v>11.921376334816806</v>
      </c>
      <c r="K26" s="133">
        <f t="shared" si="4"/>
        <v>15.176409430029414</v>
      </c>
      <c r="L26" s="133">
        <f t="shared" si="5"/>
        <v>18.881450230489271</v>
      </c>
      <c r="M26" s="133">
        <f t="shared" si="6"/>
        <v>24.62389082060449</v>
      </c>
      <c r="N26" s="81"/>
      <c r="O26" s="75">
        <v>25</v>
      </c>
      <c r="P26" s="151">
        <f t="shared" si="7"/>
        <v>2.3736942968077921</v>
      </c>
      <c r="Q26" s="151">
        <f t="shared" si="8"/>
        <v>2.6655659126742024</v>
      </c>
      <c r="R26" s="151">
        <f t="shared" si="9"/>
        <v>2.9585034841226534</v>
      </c>
      <c r="S26" s="151">
        <f t="shared" si="319"/>
        <v>3.3554969284135763</v>
      </c>
      <c r="T26" s="151">
        <f t="shared" si="320"/>
        <v>4.2038720290745228</v>
      </c>
      <c r="U26" s="134">
        <f t="shared" si="321"/>
        <v>5.551199545052393</v>
      </c>
      <c r="V26" s="151">
        <f t="shared" si="322"/>
        <v>7.5923855133784333</v>
      </c>
      <c r="W26" s="151">
        <f t="shared" si="10"/>
        <v>10.44628423396823</v>
      </c>
      <c r="X26" s="151">
        <f t="shared" si="11"/>
        <v>12.926309841740183</v>
      </c>
      <c r="Y26" s="151">
        <f t="shared" si="12"/>
        <v>15.801445197658836</v>
      </c>
      <c r="Z26" s="151">
        <f t="shared" si="13"/>
        <v>20.411321531408639</v>
      </c>
      <c r="AA26" s="81"/>
      <c r="AB26" s="75">
        <v>27</v>
      </c>
      <c r="AC26" s="151">
        <f t="shared" si="14"/>
        <v>1.3906679508934845</v>
      </c>
      <c r="AD26" s="151">
        <f t="shared" si="15"/>
        <v>1.6779011430354915</v>
      </c>
      <c r="AE26" s="151">
        <f t="shared" si="16"/>
        <v>1.9850123691821617</v>
      </c>
      <c r="AF26" s="151">
        <f t="shared" si="323"/>
        <v>2.429404319366677</v>
      </c>
      <c r="AG26" s="151">
        <f t="shared" si="324"/>
        <v>3.4782784377091338</v>
      </c>
      <c r="AH26" s="134">
        <f t="shared" si="325"/>
        <v>5.3869966213074623</v>
      </c>
      <c r="AI26" s="151">
        <f t="shared" si="326"/>
        <v>8.7516588506880595</v>
      </c>
      <c r="AJ26" s="151">
        <f t="shared" si="17"/>
        <v>14.222924120928123</v>
      </c>
      <c r="AK26" s="151">
        <f t="shared" si="18"/>
        <v>19.562605214924751</v>
      </c>
      <c r="AL26" s="151">
        <f t="shared" si="19"/>
        <v>26.309169021810984</v>
      </c>
      <c r="AM26" s="151">
        <f t="shared" si="20"/>
        <v>38.139918843451404</v>
      </c>
      <c r="AN26" s="81"/>
      <c r="AO26" s="81">
        <v>25</v>
      </c>
      <c r="AP26" s="133">
        <f t="shared" si="21"/>
        <v>1.0797471805752599</v>
      </c>
      <c r="AQ26" s="133">
        <f t="shared" si="22"/>
        <v>2.7835190063683521</v>
      </c>
      <c r="AR26" s="133">
        <f t="shared" si="23"/>
        <v>4.386211892625016</v>
      </c>
      <c r="AS26" s="133">
        <f t="shared" si="327"/>
        <v>6.3929926071263958</v>
      </c>
      <c r="AT26" s="133">
        <f t="shared" si="328"/>
        <v>10.123185410319376</v>
      </c>
      <c r="AU26" s="134">
        <f t="shared" si="329"/>
        <v>14.850721352973075</v>
      </c>
      <c r="AV26" s="133">
        <f t="shared" si="330"/>
        <v>20.186143967231825</v>
      </c>
      <c r="AW26" s="133">
        <f t="shared" si="24"/>
        <v>25.495896090964816</v>
      </c>
      <c r="AX26" s="133">
        <f t="shared" si="25"/>
        <v>28.917884723231953</v>
      </c>
      <c r="AY26" s="133">
        <f t="shared" si="26"/>
        <v>32.031905332049156</v>
      </c>
      <c r="AZ26" s="133">
        <f t="shared" si="27"/>
        <v>35.823897424583507</v>
      </c>
      <c r="BA26" s="81"/>
      <c r="BB26" s="81">
        <v>25</v>
      </c>
      <c r="BC26" s="133">
        <f t="shared" si="28"/>
        <v>3.9987207229124637</v>
      </c>
      <c r="BD26" s="133">
        <f t="shared" si="29"/>
        <v>5.8064783215793314</v>
      </c>
      <c r="BE26" s="133">
        <f t="shared" si="30"/>
        <v>7.451017923472409</v>
      </c>
      <c r="BF26" s="133">
        <f t="shared" si="331"/>
        <v>9.4477306181275367</v>
      </c>
      <c r="BG26" s="133">
        <f t="shared" si="332"/>
        <v>13.012344478818054</v>
      </c>
      <c r="BH26" s="134">
        <f t="shared" si="333"/>
        <v>17.319537982655504</v>
      </c>
      <c r="BI26" s="133">
        <f t="shared" si="334"/>
        <v>21.967602193126961</v>
      </c>
      <c r="BJ26" s="133">
        <f t="shared" si="31"/>
        <v>26.419461602978689</v>
      </c>
      <c r="BK26" s="133">
        <f t="shared" si="32"/>
        <v>29.212991863782729</v>
      </c>
      <c r="BL26" s="133">
        <f t="shared" si="33"/>
        <v>31.710485872621167</v>
      </c>
      <c r="BM26" s="133">
        <f t="shared" si="34"/>
        <v>34.700302698434207</v>
      </c>
      <c r="BN26" s="81"/>
      <c r="BO26" s="75">
        <v>27</v>
      </c>
      <c r="BP26" s="151">
        <f t="shared" si="35"/>
        <v>2.80573737142113</v>
      </c>
      <c r="BQ26" s="151">
        <f t="shared" si="36"/>
        <v>3.5964576223183005</v>
      </c>
      <c r="BR26" s="151">
        <f t="shared" si="37"/>
        <v>4.4212538465229851</v>
      </c>
      <c r="BS26" s="151">
        <f t="shared" si="335"/>
        <v>5.5672349430967198</v>
      </c>
      <c r="BT26" s="151">
        <f t="shared" si="336"/>
        <v>8.0421315630709529</v>
      </c>
      <c r="BU26" s="134">
        <f t="shared" si="337"/>
        <v>11.850172320430879</v>
      </c>
      <c r="BV26" s="151">
        <f t="shared" si="338"/>
        <v>17.097839076667341</v>
      </c>
      <c r="BW26" s="151">
        <f t="shared" si="38"/>
        <v>23.377011527499086</v>
      </c>
      <c r="BX26" s="151">
        <f t="shared" si="39"/>
        <v>28.00965065314865</v>
      </c>
      <c r="BY26" s="151">
        <f t="shared" si="40"/>
        <v>32.639981436597836</v>
      </c>
      <c r="BZ26" s="151">
        <f t="shared" si="41"/>
        <v>38.829172873976901</v>
      </c>
      <c r="CA26" s="81"/>
      <c r="CB26" s="81">
        <v>25</v>
      </c>
      <c r="CC26" s="133">
        <f t="shared" si="42"/>
        <v>-6.3210709317444627</v>
      </c>
      <c r="CD26" s="133">
        <f t="shared" si="43"/>
        <v>-4.6376450799049724</v>
      </c>
      <c r="CE26" s="133">
        <f t="shared" si="44"/>
        <v>-2.7963691201163545</v>
      </c>
      <c r="CF26" s="133">
        <f t="shared" si="339"/>
        <v>-0.33377307975487636</v>
      </c>
      <c r="CG26" s="133">
        <f t="shared" si="340"/>
        <v>4.4250693087609418</v>
      </c>
      <c r="CH26" s="134">
        <f t="shared" si="341"/>
        <v>10.516142934899783</v>
      </c>
      <c r="CI26" s="133">
        <f t="shared" si="342"/>
        <v>17.303682223465945</v>
      </c>
      <c r="CJ26" s="133">
        <f t="shared" si="45"/>
        <v>23.911274637734266</v>
      </c>
      <c r="CK26" s="133">
        <f t="shared" si="46"/>
        <v>28.085984660761209</v>
      </c>
      <c r="CL26" s="133">
        <f t="shared" si="47"/>
        <v>31.828623753893371</v>
      </c>
      <c r="CM26" s="133">
        <f t="shared" si="48"/>
        <v>36.315895090008937</v>
      </c>
      <c r="CN26" s="81"/>
      <c r="CO26" s="81">
        <v>25</v>
      </c>
      <c r="CP26" s="133">
        <f t="shared" si="49"/>
        <v>-1.1266500535064665</v>
      </c>
      <c r="CQ26" s="133">
        <f t="shared" si="50"/>
        <v>0.9555427748527956</v>
      </c>
      <c r="CR26" s="133">
        <f t="shared" si="51"/>
        <v>2.9151845705818777</v>
      </c>
      <c r="CS26" s="133">
        <f t="shared" si="343"/>
        <v>5.3482618249436493</v>
      </c>
      <c r="CT26" s="133">
        <f t="shared" si="344"/>
        <v>9.7784767134417621</v>
      </c>
      <c r="CU26" s="134">
        <f t="shared" si="345"/>
        <v>15.204377947828561</v>
      </c>
      <c r="CV26" s="133">
        <f t="shared" si="346"/>
        <v>21.089824170174019</v>
      </c>
      <c r="CW26" s="133">
        <f t="shared" si="52"/>
        <v>26.726073857945156</v>
      </c>
      <c r="CX26" s="133">
        <f t="shared" si="53"/>
        <v>30.255365946633187</v>
      </c>
      <c r="CY26" s="133">
        <f t="shared" si="54"/>
        <v>33.403591487786613</v>
      </c>
      <c r="CZ26" s="133">
        <f t="shared" si="55"/>
        <v>37.162189235197218</v>
      </c>
      <c r="DA26" s="81"/>
      <c r="DB26" s="81">
        <v>27</v>
      </c>
      <c r="DC26" s="133">
        <f t="shared" si="56"/>
        <v>-6.5932911384061219</v>
      </c>
      <c r="DD26" s="133">
        <f t="shared" si="57"/>
        <v>-5.5942437722634022</v>
      </c>
      <c r="DE26" s="133">
        <f t="shared" si="58"/>
        <v>-4.3943015052377987</v>
      </c>
      <c r="DF26" s="133">
        <f t="shared" si="347"/>
        <v>-2.6757223671580892</v>
      </c>
      <c r="DG26" s="133">
        <f t="shared" si="348"/>
        <v>0.89676173555323491</v>
      </c>
      <c r="DH26" s="134">
        <f t="shared" si="349"/>
        <v>5.806159796321789</v>
      </c>
      <c r="DI26" s="133">
        <f t="shared" si="350"/>
        <v>11.598680359250711</v>
      </c>
      <c r="DJ26" s="133">
        <f t="shared" si="59"/>
        <v>17.490018616667705</v>
      </c>
      <c r="DK26" s="133">
        <f t="shared" si="60"/>
        <v>21.319485608194569</v>
      </c>
      <c r="DL26" s="133">
        <f t="shared" si="61"/>
        <v>24.815070936214738</v>
      </c>
      <c r="DM26" s="133">
        <f t="shared" si="62"/>
        <v>29.07721650050954</v>
      </c>
      <c r="DN26" s="81"/>
      <c r="DO26" s="81">
        <v>25</v>
      </c>
      <c r="DP26" s="133">
        <v>13.106717455666695</v>
      </c>
      <c r="DQ26" s="133">
        <v>14.471909996851952</v>
      </c>
      <c r="DR26" s="133">
        <v>15.759252758532455</v>
      </c>
      <c r="DS26" s="133">
        <v>17.38623537498923</v>
      </c>
      <c r="DT26" s="133">
        <v>20.482669244647919</v>
      </c>
      <c r="DU26" s="134">
        <v>24.588058551263558</v>
      </c>
      <c r="DV26" s="133">
        <v>29.516300639299679</v>
      </c>
      <c r="DW26" s="133">
        <v>34.773061003767729</v>
      </c>
      <c r="DX26" s="133">
        <v>38.363026000267332</v>
      </c>
      <c r="DY26" s="133">
        <v>41.775593093923113</v>
      </c>
      <c r="DZ26" s="133">
        <v>46.126928833655285</v>
      </c>
      <c r="EA26" s="81"/>
      <c r="EB26" s="81">
        <v>25</v>
      </c>
      <c r="EC26" s="133">
        <v>13.474922253394126</v>
      </c>
      <c r="ED26" s="133">
        <v>14.477188324091326</v>
      </c>
      <c r="EE26" s="133">
        <v>15.398618031630805</v>
      </c>
      <c r="EF26" s="133">
        <v>16.533987433986066</v>
      </c>
      <c r="EG26" s="133">
        <v>18.617328322173119</v>
      </c>
      <c r="EH26" s="134">
        <v>21.250203596190453</v>
      </c>
      <c r="EI26" s="133">
        <v>24.255421887883191</v>
      </c>
      <c r="EJ26" s="133">
        <v>27.311690823674425</v>
      </c>
      <c r="EK26" s="133">
        <v>29.325433746843931</v>
      </c>
      <c r="EL26" s="133">
        <v>31.191909835702766</v>
      </c>
      <c r="EM26" s="133">
        <v>33.511967222356454</v>
      </c>
      <c r="EN26" s="81"/>
      <c r="EO26" s="81">
        <v>27</v>
      </c>
      <c r="EP26" s="133">
        <v>16.525984321942367</v>
      </c>
      <c r="EQ26" s="133">
        <v>17.942240202159283</v>
      </c>
      <c r="ER26" s="133">
        <v>19.256999373837736</v>
      </c>
      <c r="ES26" s="133">
        <v>20.892844005595812</v>
      </c>
      <c r="ET26" s="133">
        <v>23.936792000166683</v>
      </c>
      <c r="EU26" s="134">
        <v>27.854991183641712</v>
      </c>
      <c r="EV26" s="133">
        <v>32.414558050859725</v>
      </c>
      <c r="EW26" s="133">
        <v>37.13714291998469</v>
      </c>
      <c r="EX26" s="133">
        <v>40.291870959651362</v>
      </c>
      <c r="EY26" s="133">
        <v>43.244351045271394</v>
      </c>
      <c r="EZ26" s="133">
        <v>46.950337040472419</v>
      </c>
      <c r="FA26" s="81"/>
      <c r="FB26" s="81">
        <v>25</v>
      </c>
      <c r="FC26" s="133">
        <v>7.183471930271538</v>
      </c>
      <c r="FD26" s="133">
        <v>8.044893374345202</v>
      </c>
      <c r="FE26" s="133">
        <v>8.8679413752311547</v>
      </c>
      <c r="FF26" s="133">
        <v>9.9219025673150991</v>
      </c>
      <c r="FG26" s="133">
        <v>11.966179751367905</v>
      </c>
      <c r="FH26" s="134">
        <v>14.744812732239236</v>
      </c>
      <c r="FI26" s="133">
        <v>18.168664270980159</v>
      </c>
      <c r="FJ26" s="133">
        <v>21.912077954181729</v>
      </c>
      <c r="FK26" s="133">
        <v>24.51634413326703</v>
      </c>
      <c r="FL26" s="133">
        <v>27.024534992858108</v>
      </c>
      <c r="FM26" s="133">
        <v>30.265240070421775</v>
      </c>
      <c r="FN26" s="81"/>
      <c r="FO26" s="81">
        <v>25</v>
      </c>
      <c r="FP26" s="133">
        <v>6.9868737354737709</v>
      </c>
      <c r="FQ26" s="133">
        <v>7.6819847570183679</v>
      </c>
      <c r="FR26" s="133">
        <v>8.3348834694889398</v>
      </c>
      <c r="FS26" s="133">
        <v>9.1567969965883762</v>
      </c>
      <c r="FT26" s="133">
        <v>10.712200498957559</v>
      </c>
      <c r="FU26" s="134">
        <v>12.759141609273101</v>
      </c>
      <c r="FV26" s="133">
        <v>15.197222514769622</v>
      </c>
      <c r="FW26" s="133">
        <v>17.778672462230862</v>
      </c>
      <c r="FX26" s="133">
        <v>19.531850109413242</v>
      </c>
      <c r="FY26" s="133">
        <v>21.191879410688987</v>
      </c>
      <c r="FZ26" s="133">
        <v>23.300219922243262</v>
      </c>
      <c r="GA26" s="81"/>
      <c r="GB26" s="81">
        <v>27</v>
      </c>
      <c r="GC26" s="133">
        <v>9.2091301448728569</v>
      </c>
      <c r="GD26" s="133">
        <v>10.158826805679736</v>
      </c>
      <c r="GE26" s="133">
        <v>11.05358889935192</v>
      </c>
      <c r="GF26" s="133">
        <v>12.183433459014585</v>
      </c>
      <c r="GG26" s="133">
        <v>14.331033331398631</v>
      </c>
      <c r="GH26" s="134">
        <v>17.173739254525785</v>
      </c>
      <c r="GI26" s="133">
        <v>20.58032475133847</v>
      </c>
      <c r="GJ26" s="133">
        <v>24.208062610151512</v>
      </c>
      <c r="GK26" s="133">
        <v>26.682494044964187</v>
      </c>
      <c r="GL26" s="133">
        <v>29.032616228632069</v>
      </c>
      <c r="GM26" s="133">
        <v>32.026620901502291</v>
      </c>
      <c r="GN26" s="81"/>
      <c r="GO26" s="81">
        <v>25</v>
      </c>
      <c r="GP26" s="133">
        <f t="shared" si="63"/>
        <v>0.40232753106921659</v>
      </c>
      <c r="GQ26" s="133">
        <f t="shared" si="64"/>
        <v>0.44130809729660175</v>
      </c>
      <c r="GR26" s="133">
        <f t="shared" si="65"/>
        <v>0.47212474589233738</v>
      </c>
      <c r="GS26" s="133">
        <f t="shared" si="351"/>
        <v>0.50519733709466208</v>
      </c>
      <c r="GT26" s="133">
        <f t="shared" si="352"/>
        <v>0.5571802480487984</v>
      </c>
      <c r="GU26" s="134">
        <f t="shared" si="353"/>
        <v>0.60692128159002057</v>
      </c>
      <c r="GV26" s="133">
        <f t="shared" si="354"/>
        <v>0.65267457403713269</v>
      </c>
      <c r="GW26" s="133">
        <f t="shared" si="66"/>
        <v>0.69313229249233499</v>
      </c>
      <c r="GX26" s="133">
        <f t="shared" si="67"/>
        <v>0.71557942377184769</v>
      </c>
      <c r="GY26" s="133">
        <f t="shared" si="68"/>
        <v>0.7344612540375357</v>
      </c>
      <c r="GZ26" s="133">
        <f t="shared" si="69"/>
        <v>0.7557881061391678</v>
      </c>
      <c r="HA26" s="81"/>
      <c r="HB26" s="81">
        <v>25</v>
      </c>
      <c r="HC26" s="133">
        <f t="shared" si="70"/>
        <v>0.37683125142187174</v>
      </c>
      <c r="HD26" s="133">
        <f t="shared" si="71"/>
        <v>0.4203907595728445</v>
      </c>
      <c r="HE26" s="133">
        <f t="shared" si="72"/>
        <v>0.45440589060660019</v>
      </c>
      <c r="HF26" s="133">
        <f t="shared" si="355"/>
        <v>0.49059771523982121</v>
      </c>
      <c r="HG26" s="133">
        <f t="shared" si="356"/>
        <v>0.54546313189605211</v>
      </c>
      <c r="HH26" s="134">
        <f t="shared" si="357"/>
        <v>0.6005271789950497</v>
      </c>
      <c r="HI26" s="133">
        <f t="shared" si="358"/>
        <v>0.65077994087519209</v>
      </c>
      <c r="HJ26" s="133">
        <f t="shared" si="73"/>
        <v>0.69265538629346846</v>
      </c>
      <c r="HK26" s="133">
        <f t="shared" si="74"/>
        <v>0.71654089456676384</v>
      </c>
      <c r="HL26" s="133">
        <f t="shared" si="75"/>
        <v>0.73660673688913314</v>
      </c>
      <c r="HM26" s="133">
        <f t="shared" si="76"/>
        <v>0.75924533493117097</v>
      </c>
      <c r="HN26" s="81"/>
      <c r="HO26" s="81">
        <v>27</v>
      </c>
      <c r="HP26" s="83">
        <f t="shared" si="77"/>
        <v>0.4333755448504944</v>
      </c>
      <c r="HQ26" s="83">
        <f t="shared" si="78"/>
        <v>0.46778463505816575</v>
      </c>
      <c r="HR26" s="83">
        <f t="shared" si="79"/>
        <v>0.49532804852375795</v>
      </c>
      <c r="HS26" s="83">
        <f t="shared" si="359"/>
        <v>0.52516001230521014</v>
      </c>
      <c r="HT26" s="83">
        <f t="shared" si="360"/>
        <v>0.57121482588671835</v>
      </c>
      <c r="HU26" s="84">
        <f t="shared" si="361"/>
        <v>0.61822352707456885</v>
      </c>
      <c r="HV26" s="83">
        <f t="shared" si="362"/>
        <v>0.6616553184791748</v>
      </c>
      <c r="HW26" s="83">
        <f t="shared" si="80"/>
        <v>0.69815431967512454</v>
      </c>
      <c r="HX26" s="83">
        <f t="shared" si="81"/>
        <v>0.71907818870150986</v>
      </c>
      <c r="HY26" s="83">
        <f t="shared" si="82"/>
        <v>0.73670800655945334</v>
      </c>
      <c r="HZ26" s="83">
        <f t="shared" si="83"/>
        <v>0.75665007818960528</v>
      </c>
      <c r="IA26" s="81"/>
      <c r="IB26" s="81">
        <v>25</v>
      </c>
      <c r="IC26" s="83">
        <f t="shared" si="84"/>
        <v>0.2881366963403349</v>
      </c>
      <c r="ID26" s="83">
        <f t="shared" si="85"/>
        <v>0.30716674559292434</v>
      </c>
      <c r="IE26" s="83">
        <f t="shared" si="86"/>
        <v>0.3213748553760678</v>
      </c>
      <c r="IF26" s="83">
        <f t="shared" si="363"/>
        <v>0.33594939058128737</v>
      </c>
      <c r="IG26" s="83">
        <f t="shared" si="364"/>
        <v>0.35711760599855452</v>
      </c>
      <c r="IH26" s="84">
        <f t="shared" si="365"/>
        <v>0.37739520620184192</v>
      </c>
      <c r="II26" s="83">
        <f t="shared" si="366"/>
        <v>0.39517117296128834</v>
      </c>
      <c r="IJ26" s="83">
        <f t="shared" si="87"/>
        <v>0.40951324200722805</v>
      </c>
      <c r="IK26" s="83">
        <f t="shared" si="88"/>
        <v>0.4175187228007855</v>
      </c>
      <c r="IL26" s="83">
        <f t="shared" si="89"/>
        <v>0.42415162996861622</v>
      </c>
      <c r="IM26" s="83">
        <f t="shared" si="90"/>
        <v>0.43153830992728087</v>
      </c>
      <c r="IN26" s="81"/>
      <c r="IO26" s="81">
        <v>25</v>
      </c>
      <c r="IP26" s="133">
        <f t="shared" si="91"/>
        <v>0.27468646023489013</v>
      </c>
      <c r="IQ26" s="133">
        <f t="shared" si="92"/>
        <v>0.29693840116191389</v>
      </c>
      <c r="IR26" s="133">
        <f t="shared" si="93"/>
        <v>0.31313673970886863</v>
      </c>
      <c r="IS26" s="133">
        <f t="shared" si="367"/>
        <v>0.32947833362486562</v>
      </c>
      <c r="IT26" s="133">
        <f t="shared" si="368"/>
        <v>0.35283834242323586</v>
      </c>
      <c r="IU26" s="134">
        <f t="shared" si="369"/>
        <v>0.37490432025136938</v>
      </c>
      <c r="IV26" s="133">
        <f t="shared" si="370"/>
        <v>0.39406070268702459</v>
      </c>
      <c r="IW26" s="133">
        <f t="shared" si="94"/>
        <v>0.40941643574059239</v>
      </c>
      <c r="IX26" s="133">
        <f t="shared" si="95"/>
        <v>0.4179552062786277</v>
      </c>
      <c r="IY26" s="133">
        <f t="shared" si="96"/>
        <v>0.42501438827665217</v>
      </c>
      <c r="IZ26" s="133">
        <f t="shared" si="97"/>
        <v>0.43286062884104043</v>
      </c>
      <c r="JA26" s="81"/>
      <c r="JB26" s="81">
        <v>27</v>
      </c>
      <c r="JC26" s="133">
        <f t="shared" si="98"/>
        <v>0.30363761963706537</v>
      </c>
      <c r="JD26" s="133">
        <f t="shared" si="99"/>
        <v>0.3196008340152251</v>
      </c>
      <c r="JE26" s="133">
        <f t="shared" si="100"/>
        <v>0.33181467214716553</v>
      </c>
      <c r="JF26" s="133">
        <f t="shared" si="371"/>
        <v>0.34456092582339459</v>
      </c>
      <c r="JG26" s="133">
        <f t="shared" si="372"/>
        <v>0.36339703821156755</v>
      </c>
      <c r="JH26" s="134">
        <f t="shared" si="373"/>
        <v>0.38173063308120481</v>
      </c>
      <c r="JI26" s="133">
        <f t="shared" si="374"/>
        <v>0.3979889670562109</v>
      </c>
      <c r="JJ26" s="133">
        <f t="shared" si="101"/>
        <v>0.41121112577451235</v>
      </c>
      <c r="JK26" s="133">
        <f t="shared" si="102"/>
        <v>0.41862654731543075</v>
      </c>
      <c r="JL26" s="133">
        <f t="shared" si="103"/>
        <v>0.42478770027864271</v>
      </c>
      <c r="JM26" s="133">
        <f t="shared" si="104"/>
        <v>0.43166592012593336</v>
      </c>
      <c r="JN26" s="81"/>
      <c r="JO26" s="81">
        <v>24</v>
      </c>
      <c r="JP26" s="133">
        <f t="shared" si="105"/>
        <v>-8.0058815037699631</v>
      </c>
      <c r="JQ26" s="133">
        <f t="shared" si="106"/>
        <v>-6.6341907540936766</v>
      </c>
      <c r="JR26" s="133">
        <f t="shared" si="107"/>
        <v>-5.4356355018610003</v>
      </c>
      <c r="JS26" s="133">
        <f t="shared" si="375"/>
        <v>-4.0333755508750819</v>
      </c>
      <c r="JT26" s="133">
        <f t="shared" si="376"/>
        <v>-1.6485833866937618</v>
      </c>
      <c r="JU26" s="134">
        <f t="shared" si="377"/>
        <v>1.0717285184154761</v>
      </c>
      <c r="JV26" s="133">
        <f t="shared" si="378"/>
        <v>3.8524748513923157</v>
      </c>
      <c r="JW26" s="133">
        <f t="shared" si="108"/>
        <v>6.3950656702472308</v>
      </c>
      <c r="JX26" s="133">
        <f t="shared" si="109"/>
        <v>7.9396635171051066</v>
      </c>
      <c r="JY26" s="133">
        <f t="shared" si="110"/>
        <v>9.2912538215646912</v>
      </c>
      <c r="JZ26" s="133">
        <f t="shared" si="111"/>
        <v>10.876205047128021</v>
      </c>
      <c r="KA26" s="81"/>
      <c r="KB26" s="81">
        <v>24</v>
      </c>
      <c r="KC26" s="133">
        <f t="shared" si="112"/>
        <v>-6.0873122244041378</v>
      </c>
      <c r="KD26" s="133">
        <f t="shared" si="113"/>
        <v>-5.006178989913308</v>
      </c>
      <c r="KE26" s="133">
        <f t="shared" si="114"/>
        <v>-4.0314146211032629</v>
      </c>
      <c r="KF26" s="133">
        <f t="shared" si="379"/>
        <v>-2.8586478416648529</v>
      </c>
      <c r="KG26" s="133">
        <f t="shared" si="380"/>
        <v>-0.79219862764215065</v>
      </c>
      <c r="KH26" s="134">
        <f t="shared" si="381"/>
        <v>1.6628835513879494</v>
      </c>
      <c r="KI26" s="133">
        <f t="shared" si="382"/>
        <v>4.2672636587052448</v>
      </c>
      <c r="KJ26" s="133">
        <f t="shared" si="115"/>
        <v>6.7233412748136576</v>
      </c>
      <c r="KK26" s="133">
        <f t="shared" si="116"/>
        <v>8.2473257768047521</v>
      </c>
      <c r="KL26" s="133">
        <f t="shared" si="117"/>
        <v>9.599470392749657</v>
      </c>
      <c r="KM26" s="133">
        <f t="shared" si="118"/>
        <v>11.206133343300133</v>
      </c>
      <c r="KN26" s="81"/>
      <c r="KO26" s="81">
        <v>26</v>
      </c>
      <c r="KP26" s="133">
        <f t="shared" si="119"/>
        <v>-9.5808244221102985</v>
      </c>
      <c r="KQ26" s="133">
        <f t="shared" si="120"/>
        <v>-7.9553592346929882</v>
      </c>
      <c r="KR26" s="133">
        <f t="shared" si="121"/>
        <v>-6.5671057811620948</v>
      </c>
      <c r="KS26" s="133">
        <f t="shared" si="383"/>
        <v>-4.9763880244035548</v>
      </c>
      <c r="KT26" s="133">
        <f t="shared" si="384"/>
        <v>-2.3433101954059943</v>
      </c>
      <c r="KU26" s="134">
        <f t="shared" si="385"/>
        <v>0.56549216353877441</v>
      </c>
      <c r="KV26" s="133">
        <f t="shared" si="386"/>
        <v>3.4508671716828303</v>
      </c>
      <c r="KW26" s="133">
        <f t="shared" si="122"/>
        <v>6.022215854958219</v>
      </c>
      <c r="KX26" s="133">
        <f t="shared" si="123"/>
        <v>7.5565224589428617</v>
      </c>
      <c r="KY26" s="133">
        <f t="shared" si="124"/>
        <v>8.8832983719989969</v>
      </c>
      <c r="KZ26" s="133">
        <f t="shared" si="125"/>
        <v>10.421542432337041</v>
      </c>
      <c r="LA26" s="81"/>
      <c r="LB26" s="81">
        <v>24</v>
      </c>
      <c r="LC26" s="133">
        <f t="shared" si="126"/>
        <v>-21.067095813596971</v>
      </c>
      <c r="LD26" s="133">
        <f t="shared" si="127"/>
        <v>-17.560572245916738</v>
      </c>
      <c r="LE26" s="133">
        <f t="shared" si="128"/>
        <v>-14.429888008662004</v>
      </c>
      <c r="LF26" s="133">
        <f t="shared" si="387"/>
        <v>-10.701441315339661</v>
      </c>
      <c r="LG26" s="133">
        <f t="shared" si="388"/>
        <v>-4.2272369545667274</v>
      </c>
      <c r="LH26" s="134">
        <f t="shared" si="389"/>
        <v>3.321786009836309</v>
      </c>
      <c r="LI26" s="133">
        <f t="shared" si="390"/>
        <v>11.181557735198808</v>
      </c>
      <c r="LJ26" s="133">
        <f t="shared" si="129"/>
        <v>18.471396545621865</v>
      </c>
      <c r="LK26" s="133">
        <f t="shared" si="130"/>
        <v>22.941174088745768</v>
      </c>
      <c r="LL26" s="133">
        <f t="shared" si="131"/>
        <v>26.875348001382761</v>
      </c>
      <c r="LM26" s="133">
        <f t="shared" si="132"/>
        <v>31.51385864328325</v>
      </c>
      <c r="LN26" s="81"/>
      <c r="LO26" s="81">
        <v>24</v>
      </c>
      <c r="LP26" s="133">
        <f t="shared" si="133"/>
        <v>-17.870865011847748</v>
      </c>
      <c r="LQ26" s="133">
        <f t="shared" si="134"/>
        <v>-14.569100538019178</v>
      </c>
      <c r="LR26" s="133">
        <f t="shared" si="135"/>
        <v>-11.600736148784712</v>
      </c>
      <c r="LS26" s="133">
        <f t="shared" si="391"/>
        <v>-8.0447903817024731</v>
      </c>
      <c r="LT26" s="133">
        <f t="shared" si="392"/>
        <v>-1.8260778571352851</v>
      </c>
      <c r="LU26" s="134">
        <f t="shared" si="393"/>
        <v>5.4818987896796649</v>
      </c>
      <c r="LV26" s="133">
        <f t="shared" si="394"/>
        <v>13.143003677902986</v>
      </c>
      <c r="LW26" s="133">
        <f t="shared" si="136"/>
        <v>20.288185364594323</v>
      </c>
      <c r="LX26" s="133">
        <f t="shared" si="137"/>
        <v>24.685691293085345</v>
      </c>
      <c r="LY26" s="133">
        <f t="shared" si="138"/>
        <v>28.565625436492819</v>
      </c>
      <c r="LZ26" s="133">
        <f t="shared" si="139"/>
        <v>33.15065875366939</v>
      </c>
      <c r="MA26" s="81"/>
      <c r="MB26" s="81">
        <v>26</v>
      </c>
      <c r="MC26" s="133">
        <f t="shared" si="140"/>
        <v>-22.40003506219152</v>
      </c>
      <c r="MD26" s="133">
        <f t="shared" si="141"/>
        <v>-18.829841719745875</v>
      </c>
      <c r="ME26" s="133">
        <f t="shared" si="142"/>
        <v>-15.683335829957016</v>
      </c>
      <c r="MF26" s="133">
        <f t="shared" si="395"/>
        <v>-11.979947629495289</v>
      </c>
      <c r="MG26" s="133">
        <f t="shared" si="396"/>
        <v>-5.6459801064089454</v>
      </c>
      <c r="MH26" s="134">
        <f t="shared" si="397"/>
        <v>1.6105724600517135</v>
      </c>
      <c r="MI26" s="133">
        <f t="shared" si="398"/>
        <v>9.0444727345393972</v>
      </c>
      <c r="MJ26" s="133">
        <f t="shared" si="143"/>
        <v>15.846233907953859</v>
      </c>
      <c r="MK26" s="133">
        <f t="shared" si="144"/>
        <v>19.977899768150607</v>
      </c>
      <c r="ML26" s="133">
        <f t="shared" si="145"/>
        <v>23.592251225941894</v>
      </c>
      <c r="MM26" s="133">
        <f t="shared" si="146"/>
        <v>27.828812542424259</v>
      </c>
      <c r="MN26" s="81"/>
      <c r="MO26" s="81">
        <v>24</v>
      </c>
      <c r="MP26" s="133">
        <f t="shared" si="147"/>
        <v>-26.973704126294585</v>
      </c>
      <c r="MQ26" s="133">
        <f t="shared" si="148"/>
        <v>-22.638925854781721</v>
      </c>
      <c r="MR26" s="133">
        <f t="shared" si="149"/>
        <v>-18.876041047932112</v>
      </c>
      <c r="MS26" s="133">
        <f t="shared" si="399"/>
        <v>-14.506500852102832</v>
      </c>
      <c r="MT26" s="133">
        <f t="shared" si="400"/>
        <v>-7.1583065154238028</v>
      </c>
      <c r="MU26" s="134">
        <f t="shared" si="401"/>
        <v>1.1008374055583445</v>
      </c>
      <c r="MV26" s="133">
        <f t="shared" si="402"/>
        <v>9.4181153542302027</v>
      </c>
      <c r="MW26" s="133">
        <f t="shared" si="150"/>
        <v>16.921550244110435</v>
      </c>
      <c r="MX26" s="133">
        <f t="shared" si="151"/>
        <v>21.43594630646183</v>
      </c>
      <c r="MY26" s="133">
        <f t="shared" si="152"/>
        <v>25.36060463616657</v>
      </c>
      <c r="MZ26" s="133">
        <f t="shared" si="153"/>
        <v>29.933807772558218</v>
      </c>
      <c r="NA26" s="81"/>
      <c r="NB26" s="81">
        <v>24</v>
      </c>
      <c r="NC26" s="133">
        <f t="shared" si="154"/>
        <v>-23.021592763525533</v>
      </c>
      <c r="ND26" s="133">
        <f t="shared" si="155"/>
        <v>-18.884384898434398</v>
      </c>
      <c r="NE26" s="133">
        <f t="shared" si="156"/>
        <v>-15.255096255553227</v>
      </c>
      <c r="NF26" s="133">
        <f t="shared" si="403"/>
        <v>-11.013519020788298</v>
      </c>
      <c r="NG26" s="133">
        <f t="shared" si="404"/>
        <v>-3.8364696717802573</v>
      </c>
      <c r="NH26" s="134">
        <f t="shared" si="405"/>
        <v>4.2755943118980433</v>
      </c>
      <c r="NI26" s="133">
        <f t="shared" si="406"/>
        <v>12.479304475333937</v>
      </c>
      <c r="NJ26" s="133">
        <f t="shared" si="157"/>
        <v>19.903200128654834</v>
      </c>
      <c r="NK26" s="133">
        <f t="shared" si="158"/>
        <v>24.378480251358024</v>
      </c>
      <c r="NL26" s="133">
        <f t="shared" si="159"/>
        <v>28.273852001598843</v>
      </c>
      <c r="NM26" s="133">
        <f t="shared" si="160"/>
        <v>32.817994260402756</v>
      </c>
      <c r="NN26" s="81"/>
      <c r="NO26" s="81">
        <v>26</v>
      </c>
      <c r="NP26" s="133">
        <f t="shared" si="161"/>
        <v>-27.610691178460343</v>
      </c>
      <c r="NQ26" s="133">
        <f t="shared" si="162"/>
        <v>-23.604611974716285</v>
      </c>
      <c r="NR26" s="133">
        <f t="shared" si="163"/>
        <v>-20.154235046615934</v>
      </c>
      <c r="NS26" s="133">
        <f t="shared" si="407"/>
        <v>-16.171788029231998</v>
      </c>
      <c r="NT26" s="133">
        <f t="shared" si="408"/>
        <v>-9.5201422280740537</v>
      </c>
      <c r="NU26" s="134">
        <f t="shared" si="409"/>
        <v>-2.0967645213827097</v>
      </c>
      <c r="NV26" s="133">
        <f t="shared" si="410"/>
        <v>5.3345758962218426</v>
      </c>
      <c r="NW26" s="133">
        <f t="shared" si="164"/>
        <v>12.007517432155055</v>
      </c>
      <c r="NX26" s="133">
        <f t="shared" si="165"/>
        <v>16.009881725477598</v>
      </c>
      <c r="NY26" s="133">
        <f t="shared" si="166"/>
        <v>19.482561623402503</v>
      </c>
      <c r="NZ26" s="133">
        <f t="shared" si="167"/>
        <v>23.521647469236939</v>
      </c>
      <c r="OA26" s="81"/>
      <c r="OB26" s="81">
        <v>24</v>
      </c>
      <c r="OC26" s="133">
        <v>15.781799276924671</v>
      </c>
      <c r="OD26" s="133">
        <v>17.540299274526149</v>
      </c>
      <c r="OE26" s="133">
        <v>19.208643192577231</v>
      </c>
      <c r="OF26" s="133">
        <v>21.330018357679887</v>
      </c>
      <c r="OG26" s="133">
        <v>25.402950915076818</v>
      </c>
      <c r="OH26" s="134">
        <v>30.865530346460005</v>
      </c>
      <c r="OI26" s="133">
        <v>37.502767562441761</v>
      </c>
      <c r="OJ26" s="133">
        <v>44.663860461481022</v>
      </c>
      <c r="OK26" s="133">
        <v>49.596473525854563</v>
      </c>
      <c r="OL26" s="133">
        <v>54.313837446994171</v>
      </c>
      <c r="OM26" s="133">
        <v>60.365801569989792</v>
      </c>
      <c r="ON26" s="81"/>
      <c r="OO26" s="81">
        <v>24</v>
      </c>
      <c r="OP26" s="133">
        <v>14.825887221894753</v>
      </c>
      <c r="OQ26" s="133">
        <v>16.351771397841858</v>
      </c>
      <c r="OR26" s="133">
        <v>17.789143568763507</v>
      </c>
      <c r="OS26" s="133">
        <v>19.603845736782844</v>
      </c>
      <c r="OT26" s="133">
        <v>25.331186046109352</v>
      </c>
      <c r="OU26" s="134">
        <v>27.615550930601913</v>
      </c>
      <c r="OV26" s="133">
        <v>33.082021759381391</v>
      </c>
      <c r="OW26" s="133">
        <v>38.901482058173983</v>
      </c>
      <c r="OX26" s="133">
        <v>42.86989141735711</v>
      </c>
      <c r="OY26" s="133">
        <v>46.638289800291609</v>
      </c>
      <c r="OZ26" s="133">
        <v>51.438314738725325</v>
      </c>
      <c r="PA26" s="81"/>
      <c r="PB26" s="81">
        <v>26</v>
      </c>
      <c r="PC26" s="133">
        <v>20.472160826595335</v>
      </c>
      <c r="PD26" s="133">
        <v>22.332486278535196</v>
      </c>
      <c r="PE26" s="133">
        <v>24.067125877094497</v>
      </c>
      <c r="PF26" s="133">
        <v>26.234927788059672</v>
      </c>
      <c r="PG26" s="133">
        <v>30.294410941613627</v>
      </c>
      <c r="PH26" s="134">
        <v>35.563548563232565</v>
      </c>
      <c r="PI26" s="133">
        <v>41.749152635678655</v>
      </c>
      <c r="PJ26" s="133">
        <v>48.20924214569537</v>
      </c>
      <c r="PK26" s="133">
        <v>52.551600588632056</v>
      </c>
      <c r="PL26" s="133">
        <v>56.633460808393181</v>
      </c>
      <c r="PM26" s="133">
        <v>61.779799266052393</v>
      </c>
      <c r="PN26" s="81"/>
      <c r="PO26" s="81">
        <v>24</v>
      </c>
      <c r="PP26" s="133">
        <v>7.8972326325806907</v>
      </c>
      <c r="PQ26" s="133">
        <v>8.6211894543588077</v>
      </c>
      <c r="PR26" s="133">
        <v>9.2966950385402409</v>
      </c>
      <c r="PS26" s="133">
        <v>10.14145838200885</v>
      </c>
      <c r="PT26" s="133">
        <v>11.724936598172578</v>
      </c>
      <c r="PU26" s="134">
        <v>13.782911626590213</v>
      </c>
      <c r="PV26" s="133">
        <v>16.202104916797918</v>
      </c>
      <c r="PW26" s="133">
        <v>18.73188704727162</v>
      </c>
      <c r="PX26" s="133">
        <v>20.433998546673259</v>
      </c>
      <c r="PY26" s="133">
        <v>22.035086215435047</v>
      </c>
      <c r="PZ26" s="133">
        <v>24.055091415525013</v>
      </c>
      <c r="QA26" s="81"/>
      <c r="QB26" s="81">
        <v>24</v>
      </c>
      <c r="QC26" s="133">
        <v>7.5874856317381942</v>
      </c>
      <c r="QD26" s="133">
        <v>8.2781915213122161</v>
      </c>
      <c r="QE26" s="133">
        <v>8.9223208460680254</v>
      </c>
      <c r="QF26" s="133">
        <v>9.7274081134284334</v>
      </c>
      <c r="QG26" s="133">
        <v>11.235333479623323</v>
      </c>
      <c r="QH26" s="134">
        <v>13.19310149581103</v>
      </c>
      <c r="QI26" s="133">
        <v>15.49201253300108</v>
      </c>
      <c r="QJ26" s="133">
        <v>17.893556541386264</v>
      </c>
      <c r="QK26" s="133">
        <v>19.508144806906007</v>
      </c>
      <c r="QL26" s="133">
        <v>21.026081195471107</v>
      </c>
      <c r="QM26" s="133">
        <v>22.94013267724592</v>
      </c>
      <c r="QN26" s="81"/>
      <c r="QO26" s="81">
        <v>26</v>
      </c>
      <c r="QP26" s="133">
        <v>8.8564088127531715</v>
      </c>
      <c r="QQ26" s="133">
        <v>9.6067584742781875</v>
      </c>
      <c r="QR26" s="133">
        <v>10.302753362568895</v>
      </c>
      <c r="QS26" s="133">
        <v>11.168000301449416</v>
      </c>
      <c r="QT26" s="133">
        <v>12.776105739956845</v>
      </c>
      <c r="QU26" s="134">
        <v>14.842816802052154</v>
      </c>
      <c r="QV26" s="133">
        <v>17.243846842177589</v>
      </c>
      <c r="QW26" s="133">
        <v>19.726827065960006</v>
      </c>
      <c r="QX26" s="133">
        <v>21.38352757425902</v>
      </c>
      <c r="QY26" s="133">
        <v>22.932731285912229</v>
      </c>
      <c r="QZ26" s="133">
        <v>24.875682150313338</v>
      </c>
      <c r="RA26" s="81"/>
      <c r="RB26" s="81">
        <v>24</v>
      </c>
      <c r="RC26" s="133">
        <f t="shared" si="168"/>
        <v>0.25725373855581635</v>
      </c>
      <c r="RD26" s="133">
        <f t="shared" si="169"/>
        <v>0.27874657968312727</v>
      </c>
      <c r="RE26" s="133">
        <f t="shared" si="170"/>
        <v>0.29890206992263413</v>
      </c>
      <c r="RF26" s="133">
        <f t="shared" si="411"/>
        <v>0.32426096517921693</v>
      </c>
      <c r="RG26" s="133">
        <f t="shared" si="412"/>
        <v>0.37230278060475352</v>
      </c>
      <c r="RH26" s="134">
        <f t="shared" si="413"/>
        <v>0.43582616204960689</v>
      </c>
      <c r="RI26" s="133">
        <f t="shared" si="414"/>
        <v>0.5121904837099166</v>
      </c>
      <c r="RJ26" s="133">
        <f t="shared" si="171"/>
        <v>0.59410044786953808</v>
      </c>
      <c r="RK26" s="133">
        <f t="shared" si="172"/>
        <v>0.65042853890595809</v>
      </c>
      <c r="RL26" s="133">
        <f t="shared" si="173"/>
        <v>0.70432163798745051</v>
      </c>
      <c r="RM26" s="133">
        <f t="shared" si="174"/>
        <v>0.77358506153700812</v>
      </c>
      <c r="RN26" s="81"/>
      <c r="RO26" s="81">
        <v>24</v>
      </c>
      <c r="RP26" s="133">
        <f t="shared" si="175"/>
        <v>0.28147298876856242</v>
      </c>
      <c r="RQ26" s="133">
        <f t="shared" si="176"/>
        <v>0.30265361835058963</v>
      </c>
      <c r="RR26" s="133">
        <f t="shared" si="177"/>
        <v>0.3224365181574686</v>
      </c>
      <c r="RS26" s="133">
        <f t="shared" si="415"/>
        <v>0.34723202488402322</v>
      </c>
      <c r="RT26" s="133">
        <f t="shared" si="416"/>
        <v>0.39396879926364925</v>
      </c>
      <c r="RU26" s="134">
        <f t="shared" si="417"/>
        <v>0.45540302446063941</v>
      </c>
      <c r="RV26" s="133">
        <f t="shared" si="418"/>
        <v>0.52887615581192782</v>
      </c>
      <c r="RW26" s="133">
        <f t="shared" si="178"/>
        <v>0.60738852504148866</v>
      </c>
      <c r="RX26" s="133">
        <f t="shared" si="179"/>
        <v>0.66126910659254146</v>
      </c>
      <c r="RY26" s="133">
        <f t="shared" si="180"/>
        <v>0.71276939612468371</v>
      </c>
      <c r="RZ26" s="133">
        <f t="shared" si="181"/>
        <v>0.77891858073816189</v>
      </c>
      <c r="SA26" s="81"/>
      <c r="SB26" s="81">
        <v>26</v>
      </c>
      <c r="SC26" s="133">
        <f t="shared" si="182"/>
        <v>0.24056022004435218</v>
      </c>
      <c r="SD26" s="133">
        <f t="shared" si="183"/>
        <v>0.26249588839778354</v>
      </c>
      <c r="SE26" s="133">
        <f t="shared" si="184"/>
        <v>0.28297746401624024</v>
      </c>
      <c r="SF26" s="133">
        <f t="shared" si="419"/>
        <v>0.30861073402878125</v>
      </c>
      <c r="SG26" s="133">
        <f t="shared" si="420"/>
        <v>0.35672030302556745</v>
      </c>
      <c r="SH26" s="134">
        <f t="shared" si="421"/>
        <v>0.4193669867506491</v>
      </c>
      <c r="SI26" s="133">
        <f t="shared" si="422"/>
        <v>0.49318374574426382</v>
      </c>
      <c r="SJ26" s="133">
        <f t="shared" si="185"/>
        <v>0.57057210051241747</v>
      </c>
      <c r="SK26" s="133">
        <f t="shared" si="186"/>
        <v>0.62275152058014815</v>
      </c>
      <c r="SL26" s="133">
        <f t="shared" si="187"/>
        <v>0.67191269207730564</v>
      </c>
      <c r="SM26" s="133">
        <f t="shared" si="188"/>
        <v>0.73404263868342268</v>
      </c>
      <c r="SN26" s="81"/>
      <c r="SO26" s="81">
        <v>24</v>
      </c>
      <c r="SP26" s="133">
        <f t="shared" si="189"/>
        <v>0.20367316967179958</v>
      </c>
      <c r="SQ26" s="133">
        <f t="shared" si="190"/>
        <v>0.21749525706374417</v>
      </c>
      <c r="SR26" s="133">
        <f t="shared" si="191"/>
        <v>0.22993324583852867</v>
      </c>
      <c r="SS26" s="133">
        <f t="shared" si="423"/>
        <v>0.24492446546478425</v>
      </c>
      <c r="ST26" s="133">
        <f t="shared" si="424"/>
        <v>0.2715422414522628</v>
      </c>
      <c r="SU26" s="134">
        <f t="shared" si="425"/>
        <v>0.30369405566316382</v>
      </c>
      <c r="SV26" s="133">
        <f t="shared" si="426"/>
        <v>0.3386078907607844</v>
      </c>
      <c r="SW26" s="133">
        <f t="shared" si="192"/>
        <v>0.37240819323658747</v>
      </c>
      <c r="SX26" s="133">
        <f t="shared" si="193"/>
        <v>0.39384148652184953</v>
      </c>
      <c r="SY26" s="133">
        <f t="shared" si="194"/>
        <v>0.41316633565512628</v>
      </c>
      <c r="SZ26" s="133">
        <f t="shared" si="195"/>
        <v>0.43651652703203797</v>
      </c>
      <c r="TA26" s="81"/>
      <c r="TB26" s="81">
        <v>24</v>
      </c>
      <c r="TC26" s="133">
        <f t="shared" si="196"/>
        <v>0.21910860066887333</v>
      </c>
      <c r="TD26" s="133">
        <f t="shared" si="197"/>
        <v>0.23211915306653194</v>
      </c>
      <c r="TE26" s="133">
        <f t="shared" si="198"/>
        <v>0.24381327920301757</v>
      </c>
      <c r="TF26" s="133">
        <f t="shared" si="427"/>
        <v>0.25789559299934761</v>
      </c>
      <c r="TG26" s="133">
        <f t="shared" si="428"/>
        <v>0.28287992892190367</v>
      </c>
      <c r="TH26" s="134">
        <f t="shared" si="429"/>
        <v>0.31304994454306101</v>
      </c>
      <c r="TI26" s="133">
        <f t="shared" si="430"/>
        <v>0.34582986330530141</v>
      </c>
      <c r="TJ26" s="133">
        <f t="shared" si="199"/>
        <v>0.37760459857464213</v>
      </c>
      <c r="TK26" s="133">
        <f t="shared" si="200"/>
        <v>0.39778151640796339</v>
      </c>
      <c r="TL26" s="133">
        <f t="shared" si="201"/>
        <v>0.41599546228235035</v>
      </c>
      <c r="TM26" s="133">
        <f t="shared" si="202"/>
        <v>0.43803382785646805</v>
      </c>
      <c r="TN26" s="81"/>
      <c r="TO26" s="81">
        <v>26</v>
      </c>
      <c r="TP26" s="133">
        <f t="shared" si="203"/>
        <v>0.19266184381275667</v>
      </c>
      <c r="TQ26" s="133">
        <f t="shared" si="204"/>
        <v>0.20724329341691622</v>
      </c>
      <c r="TR26" s="133">
        <f t="shared" si="205"/>
        <v>0.22026512467326462</v>
      </c>
      <c r="TS26" s="133">
        <f t="shared" si="431"/>
        <v>0.2358352348676174</v>
      </c>
      <c r="TT26" s="133">
        <f t="shared" si="432"/>
        <v>0.26314947176959746</v>
      </c>
      <c r="TU26" s="134">
        <f t="shared" si="433"/>
        <v>0.29559373842545322</v>
      </c>
      <c r="TV26" s="133">
        <f t="shared" si="434"/>
        <v>0.33017647198390143</v>
      </c>
      <c r="TW26" s="133">
        <f t="shared" si="206"/>
        <v>0.36304845063197777</v>
      </c>
      <c r="TX26" s="133">
        <f t="shared" si="207"/>
        <v>0.38359935108928456</v>
      </c>
      <c r="TY26" s="133">
        <f t="shared" si="208"/>
        <v>0.40194168834474359</v>
      </c>
      <c r="TZ26" s="133">
        <f t="shared" si="209"/>
        <v>0.42387704994491077</v>
      </c>
      <c r="UA26" s="81"/>
      <c r="UB26" s="81">
        <v>24</v>
      </c>
      <c r="UC26" s="133">
        <f t="shared" si="210"/>
        <v>-28.472023305484171</v>
      </c>
      <c r="UD26" s="133">
        <f t="shared" si="211"/>
        <v>-24.780079218202879</v>
      </c>
      <c r="UE26" s="133">
        <f t="shared" si="212"/>
        <v>-21.718224074652241</v>
      </c>
      <c r="UF26" s="133">
        <f t="shared" si="435"/>
        <v>-18.299714776474268</v>
      </c>
      <c r="UG26" s="133">
        <f t="shared" si="436"/>
        <v>-12.822738819299417</v>
      </c>
      <c r="UH26" s="134">
        <f t="shared" si="437"/>
        <v>-6.994742886743623</v>
      </c>
      <c r="UI26" s="133">
        <f t="shared" si="438"/>
        <v>-1.4073535058069524</v>
      </c>
      <c r="UJ26" s="133">
        <f t="shared" si="213"/>
        <v>3.4324983217549772</v>
      </c>
      <c r="UK26" s="133">
        <f t="shared" si="214"/>
        <v>6.2646477017673305</v>
      </c>
      <c r="UL26" s="133">
        <f t="shared" si="215"/>
        <v>8.6827943109399683</v>
      </c>
      <c r="UM26" s="133">
        <f t="shared" si="216"/>
        <v>11.452639352234968</v>
      </c>
      <c r="UN26" s="81"/>
      <c r="UO26" s="81">
        <v>24</v>
      </c>
      <c r="UP26" s="133">
        <f t="shared" si="217"/>
        <v>-23.983662469394687</v>
      </c>
      <c r="UQ26" s="133">
        <f t="shared" si="218"/>
        <v>-21.054554405683263</v>
      </c>
      <c r="UR26" s="133">
        <f t="shared" si="219"/>
        <v>-18.54611811971337</v>
      </c>
      <c r="US26" s="133">
        <f t="shared" si="439"/>
        <v>-15.664088267684619</v>
      </c>
      <c r="UT26" s="133">
        <f t="shared" si="440"/>
        <v>-10.875886490281189</v>
      </c>
      <c r="UU26" s="134">
        <f t="shared" si="441"/>
        <v>-5.5622709296393147</v>
      </c>
      <c r="UV26" s="133">
        <f t="shared" si="442"/>
        <v>-0.26855723392443309</v>
      </c>
      <c r="UW26" s="133">
        <f t="shared" si="220"/>
        <v>4.4666807342890422</v>
      </c>
      <c r="UX26" s="133">
        <f t="shared" si="221"/>
        <v>7.2995696588563348</v>
      </c>
      <c r="UY26" s="133">
        <f t="shared" si="222"/>
        <v>9.7535209033335235</v>
      </c>
      <c r="UZ26" s="133">
        <f t="shared" si="223"/>
        <v>12.603325396996361</v>
      </c>
      <c r="VA26" s="81"/>
      <c r="VB26" s="81">
        <v>27</v>
      </c>
      <c r="VC26" s="133">
        <f t="shared" si="224"/>
        <v>-30.323110322138724</v>
      </c>
      <c r="VD26" s="133">
        <f t="shared" si="225"/>
        <v>-26.122494343195953</v>
      </c>
      <c r="VE26" s="133">
        <f t="shared" si="226"/>
        <v>-22.735616039330317</v>
      </c>
      <c r="VF26" s="133">
        <f t="shared" si="443"/>
        <v>-19.039205839166662</v>
      </c>
      <c r="VG26" s="133">
        <f t="shared" si="444"/>
        <v>-13.270181866045718</v>
      </c>
      <c r="VH26" s="134">
        <f t="shared" si="445"/>
        <v>-7.2992267176103311</v>
      </c>
      <c r="VI26" s="133">
        <f t="shared" si="446"/>
        <v>-1.7066095045487657</v>
      </c>
      <c r="VJ26" s="133">
        <f t="shared" si="227"/>
        <v>3.0500890540153449</v>
      </c>
      <c r="VK26" s="133">
        <f t="shared" si="228"/>
        <v>5.8003061145606836</v>
      </c>
      <c r="VL26" s="133">
        <f t="shared" si="229"/>
        <v>8.1306891575686961</v>
      </c>
      <c r="VM26" s="133">
        <f t="shared" si="230"/>
        <v>10.781116139875408</v>
      </c>
      <c r="VN26" s="81"/>
      <c r="VO26" s="81">
        <v>24</v>
      </c>
      <c r="VP26" s="133">
        <f t="shared" si="231"/>
        <v>-45.951908878363064</v>
      </c>
      <c r="VQ26" s="133">
        <f t="shared" si="232"/>
        <v>-42.415798047519182</v>
      </c>
      <c r="VR26" s="133">
        <f t="shared" si="233"/>
        <v>-38.99738457314308</v>
      </c>
      <c r="VS26" s="133">
        <f t="shared" si="447"/>
        <v>-34.642504836961635</v>
      </c>
      <c r="VT26" s="133">
        <f t="shared" si="448"/>
        <v>-26.437113378610029</v>
      </c>
      <c r="VU26" s="134">
        <f t="shared" si="449"/>
        <v>-15.974196409897957</v>
      </c>
      <c r="VV26" s="133">
        <f t="shared" si="450"/>
        <v>-4.192092712493185</v>
      </c>
      <c r="VW26" s="133">
        <f t="shared" si="234"/>
        <v>7.4533959585467429</v>
      </c>
      <c r="VX26" s="133">
        <f t="shared" si="235"/>
        <v>14.906134635782699</v>
      </c>
      <c r="VY26" s="133">
        <f t="shared" si="236"/>
        <v>21.650145956023572</v>
      </c>
      <c r="VZ26" s="133">
        <f t="shared" si="237"/>
        <v>29.812814025138231</v>
      </c>
      <c r="WA26" s="81"/>
      <c r="WB26" s="81">
        <v>24</v>
      </c>
      <c r="WC26" s="133">
        <f t="shared" si="238"/>
        <v>-42.565944492877172</v>
      </c>
      <c r="WD26" s="133">
        <f t="shared" si="239"/>
        <v>-39.318411856005142</v>
      </c>
      <c r="WE26" s="133">
        <f t="shared" si="240"/>
        <v>-36.096764368841008</v>
      </c>
      <c r="WF26" s="133">
        <f t="shared" si="451"/>
        <v>-31.915955455712581</v>
      </c>
      <c r="WG26" s="133">
        <f t="shared" si="452"/>
        <v>-23.887642057812279</v>
      </c>
      <c r="WH26" s="134">
        <f t="shared" si="453"/>
        <v>-13.471580199995664</v>
      </c>
      <c r="WI26" s="133">
        <f t="shared" si="454"/>
        <v>-1.5921102831530689</v>
      </c>
      <c r="WJ26" s="133">
        <f t="shared" si="241"/>
        <v>10.254637178246767</v>
      </c>
      <c r="WK26" s="133">
        <f t="shared" si="242"/>
        <v>17.87705643777597</v>
      </c>
      <c r="WL26" s="133">
        <f t="shared" si="243"/>
        <v>24.796979496328667</v>
      </c>
      <c r="WM26" s="133">
        <f t="shared" si="244"/>
        <v>33.196904467337539</v>
      </c>
      <c r="WN26" s="81"/>
      <c r="WO26" s="81">
        <v>27</v>
      </c>
      <c r="WP26" s="133">
        <f t="shared" si="245"/>
        <v>-46.760181776541629</v>
      </c>
      <c r="WQ26" s="133">
        <f t="shared" si="246"/>
        <v>-42.9697229962755</v>
      </c>
      <c r="WR26" s="133">
        <f t="shared" si="247"/>
        <v>-39.346016854047875</v>
      </c>
      <c r="WS26" s="133">
        <f t="shared" si="455"/>
        <v>-34.789278326284759</v>
      </c>
      <c r="WT26" s="133">
        <f t="shared" si="456"/>
        <v>-26.367928681749159</v>
      </c>
      <c r="WU26" s="134">
        <f t="shared" si="457"/>
        <v>-15.889975764522859</v>
      </c>
      <c r="WV26" s="133">
        <f t="shared" si="458"/>
        <v>-4.3705247321114129</v>
      </c>
      <c r="WW26" s="133">
        <f t="shared" si="248"/>
        <v>6.7801775551165377</v>
      </c>
      <c r="WX26" s="133">
        <f t="shared" si="249"/>
        <v>13.812504189532</v>
      </c>
      <c r="WY26" s="133">
        <f t="shared" si="250"/>
        <v>20.114379682737216</v>
      </c>
      <c r="WZ26" s="133">
        <f t="shared" si="251"/>
        <v>27.67062822815263</v>
      </c>
      <c r="XA26" s="81"/>
      <c r="XB26" s="81">
        <v>24</v>
      </c>
      <c r="XC26" s="133">
        <f t="shared" si="252"/>
        <v>-50.907205810888463</v>
      </c>
      <c r="XD26" s="133">
        <f t="shared" si="253"/>
        <v>-46.827995197196167</v>
      </c>
      <c r="XE26" s="133">
        <f t="shared" si="254"/>
        <v>-42.91970373971207</v>
      </c>
      <c r="XF26" s="133">
        <f t="shared" si="459"/>
        <v>-38.042472235689203</v>
      </c>
      <c r="XG26" s="133">
        <f t="shared" si="460"/>
        <v>-29.174289834220289</v>
      </c>
      <c r="XH26" s="134">
        <f t="shared" si="461"/>
        <v>-18.393894510930721</v>
      </c>
      <c r="XI26" s="133">
        <f t="shared" si="462"/>
        <v>-6.8191679054180483</v>
      </c>
      <c r="XJ26" s="133">
        <f t="shared" si="255"/>
        <v>4.154002818154197</v>
      </c>
      <c r="XK26" s="133">
        <f t="shared" si="256"/>
        <v>10.973655111935422</v>
      </c>
      <c r="XL26" s="133">
        <f t="shared" si="257"/>
        <v>17.025738893502016</v>
      </c>
      <c r="XM26" s="133">
        <f t="shared" si="258"/>
        <v>24.214825897770872</v>
      </c>
      <c r="XN26" s="81"/>
      <c r="XO26" s="81">
        <v>24</v>
      </c>
      <c r="XP26" s="133">
        <f t="shared" si="259"/>
        <v>-47.395619040332953</v>
      </c>
      <c r="XQ26" s="133">
        <f t="shared" si="260"/>
        <v>-43.277936876900384</v>
      </c>
      <c r="XR26" s="133">
        <f t="shared" si="261"/>
        <v>-39.342898485684437</v>
      </c>
      <c r="XS26" s="133">
        <f t="shared" si="463"/>
        <v>-34.451043037776309</v>
      </c>
      <c r="XT26" s="133">
        <f t="shared" si="464"/>
        <v>-25.604704767292422</v>
      </c>
      <c r="XU26" s="134">
        <f t="shared" si="465"/>
        <v>-14.919767086959297</v>
      </c>
      <c r="XV26" s="133">
        <f t="shared" si="466"/>
        <v>-3.5141098522444523</v>
      </c>
      <c r="XW26" s="133">
        <f t="shared" si="262"/>
        <v>7.247195426460344</v>
      </c>
      <c r="XX26" s="133">
        <f t="shared" si="263"/>
        <v>13.913582823482294</v>
      </c>
      <c r="XY26" s="133">
        <f t="shared" si="264"/>
        <v>19.817266899277861</v>
      </c>
      <c r="XZ26" s="133">
        <f t="shared" si="265"/>
        <v>26.816175461077854</v>
      </c>
      <c r="YA26" s="81"/>
      <c r="YB26" s="81">
        <v>27</v>
      </c>
      <c r="YC26" s="133">
        <f t="shared" si="266"/>
        <v>-52.111675956080539</v>
      </c>
      <c r="YD26" s="133">
        <f t="shared" si="267"/>
        <v>-47.904569819791547</v>
      </c>
      <c r="YE26" s="133">
        <f t="shared" si="268"/>
        <v>-43.893294845877236</v>
      </c>
      <c r="YF26" s="133">
        <f t="shared" si="467"/>
        <v>-38.930199284574343</v>
      </c>
      <c r="YG26" s="133">
        <f t="shared" si="468"/>
        <v>-30.017057192062438</v>
      </c>
      <c r="YH26" s="134">
        <f t="shared" si="469"/>
        <v>-19.339115889908228</v>
      </c>
      <c r="YI26" s="133">
        <f t="shared" si="470"/>
        <v>-8.0246679271519525</v>
      </c>
      <c r="YJ26" s="133">
        <f t="shared" si="269"/>
        <v>2.5863803921024555</v>
      </c>
      <c r="YK26" s="133">
        <f t="shared" si="270"/>
        <v>9.1330045804715283</v>
      </c>
      <c r="YL26" s="133">
        <f t="shared" si="271"/>
        <v>14.915401637473444</v>
      </c>
      <c r="YM26" s="133">
        <f t="shared" si="272"/>
        <v>21.753504369943123</v>
      </c>
      <c r="YN26" s="81"/>
      <c r="YO26" s="81">
        <v>24</v>
      </c>
      <c r="YP26" s="133">
        <v>19.945969741656615</v>
      </c>
      <c r="YQ26" s="133">
        <v>22.423617802570263</v>
      </c>
      <c r="YR26" s="133">
        <v>24.799326015383063</v>
      </c>
      <c r="YS26" s="133">
        <v>27.852401885331247</v>
      </c>
      <c r="YT26" s="133">
        <v>33.804674700440927</v>
      </c>
      <c r="YU26" s="134">
        <v>41.949769070166639</v>
      </c>
      <c r="YV26" s="133">
        <v>52.057389714131929</v>
      </c>
      <c r="YW26" s="133">
        <v>63.182454866383253</v>
      </c>
      <c r="YX26" s="133">
        <v>70.960925468245136</v>
      </c>
      <c r="YY26" s="133">
        <v>78.479001048555048</v>
      </c>
      <c r="YZ26" s="133">
        <v>88.227503993704062</v>
      </c>
      <c r="ZA26" s="81"/>
      <c r="ZB26" s="81">
        <v>24</v>
      </c>
      <c r="ZC26" s="133">
        <v>17.535676847932727</v>
      </c>
      <c r="ZD26" s="133">
        <v>19.873017693799465</v>
      </c>
      <c r="ZE26" s="133">
        <v>22.130960121558932</v>
      </c>
      <c r="ZF26" s="133">
        <v>25.054424164522278</v>
      </c>
      <c r="ZG26" s="133">
        <v>30.81575075166705</v>
      </c>
      <c r="ZH26" s="134">
        <v>38.81159202727256</v>
      </c>
      <c r="ZI26" s="133">
        <v>48.882134588590468</v>
      </c>
      <c r="ZJ26" s="133">
        <v>60.122701914836384</v>
      </c>
      <c r="ZK26" s="133">
        <v>68.064813610325103</v>
      </c>
      <c r="ZL26" s="133">
        <v>75.798235522199334</v>
      </c>
      <c r="ZM26" s="133">
        <v>85.901427629754025</v>
      </c>
      <c r="ZN26" s="81"/>
      <c r="ZO26" s="81">
        <v>27</v>
      </c>
      <c r="ZP26" s="133">
        <v>22.627201095186777</v>
      </c>
      <c r="ZQ26" s="133">
        <v>25.128350987641483</v>
      </c>
      <c r="ZR26" s="133">
        <v>27.499510090448595</v>
      </c>
      <c r="ZS26" s="133">
        <v>30.512309973946941</v>
      </c>
      <c r="ZT26" s="133">
        <v>36.290545182875441</v>
      </c>
      <c r="ZU26" s="134">
        <v>44.029392742435022</v>
      </c>
      <c r="ZV26" s="133">
        <v>53.418525830864581</v>
      </c>
      <c r="ZW26" s="133">
        <v>63.534600524275632</v>
      </c>
      <c r="ZX26" s="133">
        <v>70.495344058544461</v>
      </c>
      <c r="ZY26" s="133">
        <v>77.147419113216685</v>
      </c>
      <c r="ZZ26" s="133">
        <v>85.675087126881209</v>
      </c>
      <c r="AAA26" s="81"/>
      <c r="AAB26" s="81">
        <v>24</v>
      </c>
      <c r="AAC26" s="133">
        <v>8.4852510173765285</v>
      </c>
      <c r="AAD26" s="133">
        <v>9.4125450115404874</v>
      </c>
      <c r="AAE26" s="133">
        <v>10.290724103578267</v>
      </c>
      <c r="AAF26" s="133">
        <v>11.40537089200182</v>
      </c>
      <c r="AAG26" s="133">
        <v>13.539916753819911</v>
      </c>
      <c r="AAH26" s="134">
        <v>16.393072008277517</v>
      </c>
      <c r="AAI26" s="133">
        <v>19.847449194453603</v>
      </c>
      <c r="AAJ26" s="133">
        <v>23.561952733779535</v>
      </c>
      <c r="AAK26" s="133">
        <v>26.114081687908484</v>
      </c>
      <c r="AAL26" s="133">
        <v>28.550493999134691</v>
      </c>
      <c r="AAM26" s="133">
        <v>31.670578668591773</v>
      </c>
      <c r="AAN26" s="81"/>
      <c r="AAO26" s="81">
        <v>24</v>
      </c>
      <c r="AAP26" s="133">
        <v>7.8025095035306196</v>
      </c>
      <c r="AAQ26" s="133">
        <v>8.71478996450581</v>
      </c>
      <c r="AAR26" s="133">
        <v>9.5842683791506076</v>
      </c>
      <c r="AAS26" s="133">
        <v>10.694921994503565</v>
      </c>
      <c r="AAT26" s="133">
        <v>12.841446920522293</v>
      </c>
      <c r="AAU26" s="134">
        <v>15.745373841169828</v>
      </c>
      <c r="AAV26" s="133">
        <v>19.305986228233522</v>
      </c>
      <c r="AAW26" s="133">
        <v>23.180795290101866</v>
      </c>
      <c r="AAX26" s="133">
        <v>25.867055010428093</v>
      </c>
      <c r="AAY26" s="133">
        <v>28.447822426923373</v>
      </c>
      <c r="AAZ26" s="133">
        <v>31.773982112551518</v>
      </c>
      <c r="ABA26" s="81"/>
      <c r="ABB26" s="81">
        <v>27</v>
      </c>
      <c r="ABC26" s="133">
        <v>9.5563850075299026</v>
      </c>
      <c r="ABD26" s="133">
        <v>10.501699383608011</v>
      </c>
      <c r="ABE26" s="133">
        <v>11.389181222700742</v>
      </c>
      <c r="ABF26" s="133">
        <v>12.505868114263961</v>
      </c>
      <c r="ABG26" s="133">
        <v>14.617645535648236</v>
      </c>
      <c r="ABH26" s="134">
        <v>17.39426545003009</v>
      </c>
      <c r="ABI26" s="133">
        <v>20.698303964770012</v>
      </c>
      <c r="ABJ26" s="133">
        <v>24.193480035265658</v>
      </c>
      <c r="ABK26" s="133">
        <v>26.56560332388527</v>
      </c>
      <c r="ABL26" s="133">
        <v>28.810620023876695</v>
      </c>
      <c r="ABM26" s="133">
        <v>31.66055682224081</v>
      </c>
      <c r="ABN26" s="81"/>
      <c r="ABO26" s="81">
        <v>24</v>
      </c>
      <c r="ABP26" s="133">
        <f t="shared" si="273"/>
        <v>0.18479968557560078</v>
      </c>
      <c r="ABQ26" s="133">
        <f t="shared" si="274"/>
        <v>0.21005779171472258</v>
      </c>
      <c r="ABR26" s="133">
        <f t="shared" si="275"/>
        <v>0.23371796871260289</v>
      </c>
      <c r="ABS26" s="133">
        <f t="shared" si="471"/>
        <v>0.26334301840974517</v>
      </c>
      <c r="ABT26" s="133">
        <f t="shared" si="472"/>
        <v>0.3187265665586666</v>
      </c>
      <c r="ABU26" s="134">
        <f t="shared" si="473"/>
        <v>0.38996533067482192</v>
      </c>
      <c r="ABV26" s="133">
        <f t="shared" si="474"/>
        <v>0.47216271051352632</v>
      </c>
      <c r="ABW26" s="133">
        <f t="shared" si="276"/>
        <v>0.55605952279134263</v>
      </c>
      <c r="ABX26" s="133">
        <f t="shared" si="277"/>
        <v>0.61127779432298668</v>
      </c>
      <c r="ABY26" s="133">
        <f t="shared" si="278"/>
        <v>0.66231853077884706</v>
      </c>
      <c r="ABZ26" s="133">
        <f t="shared" si="279"/>
        <v>0.72549267056531053</v>
      </c>
      <c r="ACA26" s="81"/>
      <c r="ACB26" s="81">
        <v>24</v>
      </c>
      <c r="ACC26" s="133">
        <f t="shared" si="280"/>
        <v>0.19872166727834148</v>
      </c>
      <c r="ACD26" s="133">
        <f t="shared" si="281"/>
        <v>0.22297616425812974</v>
      </c>
      <c r="ACE26" s="133">
        <f t="shared" si="282"/>
        <v>0.24582856734587341</v>
      </c>
      <c r="ACF26" s="133">
        <f t="shared" si="475"/>
        <v>0.27464651411570123</v>
      </c>
      <c r="ACG26" s="133">
        <f t="shared" si="476"/>
        <v>0.32918903934550231</v>
      </c>
      <c r="ACH26" s="134">
        <f t="shared" si="477"/>
        <v>0.40070695188722444</v>
      </c>
      <c r="ACI26" s="133">
        <f t="shared" si="478"/>
        <v>0.48518267219333194</v>
      </c>
      <c r="ACJ26" s="133">
        <f t="shared" si="283"/>
        <v>0.57356409380409201</v>
      </c>
      <c r="ACK26" s="133">
        <f t="shared" si="284"/>
        <v>0.63290765311764507</v>
      </c>
      <c r="ACL26" s="133">
        <f t="shared" si="285"/>
        <v>0.68857642200139557</v>
      </c>
      <c r="ACM26" s="133">
        <f t="shared" si="286"/>
        <v>0.75854487402665594</v>
      </c>
      <c r="ACN26" s="81"/>
      <c r="ACO26" s="81">
        <v>27</v>
      </c>
      <c r="ACP26" s="133">
        <f t="shared" si="287"/>
        <v>0.17946423195808939</v>
      </c>
      <c r="ACQ26" s="133">
        <f t="shared" si="288"/>
        <v>0.20795003575685411</v>
      </c>
      <c r="ACR26" s="133">
        <f t="shared" si="289"/>
        <v>0.23418428633486049</v>
      </c>
      <c r="ACS26" s="133">
        <f t="shared" si="479"/>
        <v>0.26643032879767559</v>
      </c>
      <c r="ACT26" s="133">
        <f t="shared" si="480"/>
        <v>0.32506245329500116</v>
      </c>
      <c r="ACU26" s="134">
        <f t="shared" si="481"/>
        <v>0.39740332593267225</v>
      </c>
      <c r="ACV26" s="133">
        <f t="shared" si="482"/>
        <v>0.47726175335035015</v>
      </c>
      <c r="ACW26" s="133">
        <f t="shared" si="290"/>
        <v>0.55547144756226019</v>
      </c>
      <c r="ACX26" s="133">
        <f t="shared" si="291"/>
        <v>0.60525246912676589</v>
      </c>
      <c r="ACY26" s="133">
        <f t="shared" si="292"/>
        <v>0.65021737310893124</v>
      </c>
      <c r="ACZ26" s="133">
        <f t="shared" si="293"/>
        <v>0.70459177044682419</v>
      </c>
      <c r="ADA26" s="81"/>
      <c r="ADB26" s="81">
        <v>24</v>
      </c>
      <c r="ADC26" s="133">
        <f t="shared" si="294"/>
        <v>0.15436112364865109</v>
      </c>
      <c r="ADD26" s="133">
        <f t="shared" si="295"/>
        <v>0.173109453189844</v>
      </c>
      <c r="ADE26" s="133">
        <f t="shared" si="296"/>
        <v>0.18961014411278351</v>
      </c>
      <c r="ADF26" s="133">
        <f t="shared" si="483"/>
        <v>0.20904279253001165</v>
      </c>
      <c r="ADG26" s="133">
        <f t="shared" si="484"/>
        <v>0.24237459596363828</v>
      </c>
      <c r="ADH26" s="134">
        <f t="shared" si="485"/>
        <v>0.28077953653278748</v>
      </c>
      <c r="ADI26" s="133">
        <f t="shared" si="486"/>
        <v>0.32040673440519241</v>
      </c>
      <c r="ADJ26" s="133">
        <f t="shared" si="297"/>
        <v>0.35692923786070091</v>
      </c>
      <c r="ADK26" s="133">
        <f t="shared" si="298"/>
        <v>0.37923911080504613</v>
      </c>
      <c r="ADL26" s="133">
        <f t="shared" si="299"/>
        <v>0.39883237068429767</v>
      </c>
      <c r="ADM26" s="133">
        <f t="shared" si="300"/>
        <v>0.42188882662837135</v>
      </c>
      <c r="ADN26" s="81"/>
      <c r="ADO26" s="81">
        <v>24</v>
      </c>
      <c r="ADP26" s="133">
        <f t="shared" si="301"/>
        <v>0.16479287568169165</v>
      </c>
      <c r="ADQ26" s="133">
        <f t="shared" si="302"/>
        <v>0.18217631477669927</v>
      </c>
      <c r="ADR26" s="133">
        <f t="shared" si="303"/>
        <v>0.19766827488139338</v>
      </c>
      <c r="ADS26" s="133">
        <f t="shared" si="487"/>
        <v>0.21613875555295786</v>
      </c>
      <c r="ADT26" s="133">
        <f t="shared" si="488"/>
        <v>0.24837063455699149</v>
      </c>
      <c r="ADU26" s="134">
        <f t="shared" si="489"/>
        <v>0.28633276480660352</v>
      </c>
      <c r="ADV26" s="133">
        <f t="shared" si="490"/>
        <v>0.32637933179610246</v>
      </c>
      <c r="ADW26" s="133">
        <f t="shared" si="304"/>
        <v>0.3640347651163498</v>
      </c>
      <c r="ADX26" s="133">
        <f t="shared" si="305"/>
        <v>0.38737350724807407</v>
      </c>
      <c r="ADY26" s="133">
        <f t="shared" si="306"/>
        <v>0.40807394499019978</v>
      </c>
      <c r="ADZ26" s="133">
        <f t="shared" si="307"/>
        <v>0.43267056204889404</v>
      </c>
      <c r="AEA26" s="81"/>
      <c r="AEB26" s="81">
        <v>27</v>
      </c>
      <c r="AEC26" s="133">
        <f t="shared" si="308"/>
        <v>0.15059345888879885</v>
      </c>
      <c r="AED26" s="133">
        <f t="shared" si="309"/>
        <v>0.17189529660685463</v>
      </c>
      <c r="AEE26" s="133">
        <f t="shared" si="310"/>
        <v>0.19013125692519423</v>
      </c>
      <c r="AEF26" s="133">
        <f t="shared" si="491"/>
        <v>0.21106996527322469</v>
      </c>
      <c r="AEG26" s="133">
        <f t="shared" si="492"/>
        <v>0.24581898677687367</v>
      </c>
      <c r="AEH26" s="134">
        <f t="shared" si="493"/>
        <v>0.28432011486760006</v>
      </c>
      <c r="AEI26" s="133">
        <f t="shared" si="494"/>
        <v>0.32261315130442858</v>
      </c>
      <c r="AEJ26" s="133">
        <f t="shared" si="311"/>
        <v>0.3568142632827056</v>
      </c>
      <c r="AEK26" s="133">
        <f t="shared" si="312"/>
        <v>0.37725278716277194</v>
      </c>
      <c r="AEL26" s="133">
        <f t="shared" si="313"/>
        <v>0.39494424134125206</v>
      </c>
      <c r="AEM26" s="133">
        <f t="shared" si="314"/>
        <v>0.41547471232028949</v>
      </c>
      <c r="AEN26" s="81"/>
    </row>
    <row r="27" spans="1:820">
      <c r="A27" s="81"/>
      <c r="B27" s="81">
        <v>26</v>
      </c>
      <c r="C27" s="133">
        <f t="shared" si="0"/>
        <v>1.7084295987834808</v>
      </c>
      <c r="D27" s="133">
        <f t="shared" si="1"/>
        <v>2.0246391127782806</v>
      </c>
      <c r="E27" s="133">
        <f t="shared" si="2"/>
        <v>2.3532831124472802</v>
      </c>
      <c r="F27" s="133">
        <f t="shared" si="315"/>
        <v>2.8138851748783091</v>
      </c>
      <c r="G27" s="133">
        <f t="shared" si="316"/>
        <v>3.8439555729457942</v>
      </c>
      <c r="H27" s="134">
        <f t="shared" si="317"/>
        <v>5.5660164111088015</v>
      </c>
      <c r="I27" s="133">
        <f t="shared" si="318"/>
        <v>8.2806878707255986</v>
      </c>
      <c r="J27" s="133">
        <f t="shared" si="3"/>
        <v>12.14429733070657</v>
      </c>
      <c r="K27" s="133">
        <f t="shared" si="4"/>
        <v>15.487809549143897</v>
      </c>
      <c r="L27" s="133">
        <f t="shared" si="5"/>
        <v>19.301366950495694</v>
      </c>
      <c r="M27" s="133">
        <f t="shared" si="6"/>
        <v>25.225500412052433</v>
      </c>
      <c r="N27" s="81"/>
      <c r="O27" s="75">
        <v>26</v>
      </c>
      <c r="P27" s="151">
        <f t="shared" si="7"/>
        <v>2.3868688273940535</v>
      </c>
      <c r="Q27" s="151">
        <f t="shared" si="8"/>
        <v>2.6825306245310663</v>
      </c>
      <c r="R27" s="151">
        <f t="shared" si="9"/>
        <v>2.979598974463765</v>
      </c>
      <c r="S27" s="151">
        <f t="shared" si="319"/>
        <v>3.3826788361139037</v>
      </c>
      <c r="T27" s="151">
        <f t="shared" si="320"/>
        <v>4.2457809317373947</v>
      </c>
      <c r="U27" s="134">
        <f t="shared" si="321"/>
        <v>5.6207443337127057</v>
      </c>
      <c r="V27" s="151">
        <f t="shared" si="322"/>
        <v>7.7122546385603474</v>
      </c>
      <c r="W27" s="151">
        <f t="shared" si="10"/>
        <v>10.65082569620604</v>
      </c>
      <c r="X27" s="151">
        <f t="shared" si="11"/>
        <v>13.215990595006357</v>
      </c>
      <c r="Y27" s="151">
        <f t="shared" si="12"/>
        <v>16.201562660102098</v>
      </c>
      <c r="Z27" s="151">
        <f t="shared" si="13"/>
        <v>21.011628866516357</v>
      </c>
      <c r="AA27" s="81"/>
      <c r="AB27" s="75">
        <v>28</v>
      </c>
      <c r="AC27" s="151">
        <f t="shared" si="14"/>
        <v>1.4031972886726065</v>
      </c>
      <c r="AD27" s="151">
        <f t="shared" si="15"/>
        <v>1.6936920930167845</v>
      </c>
      <c r="AE27" s="151">
        <f t="shared" si="16"/>
        <v>2.0044366101577227</v>
      </c>
      <c r="AF27" s="151">
        <f t="shared" si="323"/>
        <v>2.454317211812211</v>
      </c>
      <c r="AG27" s="151">
        <f t="shared" si="324"/>
        <v>3.5170390314066564</v>
      </c>
      <c r="AH27" s="134">
        <f t="shared" si="325"/>
        <v>5.4534196872196006</v>
      </c>
      <c r="AI27" s="151">
        <f t="shared" si="326"/>
        <v>8.8723708636239085</v>
      </c>
      <c r="AJ27" s="151">
        <f t="shared" si="17"/>
        <v>14.442368309432682</v>
      </c>
      <c r="AK27" s="151">
        <f t="shared" si="18"/>
        <v>19.887463562072458</v>
      </c>
      <c r="AL27" s="151">
        <f t="shared" si="19"/>
        <v>26.77695449060479</v>
      </c>
      <c r="AM27" s="151">
        <f t="shared" si="20"/>
        <v>38.878672408065107</v>
      </c>
      <c r="AN27" s="81"/>
      <c r="AO27" s="81">
        <v>26</v>
      </c>
      <c r="AP27" s="133">
        <f t="shared" si="21"/>
        <v>1.0561977817726076</v>
      </c>
      <c r="AQ27" s="133">
        <f t="shared" si="22"/>
        <v>2.7813345831934244</v>
      </c>
      <c r="AR27" s="133">
        <f t="shared" si="23"/>
        <v>4.4060894065281291</v>
      </c>
      <c r="AS27" s="133">
        <f t="shared" si="327"/>
        <v>6.4425911650155241</v>
      </c>
      <c r="AT27" s="133">
        <f t="shared" si="328"/>
        <v>10.23271852855753</v>
      </c>
      <c r="AU27" s="134">
        <f t="shared" si="329"/>
        <v>15.042552713991455</v>
      </c>
      <c r="AV27" s="133">
        <f t="shared" si="330"/>
        <v>20.476873522974508</v>
      </c>
      <c r="AW27" s="133">
        <f t="shared" si="24"/>
        <v>25.88968396554888</v>
      </c>
      <c r="AX27" s="133">
        <f t="shared" si="25"/>
        <v>29.380017447653803</v>
      </c>
      <c r="AY27" s="133">
        <f t="shared" si="26"/>
        <v>32.557333062338557</v>
      </c>
      <c r="AZ27" s="133">
        <f t="shared" si="27"/>
        <v>36.427637509124047</v>
      </c>
      <c r="BA27" s="81"/>
      <c r="BB27" s="81">
        <v>26</v>
      </c>
      <c r="BC27" s="133">
        <f t="shared" si="28"/>
        <v>3.9782460037955287</v>
      </c>
      <c r="BD27" s="133">
        <f t="shared" si="29"/>
        <v>5.8160856081396402</v>
      </c>
      <c r="BE27" s="133">
        <f t="shared" si="30"/>
        <v>7.4895388062981487</v>
      </c>
      <c r="BF27" s="133">
        <f t="shared" si="331"/>
        <v>9.5229590737802532</v>
      </c>
      <c r="BG27" s="133">
        <f t="shared" si="332"/>
        <v>13.156546130407932</v>
      </c>
      <c r="BH27" s="134">
        <f t="shared" si="333"/>
        <v>17.55153922114912</v>
      </c>
      <c r="BI27" s="133">
        <f t="shared" si="334"/>
        <v>22.298409738706599</v>
      </c>
      <c r="BJ27" s="133">
        <f t="shared" si="31"/>
        <v>26.84792003919517</v>
      </c>
      <c r="BK27" s="133">
        <f t="shared" si="32"/>
        <v>29.703949007336316</v>
      </c>
      <c r="BL27" s="133">
        <f t="shared" si="33"/>
        <v>32.258004390174783</v>
      </c>
      <c r="BM27" s="133">
        <f t="shared" si="34"/>
        <v>35.316289666926394</v>
      </c>
      <c r="BN27" s="81"/>
      <c r="BO27" s="75">
        <v>28</v>
      </c>
      <c r="BP27" s="151">
        <f t="shared" si="35"/>
        <v>2.828592779443484</v>
      </c>
      <c r="BQ27" s="151">
        <f t="shared" si="36"/>
        <v>3.6289120938105364</v>
      </c>
      <c r="BR27" s="151">
        <f t="shared" si="37"/>
        <v>4.4642748800020211</v>
      </c>
      <c r="BS27" s="151">
        <f t="shared" si="335"/>
        <v>5.6256603718319464</v>
      </c>
      <c r="BT27" s="151">
        <f t="shared" si="336"/>
        <v>8.1359186586716703</v>
      </c>
      <c r="BU27" s="134">
        <f t="shared" si="337"/>
        <v>12.002170933751819</v>
      </c>
      <c r="BV27" s="151">
        <f t="shared" si="338"/>
        <v>17.334975409156343</v>
      </c>
      <c r="BW27" s="151">
        <f t="shared" si="38"/>
        <v>23.721028398706224</v>
      </c>
      <c r="BX27" s="151">
        <f t="shared" si="39"/>
        <v>28.435063318035205</v>
      </c>
      <c r="BY27" s="151">
        <f t="shared" si="40"/>
        <v>33.148444024948077</v>
      </c>
      <c r="BZ27" s="151">
        <f t="shared" si="41"/>
        <v>39.45082524171152</v>
      </c>
      <c r="CA27" s="81"/>
      <c r="CB27" s="81">
        <v>26</v>
      </c>
      <c r="CC27" s="133">
        <f t="shared" si="42"/>
        <v>-6.3615573136524537</v>
      </c>
      <c r="CD27" s="133">
        <f t="shared" si="43"/>
        <v>-4.6859037324671986</v>
      </c>
      <c r="CE27" s="133">
        <f t="shared" si="44"/>
        <v>-2.8430636958375795</v>
      </c>
      <c r="CF27" s="133">
        <f t="shared" si="339"/>
        <v>-0.37342304127991355</v>
      </c>
      <c r="CG27" s="133">
        <f t="shared" si="340"/>
        <v>4.4055843787864477</v>
      </c>
      <c r="CH27" s="134">
        <f t="shared" si="341"/>
        <v>10.528063443613018</v>
      </c>
      <c r="CI27" s="133">
        <f t="shared" si="342"/>
        <v>17.354196692715149</v>
      </c>
      <c r="CJ27" s="133">
        <f t="shared" si="45"/>
        <v>24.001448415599636</v>
      </c>
      <c r="CK27" s="133">
        <f t="shared" si="46"/>
        <v>28.201936294646178</v>
      </c>
      <c r="CL27" s="133">
        <f t="shared" si="47"/>
        <v>31.968050089253925</v>
      </c>
      <c r="CM27" s="133">
        <f t="shared" si="48"/>
        <v>36.483841848296386</v>
      </c>
      <c r="CN27" s="81"/>
      <c r="CO27" s="81">
        <v>26</v>
      </c>
      <c r="CP27" s="133">
        <f t="shared" si="49"/>
        <v>-1.1659566770609739</v>
      </c>
      <c r="CQ27" s="133">
        <f t="shared" si="50"/>
        <v>0.91983813537838355</v>
      </c>
      <c r="CR27" s="133">
        <f t="shared" si="51"/>
        <v>2.8841890536464154</v>
      </c>
      <c r="CS27" s="133">
        <f t="shared" si="343"/>
        <v>5.3242223996821005</v>
      </c>
      <c r="CT27" s="133">
        <f t="shared" si="344"/>
        <v>9.7690795531873178</v>
      </c>
      <c r="CU27" s="134">
        <f t="shared" si="345"/>
        <v>15.215036019895763</v>
      </c>
      <c r="CV27" s="133">
        <f t="shared" si="346"/>
        <v>21.123857531855645</v>
      </c>
      <c r="CW27" s="133">
        <f t="shared" si="52"/>
        <v>26.783544370639166</v>
      </c>
      <c r="CX27" s="133">
        <f t="shared" si="53"/>
        <v>30.327900759537538</v>
      </c>
      <c r="CY27" s="133">
        <f t="shared" si="54"/>
        <v>33.489768794335433</v>
      </c>
      <c r="CZ27" s="133">
        <f t="shared" si="55"/>
        <v>37.264870210924329</v>
      </c>
      <c r="DA27" s="81"/>
      <c r="DB27" s="81">
        <v>28</v>
      </c>
      <c r="DC27" s="133">
        <f t="shared" si="56"/>
        <v>-6.6039341884038949</v>
      </c>
      <c r="DD27" s="133">
        <f t="shared" si="57"/>
        <v>-5.6047508445387981</v>
      </c>
      <c r="DE27" s="133">
        <f t="shared" si="58"/>
        <v>-4.4001839620840713</v>
      </c>
      <c r="DF27" s="133">
        <f t="shared" si="347"/>
        <v>-2.6723315267011891</v>
      </c>
      <c r="DG27" s="133">
        <f t="shared" si="348"/>
        <v>0.92339364248434386</v>
      </c>
      <c r="DH27" s="134">
        <f t="shared" si="349"/>
        <v>5.8684567821612044</v>
      </c>
      <c r="DI27" s="133">
        <f t="shared" si="350"/>
        <v>11.705648118108702</v>
      </c>
      <c r="DJ27" s="133">
        <f t="shared" si="59"/>
        <v>17.644009845429888</v>
      </c>
      <c r="DK27" s="133">
        <f t="shared" si="60"/>
        <v>21.504611316892301</v>
      </c>
      <c r="DL27" s="133">
        <f t="shared" si="61"/>
        <v>25.028911361063248</v>
      </c>
      <c r="DM27" s="133">
        <f t="shared" si="62"/>
        <v>29.32637800883187</v>
      </c>
      <c r="DN27" s="81"/>
      <c r="DO27" s="81">
        <v>26</v>
      </c>
      <c r="DP27" s="133">
        <v>13.084310412278697</v>
      </c>
      <c r="DQ27" s="133">
        <v>14.441415674876344</v>
      </c>
      <c r="DR27" s="133">
        <v>15.720659451599344</v>
      </c>
      <c r="DS27" s="133">
        <v>17.336808940946188</v>
      </c>
      <c r="DT27" s="133">
        <v>20.410987517455151</v>
      </c>
      <c r="DU27" s="134">
        <v>24.484022565301753</v>
      </c>
      <c r="DV27" s="133">
        <v>29.36983624459868</v>
      </c>
      <c r="DW27" s="133">
        <v>34.577722060625568</v>
      </c>
      <c r="DX27" s="133">
        <v>38.13245639114831</v>
      </c>
      <c r="DY27" s="133">
        <v>41.510290574981219</v>
      </c>
      <c r="DZ27" s="133">
        <v>45.815739774535437</v>
      </c>
      <c r="EA27" s="81"/>
      <c r="EB27" s="81">
        <v>26</v>
      </c>
      <c r="EC27" s="133">
        <v>13.423742357896636</v>
      </c>
      <c r="ED27" s="133">
        <v>14.416826139901861</v>
      </c>
      <c r="EE27" s="133">
        <v>15.329498184736106</v>
      </c>
      <c r="EF27" s="133">
        <v>16.453687869650231</v>
      </c>
      <c r="EG27" s="133">
        <v>18.51548950598086</v>
      </c>
      <c r="EH27" s="134">
        <v>21.119441861521224</v>
      </c>
      <c r="EI27" s="133">
        <v>24.089604781882684</v>
      </c>
      <c r="EJ27" s="133">
        <v>27.108258529986127</v>
      </c>
      <c r="EK27" s="133">
        <v>29.096244323659423</v>
      </c>
      <c r="EL27" s="133">
        <v>30.938212073438475</v>
      </c>
      <c r="EM27" s="133">
        <v>33.22701022191427</v>
      </c>
      <c r="EN27" s="81"/>
      <c r="EO27" s="81">
        <v>28</v>
      </c>
      <c r="EP27" s="133">
        <v>16.552105172197717</v>
      </c>
      <c r="EQ27" s="133">
        <v>17.94147403059754</v>
      </c>
      <c r="ER27" s="133">
        <v>19.229332483970477</v>
      </c>
      <c r="ES27" s="133">
        <v>20.829297998081405</v>
      </c>
      <c r="ET27" s="133">
        <v>23.800044089280011</v>
      </c>
      <c r="EU27" s="134">
        <v>27.613156683470159</v>
      </c>
      <c r="EV27" s="133">
        <v>32.03718527434625</v>
      </c>
      <c r="EW27" s="133">
        <v>36.606438781379289</v>
      </c>
      <c r="EX27" s="133">
        <v>39.65225639847246</v>
      </c>
      <c r="EY27" s="133">
        <v>42.498538343367017</v>
      </c>
      <c r="EZ27" s="133">
        <v>46.065827524260072</v>
      </c>
      <c r="FA27" s="81"/>
      <c r="FB27" s="81">
        <v>26</v>
      </c>
      <c r="FC27" s="133">
        <v>7.2375433416512243</v>
      </c>
      <c r="FD27" s="133">
        <v>8.0983202374966297</v>
      </c>
      <c r="FE27" s="133">
        <v>8.9200814450359012</v>
      </c>
      <c r="FF27" s="133">
        <v>9.971535833694352</v>
      </c>
      <c r="FG27" s="133">
        <v>12.008548866842887</v>
      </c>
      <c r="FH27" s="134">
        <v>14.773035719651073</v>
      </c>
      <c r="FI27" s="133">
        <v>18.173934818775791</v>
      </c>
      <c r="FJ27" s="133">
        <v>21.88655669637501</v>
      </c>
      <c r="FK27" s="133">
        <v>24.46643404758824</v>
      </c>
      <c r="FL27" s="133">
        <v>26.949117591520441</v>
      </c>
      <c r="FM27" s="133">
        <v>30.15423522483459</v>
      </c>
      <c r="FN27" s="81"/>
      <c r="FO27" s="81">
        <v>26</v>
      </c>
      <c r="FP27" s="133">
        <v>7.0460254521767425</v>
      </c>
      <c r="FQ27" s="133">
        <v>7.7396051563275181</v>
      </c>
      <c r="FR27" s="133">
        <v>8.390486796824673</v>
      </c>
      <c r="FS27" s="133">
        <v>9.2091333679846841</v>
      </c>
      <c r="FT27" s="133">
        <v>10.756372413846531</v>
      </c>
      <c r="FU27" s="134">
        <v>12.789150945251826</v>
      </c>
      <c r="FV27" s="133">
        <v>15.206091385408351</v>
      </c>
      <c r="FW27" s="133">
        <v>17.76088751945499</v>
      </c>
      <c r="FX27" s="133">
        <v>19.493789318914718</v>
      </c>
      <c r="FY27" s="133">
        <v>21.133168759483205</v>
      </c>
      <c r="FZ27" s="133">
        <v>23.213424789702689</v>
      </c>
      <c r="GA27" s="81"/>
      <c r="GB27" s="81">
        <v>28</v>
      </c>
      <c r="GC27" s="133">
        <v>9.2963948413891977</v>
      </c>
      <c r="GD27" s="133">
        <v>10.2350905192922</v>
      </c>
      <c r="GE27" s="133">
        <v>11.117887372698679</v>
      </c>
      <c r="GF27" s="133">
        <v>12.230605845733605</v>
      </c>
      <c r="GG27" s="133">
        <v>14.34013917100439</v>
      </c>
      <c r="GH27" s="134">
        <v>17.122911277209862</v>
      </c>
      <c r="GI27" s="133">
        <v>20.445693525766895</v>
      </c>
      <c r="GJ27" s="133">
        <v>23.972164118875227</v>
      </c>
      <c r="GK27" s="133">
        <v>26.37138520823429</v>
      </c>
      <c r="GL27" s="133">
        <v>28.645969476728805</v>
      </c>
      <c r="GM27" s="133">
        <v>31.538472236769543</v>
      </c>
      <c r="GN27" s="81"/>
      <c r="GO27" s="81">
        <v>26</v>
      </c>
      <c r="GP27" s="133">
        <f t="shared" si="63"/>
        <v>0.40630897566126667</v>
      </c>
      <c r="GQ27" s="133">
        <f t="shared" si="64"/>
        <v>0.44496358818783954</v>
      </c>
      <c r="GR27" s="133">
        <f t="shared" si="65"/>
        <v>0.47556385587849648</v>
      </c>
      <c r="GS27" s="133">
        <f t="shared" si="351"/>
        <v>0.50843650836178522</v>
      </c>
      <c r="GT27" s="133">
        <f t="shared" si="352"/>
        <v>0.56015857795112056</v>
      </c>
      <c r="GU27" s="134">
        <f t="shared" si="353"/>
        <v>0.60969746989599383</v>
      </c>
      <c r="GV27" s="133">
        <f t="shared" si="354"/>
        <v>0.65529645595325015</v>
      </c>
      <c r="GW27" s="133">
        <f t="shared" si="66"/>
        <v>0.69563797183839837</v>
      </c>
      <c r="GX27" s="133">
        <f t="shared" si="67"/>
        <v>0.71802756670911583</v>
      </c>
      <c r="GY27" s="133">
        <f t="shared" si="68"/>
        <v>0.73686440008384402</v>
      </c>
      <c r="GZ27" s="133">
        <f t="shared" si="69"/>
        <v>0.75814385184436661</v>
      </c>
      <c r="HA27" s="81"/>
      <c r="HB27" s="81">
        <v>26</v>
      </c>
      <c r="HC27" s="133">
        <f t="shared" si="70"/>
        <v>0.38088942871155856</v>
      </c>
      <c r="HD27" s="133">
        <f t="shared" si="71"/>
        <v>0.42409960882207437</v>
      </c>
      <c r="HE27" s="133">
        <f t="shared" si="72"/>
        <v>0.45789466613931307</v>
      </c>
      <c r="HF27" s="133">
        <f t="shared" si="355"/>
        <v>0.49389134318340694</v>
      </c>
      <c r="HG27" s="133">
        <f t="shared" si="356"/>
        <v>0.54852002632311958</v>
      </c>
      <c r="HH27" s="134">
        <f t="shared" si="357"/>
        <v>0.60340062860251797</v>
      </c>
      <c r="HI27" s="133">
        <f t="shared" si="358"/>
        <v>0.65352161795188513</v>
      </c>
      <c r="HJ27" s="133">
        <f t="shared" si="73"/>
        <v>0.69530768963142431</v>
      </c>
      <c r="HK27" s="133">
        <f t="shared" si="74"/>
        <v>0.71914918296864261</v>
      </c>
      <c r="HL27" s="133">
        <f t="shared" si="75"/>
        <v>0.73918149994210025</v>
      </c>
      <c r="HM27" s="133">
        <f t="shared" si="76"/>
        <v>0.76178572277044276</v>
      </c>
      <c r="HN27" s="81"/>
      <c r="HO27" s="81">
        <v>28</v>
      </c>
      <c r="HP27" s="83">
        <f t="shared" si="77"/>
        <v>0.43692226089297032</v>
      </c>
      <c r="HQ27" s="83">
        <f t="shared" si="78"/>
        <v>0.47107577360157943</v>
      </c>
      <c r="HR27" s="83">
        <f t="shared" si="79"/>
        <v>0.49844209038594461</v>
      </c>
      <c r="HS27" s="83">
        <f t="shared" si="359"/>
        <v>0.5281049377296172</v>
      </c>
      <c r="HT27" s="83">
        <f t="shared" si="360"/>
        <v>0.57393650798101636</v>
      </c>
      <c r="HU27" s="84">
        <f t="shared" si="361"/>
        <v>0.62075515676242998</v>
      </c>
      <c r="HV27" s="83">
        <f t="shared" si="362"/>
        <v>0.66403819517038176</v>
      </c>
      <c r="HW27" s="83">
        <f t="shared" si="80"/>
        <v>0.7004284348523564</v>
      </c>
      <c r="HX27" s="83">
        <f t="shared" si="81"/>
        <v>0.7212956892321718</v>
      </c>
      <c r="HY27" s="83">
        <f t="shared" si="82"/>
        <v>0.7388807128228464</v>
      </c>
      <c r="HZ27" s="83">
        <f t="shared" si="83"/>
        <v>0.75877506752233992</v>
      </c>
      <c r="IA27" s="81"/>
      <c r="IB27" s="81">
        <v>26</v>
      </c>
      <c r="IC27" s="83">
        <f t="shared" si="84"/>
        <v>0.29018760613287842</v>
      </c>
      <c r="ID27" s="83">
        <f t="shared" si="85"/>
        <v>0.30891620198692088</v>
      </c>
      <c r="IE27" s="83">
        <f t="shared" si="86"/>
        <v>0.32293937096877084</v>
      </c>
      <c r="IF27" s="83">
        <f t="shared" si="363"/>
        <v>0.33735250201045963</v>
      </c>
      <c r="IG27" s="83">
        <f t="shared" si="364"/>
        <v>0.35832700782042948</v>
      </c>
      <c r="IH27" s="84">
        <f t="shared" si="365"/>
        <v>0.37845454280704344</v>
      </c>
      <c r="II27" s="83">
        <f t="shared" si="366"/>
        <v>0.39612128812847353</v>
      </c>
      <c r="IJ27" s="83">
        <f t="shared" si="87"/>
        <v>0.41038758097890066</v>
      </c>
      <c r="IK27" s="83">
        <f t="shared" si="88"/>
        <v>0.41835487482575251</v>
      </c>
      <c r="IL27" s="83">
        <f t="shared" si="89"/>
        <v>0.42495814455408693</v>
      </c>
      <c r="IM27" s="83">
        <f t="shared" si="90"/>
        <v>0.43231379066391812</v>
      </c>
      <c r="IN27" s="81"/>
      <c r="IO27" s="81">
        <v>26</v>
      </c>
      <c r="IP27" s="133">
        <f t="shared" si="91"/>
        <v>0.27688009263437463</v>
      </c>
      <c r="IQ27" s="133">
        <f t="shared" si="92"/>
        <v>0.29876919371704735</v>
      </c>
      <c r="IR27" s="133">
        <f t="shared" si="93"/>
        <v>0.31475918660102925</v>
      </c>
      <c r="IS27" s="133">
        <f t="shared" si="367"/>
        <v>0.3309269184078899</v>
      </c>
      <c r="IT27" s="133">
        <f t="shared" si="368"/>
        <v>0.35408739819055085</v>
      </c>
      <c r="IU27" s="134">
        <f t="shared" si="369"/>
        <v>0.37600535882149705</v>
      </c>
      <c r="IV27" s="133">
        <f t="shared" si="370"/>
        <v>0.3950575836574175</v>
      </c>
      <c r="IW27" s="133">
        <f t="shared" si="94"/>
        <v>0.41034287361568528</v>
      </c>
      <c r="IX27" s="133">
        <f t="shared" si="95"/>
        <v>0.41884673474608958</v>
      </c>
      <c r="IY27" s="133">
        <f t="shared" si="96"/>
        <v>0.42587910734528989</v>
      </c>
      <c r="IZ27" s="133">
        <f t="shared" si="97"/>
        <v>0.43369755195012044</v>
      </c>
      <c r="JA27" s="81"/>
      <c r="JB27" s="81">
        <v>28</v>
      </c>
      <c r="JC27" s="133">
        <f t="shared" si="98"/>
        <v>0.3053737062439601</v>
      </c>
      <c r="JD27" s="133">
        <f t="shared" si="99"/>
        <v>0.32112013179230958</v>
      </c>
      <c r="JE27" s="133">
        <f t="shared" si="100"/>
        <v>0.33319265451945118</v>
      </c>
      <c r="JF27" s="133">
        <f t="shared" si="371"/>
        <v>0.34581016680563476</v>
      </c>
      <c r="JG27" s="133">
        <f t="shared" si="372"/>
        <v>0.3644848540080875</v>
      </c>
      <c r="JH27" s="134">
        <f t="shared" si="373"/>
        <v>0.38268800476049253</v>
      </c>
      <c r="JI27" s="133">
        <f t="shared" si="374"/>
        <v>0.39884831415482197</v>
      </c>
      <c r="JJ27" s="133">
        <f t="shared" si="101"/>
        <v>0.41200087438097521</v>
      </c>
      <c r="JK27" s="133">
        <f t="shared" si="102"/>
        <v>0.41938071010679906</v>
      </c>
      <c r="JL27" s="133">
        <f t="shared" si="103"/>
        <v>0.42551400074137158</v>
      </c>
      <c r="JM27" s="133">
        <f t="shared" si="104"/>
        <v>0.43236281155367934</v>
      </c>
      <c r="JN27" s="81"/>
      <c r="JO27" s="81">
        <v>25</v>
      </c>
      <c r="JP27" s="133">
        <f t="shared" si="105"/>
        <v>-7.8822888621180827</v>
      </c>
      <c r="JQ27" s="133">
        <f t="shared" si="106"/>
        <v>-6.5025450873331216</v>
      </c>
      <c r="JR27" s="133">
        <f t="shared" si="107"/>
        <v>-5.2970164208260115</v>
      </c>
      <c r="JS27" s="133">
        <f t="shared" si="375"/>
        <v>-3.8866614635456607</v>
      </c>
      <c r="JT27" s="133">
        <f t="shared" si="376"/>
        <v>-1.4882336116398278</v>
      </c>
      <c r="JU27" s="134">
        <f t="shared" si="377"/>
        <v>1.2474692459316401</v>
      </c>
      <c r="JV27" s="133">
        <f t="shared" si="378"/>
        <v>4.0438058878318657</v>
      </c>
      <c r="JW27" s="133">
        <f t="shared" si="108"/>
        <v>6.6005495858708976</v>
      </c>
      <c r="JX27" s="133">
        <f t="shared" si="109"/>
        <v>8.1537046832938351</v>
      </c>
      <c r="JY27" s="133">
        <f t="shared" si="110"/>
        <v>9.5127606851764952</v>
      </c>
      <c r="JZ27" s="133">
        <f t="shared" si="111"/>
        <v>11.106442459497895</v>
      </c>
      <c r="KA27" s="81"/>
      <c r="KB27" s="81">
        <v>25</v>
      </c>
      <c r="KC27" s="133">
        <f t="shared" si="112"/>
        <v>-5.969717605812189</v>
      </c>
      <c r="KD27" s="133">
        <f t="shared" si="113"/>
        <v>-4.8771650132777076</v>
      </c>
      <c r="KE27" s="133">
        <f t="shared" si="114"/>
        <v>-3.8924769767318335</v>
      </c>
      <c r="KF27" s="133">
        <f t="shared" si="379"/>
        <v>-2.7081375745900491</v>
      </c>
      <c r="KG27" s="133">
        <f t="shared" si="380"/>
        <v>-0.62204420972320307</v>
      </c>
      <c r="KH27" s="134">
        <f t="shared" si="381"/>
        <v>1.8554621958474335</v>
      </c>
      <c r="KI27" s="133">
        <f t="shared" si="382"/>
        <v>4.4828433860109502</v>
      </c>
      <c r="KJ27" s="133">
        <f t="shared" si="115"/>
        <v>6.960054543863416</v>
      </c>
      <c r="KK27" s="133">
        <f t="shared" si="116"/>
        <v>8.4969334151169011</v>
      </c>
      <c r="KL27" s="133">
        <f t="shared" si="117"/>
        <v>9.8603985757104358</v>
      </c>
      <c r="KM27" s="133">
        <f t="shared" si="118"/>
        <v>11.480383006615073</v>
      </c>
      <c r="KN27" s="81"/>
      <c r="KO27" s="81">
        <v>27</v>
      </c>
      <c r="KP27" s="133">
        <f t="shared" si="119"/>
        <v>-9.3947413566694031</v>
      </c>
      <c r="KQ27" s="133">
        <f t="shared" si="120"/>
        <v>-7.7716082510864233</v>
      </c>
      <c r="KR27" s="133">
        <f t="shared" si="121"/>
        <v>-6.3851972121339564</v>
      </c>
      <c r="KS27" s="133">
        <f t="shared" si="383"/>
        <v>-4.796456211461674</v>
      </c>
      <c r="KT27" s="133">
        <f t="shared" si="384"/>
        <v>-2.1664036370342075</v>
      </c>
      <c r="KU27" s="134">
        <f t="shared" si="385"/>
        <v>0.73932843901199874</v>
      </c>
      <c r="KV27" s="133">
        <f t="shared" si="386"/>
        <v>3.6218692068770331</v>
      </c>
      <c r="KW27" s="133">
        <f t="shared" si="122"/>
        <v>6.1908299152646684</v>
      </c>
      <c r="KX27" s="133">
        <f t="shared" si="123"/>
        <v>7.7237627449213839</v>
      </c>
      <c r="KY27" s="133">
        <f t="shared" si="124"/>
        <v>9.0493775684753253</v>
      </c>
      <c r="KZ27" s="133">
        <f t="shared" si="125"/>
        <v>10.586303614622029</v>
      </c>
      <c r="LA27" s="81"/>
      <c r="LB27" s="81">
        <v>25</v>
      </c>
      <c r="LC27" s="133">
        <f t="shared" si="126"/>
        <v>-20.688785229763248</v>
      </c>
      <c r="LD27" s="133">
        <f t="shared" si="127"/>
        <v>-17.170053730827707</v>
      </c>
      <c r="LE27" s="133">
        <f t="shared" si="128"/>
        <v>-14.030576166770029</v>
      </c>
      <c r="LF27" s="133">
        <f t="shared" si="387"/>
        <v>-10.29355452024199</v>
      </c>
      <c r="LG27" s="133">
        <f t="shared" si="388"/>
        <v>-3.8079964997294979</v>
      </c>
      <c r="LH27" s="134">
        <f t="shared" si="389"/>
        <v>3.7503100242476961</v>
      </c>
      <c r="LI27" s="133">
        <f t="shared" si="390"/>
        <v>11.616621744403709</v>
      </c>
      <c r="LJ27" s="133">
        <f t="shared" si="129"/>
        <v>18.910455131043221</v>
      </c>
      <c r="LK27" s="133">
        <f t="shared" si="130"/>
        <v>23.38190574834114</v>
      </c>
      <c r="LL27" s="133">
        <f t="shared" si="131"/>
        <v>27.317140349646429</v>
      </c>
      <c r="LM27" s="133">
        <f t="shared" si="132"/>
        <v>31.956465715507271</v>
      </c>
      <c r="LN27" s="81"/>
      <c r="LO27" s="81">
        <v>25</v>
      </c>
      <c r="LP27" s="133">
        <f t="shared" si="133"/>
        <v>-17.449173883846413</v>
      </c>
      <c r="LQ27" s="133">
        <f t="shared" si="134"/>
        <v>-14.129177405733515</v>
      </c>
      <c r="LR27" s="133">
        <f t="shared" si="135"/>
        <v>-11.147266586845276</v>
      </c>
      <c r="LS27" s="133">
        <f t="shared" si="391"/>
        <v>-7.5776526218692801</v>
      </c>
      <c r="LT27" s="133">
        <f t="shared" si="392"/>
        <v>-1.3398121463586179</v>
      </c>
      <c r="LU27" s="134">
        <f t="shared" si="393"/>
        <v>5.9852961401620597</v>
      </c>
      <c r="LV27" s="133">
        <f t="shared" si="394"/>
        <v>13.660129436140036</v>
      </c>
      <c r="LW27" s="133">
        <f t="shared" si="136"/>
        <v>20.815307294131092</v>
      </c>
      <c r="LX27" s="133">
        <f t="shared" si="137"/>
        <v>25.217912171004851</v>
      </c>
      <c r="LY27" s="133">
        <f t="shared" si="138"/>
        <v>29.101785689816115</v>
      </c>
      <c r="LZ27" s="133">
        <f t="shared" si="139"/>
        <v>33.69088159623594</v>
      </c>
      <c r="MA27" s="81"/>
      <c r="MB27" s="81">
        <v>27</v>
      </c>
      <c r="MC27" s="133">
        <f t="shared" si="140"/>
        <v>-21.921075162187734</v>
      </c>
      <c r="MD27" s="133">
        <f t="shared" si="141"/>
        <v>-18.35602454170936</v>
      </c>
      <c r="ME27" s="133">
        <f t="shared" si="142"/>
        <v>-15.216289042439236</v>
      </c>
      <c r="MF27" s="133">
        <f t="shared" si="395"/>
        <v>-11.522762905681361</v>
      </c>
      <c r="MG27" s="133">
        <f t="shared" si="396"/>
        <v>-5.2089886389230067</v>
      </c>
      <c r="MH27" s="134">
        <f t="shared" si="397"/>
        <v>2.0209152375396968</v>
      </c>
      <c r="MI27" s="133">
        <f t="shared" si="398"/>
        <v>9.4248777419342957</v>
      </c>
      <c r="MJ27" s="133">
        <f t="shared" si="143"/>
        <v>16.197566789228837</v>
      </c>
      <c r="MK27" s="133">
        <f t="shared" si="144"/>
        <v>20.310959666446962</v>
      </c>
      <c r="ML27" s="133">
        <f t="shared" si="145"/>
        <v>23.909006300720435</v>
      </c>
      <c r="MM27" s="133">
        <f t="shared" si="146"/>
        <v>28.126122179724739</v>
      </c>
      <c r="MN27" s="81"/>
      <c r="MO27" s="81">
        <v>25</v>
      </c>
      <c r="MP27" s="133">
        <f t="shared" si="147"/>
        <v>-26.707498034970513</v>
      </c>
      <c r="MQ27" s="133">
        <f t="shared" si="148"/>
        <v>-22.370556367404291</v>
      </c>
      <c r="MR27" s="133">
        <f t="shared" si="149"/>
        <v>-18.60644575285254</v>
      </c>
      <c r="MS27" s="133">
        <f t="shared" si="399"/>
        <v>-14.235934668324752</v>
      </c>
      <c r="MT27" s="133">
        <f t="shared" si="400"/>
        <v>-6.8867869143299778</v>
      </c>
      <c r="MU27" s="134">
        <f t="shared" si="401"/>
        <v>1.3728032415400122</v>
      </c>
      <c r="MV27" s="133">
        <f t="shared" si="402"/>
        <v>9.6901124698465395</v>
      </c>
      <c r="MW27" s="133">
        <f t="shared" si="150"/>
        <v>17.19333030826796</v>
      </c>
      <c r="MX27" s="133">
        <f t="shared" si="151"/>
        <v>21.707510807698519</v>
      </c>
      <c r="MY27" s="133">
        <f t="shared" si="152"/>
        <v>25.631938912708783</v>
      </c>
      <c r="MZ27" s="133">
        <f t="shared" si="153"/>
        <v>30.204830158841695</v>
      </c>
      <c r="NA27" s="81"/>
      <c r="NB27" s="81">
        <v>25</v>
      </c>
      <c r="NC27" s="133">
        <f t="shared" si="154"/>
        <v>-22.614789217703979</v>
      </c>
      <c r="ND27" s="133">
        <f t="shared" si="155"/>
        <v>-18.480745521690466</v>
      </c>
      <c r="NE27" s="133">
        <f t="shared" si="156"/>
        <v>-14.857622143337323</v>
      </c>
      <c r="NF27" s="133">
        <f t="shared" si="403"/>
        <v>-10.62512376121434</v>
      </c>
      <c r="NG27" s="133">
        <f t="shared" si="404"/>
        <v>-3.4658906716100759</v>
      </c>
      <c r="NH27" s="134">
        <f t="shared" si="405"/>
        <v>4.6239975537054683</v>
      </c>
      <c r="NI27" s="133">
        <f t="shared" si="406"/>
        <v>12.804019389576059</v>
      </c>
      <c r="NJ27" s="133">
        <f t="shared" si="157"/>
        <v>20.205773110940004</v>
      </c>
      <c r="NK27" s="133">
        <f t="shared" si="158"/>
        <v>24.667468248148378</v>
      </c>
      <c r="NL27" s="133">
        <f t="shared" si="159"/>
        <v>28.550897791843678</v>
      </c>
      <c r="NM27" s="133">
        <f t="shared" si="160"/>
        <v>33.080990442851814</v>
      </c>
      <c r="NN27" s="81"/>
      <c r="NO27" s="81">
        <v>27</v>
      </c>
      <c r="NP27" s="133">
        <f t="shared" si="161"/>
        <v>-27.309592990625532</v>
      </c>
      <c r="NQ27" s="133">
        <f t="shared" si="162"/>
        <v>-23.308822747868017</v>
      </c>
      <c r="NR27" s="133">
        <f t="shared" si="163"/>
        <v>-19.863135987492839</v>
      </c>
      <c r="NS27" s="133">
        <f t="shared" si="407"/>
        <v>-15.886183044472123</v>
      </c>
      <c r="NT27" s="133">
        <f t="shared" si="408"/>
        <v>-9.2438334309142363</v>
      </c>
      <c r="NU27" s="134">
        <f t="shared" si="409"/>
        <v>-1.8309396676963203</v>
      </c>
      <c r="NV27" s="133">
        <f t="shared" si="410"/>
        <v>5.5898331554908012</v>
      </c>
      <c r="NW27" s="133">
        <f t="shared" si="164"/>
        <v>12.253243352081576</v>
      </c>
      <c r="NX27" s="133">
        <f t="shared" si="165"/>
        <v>16.249876275818728</v>
      </c>
      <c r="NY27" s="133">
        <f t="shared" si="166"/>
        <v>19.717575990065797</v>
      </c>
      <c r="NZ27" s="133">
        <f t="shared" si="167"/>
        <v>23.75086192787748</v>
      </c>
      <c r="OA27" s="81"/>
      <c r="OB27" s="81">
        <v>25</v>
      </c>
      <c r="OC27" s="133">
        <v>15.67894833595779</v>
      </c>
      <c r="OD27" s="133">
        <v>17.422103208493677</v>
      </c>
      <c r="OE27" s="133">
        <v>19.075546678129399</v>
      </c>
      <c r="OF27" s="133">
        <v>21.177540300197116</v>
      </c>
      <c r="OG27" s="133">
        <v>25.212057273772384</v>
      </c>
      <c r="OH27" s="134">
        <v>30.620997480330846</v>
      </c>
      <c r="OI27" s="133">
        <v>37.190360013414789</v>
      </c>
      <c r="OJ27" s="133">
        <v>44.275466999427742</v>
      </c>
      <c r="OK27" s="133">
        <v>49.154317960672813</v>
      </c>
      <c r="OL27" s="133">
        <v>53.819305021296408</v>
      </c>
      <c r="OM27" s="133">
        <v>59.802830304635322</v>
      </c>
      <c r="ON27" s="81"/>
      <c r="OO27" s="81">
        <v>25</v>
      </c>
      <c r="OP27" s="133">
        <v>14.637572019671021</v>
      </c>
      <c r="OQ27" s="133">
        <v>16.137813567466573</v>
      </c>
      <c r="OR27" s="133">
        <v>17.550521979463962</v>
      </c>
      <c r="OS27" s="133">
        <v>19.333444020118968</v>
      </c>
      <c r="OT27" s="133">
        <v>25.328384014036349</v>
      </c>
      <c r="OU27" s="134">
        <v>27.197713520655679</v>
      </c>
      <c r="OV27" s="133">
        <v>32.558180527206225</v>
      </c>
      <c r="OW27" s="133">
        <v>38.260933746821635</v>
      </c>
      <c r="OX27" s="133">
        <v>42.147784642371612</v>
      </c>
      <c r="OY27" s="133">
        <v>45.8374127114038</v>
      </c>
      <c r="OZ27" s="133">
        <v>50.535404352414034</v>
      </c>
      <c r="PA27" s="81"/>
      <c r="PB27" s="81">
        <v>27</v>
      </c>
      <c r="PC27" s="133">
        <v>20.517871510488479</v>
      </c>
      <c r="PD27" s="133">
        <v>22.356049456298649</v>
      </c>
      <c r="PE27" s="133">
        <v>24.068168396862685</v>
      </c>
      <c r="PF27" s="133">
        <v>26.205493655620096</v>
      </c>
      <c r="PG27" s="133">
        <v>30.201625641014999</v>
      </c>
      <c r="PH27" s="134">
        <v>35.377850413551215</v>
      </c>
      <c r="PI27" s="133">
        <v>41.441222891786794</v>
      </c>
      <c r="PJ27" s="133">
        <v>47.760683936407588</v>
      </c>
      <c r="PK27" s="133">
        <v>52.001975357906851</v>
      </c>
      <c r="PL27" s="133">
        <v>55.98450219615966</v>
      </c>
      <c r="PM27" s="133">
        <v>61.000104189355476</v>
      </c>
      <c r="PN27" s="81"/>
      <c r="PO27" s="81">
        <v>25</v>
      </c>
      <c r="PP27" s="133">
        <v>7.9335516100592489</v>
      </c>
      <c r="PQ27" s="133">
        <v>8.6599548562325825</v>
      </c>
      <c r="PR27" s="133">
        <v>9.3376789989810582</v>
      </c>
      <c r="PS27" s="133">
        <v>10.185136638216305</v>
      </c>
      <c r="PT27" s="133">
        <v>11.773448895157781</v>
      </c>
      <c r="PU27" s="134">
        <v>13.837337423029469</v>
      </c>
      <c r="PV27" s="133">
        <v>16.263026124615095</v>
      </c>
      <c r="PW27" s="133">
        <v>18.799149560776407</v>
      </c>
      <c r="PX27" s="133">
        <v>20.505299762356945</v>
      </c>
      <c r="PY27" s="133">
        <v>22.110035229683582</v>
      </c>
      <c r="PZ27" s="133">
        <v>24.134450290333699</v>
      </c>
      <c r="QA27" s="81"/>
      <c r="QB27" s="81">
        <v>25</v>
      </c>
      <c r="QC27" s="133">
        <v>7.6130233950810382</v>
      </c>
      <c r="QD27" s="133">
        <v>8.3060450270566921</v>
      </c>
      <c r="QE27" s="133">
        <v>8.9523332848689989</v>
      </c>
      <c r="QF27" s="133">
        <v>9.7601181557341086</v>
      </c>
      <c r="QG27" s="133">
        <v>11.273093929120591</v>
      </c>
      <c r="QH27" s="134">
        <v>13.237415244436372</v>
      </c>
      <c r="QI27" s="133">
        <v>15.544016882622222</v>
      </c>
      <c r="QJ27" s="133">
        <v>17.953590269876887</v>
      </c>
      <c r="QK27" s="133">
        <v>19.573574483627002</v>
      </c>
      <c r="QL27" s="133">
        <v>21.096582282281506</v>
      </c>
      <c r="QM27" s="133">
        <v>23.017026647633372</v>
      </c>
      <c r="QN27" s="81"/>
      <c r="QO27" s="81">
        <v>27</v>
      </c>
      <c r="QP27" s="133">
        <v>8.9156714467568197</v>
      </c>
      <c r="QQ27" s="133">
        <v>9.667136640144399</v>
      </c>
      <c r="QR27" s="133">
        <v>10.36390495985132</v>
      </c>
      <c r="QS27" s="133">
        <v>11.229788981727642</v>
      </c>
      <c r="QT27" s="133">
        <v>12.838211134169741</v>
      </c>
      <c r="QU27" s="134">
        <v>14.903865790031857</v>
      </c>
      <c r="QV27" s="133">
        <v>17.301882105372222</v>
      </c>
      <c r="QW27" s="133">
        <v>19.779999058638516</v>
      </c>
      <c r="QX27" s="133">
        <v>21.432579355732383</v>
      </c>
      <c r="QY27" s="133">
        <v>22.977353455920941</v>
      </c>
      <c r="QZ27" s="133">
        <v>24.914019859724934</v>
      </c>
      <c r="RA27" s="81"/>
      <c r="RB27" s="81">
        <v>25</v>
      </c>
      <c r="RC27" s="133">
        <f t="shared" si="168"/>
        <v>0.25869225058946221</v>
      </c>
      <c r="RD27" s="133">
        <f t="shared" si="169"/>
        <v>0.28040155021069119</v>
      </c>
      <c r="RE27" s="133">
        <f t="shared" si="170"/>
        <v>0.3007676055299216</v>
      </c>
      <c r="RF27" s="133">
        <f t="shared" si="411"/>
        <v>0.32640118761321452</v>
      </c>
      <c r="RG27" s="133">
        <f t="shared" si="412"/>
        <v>0.37499086475684884</v>
      </c>
      <c r="RH27" s="134">
        <f t="shared" si="413"/>
        <v>0.43928826773166119</v>
      </c>
      <c r="RI27" s="133">
        <f t="shared" si="414"/>
        <v>0.51664883467805822</v>
      </c>
      <c r="RJ27" s="133">
        <f t="shared" si="171"/>
        <v>0.59969742578696894</v>
      </c>
      <c r="RK27" s="133">
        <f t="shared" si="172"/>
        <v>0.65684618937830386</v>
      </c>
      <c r="RL27" s="133">
        <f t="shared" si="173"/>
        <v>0.7115507908643437</v>
      </c>
      <c r="RM27" s="133">
        <f t="shared" si="174"/>
        <v>0.78189224261747059</v>
      </c>
      <c r="RN27" s="81"/>
      <c r="RO27" s="81">
        <v>25</v>
      </c>
      <c r="RP27" s="133">
        <f t="shared" si="175"/>
        <v>0.28334038343490037</v>
      </c>
      <c r="RQ27" s="133">
        <f t="shared" si="176"/>
        <v>0.30479205749347937</v>
      </c>
      <c r="RR27" s="133">
        <f t="shared" si="177"/>
        <v>0.32483793737577954</v>
      </c>
      <c r="RS27" s="133">
        <f t="shared" si="415"/>
        <v>0.34997574670010068</v>
      </c>
      <c r="RT27" s="133">
        <f t="shared" si="416"/>
        <v>0.39739354066666105</v>
      </c>
      <c r="RU27" s="134">
        <f t="shared" si="417"/>
        <v>0.45978798356727602</v>
      </c>
      <c r="RV27" s="133">
        <f t="shared" si="418"/>
        <v>0.53449646416947305</v>
      </c>
      <c r="RW27" s="133">
        <f t="shared" si="178"/>
        <v>0.61442253057983887</v>
      </c>
      <c r="RX27" s="133">
        <f t="shared" si="179"/>
        <v>0.66932417060852134</v>
      </c>
      <c r="RY27" s="133">
        <f t="shared" si="180"/>
        <v>0.72183628286980472</v>
      </c>
      <c r="RZ27" s="133">
        <f t="shared" si="181"/>
        <v>0.78933333245893422</v>
      </c>
      <c r="SA27" s="81"/>
      <c r="SB27" s="81">
        <v>27</v>
      </c>
      <c r="SC27" s="133">
        <f t="shared" si="182"/>
        <v>0.24246998366195155</v>
      </c>
      <c r="SD27" s="133">
        <f t="shared" si="183"/>
        <v>0.2645724458013578</v>
      </c>
      <c r="SE27" s="133">
        <f t="shared" si="184"/>
        <v>0.285209219085508</v>
      </c>
      <c r="SF27" s="133">
        <f t="shared" si="419"/>
        <v>0.31103604703387311</v>
      </c>
      <c r="SG27" s="133">
        <f t="shared" si="420"/>
        <v>0.35950706070764249</v>
      </c>
      <c r="SH27" s="134">
        <f t="shared" si="421"/>
        <v>0.42262126163323993</v>
      </c>
      <c r="SI27" s="133">
        <f t="shared" si="422"/>
        <v>0.49698498724205747</v>
      </c>
      <c r="SJ27" s="133">
        <f t="shared" si="185"/>
        <v>0.57494288011020578</v>
      </c>
      <c r="SK27" s="133">
        <f t="shared" si="186"/>
        <v>0.62750433544309603</v>
      </c>
      <c r="SL27" s="133">
        <f t="shared" si="187"/>
        <v>0.67702412567110604</v>
      </c>
      <c r="SM27" s="133">
        <f t="shared" si="188"/>
        <v>0.73960561110571843</v>
      </c>
      <c r="SN27" s="81"/>
      <c r="SO27" s="81">
        <v>25</v>
      </c>
      <c r="SP27" s="133">
        <f t="shared" si="189"/>
        <v>0.20463230873126179</v>
      </c>
      <c r="SQ27" s="133">
        <f t="shared" si="190"/>
        <v>0.21854737132311008</v>
      </c>
      <c r="SR27" s="133">
        <f t="shared" si="191"/>
        <v>0.23107011717080836</v>
      </c>
      <c r="SS27" s="133">
        <f t="shared" si="423"/>
        <v>0.24616476560075121</v>
      </c>
      <c r="ST27" s="133">
        <f t="shared" si="424"/>
        <v>0.27296930898611421</v>
      </c>
      <c r="SU27" s="134">
        <f t="shared" si="425"/>
        <v>0.30535146188214313</v>
      </c>
      <c r="SV27" s="133">
        <f t="shared" si="426"/>
        <v>0.34052055455473124</v>
      </c>
      <c r="SW27" s="133">
        <f t="shared" si="192"/>
        <v>0.37457243617982017</v>
      </c>
      <c r="SX27" s="133">
        <f t="shared" si="193"/>
        <v>0.39616730221546498</v>
      </c>
      <c r="SY27" s="133">
        <f t="shared" si="194"/>
        <v>0.41563908115743819</v>
      </c>
      <c r="SZ27" s="133">
        <f t="shared" si="195"/>
        <v>0.43916828922378809</v>
      </c>
      <c r="TA27" s="81"/>
      <c r="TB27" s="81">
        <v>25</v>
      </c>
      <c r="TC27" s="133">
        <f t="shared" si="196"/>
        <v>0.22029472170130304</v>
      </c>
      <c r="TD27" s="133">
        <f t="shared" si="197"/>
        <v>0.23341833815631902</v>
      </c>
      <c r="TE27" s="133">
        <f t="shared" si="198"/>
        <v>0.2452157267382338</v>
      </c>
      <c r="TF27" s="133">
        <f t="shared" si="427"/>
        <v>0.25942432295010448</v>
      </c>
      <c r="TG27" s="133">
        <f t="shared" si="428"/>
        <v>0.28463750987262199</v>
      </c>
      <c r="TH27" s="134">
        <f t="shared" si="429"/>
        <v>0.31509130120087808</v>
      </c>
      <c r="TI27" s="133">
        <f t="shared" si="430"/>
        <v>0.3481877535394271</v>
      </c>
      <c r="TJ27" s="133">
        <f t="shared" si="199"/>
        <v>0.38027660744253189</v>
      </c>
      <c r="TK27" s="133">
        <f t="shared" si="200"/>
        <v>0.40065638575042811</v>
      </c>
      <c r="TL27" s="133">
        <f t="shared" si="201"/>
        <v>0.41905556457512338</v>
      </c>
      <c r="TM27" s="133">
        <f t="shared" si="202"/>
        <v>0.4413205808842029</v>
      </c>
      <c r="TN27" s="81"/>
      <c r="TO27" s="81">
        <v>27</v>
      </c>
      <c r="TP27" s="133">
        <f t="shared" si="203"/>
        <v>0.19397449270267977</v>
      </c>
      <c r="TQ27" s="133">
        <f t="shared" si="204"/>
        <v>0.20860099709623195</v>
      </c>
      <c r="TR27" s="133">
        <f t="shared" si="205"/>
        <v>0.22166133647918115</v>
      </c>
      <c r="TS27" s="133">
        <f t="shared" si="431"/>
        <v>0.23727554830516309</v>
      </c>
      <c r="TT27" s="133">
        <f t="shared" si="432"/>
        <v>0.26466259697495892</v>
      </c>
      <c r="TU27" s="134">
        <f t="shared" si="433"/>
        <v>0.29718680862637897</v>
      </c>
      <c r="TV27" s="133">
        <f t="shared" si="434"/>
        <v>0.33184809996730069</v>
      </c>
      <c r="TW27" s="133">
        <f t="shared" si="206"/>
        <v>0.36478929016028039</v>
      </c>
      <c r="TX27" s="133">
        <f t="shared" si="207"/>
        <v>0.38538107200412325</v>
      </c>
      <c r="TY27" s="133">
        <f t="shared" si="208"/>
        <v>0.40375848405745823</v>
      </c>
      <c r="TZ27" s="133">
        <f t="shared" si="209"/>
        <v>0.42573416618339588</v>
      </c>
      <c r="UA27" s="81"/>
      <c r="UB27" s="81">
        <v>25</v>
      </c>
      <c r="UC27" s="133">
        <f t="shared" si="210"/>
        <v>-28.192351457749211</v>
      </c>
      <c r="UD27" s="133">
        <f t="shared" si="211"/>
        <v>-24.495258634787739</v>
      </c>
      <c r="UE27" s="133">
        <f t="shared" si="212"/>
        <v>-21.428489419203096</v>
      </c>
      <c r="UF27" s="133">
        <f t="shared" si="435"/>
        <v>-18.003929906957651</v>
      </c>
      <c r="UG27" s="133">
        <f t="shared" si="436"/>
        <v>-12.516259902193951</v>
      </c>
      <c r="UH27" s="134">
        <f t="shared" si="437"/>
        <v>-6.6758206887211031</v>
      </c>
      <c r="UI27" s="133">
        <f t="shared" si="438"/>
        <v>-1.0757018857388871</v>
      </c>
      <c r="UJ27" s="133">
        <f t="shared" si="213"/>
        <v>3.7756833716955498</v>
      </c>
      <c r="UK27" s="133">
        <f t="shared" si="214"/>
        <v>6.6147663796335081</v>
      </c>
      <c r="UL27" s="133">
        <f t="shared" si="215"/>
        <v>9.0389287084789771</v>
      </c>
      <c r="UM27" s="133">
        <f t="shared" si="216"/>
        <v>11.815763298392611</v>
      </c>
      <c r="UN27" s="81"/>
      <c r="UO27" s="81">
        <v>25</v>
      </c>
      <c r="UP27" s="133">
        <f t="shared" si="217"/>
        <v>-23.690709456621889</v>
      </c>
      <c r="UQ27" s="133">
        <f t="shared" si="218"/>
        <v>-20.755141792318494</v>
      </c>
      <c r="UR27" s="133">
        <f t="shared" si="219"/>
        <v>-18.240948374546122</v>
      </c>
      <c r="US27" s="133">
        <f t="shared" si="439"/>
        <v>-15.352132013621986</v>
      </c>
      <c r="UT27" s="133">
        <f t="shared" si="440"/>
        <v>-10.552379714239272</v>
      </c>
      <c r="UU27" s="134">
        <f t="shared" si="441"/>
        <v>-5.2256788067904836</v>
      </c>
      <c r="UV27" s="133">
        <f t="shared" si="442"/>
        <v>8.1257567786849449E-2</v>
      </c>
      <c r="UW27" s="133">
        <f t="shared" si="220"/>
        <v>4.8284355331562665</v>
      </c>
      <c r="UX27" s="133">
        <f t="shared" si="221"/>
        <v>7.6685071928684323</v>
      </c>
      <c r="UY27" s="133">
        <f t="shared" si="222"/>
        <v>10.128700503593016</v>
      </c>
      <c r="UZ27" s="133">
        <f t="shared" si="223"/>
        <v>12.985774597343237</v>
      </c>
      <c r="VA27" s="81"/>
      <c r="VB27" s="81">
        <v>28</v>
      </c>
      <c r="VC27" s="133">
        <f t="shared" si="224"/>
        <v>-29.926634873782653</v>
      </c>
      <c r="VD27" s="133">
        <f t="shared" si="225"/>
        <v>-25.74711936001431</v>
      </c>
      <c r="VE27" s="133">
        <f t="shared" si="226"/>
        <v>-22.37409378098166</v>
      </c>
      <c r="VF27" s="133">
        <f t="shared" si="443"/>
        <v>-18.690297398990268</v>
      </c>
      <c r="VG27" s="133">
        <f t="shared" si="444"/>
        <v>-12.936910904061556</v>
      </c>
      <c r="VH27" s="134">
        <f t="shared" si="445"/>
        <v>-6.9782024259925777</v>
      </c>
      <c r="VI27" s="133">
        <f t="shared" si="446"/>
        <v>-1.3943227166561911</v>
      </c>
      <c r="VJ27" s="133">
        <f t="shared" si="227"/>
        <v>3.3565749260387037</v>
      </c>
      <c r="VK27" s="133">
        <f t="shared" si="228"/>
        <v>6.1040082946350793</v>
      </c>
      <c r="VL27" s="133">
        <f t="shared" si="229"/>
        <v>8.4323202610083143</v>
      </c>
      <c r="VM27" s="133">
        <f t="shared" si="230"/>
        <v>11.08068324612583</v>
      </c>
      <c r="VN27" s="81"/>
      <c r="VO27" s="81">
        <v>25</v>
      </c>
      <c r="VP27" s="133">
        <f t="shared" si="231"/>
        <v>-45.584791421984008</v>
      </c>
      <c r="VQ27" s="133">
        <f t="shared" si="232"/>
        <v>-41.998245212564562</v>
      </c>
      <c r="VR27" s="133">
        <f t="shared" si="233"/>
        <v>-38.539123037402085</v>
      </c>
      <c r="VS27" s="133">
        <f t="shared" si="447"/>
        <v>-34.139889278610923</v>
      </c>
      <c r="VT27" s="133">
        <f t="shared" si="448"/>
        <v>-25.865685622917631</v>
      </c>
      <c r="VU27" s="134">
        <f t="shared" si="449"/>
        <v>-15.332432364723608</v>
      </c>
      <c r="VV27" s="133">
        <f t="shared" si="450"/>
        <v>-3.4856016827757443</v>
      </c>
      <c r="VW27" s="133">
        <f t="shared" si="234"/>
        <v>8.2138395302043818</v>
      </c>
      <c r="VX27" s="133">
        <f t="shared" si="235"/>
        <v>15.697240578512073</v>
      </c>
      <c r="VY27" s="133">
        <f t="shared" si="236"/>
        <v>22.466899425664458</v>
      </c>
      <c r="VZ27" s="133">
        <f t="shared" si="237"/>
        <v>30.658340092041804</v>
      </c>
      <c r="WA27" s="81"/>
      <c r="WB27" s="81">
        <v>25</v>
      </c>
      <c r="WC27" s="133">
        <f t="shared" si="238"/>
        <v>-42.180746104592416</v>
      </c>
      <c r="WD27" s="133">
        <f t="shared" si="239"/>
        <v>-38.870426272197236</v>
      </c>
      <c r="WE27" s="133">
        <f t="shared" si="240"/>
        <v>-35.599845426743244</v>
      </c>
      <c r="WF27" s="133">
        <f t="shared" si="451"/>
        <v>-31.367488796469871</v>
      </c>
      <c r="WG27" s="133">
        <f t="shared" si="452"/>
        <v>-23.262981354491302</v>
      </c>
      <c r="WH27" s="134">
        <f t="shared" si="453"/>
        <v>-12.774160005955387</v>
      </c>
      <c r="WI27" s="133">
        <f t="shared" si="454"/>
        <v>-0.83285072307869257</v>
      </c>
      <c r="WJ27" s="133">
        <f t="shared" si="241"/>
        <v>11.061198780973491</v>
      </c>
      <c r="WK27" s="133">
        <f t="shared" si="242"/>
        <v>18.708582217031129</v>
      </c>
      <c r="WL27" s="133">
        <f t="shared" si="243"/>
        <v>25.648220651265213</v>
      </c>
      <c r="WM27" s="133">
        <f t="shared" si="244"/>
        <v>34.068904265935494</v>
      </c>
      <c r="WN27" s="81"/>
      <c r="WO27" s="81">
        <v>28</v>
      </c>
      <c r="WP27" s="133">
        <f t="shared" si="245"/>
        <v>-46.346494547522092</v>
      </c>
      <c r="WQ27" s="133">
        <f t="shared" si="246"/>
        <v>-42.507561961928019</v>
      </c>
      <c r="WR27" s="133">
        <f t="shared" si="247"/>
        <v>-38.847922312020387</v>
      </c>
      <c r="WS27" s="133">
        <f t="shared" si="455"/>
        <v>-34.254856334588638</v>
      </c>
      <c r="WT27" s="133">
        <f t="shared" si="456"/>
        <v>-25.782379818446692</v>
      </c>
      <c r="WU27" s="134">
        <f t="shared" si="457"/>
        <v>-15.258239387302666</v>
      </c>
      <c r="WV27" s="133">
        <f t="shared" si="458"/>
        <v>-3.7014911990494141</v>
      </c>
      <c r="WW27" s="133">
        <f t="shared" si="248"/>
        <v>7.476482237472311</v>
      </c>
      <c r="WX27" s="133">
        <f t="shared" si="249"/>
        <v>14.522723546086546</v>
      </c>
      <c r="WY27" s="133">
        <f t="shared" si="250"/>
        <v>20.835329113623523</v>
      </c>
      <c r="WZ27" s="133">
        <f t="shared" si="251"/>
        <v>28.402598758897419</v>
      </c>
      <c r="XA27" s="81"/>
      <c r="XB27" s="81">
        <v>25</v>
      </c>
      <c r="XC27" s="133">
        <f t="shared" si="252"/>
        <v>-50.636103421484137</v>
      </c>
      <c r="XD27" s="133">
        <f t="shared" si="253"/>
        <v>-46.510130894229647</v>
      </c>
      <c r="XE27" s="133">
        <f t="shared" si="254"/>
        <v>-42.567835055907381</v>
      </c>
      <c r="XF27" s="133">
        <f t="shared" si="459"/>
        <v>-37.655420931891442</v>
      </c>
      <c r="XG27" s="133">
        <f t="shared" si="460"/>
        <v>-28.734248944198175</v>
      </c>
      <c r="XH27" s="134">
        <f t="shared" si="461"/>
        <v>-17.899708021810163</v>
      </c>
      <c r="XI27" s="133">
        <f t="shared" si="462"/>
        <v>-6.2738547596087031</v>
      </c>
      <c r="XJ27" s="133">
        <f t="shared" si="255"/>
        <v>4.7435835326806313</v>
      </c>
      <c r="XK27" s="133">
        <f t="shared" si="256"/>
        <v>11.589270163106555</v>
      </c>
      <c r="XL27" s="133">
        <f t="shared" si="257"/>
        <v>17.663703877134104</v>
      </c>
      <c r="XM27" s="133">
        <f t="shared" si="258"/>
        <v>24.878561120966587</v>
      </c>
      <c r="XN27" s="81"/>
      <c r="XO27" s="81">
        <v>25</v>
      </c>
      <c r="XP27" s="133">
        <f t="shared" si="259"/>
        <v>-46.983349811304642</v>
      </c>
      <c r="XQ27" s="133">
        <f t="shared" si="260"/>
        <v>-42.814546412623628</v>
      </c>
      <c r="XR27" s="133">
        <f t="shared" si="261"/>
        <v>-38.849074208786291</v>
      </c>
      <c r="XS27" s="133">
        <f t="shared" si="463"/>
        <v>-33.931122611112201</v>
      </c>
      <c r="XT27" s="133">
        <f t="shared" si="464"/>
        <v>-25.054760441020452</v>
      </c>
      <c r="XU27" s="134">
        <f t="shared" si="465"/>
        <v>-14.349174688519511</v>
      </c>
      <c r="XV27" s="133">
        <f t="shared" si="466"/>
        <v>-2.9319034928184067</v>
      </c>
      <c r="XW27" s="133">
        <f t="shared" si="262"/>
        <v>7.8342006838551868</v>
      </c>
      <c r="XX27" s="133">
        <f t="shared" si="263"/>
        <v>14.501415417626255</v>
      </c>
      <c r="XY27" s="133">
        <f t="shared" si="264"/>
        <v>20.404743396229257</v>
      </c>
      <c r="XZ27" s="133">
        <f t="shared" si="265"/>
        <v>27.40211081703162</v>
      </c>
      <c r="YA27" s="81"/>
      <c r="YB27" s="81">
        <v>28</v>
      </c>
      <c r="YC27" s="133">
        <f t="shared" si="266"/>
        <v>-51.807366751683475</v>
      </c>
      <c r="YD27" s="133">
        <f t="shared" si="267"/>
        <v>-47.552006883714924</v>
      </c>
      <c r="YE27" s="133">
        <f t="shared" si="268"/>
        <v>-43.509624644886152</v>
      </c>
      <c r="YF27" s="133">
        <f t="shared" si="467"/>
        <v>-38.516663645188416</v>
      </c>
      <c r="YG27" s="133">
        <f t="shared" si="468"/>
        <v>-29.561787346538239</v>
      </c>
      <c r="YH27" s="134">
        <f t="shared" si="469"/>
        <v>-18.844204450711956</v>
      </c>
      <c r="YI27" s="133">
        <f t="shared" si="470"/>
        <v>-7.4944367324343943</v>
      </c>
      <c r="YJ27" s="133">
        <f t="shared" si="269"/>
        <v>3.1458745640172268</v>
      </c>
      <c r="YK27" s="133">
        <f t="shared" si="270"/>
        <v>9.7092261544391292</v>
      </c>
      <c r="YL27" s="133">
        <f t="shared" si="271"/>
        <v>15.505730469397385</v>
      </c>
      <c r="YM27" s="133">
        <f t="shared" si="272"/>
        <v>22.359834450915095</v>
      </c>
      <c r="YN27" s="81"/>
      <c r="YO27" s="81">
        <v>25</v>
      </c>
      <c r="YP27" s="133">
        <v>19.780832950519795</v>
      </c>
      <c r="YQ27" s="133">
        <v>22.24229255175965</v>
      </c>
      <c r="YR27" s="133">
        <v>24.602904047357189</v>
      </c>
      <c r="YS27" s="133">
        <v>27.637126367577164</v>
      </c>
      <c r="YT27" s="133">
        <v>33.554183823276531</v>
      </c>
      <c r="YU27" s="134">
        <v>41.653853635069829</v>
      </c>
      <c r="YV27" s="133">
        <v>51.708708868913725</v>
      </c>
      <c r="YW27" s="133">
        <v>62.779447456856751</v>
      </c>
      <c r="YX27" s="133">
        <v>70.521899338066021</v>
      </c>
      <c r="YY27" s="133">
        <v>78.006505786857687</v>
      </c>
      <c r="YZ27" s="133">
        <v>87.713370159481926</v>
      </c>
      <c r="ZA27" s="81"/>
      <c r="ZB27" s="81">
        <v>25</v>
      </c>
      <c r="ZC27" s="133">
        <v>17.212440001886222</v>
      </c>
      <c r="ZD27" s="133">
        <v>19.527121763136748</v>
      </c>
      <c r="ZE27" s="133">
        <v>21.76534589005573</v>
      </c>
      <c r="ZF27" s="133">
        <v>24.666096672694483</v>
      </c>
      <c r="ZG27" s="133">
        <v>30.390691384215003</v>
      </c>
      <c r="ZH27" s="134">
        <v>38.350167159428253</v>
      </c>
      <c r="ZI27" s="133">
        <v>48.394269895419107</v>
      </c>
      <c r="ZJ27" s="133">
        <v>59.62578273619603</v>
      </c>
      <c r="ZK27" s="133">
        <v>67.572338550707187</v>
      </c>
      <c r="ZL27" s="133">
        <v>75.317567995737036</v>
      </c>
      <c r="ZM27" s="133">
        <v>85.446068134147055</v>
      </c>
      <c r="ZN27" s="81"/>
      <c r="ZO27" s="81">
        <v>28</v>
      </c>
      <c r="ZP27" s="133">
        <v>22.574421883161818</v>
      </c>
      <c r="ZQ27" s="133">
        <v>25.054615951607456</v>
      </c>
      <c r="ZR27" s="133">
        <v>27.404592512218137</v>
      </c>
      <c r="ZS27" s="133">
        <v>30.388806506539161</v>
      </c>
      <c r="ZT27" s="133">
        <v>36.107597836905548</v>
      </c>
      <c r="ZU27" s="134">
        <v>43.758726885772326</v>
      </c>
      <c r="ZV27" s="133">
        <v>53.031115149578611</v>
      </c>
      <c r="ZW27" s="133">
        <v>63.010904302924011</v>
      </c>
      <c r="ZX27" s="133">
        <v>69.872455786740943</v>
      </c>
      <c r="ZY27" s="133">
        <v>76.426083814737623</v>
      </c>
      <c r="ZZ27" s="133">
        <v>84.822822421506913</v>
      </c>
      <c r="AAA27" s="81"/>
      <c r="AAB27" s="81">
        <v>25</v>
      </c>
      <c r="AAC27" s="133">
        <v>8.5303378790280391</v>
      </c>
      <c r="AAD27" s="133">
        <v>9.4646401061457066</v>
      </c>
      <c r="AAE27" s="133">
        <v>10.349636767279295</v>
      </c>
      <c r="AAF27" s="133">
        <v>11.473166124440949</v>
      </c>
      <c r="AAG27" s="133">
        <v>13.625355218804971</v>
      </c>
      <c r="AAH27" s="134">
        <v>16.503203593899965</v>
      </c>
      <c r="AAI27" s="133">
        <v>19.988890160149534</v>
      </c>
      <c r="AAJ27" s="133">
        <v>23.738497805023606</v>
      </c>
      <c r="AAK27" s="133">
        <v>26.315486715705227</v>
      </c>
      <c r="AAL27" s="133">
        <v>28.776131559916685</v>
      </c>
      <c r="AAM27" s="133">
        <v>31.92789461848907</v>
      </c>
      <c r="AAN27" s="81"/>
      <c r="AAO27" s="81">
        <v>25</v>
      </c>
      <c r="AAP27" s="133">
        <v>7.8064119253090389</v>
      </c>
      <c r="AAQ27" s="133">
        <v>8.7260895537695422</v>
      </c>
      <c r="AAR27" s="133">
        <v>9.6032653177893348</v>
      </c>
      <c r="AAS27" s="133">
        <v>10.724579150995341</v>
      </c>
      <c r="AAT27" s="133">
        <v>12.894017133721031</v>
      </c>
      <c r="AAU27" s="134">
        <v>15.833043619028556</v>
      </c>
      <c r="AAV27" s="133">
        <v>19.441983645768328</v>
      </c>
      <c r="AAW27" s="133">
        <v>23.374835199831114</v>
      </c>
      <c r="AAX27" s="133">
        <v>26.104169982441814</v>
      </c>
      <c r="AAY27" s="133">
        <v>28.728248626988758</v>
      </c>
      <c r="AAZ27" s="133">
        <v>32.112739199595431</v>
      </c>
      <c r="ABA27" s="81"/>
      <c r="ABB27" s="81">
        <v>28</v>
      </c>
      <c r="ABC27" s="133">
        <v>9.6282289047399647</v>
      </c>
      <c r="ABD27" s="133">
        <v>10.577565699657971</v>
      </c>
      <c r="ABE27" s="133">
        <v>11.468582771640552</v>
      </c>
      <c r="ABF27" s="133">
        <v>12.589414715702715</v>
      </c>
      <c r="ABG27" s="133">
        <v>14.708205048236971</v>
      </c>
      <c r="ABH27" s="134">
        <v>17.492621361917898</v>
      </c>
      <c r="ABI27" s="133">
        <v>20.80415666683302</v>
      </c>
      <c r="ABJ27" s="133">
        <v>24.305482742558652</v>
      </c>
      <c r="ABK27" s="133">
        <v>26.680873147472159</v>
      </c>
      <c r="ABL27" s="133">
        <v>28.928376414747358</v>
      </c>
      <c r="ABM27" s="133">
        <v>31.780694574137826</v>
      </c>
      <c r="ABN27" s="81"/>
      <c r="ABO27" s="81">
        <v>25</v>
      </c>
      <c r="ABP27" s="133">
        <f t="shared" si="273"/>
        <v>0.18694257519375734</v>
      </c>
      <c r="ABQ27" s="133">
        <f t="shared" si="274"/>
        <v>0.21248036294468731</v>
      </c>
      <c r="ABR27" s="133">
        <f t="shared" si="275"/>
        <v>0.23640155341710692</v>
      </c>
      <c r="ABS27" s="133">
        <f t="shared" si="471"/>
        <v>0.2663522757308005</v>
      </c>
      <c r="ABT27" s="133">
        <f t="shared" si="472"/>
        <v>0.32234181045799615</v>
      </c>
      <c r="ABU27" s="134">
        <f t="shared" si="473"/>
        <v>0.39435565407718437</v>
      </c>
      <c r="ABV27" s="133">
        <f t="shared" si="474"/>
        <v>0.47744255182470774</v>
      </c>
      <c r="ABW27" s="133">
        <f t="shared" si="276"/>
        <v>0.56224308543961909</v>
      </c>
      <c r="ABX27" s="133">
        <f t="shared" si="277"/>
        <v>0.61805424516276497</v>
      </c>
      <c r="ABY27" s="133">
        <f t="shared" si="278"/>
        <v>0.66964184262071447</v>
      </c>
      <c r="ABZ27" s="133">
        <f t="shared" si="279"/>
        <v>0.7334914497663837</v>
      </c>
      <c r="ACA27" s="81"/>
      <c r="ACB27" s="81">
        <v>25</v>
      </c>
      <c r="ACC27" s="133">
        <f t="shared" si="280"/>
        <v>0.20157075027824956</v>
      </c>
      <c r="ACD27" s="133">
        <f t="shared" si="281"/>
        <v>0.22611258769204298</v>
      </c>
      <c r="ACE27" s="133">
        <f t="shared" si="282"/>
        <v>0.24923087188878573</v>
      </c>
      <c r="ACF27" s="133">
        <f t="shared" si="475"/>
        <v>0.27837817736186737</v>
      </c>
      <c r="ACG27" s="133">
        <f t="shared" si="476"/>
        <v>0.33352848646484529</v>
      </c>
      <c r="ACH27" s="134">
        <f t="shared" si="477"/>
        <v>0.40581776071095321</v>
      </c>
      <c r="ACI27" s="133">
        <f t="shared" si="478"/>
        <v>0.49117450131494472</v>
      </c>
      <c r="ACJ27" s="133">
        <f t="shared" si="283"/>
        <v>0.58044940581893023</v>
      </c>
      <c r="ACK27" s="133">
        <f t="shared" si="284"/>
        <v>0.64037922779828849</v>
      </c>
      <c r="ACL27" s="133">
        <f t="shared" si="285"/>
        <v>0.69658920625466492</v>
      </c>
      <c r="ACM27" s="133">
        <f t="shared" si="286"/>
        <v>0.76722708882251733</v>
      </c>
      <c r="ACN27" s="81"/>
      <c r="ACO27" s="81">
        <v>28</v>
      </c>
      <c r="ACP27" s="133">
        <f t="shared" si="287"/>
        <v>0.18162010847753252</v>
      </c>
      <c r="ACQ27" s="133">
        <f t="shared" si="288"/>
        <v>0.2103570234737728</v>
      </c>
      <c r="ACR27" s="133">
        <f t="shared" si="289"/>
        <v>0.23681738819284892</v>
      </c>
      <c r="ACS27" s="133">
        <f t="shared" si="479"/>
        <v>0.26933579537188218</v>
      </c>
      <c r="ACT27" s="133">
        <f t="shared" si="480"/>
        <v>0.32845057416164247</v>
      </c>
      <c r="ACU27" s="134">
        <f t="shared" si="481"/>
        <v>0.40136977206729013</v>
      </c>
      <c r="ACV27" s="133">
        <f t="shared" si="482"/>
        <v>0.48185009802981987</v>
      </c>
      <c r="ACW27" s="133">
        <f t="shared" si="290"/>
        <v>0.56065593530823843</v>
      </c>
      <c r="ACX27" s="133">
        <f t="shared" si="291"/>
        <v>0.61081098623652719</v>
      </c>
      <c r="ACY27" s="133">
        <f t="shared" si="292"/>
        <v>0.65611061900568013</v>
      </c>
      <c r="ACZ27" s="133">
        <f t="shared" si="293"/>
        <v>0.71088628038061574</v>
      </c>
      <c r="ADA27" s="81"/>
      <c r="ADB27" s="81">
        <v>25</v>
      </c>
      <c r="ADC27" s="133">
        <f t="shared" si="294"/>
        <v>0.15603977233386623</v>
      </c>
      <c r="ADD27" s="133">
        <f t="shared" si="295"/>
        <v>0.1748732466752278</v>
      </c>
      <c r="ADE27" s="133">
        <f t="shared" si="296"/>
        <v>0.19144669843397372</v>
      </c>
      <c r="ADF27" s="133">
        <f t="shared" si="483"/>
        <v>0.21096285125782649</v>
      </c>
      <c r="ADG27" s="133">
        <f t="shared" si="484"/>
        <v>0.24443337943602689</v>
      </c>
      <c r="ADH27" s="134">
        <f t="shared" si="485"/>
        <v>0.28299256806181483</v>
      </c>
      <c r="ADI27" s="133">
        <f t="shared" si="486"/>
        <v>0.32277404556861594</v>
      </c>
      <c r="ADJ27" s="133">
        <f t="shared" si="297"/>
        <v>0.35943524812835365</v>
      </c>
      <c r="ADK27" s="133">
        <f t="shared" si="298"/>
        <v>0.38182846383381741</v>
      </c>
      <c r="ADL27" s="133">
        <f t="shared" si="299"/>
        <v>0.4014941579603345</v>
      </c>
      <c r="ADM27" s="133">
        <f t="shared" si="300"/>
        <v>0.42463502648923285</v>
      </c>
      <c r="ADN27" s="81"/>
      <c r="ADO27" s="81">
        <v>25</v>
      </c>
      <c r="ADP27" s="133">
        <f t="shared" si="301"/>
        <v>0.16691943877228965</v>
      </c>
      <c r="ADQ27" s="133">
        <f t="shared" si="302"/>
        <v>0.18437387814777895</v>
      </c>
      <c r="ADR27" s="133">
        <f t="shared" si="303"/>
        <v>0.19992465233205189</v>
      </c>
      <c r="ADS27" s="133">
        <f t="shared" si="487"/>
        <v>0.21846050241225437</v>
      </c>
      <c r="ADT27" s="133">
        <f t="shared" si="488"/>
        <v>0.25079597827199085</v>
      </c>
      <c r="ADU27" s="134">
        <f t="shared" si="489"/>
        <v>0.28886613300766922</v>
      </c>
      <c r="ADV27" s="133">
        <f t="shared" si="490"/>
        <v>0.32901350033815402</v>
      </c>
      <c r="ADW27" s="133">
        <f t="shared" si="304"/>
        <v>0.36675366744844218</v>
      </c>
      <c r="ADX27" s="133">
        <f t="shared" si="305"/>
        <v>0.39014076405790132</v>
      </c>
      <c r="ADY27" s="133">
        <f t="shared" si="306"/>
        <v>0.41088172269093892</v>
      </c>
      <c r="ADZ27" s="133">
        <f t="shared" si="307"/>
        <v>0.43552384961134866</v>
      </c>
      <c r="AEA27" s="81"/>
      <c r="AEB27" s="81">
        <v>28</v>
      </c>
      <c r="AEC27" s="133">
        <f t="shared" si="308"/>
        <v>0.15232297764597683</v>
      </c>
      <c r="AED27" s="133">
        <f t="shared" si="309"/>
        <v>0.1736627693310441</v>
      </c>
      <c r="AEE27" s="133">
        <f t="shared" si="310"/>
        <v>0.19193193986500776</v>
      </c>
      <c r="AEF27" s="133">
        <f t="shared" si="491"/>
        <v>0.21290943148278438</v>
      </c>
      <c r="AEG27" s="133">
        <f t="shared" si="492"/>
        <v>0.24772402012890329</v>
      </c>
      <c r="AEH27" s="134">
        <f t="shared" si="493"/>
        <v>0.28629912981361377</v>
      </c>
      <c r="AEI27" s="133">
        <f t="shared" si="494"/>
        <v>0.32466679240315349</v>
      </c>
      <c r="AEJ27" s="133">
        <f t="shared" si="311"/>
        <v>0.35893524065660604</v>
      </c>
      <c r="AEK27" s="133">
        <f t="shared" si="312"/>
        <v>0.37941425934711182</v>
      </c>
      <c r="AEL27" s="133">
        <f t="shared" si="313"/>
        <v>0.39714089980819495</v>
      </c>
      <c r="AEM27" s="133">
        <f t="shared" si="314"/>
        <v>0.4177123443839405</v>
      </c>
      <c r="AEN27" s="81"/>
    </row>
    <row r="28" spans="1:820">
      <c r="A28" s="81"/>
      <c r="B28" s="81">
        <v>27</v>
      </c>
      <c r="C28" s="133">
        <f t="shared" si="0"/>
        <v>1.7203091537579742</v>
      </c>
      <c r="D28" s="133">
        <f t="shared" si="1"/>
        <v>2.0404151466827374</v>
      </c>
      <c r="E28" s="133">
        <f t="shared" si="2"/>
        <v>2.3734217920693372</v>
      </c>
      <c r="F28" s="133">
        <f t="shared" si="315"/>
        <v>2.8406073100135858</v>
      </c>
      <c r="G28" s="133">
        <f t="shared" si="316"/>
        <v>3.8870590598886734</v>
      </c>
      <c r="H28" s="134">
        <f t="shared" si="317"/>
        <v>5.6405323747648755</v>
      </c>
      <c r="I28" s="133">
        <f t="shared" si="318"/>
        <v>8.4123395706562238</v>
      </c>
      <c r="J28" s="133">
        <f t="shared" si="3"/>
        <v>12.369051860328058</v>
      </c>
      <c r="K28" s="133">
        <f t="shared" si="4"/>
        <v>15.801685279944271</v>
      </c>
      <c r="L28" s="133">
        <f t="shared" si="5"/>
        <v>19.72465967686183</v>
      </c>
      <c r="M28" s="133">
        <f t="shared" si="6"/>
        <v>25.832242692033233</v>
      </c>
      <c r="N28" s="81"/>
      <c r="O28" s="75">
        <v>27</v>
      </c>
      <c r="P28" s="151">
        <f t="shared" si="7"/>
        <v>2.4004580970841394</v>
      </c>
      <c r="Q28" s="151">
        <f t="shared" si="8"/>
        <v>2.6999956528382003</v>
      </c>
      <c r="R28" s="151">
        <f t="shared" si="9"/>
        <v>3.0012909335768336</v>
      </c>
      <c r="S28" s="151">
        <f t="shared" si="319"/>
        <v>3.4106043782860631</v>
      </c>
      <c r="T28" s="151">
        <f t="shared" si="320"/>
        <v>4.2888149860954394</v>
      </c>
      <c r="U28" s="134">
        <f t="shared" si="321"/>
        <v>5.6922140008504094</v>
      </c>
      <c r="V28" s="151">
        <f t="shared" si="322"/>
        <v>7.8357265566148033</v>
      </c>
      <c r="W28" s="151">
        <f t="shared" si="10"/>
        <v>10.862275845376278</v>
      </c>
      <c r="X28" s="151">
        <f t="shared" si="11"/>
        <v>13.516369664716684</v>
      </c>
      <c r="Y28" s="151">
        <f t="shared" si="12"/>
        <v>16.617841473067063</v>
      </c>
      <c r="Z28" s="151">
        <f t="shared" si="13"/>
        <v>21.639250742250578</v>
      </c>
      <c r="AA28" s="81"/>
      <c r="AB28" s="75">
        <v>29</v>
      </c>
      <c r="AC28" s="151">
        <f t="shared" si="14"/>
        <v>1.4161830933843915</v>
      </c>
      <c r="AD28" s="151">
        <f t="shared" si="15"/>
        <v>1.7099578487033991</v>
      </c>
      <c r="AE28" s="151">
        <f t="shared" si="16"/>
        <v>2.0243393877092495</v>
      </c>
      <c r="AF28" s="151">
        <f t="shared" si="323"/>
        <v>2.4796891110350212</v>
      </c>
      <c r="AG28" s="151">
        <f t="shared" si="324"/>
        <v>3.5561174952760322</v>
      </c>
      <c r="AH28" s="134">
        <f t="shared" si="325"/>
        <v>5.5196467416921591</v>
      </c>
      <c r="AI28" s="151">
        <f t="shared" si="326"/>
        <v>8.9914198304793231</v>
      </c>
      <c r="AJ28" s="151">
        <f t="shared" si="17"/>
        <v>14.656737968665668</v>
      </c>
      <c r="AK28" s="151">
        <f t="shared" si="18"/>
        <v>20.20305944844899</v>
      </c>
      <c r="AL28" s="151">
        <f t="shared" si="19"/>
        <v>27.229293368791357</v>
      </c>
      <c r="AM28" s="151">
        <f t="shared" si="20"/>
        <v>39.589334810399045</v>
      </c>
      <c r="AN28" s="81"/>
      <c r="AO28" s="81">
        <v>27</v>
      </c>
      <c r="AP28" s="133">
        <f t="shared" si="21"/>
        <v>1.0383227193596349</v>
      </c>
      <c r="AQ28" s="133">
        <f t="shared" si="22"/>
        <v>2.785612353805651</v>
      </c>
      <c r="AR28" s="133">
        <f t="shared" si="23"/>
        <v>4.4331934243063609</v>
      </c>
      <c r="AS28" s="133">
        <f t="shared" si="327"/>
        <v>6.5003984517507005</v>
      </c>
      <c r="AT28" s="133">
        <f t="shared" si="328"/>
        <v>10.352343540508723</v>
      </c>
      <c r="AU28" s="134">
        <f t="shared" si="329"/>
        <v>15.246941712795035</v>
      </c>
      <c r="AV28" s="133">
        <f t="shared" si="330"/>
        <v>20.783019946431835</v>
      </c>
      <c r="AW28" s="133">
        <f t="shared" si="24"/>
        <v>26.301793913008272</v>
      </c>
      <c r="AX28" s="133">
        <f t="shared" si="25"/>
        <v>29.862369643429911</v>
      </c>
      <c r="AY28" s="133">
        <f t="shared" si="26"/>
        <v>33.104721328445407</v>
      </c>
      <c r="AZ28" s="133">
        <f t="shared" si="27"/>
        <v>37.055474538412454</v>
      </c>
      <c r="BA28" s="81"/>
      <c r="BB28" s="81">
        <v>27</v>
      </c>
      <c r="BC28" s="133">
        <f t="shared" si="28"/>
        <v>3.9628837303707565</v>
      </c>
      <c r="BD28" s="133">
        <f t="shared" si="29"/>
        <v>5.8317754555394901</v>
      </c>
      <c r="BE28" s="133">
        <f t="shared" si="30"/>
        <v>7.5350827780273724</v>
      </c>
      <c r="BF28" s="133">
        <f t="shared" si="331"/>
        <v>9.6064113932225297</v>
      </c>
      <c r="BG28" s="133">
        <f t="shared" si="332"/>
        <v>13.311239056871401</v>
      </c>
      <c r="BH28" s="134">
        <f t="shared" si="333"/>
        <v>17.796928177284247</v>
      </c>
      <c r="BI28" s="133">
        <f t="shared" si="334"/>
        <v>22.645870093099724</v>
      </c>
      <c r="BJ28" s="133">
        <f t="shared" si="31"/>
        <v>27.296260202352197</v>
      </c>
      <c r="BK28" s="133">
        <f t="shared" si="32"/>
        <v>30.216854686305684</v>
      </c>
      <c r="BL28" s="133">
        <f t="shared" si="33"/>
        <v>32.82934182019892</v>
      </c>
      <c r="BM28" s="133">
        <f t="shared" si="34"/>
        <v>35.958359405965716</v>
      </c>
      <c r="BN28" s="81"/>
      <c r="BO28" s="75">
        <v>29</v>
      </c>
      <c r="BP28" s="151">
        <f t="shared" si="35"/>
        <v>2.8548955453534051</v>
      </c>
      <c r="BQ28" s="151">
        <f t="shared" si="36"/>
        <v>3.6655213603437269</v>
      </c>
      <c r="BR28" s="151">
        <f t="shared" si="37"/>
        <v>4.5121459106288704</v>
      </c>
      <c r="BS28" s="151">
        <f t="shared" si="335"/>
        <v>5.6898466201544107</v>
      </c>
      <c r="BT28" s="151">
        <f t="shared" si="336"/>
        <v>8.2372763122626207</v>
      </c>
      <c r="BU28" s="134">
        <f t="shared" si="337"/>
        <v>12.16424386832727</v>
      </c>
      <c r="BV28" s="151">
        <f t="shared" si="338"/>
        <v>17.585279629730206</v>
      </c>
      <c r="BW28" s="151">
        <f t="shared" si="38"/>
        <v>24.08155773185257</v>
      </c>
      <c r="BX28" s="151">
        <f t="shared" si="39"/>
        <v>28.879277126393973</v>
      </c>
      <c r="BY28" s="151">
        <f t="shared" si="40"/>
        <v>33.677877169067848</v>
      </c>
      <c r="BZ28" s="151">
        <f t="shared" si="41"/>
        <v>40.096197105281846</v>
      </c>
      <c r="CA28" s="81"/>
      <c r="CB28" s="81">
        <v>27</v>
      </c>
      <c r="CC28" s="133">
        <f t="shared" si="42"/>
        <v>-6.3896555162361901</v>
      </c>
      <c r="CD28" s="133">
        <f t="shared" si="43"/>
        <v>-4.7170389952034544</v>
      </c>
      <c r="CE28" s="133">
        <f t="shared" si="44"/>
        <v>-2.8699057027264567</v>
      </c>
      <c r="CF28" s="133">
        <f t="shared" si="339"/>
        <v>-0.39081801241974645</v>
      </c>
      <c r="CG28" s="133">
        <f t="shared" si="340"/>
        <v>4.4113249426617793</v>
      </c>
      <c r="CH28" s="134">
        <f t="shared" si="341"/>
        <v>10.567572030388721</v>
      </c>
      <c r="CI28" s="133">
        <f t="shared" si="342"/>
        <v>17.434001510186462</v>
      </c>
      <c r="CJ28" s="133">
        <f t="shared" si="45"/>
        <v>24.12202786847056</v>
      </c>
      <c r="CK28" s="133">
        <f t="shared" si="46"/>
        <v>28.348810929318457</v>
      </c>
      <c r="CL28" s="133">
        <f t="shared" si="47"/>
        <v>32.138768317633215</v>
      </c>
      <c r="CM28" s="133">
        <f t="shared" si="48"/>
        <v>36.68342511741649</v>
      </c>
      <c r="CN28" s="81"/>
      <c r="CO28" s="81">
        <v>27</v>
      </c>
      <c r="CP28" s="133">
        <f t="shared" si="49"/>
        <v>-1.189421474615294</v>
      </c>
      <c r="CQ28" s="133">
        <f t="shared" si="50"/>
        <v>0.90182988819763388</v>
      </c>
      <c r="CR28" s="133">
        <f t="shared" si="51"/>
        <v>2.8723314455798858</v>
      </c>
      <c r="CS28" s="133">
        <f t="shared" si="343"/>
        <v>5.3208539626573019</v>
      </c>
      <c r="CT28" s="133">
        <f t="shared" si="344"/>
        <v>9.7826858958253347</v>
      </c>
      <c r="CU28" s="134">
        <f t="shared" si="345"/>
        <v>15.251060050176147</v>
      </c>
      <c r="CV28" s="133">
        <f t="shared" si="346"/>
        <v>21.185440770615429</v>
      </c>
      <c r="CW28" s="133">
        <f t="shared" si="52"/>
        <v>26.870410231035311</v>
      </c>
      <c r="CX28" s="133">
        <f t="shared" si="53"/>
        <v>30.430895541678513</v>
      </c>
      <c r="CY28" s="133">
        <f t="shared" si="54"/>
        <v>33.607307769472484</v>
      </c>
      <c r="CZ28" s="133">
        <f t="shared" si="55"/>
        <v>37.399938690817621</v>
      </c>
      <c r="DA28" s="81"/>
      <c r="DB28" s="81">
        <v>29</v>
      </c>
      <c r="DC28" s="133">
        <f t="shared" si="56"/>
        <v>-6.6079561609480697</v>
      </c>
      <c r="DD28" s="133">
        <f t="shared" si="57"/>
        <v>-5.604692389150455</v>
      </c>
      <c r="DE28" s="133">
        <f t="shared" si="58"/>
        <v>-4.3928000959833344</v>
      </c>
      <c r="DF28" s="133">
        <f t="shared" si="347"/>
        <v>-2.6530196933523991</v>
      </c>
      <c r="DG28" s="133">
        <f t="shared" si="348"/>
        <v>0.96964707280937823</v>
      </c>
      <c r="DH28" s="134">
        <f t="shared" si="349"/>
        <v>5.9537502627430543</v>
      </c>
      <c r="DI28" s="133">
        <f t="shared" si="350"/>
        <v>11.83840495603847</v>
      </c>
      <c r="DJ28" s="133">
        <f t="shared" si="59"/>
        <v>17.825899631011737</v>
      </c>
      <c r="DK28" s="133">
        <f t="shared" si="60"/>
        <v>21.718745575405173</v>
      </c>
      <c r="DL28" s="133">
        <f t="shared" si="61"/>
        <v>25.272638086487436</v>
      </c>
      <c r="DM28" s="133">
        <f t="shared" si="62"/>
        <v>29.606353852900188</v>
      </c>
      <c r="DN28" s="81"/>
      <c r="DO28" s="81">
        <v>27</v>
      </c>
      <c r="DP28" s="133">
        <v>13.061583461846547</v>
      </c>
      <c r="DQ28" s="133">
        <v>14.41017130997146</v>
      </c>
      <c r="DR28" s="133">
        <v>15.680882308134784</v>
      </c>
      <c r="DS28" s="133">
        <v>17.28561532145644</v>
      </c>
      <c r="DT28" s="133">
        <v>20.336333824076007</v>
      </c>
      <c r="DU28" s="134">
        <v>24.375256653208236</v>
      </c>
      <c r="DV28" s="133">
        <v>29.216334765628194</v>
      </c>
      <c r="DW28" s="133">
        <v>34.372692314415723</v>
      </c>
      <c r="DX28" s="133">
        <v>37.89028737251239</v>
      </c>
      <c r="DY28" s="133">
        <v>41.23151100213736</v>
      </c>
      <c r="DZ28" s="133">
        <v>45.488599345195745</v>
      </c>
      <c r="EA28" s="81"/>
      <c r="EB28" s="81">
        <v>27</v>
      </c>
      <c r="EC28" s="133">
        <v>13.371694321479241</v>
      </c>
      <c r="ED28" s="133">
        <v>14.356141887039737</v>
      </c>
      <c r="EE28" s="133">
        <v>15.260597064836714</v>
      </c>
      <c r="EF28" s="133">
        <v>16.37432131088697</v>
      </c>
      <c r="EG28" s="133">
        <v>18.416021490599135</v>
      </c>
      <c r="EH28" s="134">
        <v>20.993080681889836</v>
      </c>
      <c r="EI28" s="133">
        <v>23.930762501624255</v>
      </c>
      <c r="EJ28" s="133">
        <v>26.914668898265557</v>
      </c>
      <c r="EK28" s="133">
        <v>28.878911791191555</v>
      </c>
      <c r="EL28" s="133">
        <v>30.698319923557911</v>
      </c>
      <c r="EM28" s="133">
        <v>32.958384025307481</v>
      </c>
      <c r="EN28" s="81"/>
      <c r="EO28" s="81">
        <v>29</v>
      </c>
      <c r="EP28" s="133">
        <v>16.564417712608417</v>
      </c>
      <c r="EQ28" s="133">
        <v>17.926783882893567</v>
      </c>
      <c r="ER28" s="133">
        <v>19.18778192662349</v>
      </c>
      <c r="ES28" s="133">
        <v>20.75210867485767</v>
      </c>
      <c r="ET28" s="133">
        <v>23.65063118771905</v>
      </c>
      <c r="EU28" s="134">
        <v>27.360861206023408</v>
      </c>
      <c r="EV28" s="133">
        <v>31.653139402216347</v>
      </c>
      <c r="EW28" s="133">
        <v>36.074248533705259</v>
      </c>
      <c r="EX28" s="133">
        <v>39.015282162267738</v>
      </c>
      <c r="EY28" s="133">
        <v>41.759678190221031</v>
      </c>
      <c r="EZ28" s="133">
        <v>45.194267551309615</v>
      </c>
      <c r="FA28" s="81"/>
      <c r="FB28" s="81">
        <v>27</v>
      </c>
      <c r="FC28" s="133">
        <v>7.2909671193128283</v>
      </c>
      <c r="FD28" s="133">
        <v>8.1506152848268236</v>
      </c>
      <c r="FE28" s="133">
        <v>8.9706006729497698</v>
      </c>
      <c r="FF28" s="133">
        <v>10.018889744156009</v>
      </c>
      <c r="FG28" s="133">
        <v>12.04727636400227</v>
      </c>
      <c r="FH28" s="134">
        <v>14.79562629805887</v>
      </c>
      <c r="FI28" s="133">
        <v>18.170958392381905</v>
      </c>
      <c r="FJ28" s="133">
        <v>21.84978207585339</v>
      </c>
      <c r="FK28" s="133">
        <v>24.403110285794011</v>
      </c>
      <c r="FL28" s="133">
        <v>26.858163451701</v>
      </c>
      <c r="FM28" s="133">
        <v>30.024899847915322</v>
      </c>
      <c r="FN28" s="81"/>
      <c r="FO28" s="81">
        <v>27</v>
      </c>
      <c r="FP28" s="133">
        <v>7.1047610172622511</v>
      </c>
      <c r="FQ28" s="133">
        <v>7.796691820890798</v>
      </c>
      <c r="FR28" s="133">
        <v>8.4454523108333035</v>
      </c>
      <c r="FS28" s="133">
        <v>9.2607102170020479</v>
      </c>
      <c r="FT28" s="133">
        <v>10.799584252708161</v>
      </c>
      <c r="FU28" s="134">
        <v>12.817997340624061</v>
      </c>
      <c r="FV28" s="133">
        <v>15.213646375604187</v>
      </c>
      <c r="FW28" s="133">
        <v>17.74173383836153</v>
      </c>
      <c r="FX28" s="133">
        <v>19.454382048133805</v>
      </c>
      <c r="FY28" s="133">
        <v>21.073175597887573</v>
      </c>
      <c r="FZ28" s="133">
        <v>23.125486617360895</v>
      </c>
      <c r="GA28" s="81"/>
      <c r="GB28" s="81">
        <v>29</v>
      </c>
      <c r="GC28" s="133">
        <v>9.3763703720093403</v>
      </c>
      <c r="GD28" s="133">
        <v>10.303384155267524</v>
      </c>
      <c r="GE28" s="133">
        <v>11.173646307872122</v>
      </c>
      <c r="GF28" s="133">
        <v>12.268617613189544</v>
      </c>
      <c r="GG28" s="133">
        <v>14.339195889389243</v>
      </c>
      <c r="GH28" s="134">
        <v>17.061417329041856</v>
      </c>
      <c r="GI28" s="133">
        <v>20.300438289648636</v>
      </c>
      <c r="GJ28" s="133">
        <v>23.726549351639054</v>
      </c>
      <c r="GK28" s="133">
        <v>26.05165344017092</v>
      </c>
      <c r="GL28" s="133">
        <v>28.2520729974832</v>
      </c>
      <c r="GM28" s="133">
        <v>31.045271221869321</v>
      </c>
      <c r="GN28" s="81"/>
      <c r="GO28" s="81">
        <v>27</v>
      </c>
      <c r="GP28" s="133">
        <f t="shared" si="63"/>
        <v>0.41020278410936245</v>
      </c>
      <c r="GQ28" s="133">
        <f t="shared" si="64"/>
        <v>0.44854515994472555</v>
      </c>
      <c r="GR28" s="133">
        <f t="shared" si="65"/>
        <v>0.478937385528582</v>
      </c>
      <c r="GS28" s="133">
        <f t="shared" si="351"/>
        <v>0.51161730394429661</v>
      </c>
      <c r="GT28" s="133">
        <f t="shared" si="352"/>
        <v>0.56308727425917626</v>
      </c>
      <c r="GU28" s="134">
        <f t="shared" si="353"/>
        <v>0.61243034681436337</v>
      </c>
      <c r="GV28" s="133">
        <f t="shared" si="354"/>
        <v>0.65787962705311687</v>
      </c>
      <c r="GW28" s="133">
        <f t="shared" si="66"/>
        <v>0.69810829936551355</v>
      </c>
      <c r="GX28" s="133">
        <f t="shared" si="67"/>
        <v>0.72044199417949384</v>
      </c>
      <c r="GY28" s="133">
        <f t="shared" si="68"/>
        <v>0.73923510063315767</v>
      </c>
      <c r="GZ28" s="133">
        <f t="shared" si="69"/>
        <v>0.7604684826800131</v>
      </c>
      <c r="HA28" s="81"/>
      <c r="HB28" s="81">
        <v>27</v>
      </c>
      <c r="HC28" s="133">
        <f t="shared" si="70"/>
        <v>0.3849280285341552</v>
      </c>
      <c r="HD28" s="133">
        <f t="shared" si="71"/>
        <v>0.42779052235360837</v>
      </c>
      <c r="HE28" s="133">
        <f t="shared" si="72"/>
        <v>0.46136491675838159</v>
      </c>
      <c r="HF28" s="133">
        <f t="shared" si="355"/>
        <v>0.4971647417425421</v>
      </c>
      <c r="HG28" s="133">
        <f t="shared" si="356"/>
        <v>0.55155285385981234</v>
      </c>
      <c r="HH28" s="134">
        <f t="shared" si="357"/>
        <v>0.60624532535444309</v>
      </c>
      <c r="HI28" s="133">
        <f t="shared" si="358"/>
        <v>0.65622989402615639</v>
      </c>
      <c r="HJ28" s="133">
        <f t="shared" si="73"/>
        <v>0.69792257835416605</v>
      </c>
      <c r="HK28" s="133">
        <f t="shared" si="74"/>
        <v>0.72171773560327868</v>
      </c>
      <c r="HL28" s="133">
        <f t="shared" si="75"/>
        <v>0.74171456650527712</v>
      </c>
      <c r="HM28" s="133">
        <f t="shared" si="76"/>
        <v>0.76428219465367708</v>
      </c>
      <c r="HN28" s="81"/>
      <c r="HO28" s="81">
        <v>29</v>
      </c>
      <c r="HP28" s="83">
        <f t="shared" si="77"/>
        <v>0.44034129344528872</v>
      </c>
      <c r="HQ28" s="83">
        <f t="shared" si="78"/>
        <v>0.47425840524179402</v>
      </c>
      <c r="HR28" s="83">
        <f t="shared" si="79"/>
        <v>0.50146079069988936</v>
      </c>
      <c r="HS28" s="83">
        <f t="shared" si="359"/>
        <v>0.53096708589214581</v>
      </c>
      <c r="HT28" s="83">
        <f t="shared" si="360"/>
        <v>0.57659214697124317</v>
      </c>
      <c r="HU28" s="84">
        <f t="shared" si="361"/>
        <v>0.62323532137469029</v>
      </c>
      <c r="HV28" s="83">
        <f t="shared" si="362"/>
        <v>0.6663814016112467</v>
      </c>
      <c r="HW28" s="83">
        <f t="shared" si="80"/>
        <v>0.70267182518581106</v>
      </c>
      <c r="HX28" s="83">
        <f t="shared" si="81"/>
        <v>0.7234872628910497</v>
      </c>
      <c r="HY28" s="83">
        <f t="shared" si="82"/>
        <v>0.74103137109097394</v>
      </c>
      <c r="HZ28" s="83">
        <f t="shared" si="83"/>
        <v>0.76088223276256106</v>
      </c>
      <c r="IA28" s="81"/>
      <c r="IB28" s="81">
        <v>27</v>
      </c>
      <c r="IC28" s="83">
        <f t="shared" si="84"/>
        <v>0.29217683841652026</v>
      </c>
      <c r="ID28" s="83">
        <f t="shared" si="85"/>
        <v>0.31061939671571409</v>
      </c>
      <c r="IE28" s="83">
        <f t="shared" si="86"/>
        <v>0.32446590624187999</v>
      </c>
      <c r="IF28" s="83">
        <f t="shared" si="363"/>
        <v>0.33872416103975139</v>
      </c>
      <c r="IG28" s="83">
        <f t="shared" si="364"/>
        <v>0.35951196895880216</v>
      </c>
      <c r="IH28" s="84">
        <f t="shared" si="365"/>
        <v>0.37949428483941683</v>
      </c>
      <c r="II28" s="83">
        <f t="shared" si="366"/>
        <v>0.39705503255788255</v>
      </c>
      <c r="IJ28" s="83">
        <f t="shared" si="87"/>
        <v>0.41124764379212825</v>
      </c>
      <c r="IK28" s="83">
        <f t="shared" si="88"/>
        <v>0.41917776410343299</v>
      </c>
      <c r="IL28" s="83">
        <f t="shared" si="89"/>
        <v>0.42575216411959343</v>
      </c>
      <c r="IM28" s="83">
        <f t="shared" si="90"/>
        <v>0.43307756315564944</v>
      </c>
      <c r="IN28" s="81"/>
      <c r="IO28" s="81">
        <v>27</v>
      </c>
      <c r="IP28" s="133">
        <f t="shared" si="91"/>
        <v>0.27904168970981363</v>
      </c>
      <c r="IQ28" s="133">
        <f t="shared" si="92"/>
        <v>0.30057805359506995</v>
      </c>
      <c r="IR28" s="133">
        <f t="shared" si="93"/>
        <v>0.31636363150456326</v>
      </c>
      <c r="IS28" s="133">
        <f t="shared" si="367"/>
        <v>0.33235973035332012</v>
      </c>
      <c r="IT28" s="133">
        <f t="shared" si="368"/>
        <v>0.35532202786066225</v>
      </c>
      <c r="IU28" s="134">
        <f t="shared" si="369"/>
        <v>0.37709208227077828</v>
      </c>
      <c r="IV28" s="133">
        <f t="shared" si="370"/>
        <v>0.39603972601408377</v>
      </c>
      <c r="IW28" s="133">
        <f t="shared" si="94"/>
        <v>0.41125402079396567</v>
      </c>
      <c r="IX28" s="133">
        <f t="shared" si="95"/>
        <v>0.41972260972346531</v>
      </c>
      <c r="IY28" s="133">
        <f t="shared" si="96"/>
        <v>0.42672785020974585</v>
      </c>
      <c r="IZ28" s="133">
        <f t="shared" si="97"/>
        <v>0.43451812058174416</v>
      </c>
      <c r="JA28" s="81"/>
      <c r="JB28" s="81">
        <v>29</v>
      </c>
      <c r="JC28" s="133">
        <f t="shared" si="98"/>
        <v>0.30703735218063227</v>
      </c>
      <c r="JD28" s="133">
        <f t="shared" si="99"/>
        <v>0.32258222690368943</v>
      </c>
      <c r="JE28" s="133">
        <f t="shared" si="100"/>
        <v>0.33452283218648948</v>
      </c>
      <c r="JF28" s="133">
        <f t="shared" si="371"/>
        <v>0.34701983064657016</v>
      </c>
      <c r="JG28" s="133">
        <f t="shared" si="372"/>
        <v>0.36554301157837482</v>
      </c>
      <c r="JH28" s="134">
        <f t="shared" si="373"/>
        <v>0.38362346673494563</v>
      </c>
      <c r="JI28" s="133">
        <f t="shared" si="374"/>
        <v>0.39969145979572462</v>
      </c>
      <c r="JJ28" s="133">
        <f t="shared" si="101"/>
        <v>0.41277843832614747</v>
      </c>
      <c r="JK28" s="133">
        <f t="shared" si="102"/>
        <v>0.42012473723593169</v>
      </c>
      <c r="JL28" s="133">
        <f t="shared" si="103"/>
        <v>0.42623177016997815</v>
      </c>
      <c r="JM28" s="133">
        <f t="shared" si="104"/>
        <v>0.43305286802211018</v>
      </c>
      <c r="JN28" s="81"/>
      <c r="JO28" s="81">
        <v>26</v>
      </c>
      <c r="JP28" s="133">
        <f t="shared" si="105"/>
        <v>-7.7472655136992916</v>
      </c>
      <c r="JQ28" s="133">
        <f t="shared" si="106"/>
        <v>-6.3600805300009142</v>
      </c>
      <c r="JR28" s="133">
        <f t="shared" si="107"/>
        <v>-5.1481353720911098</v>
      </c>
      <c r="JS28" s="133">
        <f t="shared" si="375"/>
        <v>-3.7303595100941003</v>
      </c>
      <c r="JT28" s="133">
        <f t="shared" si="376"/>
        <v>-1.3194889838903201</v>
      </c>
      <c r="JU28" s="134">
        <f t="shared" si="377"/>
        <v>1.4301859776447827</v>
      </c>
      <c r="JV28" s="133">
        <f t="shared" si="378"/>
        <v>4.2406117971860553</v>
      </c>
      <c r="JW28" s="133">
        <f t="shared" si="108"/>
        <v>6.8100993620543662</v>
      </c>
      <c r="JX28" s="133">
        <f t="shared" si="109"/>
        <v>8.3709413003093864</v>
      </c>
      <c r="JY28" s="133">
        <f t="shared" si="110"/>
        <v>9.7366933982743582</v>
      </c>
      <c r="JZ28" s="133">
        <f t="shared" si="111"/>
        <v>11.338194611779212</v>
      </c>
      <c r="KA28" s="81"/>
      <c r="KB28" s="81">
        <v>26</v>
      </c>
      <c r="KC28" s="133">
        <f t="shared" si="112"/>
        <v>-5.8431114434944629</v>
      </c>
      <c r="KD28" s="133">
        <f t="shared" si="113"/>
        <v>-4.7392327875817735</v>
      </c>
      <c r="KE28" s="133">
        <f t="shared" si="114"/>
        <v>-3.7447619069512985</v>
      </c>
      <c r="KF28" s="133">
        <f t="shared" si="379"/>
        <v>-2.5490755650859356</v>
      </c>
      <c r="KG28" s="133">
        <f t="shared" si="380"/>
        <v>-0.44385100331261462</v>
      </c>
      <c r="KH28" s="134">
        <f t="shared" si="381"/>
        <v>2.0553282103412123</v>
      </c>
      <c r="KI28" s="133">
        <f t="shared" si="382"/>
        <v>4.7047904497935544</v>
      </c>
      <c r="KJ28" s="133">
        <f t="shared" si="115"/>
        <v>7.2021799537091749</v>
      </c>
      <c r="KK28" s="133">
        <f t="shared" si="116"/>
        <v>8.7513260290454919</v>
      </c>
      <c r="KL28" s="133">
        <f t="shared" si="117"/>
        <v>10.125536364691206</v>
      </c>
      <c r="KM28" s="133">
        <f t="shared" si="118"/>
        <v>11.758138060168806</v>
      </c>
      <c r="KN28" s="81"/>
      <c r="KO28" s="81">
        <v>28</v>
      </c>
      <c r="KP28" s="133">
        <f t="shared" si="119"/>
        <v>-9.1964733136514525</v>
      </c>
      <c r="KQ28" s="133">
        <f t="shared" si="120"/>
        <v>-7.5766930872792244</v>
      </c>
      <c r="KR28" s="133">
        <f t="shared" si="121"/>
        <v>-6.192987225977534</v>
      </c>
      <c r="KS28" s="133">
        <f t="shared" si="383"/>
        <v>-4.6072028677867394</v>
      </c>
      <c r="KT28" s="133">
        <f t="shared" si="384"/>
        <v>-1.9817806098494302</v>
      </c>
      <c r="KU28" s="134">
        <f t="shared" si="385"/>
        <v>0.919127695407429</v>
      </c>
      <c r="KV28" s="133">
        <f t="shared" si="386"/>
        <v>3.7971108700606102</v>
      </c>
      <c r="KW28" s="133">
        <f t="shared" si="122"/>
        <v>6.3621586193383415</v>
      </c>
      <c r="KX28" s="133">
        <f t="shared" si="123"/>
        <v>7.892811829021543</v>
      </c>
      <c r="KY28" s="133">
        <f t="shared" si="124"/>
        <v>9.2164844306059805</v>
      </c>
      <c r="KZ28" s="133">
        <f t="shared" si="125"/>
        <v>10.751189144308487</v>
      </c>
      <c r="LA28" s="81"/>
      <c r="LB28" s="81">
        <v>26</v>
      </c>
      <c r="LC28" s="133">
        <f t="shared" si="126"/>
        <v>-20.283780898733262</v>
      </c>
      <c r="LD28" s="133">
        <f t="shared" si="127"/>
        <v>-16.752932773296102</v>
      </c>
      <c r="LE28" s="133">
        <f t="shared" si="128"/>
        <v>-13.604833290106239</v>
      </c>
      <c r="LF28" s="133">
        <f t="shared" si="387"/>
        <v>-9.8595288729448924</v>
      </c>
      <c r="LG28" s="133">
        <f t="shared" si="388"/>
        <v>-3.3633003888946646</v>
      </c>
      <c r="LH28" s="134">
        <f t="shared" si="389"/>
        <v>4.2032838197905278</v>
      </c>
      <c r="LI28" s="133">
        <f t="shared" si="390"/>
        <v>12.074913926372346</v>
      </c>
      <c r="LJ28" s="133">
        <f t="shared" si="129"/>
        <v>19.371488920106579</v>
      </c>
      <c r="LK28" s="133">
        <f t="shared" si="130"/>
        <v>23.8437982941455</v>
      </c>
      <c r="LL28" s="133">
        <f t="shared" si="131"/>
        <v>27.779352023900614</v>
      </c>
      <c r="LM28" s="133">
        <f t="shared" si="132"/>
        <v>32.418591248257748</v>
      </c>
      <c r="LN28" s="81"/>
      <c r="LO28" s="81">
        <v>26</v>
      </c>
      <c r="LP28" s="133">
        <f t="shared" si="133"/>
        <v>-17.002033955106597</v>
      </c>
      <c r="LQ28" s="133">
        <f t="shared" si="134"/>
        <v>-13.66364060902869</v>
      </c>
      <c r="LR28" s="133">
        <f t="shared" si="135"/>
        <v>-10.668102410603026</v>
      </c>
      <c r="LS28" s="133">
        <f t="shared" si="391"/>
        <v>-7.0847945869729116</v>
      </c>
      <c r="LT28" s="133">
        <f t="shared" si="392"/>
        <v>-0.82793213960499656</v>
      </c>
      <c r="LU28" s="134">
        <f t="shared" si="393"/>
        <v>6.5139953006093414</v>
      </c>
      <c r="LV28" s="133">
        <f t="shared" si="394"/>
        <v>14.202067210201275</v>
      </c>
      <c r="LW28" s="133">
        <f t="shared" si="136"/>
        <v>21.366670131127965</v>
      </c>
      <c r="LX28" s="133">
        <f t="shared" si="137"/>
        <v>25.773977932358545</v>
      </c>
      <c r="LY28" s="133">
        <f t="shared" si="138"/>
        <v>29.661417187648443</v>
      </c>
      <c r="LZ28" s="133">
        <f t="shared" si="139"/>
        <v>34.254108059427011</v>
      </c>
      <c r="MA28" s="81"/>
      <c r="MB28" s="81">
        <v>28</v>
      </c>
      <c r="MC28" s="133">
        <f t="shared" si="140"/>
        <v>-21.417463613737553</v>
      </c>
      <c r="MD28" s="133">
        <f t="shared" si="141"/>
        <v>-17.85823784048301</v>
      </c>
      <c r="ME28" s="133">
        <f t="shared" si="142"/>
        <v>-14.725856286324987</v>
      </c>
      <c r="MF28" s="133">
        <f t="shared" si="395"/>
        <v>-11.042878881585548</v>
      </c>
      <c r="MG28" s="133">
        <f t="shared" si="396"/>
        <v>-4.7504939544323292</v>
      </c>
      <c r="MH28" s="134">
        <f t="shared" si="397"/>
        <v>2.4513465760681612</v>
      </c>
      <c r="MI28" s="133">
        <f t="shared" si="398"/>
        <v>9.8238747160618303</v>
      </c>
      <c r="MJ28" s="133">
        <f t="shared" si="143"/>
        <v>16.566085628299454</v>
      </c>
      <c r="MK28" s="133">
        <f t="shared" si="144"/>
        <v>20.660336510993979</v>
      </c>
      <c r="ML28" s="133">
        <f t="shared" si="145"/>
        <v>24.241309810073865</v>
      </c>
      <c r="MM28" s="133">
        <f t="shared" si="146"/>
        <v>28.438070400355791</v>
      </c>
      <c r="MN28" s="81"/>
      <c r="MO28" s="81">
        <v>26</v>
      </c>
      <c r="MP28" s="133">
        <f t="shared" si="147"/>
        <v>-26.398712149901712</v>
      </c>
      <c r="MQ28" s="133">
        <f t="shared" si="148"/>
        <v>-22.060303443651669</v>
      </c>
      <c r="MR28" s="133">
        <f t="shared" si="149"/>
        <v>-18.295651087354575</v>
      </c>
      <c r="MS28" s="133">
        <f t="shared" si="399"/>
        <v>-13.925023337331126</v>
      </c>
      <c r="MT28" s="133">
        <f t="shared" si="400"/>
        <v>-6.5764534283959151</v>
      </c>
      <c r="MU28" s="134">
        <f t="shared" si="401"/>
        <v>1.6817710263823997</v>
      </c>
      <c r="MV28" s="133">
        <f t="shared" si="402"/>
        <v>9.997224189805749</v>
      </c>
      <c r="MW28" s="133">
        <f t="shared" si="150"/>
        <v>17.498484805049713</v>
      </c>
      <c r="MX28" s="133">
        <f t="shared" si="151"/>
        <v>22.011389624994088</v>
      </c>
      <c r="MY28" s="133">
        <f t="shared" si="152"/>
        <v>25.934659199654973</v>
      </c>
      <c r="MZ28" s="133">
        <f t="shared" si="153"/>
        <v>30.506150013146616</v>
      </c>
      <c r="NA28" s="81"/>
      <c r="NB28" s="81">
        <v>26</v>
      </c>
      <c r="NC28" s="133">
        <f t="shared" si="154"/>
        <v>-22.165320083255871</v>
      </c>
      <c r="ND28" s="133">
        <f t="shared" si="155"/>
        <v>-18.035276022281426</v>
      </c>
      <c r="NE28" s="133">
        <f t="shared" si="156"/>
        <v>-14.419041665296376</v>
      </c>
      <c r="NF28" s="133">
        <f t="shared" si="403"/>
        <v>-10.196523047396237</v>
      </c>
      <c r="NG28" s="133">
        <f t="shared" si="404"/>
        <v>-3.0567466793118854</v>
      </c>
      <c r="NH28" s="134">
        <f t="shared" si="405"/>
        <v>5.0089886581682102</v>
      </c>
      <c r="NI28" s="133">
        <f t="shared" si="406"/>
        <v>13.163234587570617</v>
      </c>
      <c r="NJ28" s="133">
        <f t="shared" si="157"/>
        <v>20.540903829582714</v>
      </c>
      <c r="NK28" s="133">
        <f t="shared" si="158"/>
        <v>24.987824171783242</v>
      </c>
      <c r="NL28" s="133">
        <f t="shared" si="159"/>
        <v>28.858266318574071</v>
      </c>
      <c r="NM28" s="133">
        <f t="shared" si="160"/>
        <v>33.373080307210103</v>
      </c>
      <c r="NN28" s="81"/>
      <c r="NO28" s="81">
        <v>28</v>
      </c>
      <c r="NP28" s="133">
        <f t="shared" si="161"/>
        <v>-26.974243432774422</v>
      </c>
      <c r="NQ28" s="133">
        <f t="shared" si="162"/>
        <v>-22.979213187242358</v>
      </c>
      <c r="NR28" s="133">
        <f t="shared" si="163"/>
        <v>-19.538594536718719</v>
      </c>
      <c r="NS28" s="133">
        <f t="shared" si="407"/>
        <v>-15.567577495501084</v>
      </c>
      <c r="NT28" s="133">
        <f t="shared" si="408"/>
        <v>-8.935271392083898</v>
      </c>
      <c r="NU28" s="134">
        <f t="shared" si="409"/>
        <v>-1.5337049119418609</v>
      </c>
      <c r="NV28" s="133">
        <f t="shared" si="410"/>
        <v>5.8756494938404131</v>
      </c>
      <c r="NW28" s="133">
        <f t="shared" si="164"/>
        <v>12.528760366340585</v>
      </c>
      <c r="NX28" s="133">
        <f t="shared" si="165"/>
        <v>16.519199880107116</v>
      </c>
      <c r="NY28" s="133">
        <f t="shared" si="166"/>
        <v>19.981517798909643</v>
      </c>
      <c r="NZ28" s="133">
        <f t="shared" si="167"/>
        <v>24.00853597490336</v>
      </c>
      <c r="OA28" s="81"/>
      <c r="OB28" s="81">
        <v>26</v>
      </c>
      <c r="OC28" s="133">
        <v>15.573162902007967</v>
      </c>
      <c r="OD28" s="133">
        <v>17.30024152904085</v>
      </c>
      <c r="OE28" s="133">
        <v>18.938057115381518</v>
      </c>
      <c r="OF28" s="133">
        <v>21.019701466996057</v>
      </c>
      <c r="OG28" s="133">
        <v>25.013827240779431</v>
      </c>
      <c r="OH28" s="134">
        <v>30.366273427129354</v>
      </c>
      <c r="OI28" s="133">
        <v>36.864033359432831</v>
      </c>
      <c r="OJ28" s="133">
        <v>43.868870511744824</v>
      </c>
      <c r="OK28" s="133">
        <v>48.690874477416308</v>
      </c>
      <c r="OL28" s="133">
        <v>53.300444407281375</v>
      </c>
      <c r="OM28" s="133">
        <v>59.211514555741765</v>
      </c>
      <c r="ON28" s="81"/>
      <c r="OO28" s="81">
        <v>26</v>
      </c>
      <c r="OP28" s="133">
        <v>14.453801049406549</v>
      </c>
      <c r="OQ28" s="133">
        <v>15.928700318216299</v>
      </c>
      <c r="OR28" s="133">
        <v>17.317018812683486</v>
      </c>
      <c r="OS28" s="133">
        <v>19.068495492081361</v>
      </c>
      <c r="OT28" s="133">
        <v>25.321622179031813</v>
      </c>
      <c r="OU28" s="134">
        <v>26.786696153495807</v>
      </c>
      <c r="OV28" s="133">
        <v>32.042017171587617</v>
      </c>
      <c r="OW28" s="133">
        <v>37.628930458497742</v>
      </c>
      <c r="OX28" s="133">
        <v>41.43479305422764</v>
      </c>
      <c r="OY28" s="133">
        <v>45.046179316910901</v>
      </c>
      <c r="OZ28" s="133">
        <v>49.642795577926385</v>
      </c>
      <c r="PA28" s="81"/>
      <c r="PB28" s="81">
        <v>28</v>
      </c>
      <c r="PC28" s="133">
        <v>20.542895713380339</v>
      </c>
      <c r="PD28" s="133">
        <v>22.357552401499678</v>
      </c>
      <c r="PE28" s="133">
        <v>24.045957350159984</v>
      </c>
      <c r="PF28" s="133">
        <v>26.151428909121975</v>
      </c>
      <c r="PG28" s="133">
        <v>30.081955295117609</v>
      </c>
      <c r="PH28" s="134">
        <v>35.162928754060523</v>
      </c>
      <c r="PI28" s="133">
        <v>41.102100792092244</v>
      </c>
      <c r="PJ28" s="133">
        <v>47.279694079425703</v>
      </c>
      <c r="PK28" s="133">
        <v>51.419518905322796</v>
      </c>
      <c r="PL28" s="133">
        <v>55.302634937811895</v>
      </c>
      <c r="PM28" s="133">
        <v>60.18779318233134</v>
      </c>
      <c r="PN28" s="81"/>
      <c r="PO28" s="81">
        <v>26</v>
      </c>
      <c r="PP28" s="133">
        <v>7.9692487145049116</v>
      </c>
      <c r="PQ28" s="133">
        <v>8.697956915031849</v>
      </c>
      <c r="PR28" s="133">
        <v>9.3777616562285182</v>
      </c>
      <c r="PS28" s="133">
        <v>10.227733634865949</v>
      </c>
      <c r="PT28" s="133">
        <v>11.820522622579356</v>
      </c>
      <c r="PU28" s="134">
        <v>13.889826294806486</v>
      </c>
      <c r="PV28" s="133">
        <v>16.321382789909073</v>
      </c>
      <c r="PW28" s="133">
        <v>18.863150076788862</v>
      </c>
      <c r="PX28" s="133">
        <v>20.572848998754331</v>
      </c>
      <c r="PY28" s="133">
        <v>22.180757663501396</v>
      </c>
      <c r="PZ28" s="133">
        <v>24.2089664172168</v>
      </c>
      <c r="QA28" s="81"/>
      <c r="QB28" s="81">
        <v>26</v>
      </c>
      <c r="QC28" s="133">
        <v>7.6395349496556415</v>
      </c>
      <c r="QD28" s="133">
        <v>8.3347829631110208</v>
      </c>
      <c r="QE28" s="133">
        <v>8.9831339674516162</v>
      </c>
      <c r="QF28" s="133">
        <v>9.7934801667577283</v>
      </c>
      <c r="QG28" s="133">
        <v>11.311207813730245</v>
      </c>
      <c r="QH28" s="134">
        <v>13.281621037134755</v>
      </c>
      <c r="QI28" s="133">
        <v>15.595280387292817</v>
      </c>
      <c r="QJ28" s="133">
        <v>18.012131986831886</v>
      </c>
      <c r="QK28" s="133">
        <v>19.636961667633138</v>
      </c>
      <c r="QL28" s="133">
        <v>21.164493203338001</v>
      </c>
      <c r="QM28" s="133">
        <v>23.090601526996352</v>
      </c>
      <c r="QN28" s="81"/>
      <c r="QO28" s="81">
        <v>28</v>
      </c>
      <c r="QP28" s="133">
        <v>8.9704489701398877</v>
      </c>
      <c r="QQ28" s="133">
        <v>9.7229764030557515</v>
      </c>
      <c r="QR28" s="133">
        <v>10.420492925875044</v>
      </c>
      <c r="QS28" s="133">
        <v>11.28701293457239</v>
      </c>
      <c r="QT28" s="133">
        <v>12.895831390021524</v>
      </c>
      <c r="QU28" s="134">
        <v>14.960671186877766</v>
      </c>
      <c r="QV28" s="133">
        <v>17.356126611197954</v>
      </c>
      <c r="QW28" s="133">
        <v>19.830019125459074</v>
      </c>
      <c r="QX28" s="133">
        <v>21.478991824475475</v>
      </c>
      <c r="QY28" s="133">
        <v>23.01987303924049</v>
      </c>
      <c r="QZ28" s="133">
        <v>24.951001126801362</v>
      </c>
      <c r="RA28" s="81"/>
      <c r="RB28" s="81">
        <v>26</v>
      </c>
      <c r="RC28" s="133">
        <f t="shared" si="168"/>
        <v>0.26029860782195147</v>
      </c>
      <c r="RD28" s="133">
        <f t="shared" si="169"/>
        <v>0.28223433229080347</v>
      </c>
      <c r="RE28" s="133">
        <f t="shared" si="170"/>
        <v>0.30282004241137522</v>
      </c>
      <c r="RF28" s="133">
        <f t="shared" si="411"/>
        <v>0.32873942508688919</v>
      </c>
      <c r="RG28" s="133">
        <f t="shared" si="412"/>
        <v>0.37789713933115654</v>
      </c>
      <c r="RH28" s="134">
        <f t="shared" si="413"/>
        <v>0.44299372134133935</v>
      </c>
      <c r="RI28" s="133">
        <f t="shared" si="414"/>
        <v>0.52137887432388585</v>
      </c>
      <c r="RJ28" s="133">
        <f t="shared" si="171"/>
        <v>0.60559458969839375</v>
      </c>
      <c r="RK28" s="133">
        <f t="shared" si="172"/>
        <v>0.66358265863176191</v>
      </c>
      <c r="RL28" s="133">
        <f t="shared" si="173"/>
        <v>0.71911594915602339</v>
      </c>
      <c r="RM28" s="133">
        <f t="shared" si="174"/>
        <v>0.79055670023977997</v>
      </c>
      <c r="RN28" s="81"/>
      <c r="RO28" s="81">
        <v>26</v>
      </c>
      <c r="RP28" s="133">
        <f t="shared" si="175"/>
        <v>0.2853657586505729</v>
      </c>
      <c r="RQ28" s="133">
        <f t="shared" si="176"/>
        <v>0.30710124081273937</v>
      </c>
      <c r="RR28" s="133">
        <f t="shared" si="177"/>
        <v>0.32742220839053787</v>
      </c>
      <c r="RS28" s="133">
        <f t="shared" si="415"/>
        <v>0.35291775165972245</v>
      </c>
      <c r="RT28" s="133">
        <f t="shared" si="416"/>
        <v>0.40104642944182139</v>
      </c>
      <c r="RU28" s="134">
        <f t="shared" si="417"/>
        <v>0.46444189345580372</v>
      </c>
      <c r="RV28" s="133">
        <f t="shared" si="418"/>
        <v>0.54043681774187691</v>
      </c>
      <c r="RW28" s="133">
        <f t="shared" si="178"/>
        <v>0.62183390779851178</v>
      </c>
      <c r="RX28" s="133">
        <f t="shared" si="179"/>
        <v>0.6777975532023699</v>
      </c>
      <c r="RY28" s="133">
        <f t="shared" si="180"/>
        <v>0.73136182927245486</v>
      </c>
      <c r="RZ28" s="133">
        <f t="shared" si="181"/>
        <v>0.80026025971742654</v>
      </c>
      <c r="SA28" s="81"/>
      <c r="SB28" s="81">
        <v>28</v>
      </c>
      <c r="SC28" s="133">
        <f t="shared" si="182"/>
        <v>0.24454492732565297</v>
      </c>
      <c r="SD28" s="133">
        <f t="shared" si="183"/>
        <v>0.26682132165298506</v>
      </c>
      <c r="SE28" s="133">
        <f t="shared" si="184"/>
        <v>0.2876193772523592</v>
      </c>
      <c r="SF28" s="133">
        <f t="shared" si="419"/>
        <v>0.31364665061685598</v>
      </c>
      <c r="SG28" s="133">
        <f t="shared" si="420"/>
        <v>0.36249006425598129</v>
      </c>
      <c r="SH28" s="134">
        <f t="shared" si="421"/>
        <v>0.42608266694939934</v>
      </c>
      <c r="SI28" s="133">
        <f t="shared" si="422"/>
        <v>0.50100198084163117</v>
      </c>
      <c r="SJ28" s="133">
        <f t="shared" si="185"/>
        <v>0.57953426641491934</v>
      </c>
      <c r="SK28" s="133">
        <f t="shared" si="186"/>
        <v>0.63247890480010427</v>
      </c>
      <c r="SL28" s="133">
        <f t="shared" si="187"/>
        <v>0.68235697907157178</v>
      </c>
      <c r="SM28" s="133">
        <f t="shared" si="188"/>
        <v>0.74538777168655856</v>
      </c>
      <c r="SN28" s="81"/>
      <c r="SO28" s="81">
        <v>26</v>
      </c>
      <c r="SP28" s="133">
        <f t="shared" si="189"/>
        <v>0.20569841375230574</v>
      </c>
      <c r="SQ28" s="133">
        <f t="shared" si="190"/>
        <v>0.21970732210616101</v>
      </c>
      <c r="SR28" s="133">
        <f t="shared" si="191"/>
        <v>0.23231536109829626</v>
      </c>
      <c r="SS28" s="133">
        <f t="shared" si="423"/>
        <v>0.24751379625081155</v>
      </c>
      <c r="ST28" s="133">
        <f t="shared" si="424"/>
        <v>0.27450503571626561</v>
      </c>
      <c r="SU28" s="134">
        <f t="shared" si="425"/>
        <v>0.30711636888866367</v>
      </c>
      <c r="SV28" s="133">
        <f t="shared" si="426"/>
        <v>0.34253830127513096</v>
      </c>
      <c r="SW28" s="133">
        <f t="shared" si="192"/>
        <v>0.37683841309287947</v>
      </c>
      <c r="SX28" s="133">
        <f t="shared" si="193"/>
        <v>0.39859226700713002</v>
      </c>
      <c r="SY28" s="133">
        <f t="shared" si="194"/>
        <v>0.41820836267608619</v>
      </c>
      <c r="SZ28" s="133">
        <f t="shared" si="195"/>
        <v>0.44191309567146703</v>
      </c>
      <c r="TA28" s="81"/>
      <c r="TB28" s="81">
        <v>26</v>
      </c>
      <c r="TC28" s="133">
        <f t="shared" si="196"/>
        <v>0.22157490590279488</v>
      </c>
      <c r="TD28" s="133">
        <f t="shared" si="197"/>
        <v>0.23481431450240772</v>
      </c>
      <c r="TE28" s="133">
        <f t="shared" si="198"/>
        <v>0.24671731715004216</v>
      </c>
      <c r="TF28" s="133">
        <f t="shared" si="427"/>
        <v>0.26105490962133648</v>
      </c>
      <c r="TG28" s="133">
        <f t="shared" si="428"/>
        <v>0.28650146987816999</v>
      </c>
      <c r="TH28" s="134">
        <f t="shared" si="429"/>
        <v>0.31724404818368146</v>
      </c>
      <c r="TI28" s="133">
        <f t="shared" si="430"/>
        <v>0.3506619844834204</v>
      </c>
      <c r="TJ28" s="133">
        <f t="shared" si="199"/>
        <v>0.38306931891865037</v>
      </c>
      <c r="TK28" s="133">
        <f t="shared" si="200"/>
        <v>0.40365452506365362</v>
      </c>
      <c r="TL28" s="133">
        <f t="shared" si="201"/>
        <v>0.42224112916494716</v>
      </c>
      <c r="TM28" s="133">
        <f t="shared" si="202"/>
        <v>0.44473529931949918</v>
      </c>
      <c r="TN28" s="81"/>
      <c r="TO28" s="81">
        <v>28</v>
      </c>
      <c r="TP28" s="133">
        <f t="shared" si="203"/>
        <v>0.19539354459425351</v>
      </c>
      <c r="TQ28" s="133">
        <f t="shared" si="204"/>
        <v>0.21006409267207099</v>
      </c>
      <c r="TR28" s="133">
        <f t="shared" si="205"/>
        <v>0.22316176428648535</v>
      </c>
      <c r="TS28" s="133">
        <f t="shared" si="431"/>
        <v>0.23881836503464574</v>
      </c>
      <c r="TT28" s="133">
        <f t="shared" si="432"/>
        <v>0.26627450208419196</v>
      </c>
      <c r="TU28" s="134">
        <f t="shared" si="433"/>
        <v>0.29887320419977642</v>
      </c>
      <c r="TV28" s="133">
        <f t="shared" si="434"/>
        <v>0.33360619008201536</v>
      </c>
      <c r="TW28" s="133">
        <f t="shared" si="206"/>
        <v>0.3666092080234008</v>
      </c>
      <c r="TX28" s="133">
        <f t="shared" si="207"/>
        <v>0.38723687903703558</v>
      </c>
      <c r="TY28" s="133">
        <f t="shared" si="208"/>
        <v>0.40564468776506823</v>
      </c>
      <c r="TZ28" s="133">
        <f t="shared" si="209"/>
        <v>0.42765484023352573</v>
      </c>
      <c r="UA28" s="81"/>
      <c r="UB28" s="81">
        <v>26</v>
      </c>
      <c r="UC28" s="133">
        <f t="shared" si="210"/>
        <v>-27.885374876180229</v>
      </c>
      <c r="UD28" s="133">
        <f t="shared" si="211"/>
        <v>-24.186482876926995</v>
      </c>
      <c r="UE28" s="133">
        <f t="shared" si="212"/>
        <v>-21.117421182439863</v>
      </c>
      <c r="UF28" s="133">
        <f t="shared" si="435"/>
        <v>-17.689600271126736</v>
      </c>
      <c r="UG28" s="133">
        <f t="shared" si="436"/>
        <v>-12.195456920534831</v>
      </c>
      <c r="UH28" s="134">
        <f t="shared" si="437"/>
        <v>-6.3468003146743328</v>
      </c>
      <c r="UI28" s="133">
        <f t="shared" si="438"/>
        <v>-0.73780243885651942</v>
      </c>
      <c r="UJ28" s="133">
        <f t="shared" si="213"/>
        <v>4.1219092868924889</v>
      </c>
      <c r="UK28" s="133">
        <f t="shared" si="214"/>
        <v>6.9660961711549731</v>
      </c>
      <c r="UL28" s="133">
        <f t="shared" si="215"/>
        <v>9.3947362958388965</v>
      </c>
      <c r="UM28" s="133">
        <f t="shared" si="216"/>
        <v>12.176824061993514</v>
      </c>
      <c r="UN28" s="81"/>
      <c r="UO28" s="81">
        <v>26</v>
      </c>
      <c r="UP28" s="133">
        <f t="shared" si="217"/>
        <v>-23.376878744691354</v>
      </c>
      <c r="UQ28" s="133">
        <f t="shared" si="218"/>
        <v>-20.436630039931387</v>
      </c>
      <c r="UR28" s="133">
        <f t="shared" si="219"/>
        <v>-17.918190868108134</v>
      </c>
      <c r="US28" s="133">
        <f t="shared" si="439"/>
        <v>-15.024313994035303</v>
      </c>
      <c r="UT28" s="133">
        <f t="shared" si="440"/>
        <v>-10.21586007429136</v>
      </c>
      <c r="UU28" s="134">
        <f t="shared" si="441"/>
        <v>-4.879215619648928</v>
      </c>
      <c r="UV28" s="133">
        <f t="shared" si="442"/>
        <v>0.43782806743010383</v>
      </c>
      <c r="UW28" s="133">
        <f t="shared" si="220"/>
        <v>5.1941685534629158</v>
      </c>
      <c r="UX28" s="133">
        <f t="shared" si="221"/>
        <v>8.039764639981108</v>
      </c>
      <c r="UY28" s="133">
        <f t="shared" si="222"/>
        <v>10.504765254911021</v>
      </c>
      <c r="UZ28" s="133">
        <f t="shared" si="223"/>
        <v>13.367444527454687</v>
      </c>
      <c r="VA28" s="81"/>
      <c r="VB28" s="81">
        <v>29</v>
      </c>
      <c r="VC28" s="133">
        <f t="shared" si="224"/>
        <v>-29.508689027597832</v>
      </c>
      <c r="VD28" s="133">
        <f t="shared" si="225"/>
        <v>-25.353418103100161</v>
      </c>
      <c r="VE28" s="133">
        <f t="shared" si="226"/>
        <v>-21.996619587350857</v>
      </c>
      <c r="VF28" s="133">
        <f t="shared" si="443"/>
        <v>-18.32788460810319</v>
      </c>
      <c r="VG28" s="133">
        <f t="shared" si="444"/>
        <v>-12.593700660007883</v>
      </c>
      <c r="VH28" s="134">
        <f t="shared" si="445"/>
        <v>-6.6506603492097867</v>
      </c>
      <c r="VI28" s="133">
        <f t="shared" si="446"/>
        <v>-1.0785240938336358</v>
      </c>
      <c r="VJ28" s="133">
        <f t="shared" si="227"/>
        <v>3.6641399994838793</v>
      </c>
      <c r="VK28" s="133">
        <f t="shared" si="228"/>
        <v>6.4074278075382978</v>
      </c>
      <c r="VL28" s="133">
        <f t="shared" si="229"/>
        <v>8.7325376390615901</v>
      </c>
      <c r="VM28" s="133">
        <f t="shared" si="230"/>
        <v>11.377573735348889</v>
      </c>
      <c r="VN28" s="81"/>
      <c r="VO28" s="81">
        <v>26</v>
      </c>
      <c r="VP28" s="133">
        <f t="shared" si="231"/>
        <v>-45.192718247406944</v>
      </c>
      <c r="VQ28" s="133">
        <f t="shared" si="232"/>
        <v>-41.555465361096438</v>
      </c>
      <c r="VR28" s="133">
        <f t="shared" si="233"/>
        <v>-38.055816462411968</v>
      </c>
      <c r="VS28" s="133">
        <f t="shared" si="447"/>
        <v>-33.612888516747667</v>
      </c>
      <c r="VT28" s="133">
        <f t="shared" si="448"/>
        <v>-25.271980487511247</v>
      </c>
      <c r="VU28" s="134">
        <f t="shared" si="449"/>
        <v>-14.672123777481865</v>
      </c>
      <c r="VV28" s="133">
        <f t="shared" si="450"/>
        <v>-2.7656571697495096</v>
      </c>
      <c r="VW28" s="133">
        <f t="shared" si="234"/>
        <v>8.9820807100964686</v>
      </c>
      <c r="VX28" s="133">
        <f t="shared" si="235"/>
        <v>16.492281623348781</v>
      </c>
      <c r="VY28" s="133">
        <f t="shared" si="236"/>
        <v>23.283960074340264</v>
      </c>
      <c r="VZ28" s="133">
        <f t="shared" si="237"/>
        <v>31.499638093939204</v>
      </c>
      <c r="WA28" s="81"/>
      <c r="WB28" s="81">
        <v>26</v>
      </c>
      <c r="WC28" s="133">
        <f t="shared" si="238"/>
        <v>-41.768649339491056</v>
      </c>
      <c r="WD28" s="133">
        <f t="shared" si="239"/>
        <v>-38.395196727634797</v>
      </c>
      <c r="WE28" s="133">
        <f t="shared" si="240"/>
        <v>-35.075791468349458</v>
      </c>
      <c r="WF28" s="133">
        <f t="shared" si="451"/>
        <v>-30.792467930106234</v>
      </c>
      <c r="WG28" s="133">
        <f t="shared" si="452"/>
        <v>-22.613773655329847</v>
      </c>
      <c r="WH28" s="134">
        <f t="shared" si="453"/>
        <v>-12.055873455623285</v>
      </c>
      <c r="WI28" s="133">
        <f t="shared" si="454"/>
        <v>-5.7832458155786526E-2</v>
      </c>
      <c r="WJ28" s="133">
        <f t="shared" si="241"/>
        <v>11.877789060667226</v>
      </c>
      <c r="WK28" s="133">
        <f t="shared" si="242"/>
        <v>19.546203079305592</v>
      </c>
      <c r="WL28" s="133">
        <f t="shared" si="243"/>
        <v>26.501851332323419</v>
      </c>
      <c r="WM28" s="133">
        <f t="shared" si="244"/>
        <v>34.93864963044674</v>
      </c>
      <c r="WN28" s="81"/>
      <c r="WO28" s="81">
        <v>29</v>
      </c>
      <c r="WP28" s="133">
        <f t="shared" si="245"/>
        <v>-45.912194474852441</v>
      </c>
      <c r="WQ28" s="133">
        <f t="shared" si="246"/>
        <v>-42.025582448580678</v>
      </c>
      <c r="WR28" s="133">
        <f t="shared" si="247"/>
        <v>-38.330896742634486</v>
      </c>
      <c r="WS28" s="133">
        <f t="shared" si="455"/>
        <v>-33.702771801318271</v>
      </c>
      <c r="WT28" s="133">
        <f t="shared" si="456"/>
        <v>-25.181850928278568</v>
      </c>
      <c r="WU28" s="134">
        <f t="shared" si="457"/>
        <v>-14.615288693740773</v>
      </c>
      <c r="WV28" s="133">
        <f t="shared" si="458"/>
        <v>-3.0257533954419031</v>
      </c>
      <c r="WW28" s="133">
        <f t="shared" si="248"/>
        <v>8.1748652814167926</v>
      </c>
      <c r="WX28" s="133">
        <f t="shared" si="249"/>
        <v>15.232002883714081</v>
      </c>
      <c r="WY28" s="133">
        <f t="shared" si="250"/>
        <v>21.552578776566769</v>
      </c>
      <c r="WZ28" s="133">
        <f t="shared" si="251"/>
        <v>29.1275012202723</v>
      </c>
      <c r="XA28" s="81"/>
      <c r="XB28" s="81">
        <v>26</v>
      </c>
      <c r="XC28" s="133">
        <f t="shared" si="252"/>
        <v>-50.329152382536392</v>
      </c>
      <c r="XD28" s="133">
        <f t="shared" si="253"/>
        <v>-46.155205184479463</v>
      </c>
      <c r="XE28" s="133">
        <f t="shared" si="254"/>
        <v>-42.178780255962955</v>
      </c>
      <c r="XF28" s="133">
        <f t="shared" si="459"/>
        <v>-37.231807578127345</v>
      </c>
      <c r="XG28" s="133">
        <f t="shared" si="460"/>
        <v>-28.260040130494193</v>
      </c>
      <c r="XH28" s="134">
        <f t="shared" si="461"/>
        <v>-17.3754979664091</v>
      </c>
      <c r="XI28" s="133">
        <f t="shared" si="462"/>
        <v>-5.7038388119985228</v>
      </c>
      <c r="XJ28" s="133">
        <f t="shared" si="255"/>
        <v>5.3522895010394294</v>
      </c>
      <c r="XK28" s="133">
        <f t="shared" si="256"/>
        <v>12.2203542721875</v>
      </c>
      <c r="XL28" s="133">
        <f t="shared" si="257"/>
        <v>18.313795598044088</v>
      </c>
      <c r="XM28" s="133">
        <f t="shared" si="258"/>
        <v>25.550351551091204</v>
      </c>
      <c r="XN28" s="81"/>
      <c r="XO28" s="81">
        <v>26</v>
      </c>
      <c r="XP28" s="133">
        <f t="shared" si="259"/>
        <v>-46.530079453559658</v>
      </c>
      <c r="XQ28" s="133">
        <f t="shared" si="260"/>
        <v>-42.310648172819128</v>
      </c>
      <c r="XR28" s="133">
        <f t="shared" si="261"/>
        <v>-38.315440685237547</v>
      </c>
      <c r="XS28" s="133">
        <f t="shared" si="463"/>
        <v>-33.372643050524545</v>
      </c>
      <c r="XT28" s="133">
        <f t="shared" si="464"/>
        <v>-24.469285043541333</v>
      </c>
      <c r="XU28" s="134">
        <f t="shared" si="465"/>
        <v>-13.747549739869484</v>
      </c>
      <c r="XV28" s="133">
        <f t="shared" si="466"/>
        <v>-2.324099280885072</v>
      </c>
      <c r="XW28" s="133">
        <f t="shared" si="262"/>
        <v>8.4412757865313637</v>
      </c>
      <c r="XX28" s="133">
        <f t="shared" si="263"/>
        <v>15.105748381635784</v>
      </c>
      <c r="XY28" s="133">
        <f t="shared" si="264"/>
        <v>21.00548390047215</v>
      </c>
      <c r="XZ28" s="133">
        <f t="shared" si="265"/>
        <v>27.99739491868521</v>
      </c>
      <c r="YA28" s="81"/>
      <c r="YB28" s="81">
        <v>29</v>
      </c>
      <c r="YC28" s="133">
        <f t="shared" si="266"/>
        <v>-51.473907579905472</v>
      </c>
      <c r="YD28" s="133">
        <f t="shared" si="267"/>
        <v>-47.170563667984872</v>
      </c>
      <c r="YE28" s="133">
        <f t="shared" si="268"/>
        <v>-43.097731924402453</v>
      </c>
      <c r="YF28" s="133">
        <f t="shared" si="467"/>
        <v>-38.076124342271115</v>
      </c>
      <c r="YG28" s="133">
        <f t="shared" si="468"/>
        <v>-29.082391764684708</v>
      </c>
      <c r="YH28" s="134">
        <f t="shared" si="469"/>
        <v>-18.329295711595307</v>
      </c>
      <c r="YI28" s="133">
        <f t="shared" si="470"/>
        <v>-6.9490598562083505</v>
      </c>
      <c r="YJ28" s="133">
        <f t="shared" si="269"/>
        <v>3.7156754396650555</v>
      </c>
      <c r="YK28" s="133">
        <f t="shared" si="270"/>
        <v>10.292666944334393</v>
      </c>
      <c r="YL28" s="133">
        <f t="shared" si="271"/>
        <v>16.10049931710369</v>
      </c>
      <c r="YM28" s="133">
        <f t="shared" si="272"/>
        <v>22.967264160886096</v>
      </c>
      <c r="YN28" s="81"/>
      <c r="YO28" s="81">
        <v>26</v>
      </c>
      <c r="YP28" s="133">
        <v>19.616560020975125</v>
      </c>
      <c r="YQ28" s="133">
        <v>22.06085336811439</v>
      </c>
      <c r="YR28" s="133">
        <v>24.405324762568981</v>
      </c>
      <c r="YS28" s="133">
        <v>27.419216672078111</v>
      </c>
      <c r="YT28" s="133">
        <v>33.297797141909534</v>
      </c>
      <c r="YU28" s="134">
        <v>41.34689466834746</v>
      </c>
      <c r="YV28" s="133">
        <v>51.341705621832638</v>
      </c>
      <c r="YW28" s="133">
        <v>62.349180837697929</v>
      </c>
      <c r="YX28" s="133">
        <v>70.048881354671408</v>
      </c>
      <c r="YY28" s="133">
        <v>77.493180802621936</v>
      </c>
      <c r="YZ28" s="133">
        <v>87.149107534014888</v>
      </c>
      <c r="ZA28" s="81"/>
      <c r="ZB28" s="81">
        <v>26</v>
      </c>
      <c r="ZC28" s="133">
        <v>16.905415589484097</v>
      </c>
      <c r="ZD28" s="133">
        <v>19.196738365267304</v>
      </c>
      <c r="ZE28" s="133">
        <v>21.414295639444575</v>
      </c>
      <c r="ZF28" s="133">
        <v>24.290756246282502</v>
      </c>
      <c r="ZG28" s="133">
        <v>29.974533837797757</v>
      </c>
      <c r="ZH28" s="134">
        <v>37.89023409999615</v>
      </c>
      <c r="ZI28" s="133">
        <v>47.896319186193232</v>
      </c>
      <c r="ZJ28" s="133">
        <v>59.103546451841233</v>
      </c>
      <c r="ZK28" s="133">
        <v>67.042589881314797</v>
      </c>
      <c r="ZL28" s="133">
        <v>74.787175447995395</v>
      </c>
      <c r="ZM28" s="133">
        <v>84.923664405242988</v>
      </c>
      <c r="ZN28" s="81"/>
      <c r="ZO28" s="81">
        <v>29</v>
      </c>
      <c r="ZP28" s="133">
        <v>22.514426104233507</v>
      </c>
      <c r="ZQ28" s="133">
        <v>24.973323803993701</v>
      </c>
      <c r="ZR28" s="133">
        <v>27.301850092323924</v>
      </c>
      <c r="ZS28" s="133">
        <v>30.257209854133912</v>
      </c>
      <c r="ZT28" s="133">
        <v>35.916247446393641</v>
      </c>
      <c r="ZU28" s="134">
        <v>43.479616378772249</v>
      </c>
      <c r="ZV28" s="133">
        <v>52.635705978660724</v>
      </c>
      <c r="ZW28" s="133">
        <v>62.480217097311474</v>
      </c>
      <c r="ZX28" s="133">
        <v>69.243550677055339</v>
      </c>
      <c r="ZY28" s="133">
        <v>75.699856986713016</v>
      </c>
      <c r="ZZ28" s="133">
        <v>83.967365265851626</v>
      </c>
      <c r="AAA28" s="81"/>
      <c r="AAB28" s="81">
        <v>26</v>
      </c>
      <c r="AAC28" s="133">
        <v>8.5740011239467897</v>
      </c>
      <c r="AAD28" s="133">
        <v>9.514988813131728</v>
      </c>
      <c r="AAE28" s="133">
        <v>10.406483562793191</v>
      </c>
      <c r="AAF28" s="133">
        <v>11.538472535906454</v>
      </c>
      <c r="AAG28" s="133">
        <v>13.707447011185714</v>
      </c>
      <c r="AAH28" s="134">
        <v>16.608758510964737</v>
      </c>
      <c r="AAI28" s="133">
        <v>20.124160177343054</v>
      </c>
      <c r="AAJ28" s="133">
        <v>23.907051684451822</v>
      </c>
      <c r="AAK28" s="133">
        <v>26.507595732126703</v>
      </c>
      <c r="AAL28" s="133">
        <v>28.99119112939357</v>
      </c>
      <c r="AAM28" s="133">
        <v>32.172944146823689</v>
      </c>
      <c r="AAN28" s="81"/>
      <c r="AAO28" s="81">
        <v>26</v>
      </c>
      <c r="AAP28" s="133">
        <v>7.8119602569351381</v>
      </c>
      <c r="AAQ28" s="133">
        <v>8.7387787159395582</v>
      </c>
      <c r="AAR28" s="133">
        <v>9.6233744549819384</v>
      </c>
      <c r="AAS28" s="133">
        <v>10.754953045684124</v>
      </c>
      <c r="AAT28" s="133">
        <v>12.946428885591921</v>
      </c>
      <c r="AAU28" s="134">
        <v>15.919183005166129</v>
      </c>
      <c r="AAV28" s="133">
        <v>19.574539804872483</v>
      </c>
      <c r="AAW28" s="133">
        <v>23.563132863110507</v>
      </c>
      <c r="AAX28" s="133">
        <v>26.333838378363893</v>
      </c>
      <c r="AAY28" s="133">
        <v>28.99951993174178</v>
      </c>
      <c r="AAZ28" s="133">
        <v>32.440050796084599</v>
      </c>
      <c r="ABA28" s="81"/>
      <c r="ABB28" s="81">
        <v>29</v>
      </c>
      <c r="ABC28" s="133">
        <v>9.6954659544542778</v>
      </c>
      <c r="ABD28" s="133">
        <v>10.648620708047924</v>
      </c>
      <c r="ABE28" s="133">
        <v>11.543002055732659</v>
      </c>
      <c r="ABF28" s="133">
        <v>12.667790490746262</v>
      </c>
      <c r="ABG28" s="133">
        <v>14.793309942013703</v>
      </c>
      <c r="ABH28" s="134">
        <v>17.585276158285357</v>
      </c>
      <c r="ABI28" s="133">
        <v>20.90417484493431</v>
      </c>
      <c r="ABJ28" s="133">
        <v>24.411671300457545</v>
      </c>
      <c r="ABK28" s="133">
        <v>26.790425581669123</v>
      </c>
      <c r="ABL28" s="133">
        <v>29.040562720901804</v>
      </c>
      <c r="ABM28" s="133">
        <v>31.895520959576775</v>
      </c>
      <c r="ABN28" s="81"/>
      <c r="ABO28" s="81">
        <v>26</v>
      </c>
      <c r="ABP28" s="133">
        <f t="shared" si="273"/>
        <v>0.18917258055819011</v>
      </c>
      <c r="ABQ28" s="133">
        <f t="shared" si="274"/>
        <v>0.21499515385924697</v>
      </c>
      <c r="ABR28" s="133">
        <f t="shared" si="275"/>
        <v>0.2391816386935976</v>
      </c>
      <c r="ABS28" s="133">
        <f t="shared" si="471"/>
        <v>0.26946280666049249</v>
      </c>
      <c r="ABT28" s="133">
        <f t="shared" si="472"/>
        <v>0.32606578712153372</v>
      </c>
      <c r="ABU28" s="134">
        <f t="shared" si="473"/>
        <v>0.39886205326863211</v>
      </c>
      <c r="ABV28" s="133">
        <f t="shared" si="474"/>
        <v>0.48284448414641429</v>
      </c>
      <c r="ABW28" s="133">
        <f t="shared" si="276"/>
        <v>0.568552731710673</v>
      </c>
      <c r="ABX28" s="133">
        <f t="shared" si="277"/>
        <v>0.62495842673956137</v>
      </c>
      <c r="ABY28" s="133">
        <f t="shared" si="278"/>
        <v>0.67709380684396425</v>
      </c>
      <c r="ABZ28" s="133">
        <f t="shared" si="279"/>
        <v>0.74161930794262099</v>
      </c>
      <c r="ACA28" s="81"/>
      <c r="ACB28" s="81">
        <v>26</v>
      </c>
      <c r="ACC28" s="133">
        <f t="shared" si="280"/>
        <v>0.20455130109635034</v>
      </c>
      <c r="ACD28" s="133">
        <f t="shared" si="281"/>
        <v>0.22938627674634826</v>
      </c>
      <c r="ACE28" s="133">
        <f t="shared" si="282"/>
        <v>0.25277511082813647</v>
      </c>
      <c r="ACF28" s="133">
        <f t="shared" si="475"/>
        <v>0.28225669429331923</v>
      </c>
      <c r="ACG28" s="133">
        <f t="shared" si="476"/>
        <v>0.33802156192737237</v>
      </c>
      <c r="ACH28" s="134">
        <f t="shared" si="477"/>
        <v>0.41108693301928267</v>
      </c>
      <c r="ACI28" s="133">
        <f t="shared" si="478"/>
        <v>0.49732542866988466</v>
      </c>
      <c r="ACJ28" s="133">
        <f t="shared" si="283"/>
        <v>0.58749004080189671</v>
      </c>
      <c r="ACK28" s="133">
        <f t="shared" si="284"/>
        <v>0.64800140167289244</v>
      </c>
      <c r="ACL28" s="133">
        <f t="shared" si="285"/>
        <v>0.70474676055175789</v>
      </c>
      <c r="ACM28" s="133">
        <f t="shared" si="286"/>
        <v>0.77604502516363849</v>
      </c>
      <c r="ACN28" s="81"/>
      <c r="ACO28" s="81">
        <v>29</v>
      </c>
      <c r="ACP28" s="133">
        <f t="shared" si="287"/>
        <v>0.18382606864666409</v>
      </c>
      <c r="ACQ28" s="133">
        <f t="shared" si="288"/>
        <v>0.2128152074520317</v>
      </c>
      <c r="ACR28" s="133">
        <f t="shared" si="289"/>
        <v>0.23950235765568997</v>
      </c>
      <c r="ACS28" s="133">
        <f t="shared" si="479"/>
        <v>0.27229357297904644</v>
      </c>
      <c r="ACT28" s="133">
        <f t="shared" si="480"/>
        <v>0.33189094978230516</v>
      </c>
      <c r="ACU28" s="134">
        <f t="shared" si="481"/>
        <v>0.40538722612135952</v>
      </c>
      <c r="ACV28" s="133">
        <f t="shared" si="482"/>
        <v>0.48648694205735266</v>
      </c>
      <c r="ACW28" s="133">
        <f t="shared" si="290"/>
        <v>0.56588558106273923</v>
      </c>
      <c r="ACX28" s="133">
        <f t="shared" si="291"/>
        <v>0.61641216348044181</v>
      </c>
      <c r="ACY28" s="133">
        <f t="shared" si="292"/>
        <v>0.66204405560361768</v>
      </c>
      <c r="ACZ28" s="133">
        <f t="shared" si="293"/>
        <v>0.71721775449946368</v>
      </c>
      <c r="ADA28" s="81"/>
      <c r="ADB28" s="81">
        <v>26</v>
      </c>
      <c r="ADC28" s="133">
        <f t="shared" si="294"/>
        <v>0.15777568120398008</v>
      </c>
      <c r="ADD28" s="133">
        <f t="shared" si="295"/>
        <v>0.17669261621945262</v>
      </c>
      <c r="ADE28" s="133">
        <f t="shared" si="296"/>
        <v>0.19333721575217402</v>
      </c>
      <c r="ADF28" s="133">
        <f t="shared" si="483"/>
        <v>0.21293484049549727</v>
      </c>
      <c r="ADG28" s="133">
        <f t="shared" si="484"/>
        <v>0.24654033030377503</v>
      </c>
      <c r="ADH28" s="134">
        <f t="shared" si="485"/>
        <v>0.28524908356266732</v>
      </c>
      <c r="ADI28" s="133">
        <f t="shared" si="486"/>
        <v>0.3251797015632974</v>
      </c>
      <c r="ADJ28" s="133">
        <f t="shared" si="297"/>
        <v>0.36197464507793159</v>
      </c>
      <c r="ADK28" s="133">
        <f t="shared" si="298"/>
        <v>0.38444808658363333</v>
      </c>
      <c r="ADL28" s="133">
        <f t="shared" si="299"/>
        <v>0.40418342878260016</v>
      </c>
      <c r="ADM28" s="133">
        <f t="shared" si="300"/>
        <v>0.42740537818030577</v>
      </c>
      <c r="ADN28" s="81"/>
      <c r="ADO28" s="81">
        <v>26</v>
      </c>
      <c r="ADP28" s="133">
        <f t="shared" si="301"/>
        <v>0.16912682559399098</v>
      </c>
      <c r="ADQ28" s="133">
        <f t="shared" si="302"/>
        <v>0.18664974120265582</v>
      </c>
      <c r="ADR28" s="133">
        <f t="shared" si="303"/>
        <v>0.20225683865741262</v>
      </c>
      <c r="ADS28" s="133">
        <f t="shared" si="487"/>
        <v>0.22085482969210773</v>
      </c>
      <c r="ADT28" s="133">
        <f t="shared" si="488"/>
        <v>0.25328769449674882</v>
      </c>
      <c r="ADU28" s="134">
        <f t="shared" si="489"/>
        <v>0.2914577899169995</v>
      </c>
      <c r="ADV28" s="133">
        <f t="shared" si="490"/>
        <v>0.33169669834907756</v>
      </c>
      <c r="ADW28" s="133">
        <f t="shared" si="304"/>
        <v>0.36951233057667016</v>
      </c>
      <c r="ADX28" s="133">
        <f t="shared" si="305"/>
        <v>0.39294180289496339</v>
      </c>
      <c r="ADY28" s="133">
        <f t="shared" si="306"/>
        <v>0.4137178459816937</v>
      </c>
      <c r="ADZ28" s="133">
        <f t="shared" si="307"/>
        <v>0.4383988739571994</v>
      </c>
      <c r="AEA28" s="81"/>
      <c r="AEB28" s="81">
        <v>29</v>
      </c>
      <c r="AEC28" s="133">
        <f t="shared" si="308"/>
        <v>0.15408088660028996</v>
      </c>
      <c r="AED28" s="133">
        <f t="shared" si="309"/>
        <v>0.17545637415474599</v>
      </c>
      <c r="AEE28" s="133">
        <f t="shared" si="310"/>
        <v>0.19375683101716604</v>
      </c>
      <c r="AEF28" s="133">
        <f t="shared" si="491"/>
        <v>0.21477090652028069</v>
      </c>
      <c r="AEG28" s="133">
        <f t="shared" si="492"/>
        <v>0.24964743236718728</v>
      </c>
      <c r="AEH28" s="134">
        <f t="shared" si="493"/>
        <v>0.2882925264542523</v>
      </c>
      <c r="AEI28" s="133">
        <f t="shared" si="494"/>
        <v>0.32673086072225749</v>
      </c>
      <c r="AEJ28" s="133">
        <f t="shared" si="311"/>
        <v>0.36106312808182706</v>
      </c>
      <c r="AEK28" s="133">
        <f t="shared" si="312"/>
        <v>0.38158054544156561</v>
      </c>
      <c r="AEL28" s="133">
        <f t="shared" si="313"/>
        <v>0.39934056086773784</v>
      </c>
      <c r="AEM28" s="133">
        <f t="shared" si="314"/>
        <v>0.41995088035204303</v>
      </c>
      <c r="AEN28" s="81"/>
    </row>
    <row r="29" spans="1:820">
      <c r="A29" s="81"/>
      <c r="B29" s="81">
        <v>28</v>
      </c>
      <c r="C29" s="133">
        <f t="shared" si="0"/>
        <v>1.7326280719790532</v>
      </c>
      <c r="D29" s="133">
        <f t="shared" si="1"/>
        <v>2.0566764330810563</v>
      </c>
      <c r="E29" s="133">
        <f t="shared" si="2"/>
        <v>2.3940901291997156</v>
      </c>
      <c r="F29" s="133">
        <f t="shared" si="315"/>
        <v>2.8679174443137208</v>
      </c>
      <c r="G29" s="133">
        <f t="shared" si="316"/>
        <v>3.9308722423381326</v>
      </c>
      <c r="H29" s="134">
        <f t="shared" si="317"/>
        <v>5.7159573280609468</v>
      </c>
      <c r="I29" s="133">
        <f t="shared" si="318"/>
        <v>8.545249352207291</v>
      </c>
      <c r="J29" s="133">
        <f t="shared" si="3"/>
        <v>12.595690540898882</v>
      </c>
      <c r="K29" s="133">
        <f t="shared" si="4"/>
        <v>16.118131662170761</v>
      </c>
      <c r="L29" s="133">
        <f t="shared" si="5"/>
        <v>20.151478066240895</v>
      </c>
      <c r="M29" s="133">
        <f t="shared" si="6"/>
        <v>26.444358268684987</v>
      </c>
      <c r="N29" s="81"/>
      <c r="O29" s="75">
        <v>28</v>
      </c>
      <c r="P29" s="151">
        <f t="shared" si="7"/>
        <v>2.4144329482845492</v>
      </c>
      <c r="Q29" s="151">
        <f t="shared" si="8"/>
        <v>2.7179286013901311</v>
      </c>
      <c r="R29" s="151">
        <f t="shared" si="9"/>
        <v>3.0235439236534511</v>
      </c>
      <c r="S29" s="151">
        <f t="shared" si="319"/>
        <v>3.4392343916074903</v>
      </c>
      <c r="T29" s="151">
        <f t="shared" si="320"/>
        <v>4.3329289450003188</v>
      </c>
      <c r="U29" s="134">
        <f t="shared" si="321"/>
        <v>5.765560357468444</v>
      </c>
      <c r="V29" s="151">
        <f t="shared" si="322"/>
        <v>7.9627691154392437</v>
      </c>
      <c r="W29" s="151">
        <f t="shared" si="10"/>
        <v>11.080678121150019</v>
      </c>
      <c r="X29" s="151">
        <f t="shared" si="11"/>
        <v>13.827617503060141</v>
      </c>
      <c r="Y29" s="151">
        <f t="shared" si="12"/>
        <v>17.050682746731244</v>
      </c>
      <c r="Z29" s="151">
        <f t="shared" si="13"/>
        <v>22.295172914975318</v>
      </c>
      <c r="AA29" s="81"/>
      <c r="AB29" s="75">
        <v>30</v>
      </c>
      <c r="AC29" s="151">
        <f t="shared" si="14"/>
        <v>1.4296032029426642</v>
      </c>
      <c r="AD29" s="151">
        <f t="shared" si="15"/>
        <v>1.7266766256138739</v>
      </c>
      <c r="AE29" s="151">
        <f t="shared" si="16"/>
        <v>2.0447001840949461</v>
      </c>
      <c r="AF29" s="151">
        <f t="shared" si="323"/>
        <v>2.5055026175229957</v>
      </c>
      <c r="AG29" s="151">
        <f t="shared" si="324"/>
        <v>3.595508309256461</v>
      </c>
      <c r="AH29" s="134">
        <f t="shared" si="325"/>
        <v>5.5857045509504015</v>
      </c>
      <c r="AI29" s="151">
        <f t="shared" si="326"/>
        <v>9.1089078519857178</v>
      </c>
      <c r="AJ29" s="151">
        <f t="shared" si="17"/>
        <v>14.866280101782852</v>
      </c>
      <c r="AK29" s="151">
        <f t="shared" si="18"/>
        <v>20.509790220768824</v>
      </c>
      <c r="AL29" s="151">
        <f t="shared" si="19"/>
        <v>27.666772204040424</v>
      </c>
      <c r="AM29" s="151">
        <f t="shared" si="20"/>
        <v>40.272801385109375</v>
      </c>
      <c r="AN29" s="81"/>
      <c r="AO29" s="81">
        <v>28</v>
      </c>
      <c r="AP29" s="133">
        <f t="shared" si="21"/>
        <v>1.0256067336968231</v>
      </c>
      <c r="AQ29" s="133">
        <f t="shared" si="22"/>
        <v>2.7957712357421345</v>
      </c>
      <c r="AR29" s="133">
        <f t="shared" si="23"/>
        <v>4.4668818437157443</v>
      </c>
      <c r="AS29" s="133">
        <f t="shared" si="327"/>
        <v>6.5656969159317908</v>
      </c>
      <c r="AT29" s="133">
        <f t="shared" si="328"/>
        <v>10.481204778178274</v>
      </c>
      <c r="AU29" s="134">
        <f t="shared" si="329"/>
        <v>15.462860495595535</v>
      </c>
      <c r="AV29" s="133">
        <f t="shared" si="330"/>
        <v>21.103363752034269</v>
      </c>
      <c r="AW29" s="133">
        <f t="shared" si="24"/>
        <v>26.730817799209301</v>
      </c>
      <c r="AX29" s="133">
        <f t="shared" si="25"/>
        <v>30.363412449483445</v>
      </c>
      <c r="AY29" s="133">
        <f t="shared" si="26"/>
        <v>33.672431892208564</v>
      </c>
      <c r="AZ29" s="133">
        <f t="shared" si="27"/>
        <v>37.705637627134699</v>
      </c>
      <c r="BA29" s="81"/>
      <c r="BB29" s="81">
        <v>28</v>
      </c>
      <c r="BC29" s="133">
        <f t="shared" si="28"/>
        <v>3.952176451230458</v>
      </c>
      <c r="BD29" s="133">
        <f t="shared" si="29"/>
        <v>5.8529982144208494</v>
      </c>
      <c r="BE29" s="133">
        <f t="shared" si="30"/>
        <v>7.5870159510778636</v>
      </c>
      <c r="BF29" s="133">
        <f t="shared" si="331"/>
        <v>9.6973509682802721</v>
      </c>
      <c r="BG29" s="133">
        <f t="shared" si="332"/>
        <v>13.475502189061999</v>
      </c>
      <c r="BH29" s="134">
        <f t="shared" si="333"/>
        <v>18.054559337413846</v>
      </c>
      <c r="BI29" s="133">
        <f t="shared" si="334"/>
        <v>23.008593993973694</v>
      </c>
      <c r="BJ29" s="133">
        <f t="shared" si="31"/>
        <v>27.762858158757812</v>
      </c>
      <c r="BK29" s="133">
        <f t="shared" si="32"/>
        <v>30.749937202696433</v>
      </c>
      <c r="BL29" s="133">
        <f t="shared" si="33"/>
        <v>33.422594068112105</v>
      </c>
      <c r="BM29" s="133">
        <f t="shared" si="34"/>
        <v>36.624448999480549</v>
      </c>
      <c r="BN29" s="81"/>
      <c r="BO29" s="75">
        <v>30</v>
      </c>
      <c r="BP29" s="151">
        <f t="shared" si="35"/>
        <v>2.8844298987439121</v>
      </c>
      <c r="BQ29" s="151">
        <f t="shared" si="36"/>
        <v>3.7060341258887926</v>
      </c>
      <c r="BR29" s="151">
        <f t="shared" si="37"/>
        <v>4.5645820383163711</v>
      </c>
      <c r="BS29" s="151">
        <f t="shared" si="335"/>
        <v>5.7594664257143942</v>
      </c>
      <c r="BT29" s="151">
        <f t="shared" si="336"/>
        <v>8.3457977130102279</v>
      </c>
      <c r="BU29" s="134">
        <f t="shared" si="337"/>
        <v>12.33588233368522</v>
      </c>
      <c r="BV29" s="151">
        <f t="shared" si="338"/>
        <v>17.848127101155175</v>
      </c>
      <c r="BW29" s="151">
        <f t="shared" si="38"/>
        <v>24.457859821799996</v>
      </c>
      <c r="BX29" s="151">
        <f t="shared" si="39"/>
        <v>29.341478820297596</v>
      </c>
      <c r="BY29" s="151">
        <f t="shared" si="40"/>
        <v>34.227401362997078</v>
      </c>
      <c r="BZ29" s="151">
        <f t="shared" si="41"/>
        <v>40.764329466734651</v>
      </c>
      <c r="CA29" s="81"/>
      <c r="CB29" s="81">
        <v>28</v>
      </c>
      <c r="CC29" s="133">
        <f t="shared" si="42"/>
        <v>-6.4068442673715165</v>
      </c>
      <c r="CD29" s="133">
        <f t="shared" si="43"/>
        <v>-4.7327436078049221</v>
      </c>
      <c r="CE29" s="133">
        <f t="shared" si="44"/>
        <v>-2.8787633925037337</v>
      </c>
      <c r="CF29" s="133">
        <f t="shared" si="339"/>
        <v>-0.38799724232330224</v>
      </c>
      <c r="CG29" s="133">
        <f t="shared" si="340"/>
        <v>4.4400238697366659</v>
      </c>
      <c r="CH29" s="134">
        <f t="shared" si="341"/>
        <v>10.632207316498704</v>
      </c>
      <c r="CI29" s="133">
        <f t="shared" si="342"/>
        <v>17.540485674854153</v>
      </c>
      <c r="CJ29" s="133">
        <f t="shared" si="45"/>
        <v>24.270296554793926</v>
      </c>
      <c r="CK29" s="133">
        <f t="shared" si="46"/>
        <v>28.523839664295419</v>
      </c>
      <c r="CL29" s="133">
        <f t="shared" si="47"/>
        <v>32.337969755304727</v>
      </c>
      <c r="CM29" s="133">
        <f t="shared" si="48"/>
        <v>36.911796023159049</v>
      </c>
      <c r="CN29" s="81"/>
      <c r="CO29" s="81">
        <v>28</v>
      </c>
      <c r="CP29" s="133">
        <f t="shared" si="49"/>
        <v>-1.198516638908024</v>
      </c>
      <c r="CQ29" s="133">
        <f t="shared" si="50"/>
        <v>0.89989861807763472</v>
      </c>
      <c r="CR29" s="133">
        <f t="shared" si="51"/>
        <v>2.8778743882681193</v>
      </c>
      <c r="CS29" s="133">
        <f t="shared" si="343"/>
        <v>5.3362909160472176</v>
      </c>
      <c r="CT29" s="133">
        <f t="shared" si="344"/>
        <v>9.8172302675471919</v>
      </c>
      <c r="CU29" s="134">
        <f t="shared" si="345"/>
        <v>15.310177000980055</v>
      </c>
      <c r="CV29" s="133">
        <f t="shared" si="346"/>
        <v>21.272104871127432</v>
      </c>
      <c r="CW29" s="133">
        <f t="shared" si="52"/>
        <v>26.984033982346208</v>
      </c>
      <c r="CX29" s="133">
        <f t="shared" si="53"/>
        <v>30.561614544933033</v>
      </c>
      <c r="CY29" s="133">
        <f t="shared" si="54"/>
        <v>33.753388796710205</v>
      </c>
      <c r="CZ29" s="133">
        <f t="shared" si="55"/>
        <v>37.564478971360494</v>
      </c>
      <c r="DA29" s="81"/>
      <c r="DB29" s="81">
        <v>30</v>
      </c>
      <c r="DC29" s="133">
        <f t="shared" si="56"/>
        <v>-6.6059830071883425</v>
      </c>
      <c r="DD29" s="133">
        <f t="shared" si="57"/>
        <v>-5.5949570742348547</v>
      </c>
      <c r="DE29" s="133">
        <f t="shared" si="58"/>
        <v>-4.3732289965081819</v>
      </c>
      <c r="DF29" s="133">
        <f t="shared" si="347"/>
        <v>-2.6190580613467729</v>
      </c>
      <c r="DG29" s="133">
        <f t="shared" si="348"/>
        <v>1.0339763519632585</v>
      </c>
      <c r="DH29" s="134">
        <f t="shared" si="349"/>
        <v>6.0602373586699487</v>
      </c>
      <c r="DI29" s="133">
        <f t="shared" si="350"/>
        <v>11.994929153979463</v>
      </c>
      <c r="DJ29" s="133">
        <f t="shared" si="59"/>
        <v>18.033496103540873</v>
      </c>
      <c r="DK29" s="133">
        <f t="shared" si="60"/>
        <v>21.959604739300978</v>
      </c>
      <c r="DL29" s="133">
        <f t="shared" si="61"/>
        <v>25.543893485587372</v>
      </c>
      <c r="DM29" s="133">
        <f t="shared" si="62"/>
        <v>29.914706495093224</v>
      </c>
      <c r="DN29" s="81"/>
      <c r="DO29" s="81">
        <v>28</v>
      </c>
      <c r="DP29" s="133">
        <v>13.039049540891382</v>
      </c>
      <c r="DQ29" s="133">
        <v>14.378822117958181</v>
      </c>
      <c r="DR29" s="133">
        <v>15.640698522579946</v>
      </c>
      <c r="DS29" s="133">
        <v>17.233607737206349</v>
      </c>
      <c r="DT29" s="133">
        <v>20.260021957900857</v>
      </c>
      <c r="DU29" s="134">
        <v>24.26359768636275</v>
      </c>
      <c r="DV29" s="133">
        <v>29.058318589634215</v>
      </c>
      <c r="DW29" s="133">
        <v>34.161284257077014</v>
      </c>
      <c r="DX29" s="133">
        <v>37.640401535503649</v>
      </c>
      <c r="DY29" s="133">
        <v>40.943699550354225</v>
      </c>
      <c r="DZ29" s="133">
        <v>45.150696823368413</v>
      </c>
      <c r="EA29" s="81"/>
      <c r="EB29" s="81">
        <v>28</v>
      </c>
      <c r="EC29" s="133">
        <v>13.319463086878777</v>
      </c>
      <c r="ED29" s="133">
        <v>14.295881412347114</v>
      </c>
      <c r="EE29" s="133">
        <v>15.19271607601687</v>
      </c>
      <c r="EF29" s="133">
        <v>16.296756999015326</v>
      </c>
      <c r="EG29" s="133">
        <v>18.319916085112201</v>
      </c>
      <c r="EH29" s="134">
        <v>20.87226300418595</v>
      </c>
      <c r="EI29" s="133">
        <v>23.780205154429947</v>
      </c>
      <c r="EJ29" s="133">
        <v>26.732396079921429</v>
      </c>
      <c r="EK29" s="133">
        <v>28.675015101718781</v>
      </c>
      <c r="EL29" s="133">
        <v>30.473907158997882</v>
      </c>
      <c r="EM29" s="133">
        <v>32.707877192518112</v>
      </c>
      <c r="EN29" s="81"/>
      <c r="EO29" s="81">
        <v>30</v>
      </c>
      <c r="EP29" s="133">
        <v>16.563592561021981</v>
      </c>
      <c r="EQ29" s="133">
        <v>17.899148734963308</v>
      </c>
      <c r="ER29" s="133">
        <v>19.133619528959702</v>
      </c>
      <c r="ES29" s="133">
        <v>20.662919119528294</v>
      </c>
      <c r="ET29" s="133">
        <v>23.490901230969378</v>
      </c>
      <c r="EU29" s="134">
        <v>27.101373911712887</v>
      </c>
      <c r="EV29" s="133">
        <v>31.266764126280492</v>
      </c>
      <c r="EW29" s="133">
        <v>35.546016690754918</v>
      </c>
      <c r="EX29" s="133">
        <v>38.387115767133977</v>
      </c>
      <c r="EY29" s="133">
        <v>41.034603308690663</v>
      </c>
      <c r="EZ29" s="133">
        <v>44.343306876002607</v>
      </c>
      <c r="FA29" s="81"/>
      <c r="FB29" s="81">
        <v>28</v>
      </c>
      <c r="FC29" s="133">
        <v>7.3439367125288646</v>
      </c>
      <c r="FD29" s="133">
        <v>8.2020472945001917</v>
      </c>
      <c r="FE29" s="133">
        <v>9.0198462150405128</v>
      </c>
      <c r="FF29" s="133">
        <v>10.064420172057421</v>
      </c>
      <c r="FG29" s="133">
        <v>12.083052835842331</v>
      </c>
      <c r="FH29" s="134">
        <v>14.813637617665096</v>
      </c>
      <c r="FI29" s="133">
        <v>18.161292717065628</v>
      </c>
      <c r="FJ29" s="133">
        <v>21.803924688752591</v>
      </c>
      <c r="FK29" s="133">
        <v>24.329002317310213</v>
      </c>
      <c r="FL29" s="133">
        <v>26.754766412362507</v>
      </c>
      <c r="FM29" s="133">
        <v>29.88095731995184</v>
      </c>
      <c r="FN29" s="81"/>
      <c r="FO29" s="81">
        <v>28</v>
      </c>
      <c r="FP29" s="133">
        <v>7.1632177429320771</v>
      </c>
      <c r="FQ29" s="133">
        <v>7.853431154550834</v>
      </c>
      <c r="FR29" s="133">
        <v>8.5000152216411031</v>
      </c>
      <c r="FS29" s="133">
        <v>9.3118275353439781</v>
      </c>
      <c r="FT29" s="133">
        <v>10.84226752160578</v>
      </c>
      <c r="FU29" s="134">
        <v>12.846300329995508</v>
      </c>
      <c r="FV29" s="133">
        <v>15.220748965987655</v>
      </c>
      <c r="FW29" s="133">
        <v>17.722346289389968</v>
      </c>
      <c r="FX29" s="133">
        <v>19.414957251874288</v>
      </c>
      <c r="FY29" s="133">
        <v>21.013418074317006</v>
      </c>
      <c r="FZ29" s="133">
        <v>23.038170566750487</v>
      </c>
      <c r="GA29" s="81"/>
      <c r="GB29" s="81">
        <v>30</v>
      </c>
      <c r="GC29" s="133">
        <v>9.4491416845065466</v>
      </c>
      <c r="GD29" s="133">
        <v>10.363981987942852</v>
      </c>
      <c r="GE29" s="133">
        <v>11.221329167312346</v>
      </c>
      <c r="GF29" s="133">
        <v>12.298183914957235</v>
      </c>
      <c r="GG29" s="133">
        <v>14.329429082761669</v>
      </c>
      <c r="GH29" s="134">
        <v>16.991207212769289</v>
      </c>
      <c r="GI29" s="133">
        <v>20.147426731367212</v>
      </c>
      <c r="GJ29" s="133">
        <v>23.47510205926751</v>
      </c>
      <c r="GK29" s="133">
        <v>25.727890006849428</v>
      </c>
      <c r="GL29" s="133">
        <v>27.85619686363113</v>
      </c>
      <c r="GM29" s="133">
        <v>30.553158391162352</v>
      </c>
      <c r="GN29" s="81"/>
      <c r="GO29" s="81">
        <v>28</v>
      </c>
      <c r="GP29" s="133">
        <f t="shared" si="63"/>
        <v>0.41401311012713332</v>
      </c>
      <c r="GQ29" s="133">
        <f t="shared" si="64"/>
        <v>0.45205603812000245</v>
      </c>
      <c r="GR29" s="133">
        <f t="shared" si="65"/>
        <v>0.48224803802428717</v>
      </c>
      <c r="GS29" s="133">
        <f t="shared" si="351"/>
        <v>0.51474200028238504</v>
      </c>
      <c r="GT29" s="133">
        <f t="shared" si="352"/>
        <v>0.56596812409744646</v>
      </c>
      <c r="GU29" s="134">
        <f t="shared" si="353"/>
        <v>0.61512136262725225</v>
      </c>
      <c r="GV29" s="133">
        <f t="shared" si="354"/>
        <v>0.66042529954866458</v>
      </c>
      <c r="GW29" s="133">
        <f t="shared" si="66"/>
        <v>0.70054431601050682</v>
      </c>
      <c r="GX29" s="133">
        <f t="shared" si="67"/>
        <v>0.72282366411124399</v>
      </c>
      <c r="GY29" s="133">
        <f t="shared" si="68"/>
        <v>0.74157424925209614</v>
      </c>
      <c r="GZ29" s="133">
        <f t="shared" si="69"/>
        <v>0.76276282473309476</v>
      </c>
      <c r="HA29" s="81"/>
      <c r="HB29" s="81">
        <v>28</v>
      </c>
      <c r="HC29" s="133">
        <f t="shared" si="70"/>
        <v>0.38894274400825146</v>
      </c>
      <c r="HD29" s="133">
        <f t="shared" si="71"/>
        <v>0.43146010613424557</v>
      </c>
      <c r="HE29" s="133">
        <f t="shared" si="72"/>
        <v>0.46481393623747003</v>
      </c>
      <c r="HF29" s="133">
        <f t="shared" si="355"/>
        <v>0.50041589359913996</v>
      </c>
      <c r="HG29" s="133">
        <f t="shared" si="356"/>
        <v>0.55456055342290411</v>
      </c>
      <c r="HH29" s="134">
        <f t="shared" si="357"/>
        <v>0.60906107262581399</v>
      </c>
      <c r="HI29" s="133">
        <f t="shared" si="358"/>
        <v>0.65890529275712839</v>
      </c>
      <c r="HJ29" s="133">
        <f t="shared" si="73"/>
        <v>0.70050113532715486</v>
      </c>
      <c r="HK29" s="133">
        <f t="shared" si="74"/>
        <v>0.72424794008179216</v>
      </c>
      <c r="HL29" s="133">
        <f t="shared" si="75"/>
        <v>0.7442075731001897</v>
      </c>
      <c r="HM29" s="133">
        <f t="shared" si="76"/>
        <v>0.76673666080504133</v>
      </c>
      <c r="HN29" s="81"/>
      <c r="HO29" s="81">
        <v>30</v>
      </c>
      <c r="HP29" s="83">
        <f t="shared" si="77"/>
        <v>0.44364189297988266</v>
      </c>
      <c r="HQ29" s="83">
        <f t="shared" si="78"/>
        <v>0.47734000090109985</v>
      </c>
      <c r="HR29" s="83">
        <f t="shared" si="79"/>
        <v>0.50439044303232194</v>
      </c>
      <c r="HS29" s="83">
        <f t="shared" si="359"/>
        <v>0.53375165702364868</v>
      </c>
      <c r="HT29" s="83">
        <f t="shared" si="360"/>
        <v>0.57918552693273051</v>
      </c>
      <c r="HU29" s="84">
        <f t="shared" si="361"/>
        <v>0.62566660212099801</v>
      </c>
      <c r="HV29" s="83">
        <f t="shared" si="362"/>
        <v>0.66868656204513721</v>
      </c>
      <c r="HW29" s="83">
        <f t="shared" si="80"/>
        <v>0.70488539638637859</v>
      </c>
      <c r="HX29" s="83">
        <f t="shared" si="81"/>
        <v>0.72565343193803189</v>
      </c>
      <c r="HY29" s="83">
        <f t="shared" si="82"/>
        <v>0.74316019439744141</v>
      </c>
      <c r="HZ29" s="83">
        <f t="shared" si="83"/>
        <v>0.76297145083602202</v>
      </c>
      <c r="IA29" s="81"/>
      <c r="IB29" s="81">
        <v>28</v>
      </c>
      <c r="IC29" s="83">
        <f t="shared" si="84"/>
        <v>0.29410808096379593</v>
      </c>
      <c r="ID29" s="83">
        <f t="shared" si="85"/>
        <v>0.31227877967733775</v>
      </c>
      <c r="IE29" s="83">
        <f t="shared" si="86"/>
        <v>0.32595632049081191</v>
      </c>
      <c r="IF29" s="83">
        <f t="shared" si="363"/>
        <v>0.34006580038566581</v>
      </c>
      <c r="IG29" s="83">
        <f t="shared" si="364"/>
        <v>0.36067350375762713</v>
      </c>
      <c r="IH29" s="84">
        <f t="shared" si="365"/>
        <v>0.38051518206493817</v>
      </c>
      <c r="II29" s="83">
        <f t="shared" si="366"/>
        <v>0.39797299102403094</v>
      </c>
      <c r="IJ29" s="83">
        <f t="shared" si="87"/>
        <v>0.41209391255128708</v>
      </c>
      <c r="IK29" s="83">
        <f t="shared" si="88"/>
        <v>0.41998782427370496</v>
      </c>
      <c r="IL29" s="83">
        <f t="shared" si="89"/>
        <v>0.42653408608610205</v>
      </c>
      <c r="IM29" s="83">
        <f t="shared" si="90"/>
        <v>0.43382998812655177</v>
      </c>
      <c r="IN29" s="81"/>
      <c r="IO29" s="81">
        <v>28</v>
      </c>
      <c r="IP29" s="133">
        <f t="shared" si="91"/>
        <v>0.28117013892240228</v>
      </c>
      <c r="IQ29" s="133">
        <f t="shared" si="92"/>
        <v>0.30236394310735659</v>
      </c>
      <c r="IR29" s="133">
        <f t="shared" si="93"/>
        <v>0.31794924625633808</v>
      </c>
      <c r="IS29" s="133">
        <f t="shared" si="367"/>
        <v>0.33377619074952702</v>
      </c>
      <c r="IT29" s="133">
        <f t="shared" si="368"/>
        <v>0.35654201119068174</v>
      </c>
      <c r="IU29" s="134">
        <f t="shared" si="369"/>
        <v>0.3781645830827074</v>
      </c>
      <c r="IV29" s="133">
        <f t="shared" si="370"/>
        <v>0.39700746769054046</v>
      </c>
      <c r="IW29" s="133">
        <f t="shared" si="94"/>
        <v>0.41215039510506501</v>
      </c>
      <c r="IX29" s="133">
        <f t="shared" si="95"/>
        <v>0.420583443105504</v>
      </c>
      <c r="IY29" s="133">
        <f t="shared" si="96"/>
        <v>0.4275613035451018</v>
      </c>
      <c r="IZ29" s="133">
        <f t="shared" si="97"/>
        <v>0.43532310155147275</v>
      </c>
      <c r="JA29" s="81"/>
      <c r="JB29" s="81">
        <v>30</v>
      </c>
      <c r="JC29" s="133">
        <f t="shared" si="98"/>
        <v>0.30863431915554901</v>
      </c>
      <c r="JD29" s="133">
        <f t="shared" si="99"/>
        <v>0.32399136142074209</v>
      </c>
      <c r="JE29" s="133">
        <f t="shared" si="100"/>
        <v>0.33580856676002147</v>
      </c>
      <c r="JF29" s="133">
        <f t="shared" si="371"/>
        <v>0.34819254344414463</v>
      </c>
      <c r="JG29" s="133">
        <f t="shared" si="372"/>
        <v>0.36657329299965308</v>
      </c>
      <c r="JH29" s="134">
        <f t="shared" si="373"/>
        <v>0.38453817258137424</v>
      </c>
      <c r="JI29" s="133">
        <f t="shared" si="374"/>
        <v>0.40051911044209831</v>
      </c>
      <c r="JJ29" s="133">
        <f t="shared" si="101"/>
        <v>0.41354421672176916</v>
      </c>
      <c r="JK29" s="133">
        <f t="shared" si="102"/>
        <v>0.42085887311813219</v>
      </c>
      <c r="JL29" s="133">
        <f t="shared" si="103"/>
        <v>0.4269411327323015</v>
      </c>
      <c r="JM29" s="133">
        <f t="shared" si="104"/>
        <v>0.43373608739427644</v>
      </c>
      <c r="JN29" s="81"/>
      <c r="JO29" s="81">
        <v>27</v>
      </c>
      <c r="JP29" s="133">
        <f t="shared" si="105"/>
        <v>-7.6019030384425523</v>
      </c>
      <c r="JQ29" s="133">
        <f t="shared" si="106"/>
        <v>-6.2078420543222173</v>
      </c>
      <c r="JR29" s="133">
        <f t="shared" si="107"/>
        <v>-4.989994009831662</v>
      </c>
      <c r="JS29" s="133">
        <f t="shared" si="375"/>
        <v>-3.5654180823193755</v>
      </c>
      <c r="JT29" s="133">
        <f t="shared" si="376"/>
        <v>-1.1432020447280884</v>
      </c>
      <c r="JU29" s="134">
        <f t="shared" si="377"/>
        <v>1.6191419705007029</v>
      </c>
      <c r="JV29" s="133">
        <f t="shared" si="378"/>
        <v>4.4422797806794527</v>
      </c>
      <c r="JW29" s="133">
        <f t="shared" si="108"/>
        <v>7.0232194811259205</v>
      </c>
      <c r="JX29" s="133">
        <f t="shared" si="109"/>
        <v>8.5909506502680983</v>
      </c>
      <c r="JY29" s="133">
        <f t="shared" si="110"/>
        <v>9.9626937954897166</v>
      </c>
      <c r="JZ29" s="133">
        <f t="shared" si="111"/>
        <v>11.571179954136358</v>
      </c>
      <c r="KA29" s="81"/>
      <c r="KB29" s="81">
        <v>27</v>
      </c>
      <c r="KC29" s="133">
        <f t="shared" si="112"/>
        <v>-5.7082095727653659</v>
      </c>
      <c r="KD29" s="133">
        <f t="shared" si="113"/>
        <v>-4.5931099665973925</v>
      </c>
      <c r="KE29" s="133">
        <f t="shared" si="114"/>
        <v>-3.5890004408095404</v>
      </c>
      <c r="KF29" s="133">
        <f t="shared" si="379"/>
        <v>-2.3821898538414938</v>
      </c>
      <c r="KG29" s="133">
        <f t="shared" si="380"/>
        <v>-0.25832767911990473</v>
      </c>
      <c r="KH29" s="134">
        <f t="shared" si="381"/>
        <v>2.2618128760624003</v>
      </c>
      <c r="KI29" s="133">
        <f t="shared" si="382"/>
        <v>4.9324928216416826</v>
      </c>
      <c r="KJ29" s="133">
        <f t="shared" si="115"/>
        <v>7.4491689308688205</v>
      </c>
      <c r="KK29" s="133">
        <f t="shared" si="116"/>
        <v>9.009998298533537</v>
      </c>
      <c r="KL29" s="133">
        <f t="shared" si="117"/>
        <v>10.394418925838758</v>
      </c>
      <c r="KM29" s="133">
        <f t="shared" si="118"/>
        <v>12.038984052461673</v>
      </c>
      <c r="KN29" s="81"/>
      <c r="KO29" s="81">
        <v>29</v>
      </c>
      <c r="KP29" s="133">
        <f t="shared" si="119"/>
        <v>-8.987253434623641</v>
      </c>
      <c r="KQ29" s="133">
        <f t="shared" si="120"/>
        <v>-7.3717471425628371</v>
      </c>
      <c r="KR29" s="133">
        <f t="shared" si="121"/>
        <v>-5.9915265138551792</v>
      </c>
      <c r="KS29" s="133">
        <f t="shared" si="383"/>
        <v>-4.4095860613502715</v>
      </c>
      <c r="KT29" s="133">
        <f t="shared" si="384"/>
        <v>-1.7902496564580161</v>
      </c>
      <c r="KU29" s="134">
        <f t="shared" si="385"/>
        <v>1.1042425770652606</v>
      </c>
      <c r="KV29" s="133">
        <f t="shared" si="386"/>
        <v>3.9761017239103218</v>
      </c>
      <c r="KW29" s="133">
        <f t="shared" si="122"/>
        <v>6.5358495051716012</v>
      </c>
      <c r="KX29" s="133">
        <f t="shared" si="123"/>
        <v>8.0633989052741661</v>
      </c>
      <c r="KY29" s="133">
        <f t="shared" si="124"/>
        <v>9.3844184165896571</v>
      </c>
      <c r="KZ29" s="133">
        <f t="shared" si="125"/>
        <v>10.91607958435457</v>
      </c>
      <c r="LA29" s="81"/>
      <c r="LB29" s="81">
        <v>27</v>
      </c>
      <c r="LC29" s="133">
        <f t="shared" si="126"/>
        <v>-19.854347312485775</v>
      </c>
      <c r="LD29" s="133">
        <f t="shared" si="127"/>
        <v>-16.311548201854933</v>
      </c>
      <c r="LE29" s="133">
        <f t="shared" si="128"/>
        <v>-13.155039357718614</v>
      </c>
      <c r="LF29" s="133">
        <f t="shared" si="387"/>
        <v>-9.4017712977048618</v>
      </c>
      <c r="LG29" s="133">
        <f t="shared" si="388"/>
        <v>-2.8955624657995713</v>
      </c>
      <c r="LH29" s="134">
        <f t="shared" si="389"/>
        <v>4.6783285862081598</v>
      </c>
      <c r="LI29" s="133">
        <f t="shared" si="390"/>
        <v>12.554124856394758</v>
      </c>
      <c r="LJ29" s="133">
        <f t="shared" si="129"/>
        <v>19.852274036600448</v>
      </c>
      <c r="LK29" s="133">
        <f t="shared" si="130"/>
        <v>24.324688086478794</v>
      </c>
      <c r="LL29" s="133">
        <f t="shared" si="131"/>
        <v>28.259876475956666</v>
      </c>
      <c r="LM29" s="133">
        <f t="shared" si="132"/>
        <v>32.898200273132197</v>
      </c>
      <c r="LN29" s="81"/>
      <c r="LO29" s="81">
        <v>27</v>
      </c>
      <c r="LP29" s="133">
        <f t="shared" si="133"/>
        <v>-16.531449226920365</v>
      </c>
      <c r="LQ29" s="133">
        <f t="shared" si="134"/>
        <v>-13.17461051685228</v>
      </c>
      <c r="LR29" s="133">
        <f t="shared" si="135"/>
        <v>-10.165442184861273</v>
      </c>
      <c r="LS29" s="133">
        <f t="shared" si="391"/>
        <v>-6.5684851587962427</v>
      </c>
      <c r="LT29" s="133">
        <f t="shared" si="392"/>
        <v>-0.29278708177491097</v>
      </c>
      <c r="LU29" s="134">
        <f t="shared" si="393"/>
        <v>7.0655990087015859</v>
      </c>
      <c r="LV29" s="133">
        <f t="shared" si="394"/>
        <v>14.766405061554106</v>
      </c>
      <c r="LW29" s="133">
        <f t="shared" si="136"/>
        <v>21.939871314160339</v>
      </c>
      <c r="LX29" s="133">
        <f t="shared" si="137"/>
        <v>26.351500276678895</v>
      </c>
      <c r="LY29" s="133">
        <f t="shared" si="138"/>
        <v>30.242148663217893</v>
      </c>
      <c r="LZ29" s="133">
        <f t="shared" si="139"/>
        <v>34.837991676952015</v>
      </c>
      <c r="MA29" s="81"/>
      <c r="MB29" s="81">
        <v>29</v>
      </c>
      <c r="MC29" s="133">
        <f t="shared" si="140"/>
        <v>-20.89126344404238</v>
      </c>
      <c r="MD29" s="133">
        <f t="shared" si="141"/>
        <v>-17.338559242419066</v>
      </c>
      <c r="ME29" s="133">
        <f t="shared" si="142"/>
        <v>-14.214111024010062</v>
      </c>
      <c r="MF29" s="133">
        <f t="shared" si="395"/>
        <v>-10.542349342086911</v>
      </c>
      <c r="MG29" s="133">
        <f t="shared" si="396"/>
        <v>-4.2724902183342834</v>
      </c>
      <c r="MH29" s="134">
        <f t="shared" si="397"/>
        <v>2.8999676155514251</v>
      </c>
      <c r="MI29" s="133">
        <f t="shared" si="398"/>
        <v>10.23968216126606</v>
      </c>
      <c r="MJ29" s="133">
        <f t="shared" si="143"/>
        <v>16.950128531131156</v>
      </c>
      <c r="MK29" s="133">
        <f t="shared" si="144"/>
        <v>21.024445418870904</v>
      </c>
      <c r="ML29" s="133">
        <f t="shared" si="145"/>
        <v>24.587646475729763</v>
      </c>
      <c r="MM29" s="133">
        <f t="shared" si="146"/>
        <v>28.76322581844574</v>
      </c>
      <c r="MN29" s="81"/>
      <c r="MO29" s="81">
        <v>27</v>
      </c>
      <c r="MP29" s="133">
        <f t="shared" si="147"/>
        <v>-26.051424837849542</v>
      </c>
      <c r="MQ29" s="133">
        <f t="shared" si="148"/>
        <v>-21.712217970489988</v>
      </c>
      <c r="MR29" s="133">
        <f t="shared" si="149"/>
        <v>-17.947663079035362</v>
      </c>
      <c r="MS29" s="133">
        <f t="shared" si="399"/>
        <v>-13.577707532346956</v>
      </c>
      <c r="MT29" s="133">
        <f t="shared" si="400"/>
        <v>-6.2311184442146335</v>
      </c>
      <c r="MU29" s="134">
        <f t="shared" si="401"/>
        <v>2.0240882589965636</v>
      </c>
      <c r="MV29" s="133">
        <f t="shared" si="402"/>
        <v>10.335968835441022</v>
      </c>
      <c r="MW29" s="133">
        <f t="shared" si="150"/>
        <v>17.833691643435031</v>
      </c>
      <c r="MX29" s="133">
        <f t="shared" si="151"/>
        <v>22.344358520630891</v>
      </c>
      <c r="MY29" s="133">
        <f t="shared" si="152"/>
        <v>26.265627237095423</v>
      </c>
      <c r="MZ29" s="133">
        <f t="shared" si="153"/>
        <v>30.834730172670213</v>
      </c>
      <c r="NA29" s="81"/>
      <c r="NB29" s="81">
        <v>27</v>
      </c>
      <c r="NC29" s="133">
        <f t="shared" si="154"/>
        <v>-21.677071717611089</v>
      </c>
      <c r="ND29" s="133">
        <f t="shared" si="155"/>
        <v>-17.551941507560144</v>
      </c>
      <c r="NE29" s="133">
        <f t="shared" si="156"/>
        <v>-13.943319124991435</v>
      </c>
      <c r="NF29" s="133">
        <f t="shared" si="403"/>
        <v>-9.7316404961373415</v>
      </c>
      <c r="NG29" s="133">
        <f t="shared" si="404"/>
        <v>-2.6128433643594455</v>
      </c>
      <c r="NH29" s="134">
        <f t="shared" si="405"/>
        <v>5.4269329403788085</v>
      </c>
      <c r="NI29" s="133">
        <f t="shared" si="406"/>
        <v>13.553509786001452</v>
      </c>
      <c r="NJ29" s="133">
        <f t="shared" si="157"/>
        <v>20.905339183851478</v>
      </c>
      <c r="NK29" s="133">
        <f t="shared" si="158"/>
        <v>25.336411386282894</v>
      </c>
      <c r="NL29" s="133">
        <f t="shared" si="159"/>
        <v>29.192924065319989</v>
      </c>
      <c r="NM29" s="133">
        <f t="shared" si="160"/>
        <v>33.691352356014434</v>
      </c>
      <c r="NN29" s="81"/>
      <c r="NO29" s="81">
        <v>29</v>
      </c>
      <c r="NP29" s="133">
        <f t="shared" si="161"/>
        <v>-26.607814283303323</v>
      </c>
      <c r="NQ29" s="133">
        <f t="shared" si="162"/>
        <v>-22.618919450009436</v>
      </c>
      <c r="NR29" s="133">
        <f t="shared" si="163"/>
        <v>-19.183713604682829</v>
      </c>
      <c r="NS29" s="133">
        <f t="shared" si="407"/>
        <v>-15.21903429498958</v>
      </c>
      <c r="NT29" s="133">
        <f t="shared" si="408"/>
        <v>-8.5974499850242765</v>
      </c>
      <c r="NU29" s="134">
        <f t="shared" si="409"/>
        <v>-1.2079751936700092</v>
      </c>
      <c r="NV29" s="133">
        <f t="shared" si="410"/>
        <v>6.189190152233337</v>
      </c>
      <c r="NW29" s="133">
        <f t="shared" si="164"/>
        <v>12.831306354715572</v>
      </c>
      <c r="NX29" s="133">
        <f t="shared" si="165"/>
        <v>16.815134199331062</v>
      </c>
      <c r="NY29" s="133">
        <f t="shared" si="166"/>
        <v>20.271706802571302</v>
      </c>
      <c r="NZ29" s="133">
        <f t="shared" si="167"/>
        <v>24.292033772007066</v>
      </c>
      <c r="OA29" s="81"/>
      <c r="OB29" s="81">
        <v>27</v>
      </c>
      <c r="OC29" s="133">
        <v>15.466041444681732</v>
      </c>
      <c r="OD29" s="133">
        <v>17.176536134084373</v>
      </c>
      <c r="OE29" s="133">
        <v>18.798212884241064</v>
      </c>
      <c r="OF29" s="133">
        <v>20.858821298627319</v>
      </c>
      <c r="OG29" s="133">
        <v>24.811136125369384</v>
      </c>
      <c r="OH29" s="134">
        <v>30.105008049107116</v>
      </c>
      <c r="OI29" s="133">
        <v>36.528416315047359</v>
      </c>
      <c r="OJ29" s="133">
        <v>43.449795012935205</v>
      </c>
      <c r="OK29" s="133">
        <v>48.212642085598688</v>
      </c>
      <c r="OL29" s="133">
        <v>52.764509826772262</v>
      </c>
      <c r="OM29" s="133">
        <v>58.600095756788193</v>
      </c>
      <c r="ON29" s="81"/>
      <c r="OO29" s="81">
        <v>27</v>
      </c>
      <c r="OP29" s="133">
        <v>14.276294771269658</v>
      </c>
      <c r="OQ29" s="133">
        <v>15.726321482476498</v>
      </c>
      <c r="OR29" s="133">
        <v>17.090683361252353</v>
      </c>
      <c r="OS29" s="133">
        <v>18.811250709497351</v>
      </c>
      <c r="OT29" s="133">
        <v>25.311138340570803</v>
      </c>
      <c r="OU29" s="134">
        <v>26.385638409456465</v>
      </c>
      <c r="OV29" s="133">
        <v>31.537279166616678</v>
      </c>
      <c r="OW29" s="133">
        <v>37.009868457236003</v>
      </c>
      <c r="OX29" s="133">
        <v>40.735756409424738</v>
      </c>
      <c r="OY29" s="133">
        <v>44.269851347649684</v>
      </c>
      <c r="OZ29" s="133">
        <v>48.766288832565749</v>
      </c>
      <c r="PA29" s="81"/>
      <c r="PB29" s="81">
        <v>29</v>
      </c>
      <c r="PC29" s="133">
        <v>20.548644320066931</v>
      </c>
      <c r="PD29" s="133">
        <v>22.338732973471764</v>
      </c>
      <c r="PE29" s="133">
        <v>24.002545655426918</v>
      </c>
      <c r="PF29" s="133">
        <v>26.075192312670282</v>
      </c>
      <c r="PG29" s="133">
        <v>29.938649281361783</v>
      </c>
      <c r="PH29" s="134">
        <v>34.923106751645413</v>
      </c>
      <c r="PI29" s="133">
        <v>40.737421843078764</v>
      </c>
      <c r="PJ29" s="133">
        <v>46.77332272614499</v>
      </c>
      <c r="PK29" s="133">
        <v>50.812251445965607</v>
      </c>
      <c r="PL29" s="133">
        <v>54.596802183686009</v>
      </c>
      <c r="PM29" s="133">
        <v>59.352985344915901</v>
      </c>
      <c r="PN29" s="81"/>
      <c r="PO29" s="81">
        <v>27</v>
      </c>
      <c r="PP29" s="133">
        <v>8.004643430093429</v>
      </c>
      <c r="PQ29" s="133">
        <v>8.7355533910025844</v>
      </c>
      <c r="PR29" s="133">
        <v>9.4173371794189453</v>
      </c>
      <c r="PS29" s="133">
        <v>10.269689944742268</v>
      </c>
      <c r="PT29" s="133">
        <v>11.866687702016209</v>
      </c>
      <c r="PU29" s="134">
        <v>13.941028354017774</v>
      </c>
      <c r="PV29" s="133">
        <v>16.377971380716975</v>
      </c>
      <c r="PW29" s="133">
        <v>18.92484316598372</v>
      </c>
      <c r="PX29" s="133">
        <v>20.637709775569402</v>
      </c>
      <c r="PY29" s="133">
        <v>22.248421235420043</v>
      </c>
      <c r="PZ29" s="133">
        <v>24.279941169754142</v>
      </c>
      <c r="QA29" s="81"/>
      <c r="QB29" s="81">
        <v>27</v>
      </c>
      <c r="QC29" s="133">
        <v>7.6672539403950619</v>
      </c>
      <c r="QD29" s="133">
        <v>8.3646767603404903</v>
      </c>
      <c r="QE29" s="133">
        <v>9.0150307740611098</v>
      </c>
      <c r="QF29" s="133">
        <v>9.8278490994255669</v>
      </c>
      <c r="QG29" s="133">
        <v>11.350122345655523</v>
      </c>
      <c r="QH29" s="134">
        <v>13.326292858142125</v>
      </c>
      <c r="QI29" s="133">
        <v>15.64653454232991</v>
      </c>
      <c r="QJ29" s="133">
        <v>18.070086297046405</v>
      </c>
      <c r="QK29" s="133">
        <v>19.699331681922661</v>
      </c>
      <c r="QL29" s="133">
        <v>21.230955651864402</v>
      </c>
      <c r="QM29" s="133">
        <v>23.162149411190523</v>
      </c>
      <c r="QN29" s="81"/>
      <c r="QO29" s="81">
        <v>29</v>
      </c>
      <c r="QP29" s="133">
        <v>9.0210408943995049</v>
      </c>
      <c r="QQ29" s="133">
        <v>9.7746134961683708</v>
      </c>
      <c r="QR29" s="133">
        <v>10.472886649992823</v>
      </c>
      <c r="QS29" s="133">
        <v>11.340083398957082</v>
      </c>
      <c r="QT29" s="133">
        <v>12.949455339139901</v>
      </c>
      <c r="QU29" s="134">
        <v>15.013820772221006</v>
      </c>
      <c r="QV29" s="133">
        <v>17.407281486122105</v>
      </c>
      <c r="QW29" s="133">
        <v>19.877703386300126</v>
      </c>
      <c r="QX29" s="133">
        <v>21.52365643912794</v>
      </c>
      <c r="QY29" s="133">
        <v>23.061250889228226</v>
      </c>
      <c r="QZ29" s="133">
        <v>24.98767235611562</v>
      </c>
      <c r="RA29" s="81"/>
      <c r="RB29" s="81">
        <v>27</v>
      </c>
      <c r="RC29" s="133">
        <f t="shared" si="168"/>
        <v>0.26206015922213849</v>
      </c>
      <c r="RD29" s="133">
        <f t="shared" si="169"/>
        <v>0.28423173497661897</v>
      </c>
      <c r="RE29" s="133">
        <f t="shared" si="170"/>
        <v>0.30504571544906822</v>
      </c>
      <c r="RF29" s="133">
        <f t="shared" si="411"/>
        <v>0.33126145633779969</v>
      </c>
      <c r="RG29" s="133">
        <f t="shared" si="412"/>
        <v>0.38100643977090387</v>
      </c>
      <c r="RH29" s="134">
        <f t="shared" si="413"/>
        <v>0.44692630194177785</v>
      </c>
      <c r="RI29" s="133">
        <f t="shared" si="414"/>
        <v>0.52636335153833191</v>
      </c>
      <c r="RJ29" s="133">
        <f t="shared" si="171"/>
        <v>0.61177382440796346</v>
      </c>
      <c r="RK29" s="133">
        <f t="shared" si="172"/>
        <v>0.67061936017557144</v>
      </c>
      <c r="RL29" s="133">
        <f t="shared" si="173"/>
        <v>0.72699815764412878</v>
      </c>
      <c r="RM29" s="133">
        <f t="shared" si="174"/>
        <v>0.79955911082684195</v>
      </c>
      <c r="RN29" s="81"/>
      <c r="RO29" s="81">
        <v>27</v>
      </c>
      <c r="RP29" s="133">
        <f t="shared" si="175"/>
        <v>0.28753799913938727</v>
      </c>
      <c r="RQ29" s="133">
        <f t="shared" si="176"/>
        <v>0.30956947007305352</v>
      </c>
      <c r="RR29" s="133">
        <f t="shared" si="177"/>
        <v>0.33017710773979031</v>
      </c>
      <c r="RS29" s="133">
        <f t="shared" si="415"/>
        <v>0.35604518318061323</v>
      </c>
      <c r="RT29" s="133">
        <f t="shared" si="416"/>
        <v>0.40491348799792903</v>
      </c>
      <c r="RU29" s="134">
        <f t="shared" si="417"/>
        <v>0.4693494378418625</v>
      </c>
      <c r="RV29" s="133">
        <f t="shared" si="418"/>
        <v>0.54668048617724796</v>
      </c>
      <c r="RW29" s="133">
        <f t="shared" si="178"/>
        <v>0.6296046253025922</v>
      </c>
      <c r="RX29" s="133">
        <f t="shared" si="179"/>
        <v>0.68667044896081275</v>
      </c>
      <c r="RY29" s="133">
        <f t="shared" si="180"/>
        <v>0.74132657687266779</v>
      </c>
      <c r="RZ29" s="133">
        <f t="shared" si="181"/>
        <v>0.81167918567337038</v>
      </c>
      <c r="SA29" s="81"/>
      <c r="SB29" s="81">
        <v>29</v>
      </c>
      <c r="SC29" s="133">
        <f t="shared" si="182"/>
        <v>0.24677458893409784</v>
      </c>
      <c r="SD29" s="133">
        <f t="shared" si="183"/>
        <v>0.26923156480614074</v>
      </c>
      <c r="SE29" s="133">
        <f t="shared" si="184"/>
        <v>0.29019656707576647</v>
      </c>
      <c r="SF29" s="133">
        <f t="shared" si="419"/>
        <v>0.31643069309522176</v>
      </c>
      <c r="SG29" s="133">
        <f t="shared" si="420"/>
        <v>0.365656685436755</v>
      </c>
      <c r="SH29" s="134">
        <f t="shared" si="421"/>
        <v>0.42973777899814586</v>
      </c>
      <c r="SI29" s="133">
        <f t="shared" si="422"/>
        <v>0.50522063630244995</v>
      </c>
      <c r="SJ29" s="133">
        <f t="shared" si="185"/>
        <v>0.58433174243974662</v>
      </c>
      <c r="SK29" s="133">
        <f t="shared" si="186"/>
        <v>0.63766056319832842</v>
      </c>
      <c r="SL29" s="133">
        <f t="shared" si="187"/>
        <v>0.68789654029982306</v>
      </c>
      <c r="SM29" s="133">
        <f t="shared" si="188"/>
        <v>0.75137446947109421</v>
      </c>
      <c r="SN29" s="81"/>
      <c r="SO29" s="81">
        <v>27</v>
      </c>
      <c r="SP29" s="133">
        <f t="shared" si="189"/>
        <v>0.20686218757356276</v>
      </c>
      <c r="SQ29" s="133">
        <f t="shared" si="190"/>
        <v>0.22096572998859951</v>
      </c>
      <c r="SR29" s="133">
        <f t="shared" si="191"/>
        <v>0.23365954351625398</v>
      </c>
      <c r="SS29" s="133">
        <f t="shared" si="423"/>
        <v>0.24896207988187799</v>
      </c>
      <c r="ST29" s="133">
        <f t="shared" si="424"/>
        <v>0.27613992193462983</v>
      </c>
      <c r="SU29" s="134">
        <f t="shared" si="425"/>
        <v>0.30897933316914383</v>
      </c>
      <c r="SV29" s="133">
        <f t="shared" si="426"/>
        <v>0.34465183775707298</v>
      </c>
      <c r="SW29" s="133">
        <f t="shared" si="192"/>
        <v>0.37919705364485712</v>
      </c>
      <c r="SX29" s="133">
        <f t="shared" si="193"/>
        <v>0.40110748709062749</v>
      </c>
      <c r="SY29" s="133">
        <f t="shared" si="194"/>
        <v>0.42086546707501971</v>
      </c>
      <c r="SZ29" s="133">
        <f t="shared" si="195"/>
        <v>0.44474247694720737</v>
      </c>
      <c r="TA29" s="81"/>
      <c r="TB29" s="81">
        <v>27</v>
      </c>
      <c r="TC29" s="133">
        <f t="shared" si="196"/>
        <v>0.22294116222388158</v>
      </c>
      <c r="TD29" s="133">
        <f t="shared" si="197"/>
        <v>0.23629888416735351</v>
      </c>
      <c r="TE29" s="133">
        <f t="shared" si="198"/>
        <v>0.24830967485790587</v>
      </c>
      <c r="TF29" s="133">
        <f t="shared" si="427"/>
        <v>0.26277877323233173</v>
      </c>
      <c r="TG29" s="133">
        <f t="shared" si="428"/>
        <v>0.28846289082457671</v>
      </c>
      <c r="TH29" s="134">
        <f t="shared" si="429"/>
        <v>0.319498895381923</v>
      </c>
      <c r="TI29" s="133">
        <f t="shared" si="430"/>
        <v>0.35324290170501527</v>
      </c>
      <c r="TJ29" s="133">
        <f t="shared" si="199"/>
        <v>0.38597276032690114</v>
      </c>
      <c r="TK29" s="133">
        <f t="shared" si="200"/>
        <v>0.40676577565722688</v>
      </c>
      <c r="TL29" s="133">
        <f t="shared" si="201"/>
        <v>0.42554183933465356</v>
      </c>
      <c r="TM29" s="133">
        <f t="shared" si="202"/>
        <v>0.44826748699417091</v>
      </c>
      <c r="TN29" s="81"/>
      <c r="TO29" s="81">
        <v>29</v>
      </c>
      <c r="TP29" s="133">
        <f t="shared" si="203"/>
        <v>0.19691049067140617</v>
      </c>
      <c r="TQ29" s="133">
        <f t="shared" si="204"/>
        <v>0.21162406827416014</v>
      </c>
      <c r="TR29" s="133">
        <f t="shared" si="205"/>
        <v>0.22475792023049551</v>
      </c>
      <c r="TS29" s="133">
        <f t="shared" si="431"/>
        <v>0.24045525600463863</v>
      </c>
      <c r="TT29" s="133">
        <f t="shared" si="432"/>
        <v>0.26797693197782402</v>
      </c>
      <c r="TU29" s="134">
        <f t="shared" si="433"/>
        <v>0.30064497851283173</v>
      </c>
      <c r="TV29" s="133">
        <f t="shared" si="434"/>
        <v>0.33544322847260621</v>
      </c>
      <c r="TW29" s="133">
        <f t="shared" si="206"/>
        <v>0.36850118722041869</v>
      </c>
      <c r="TX29" s="133">
        <f t="shared" si="207"/>
        <v>0.38916010327526451</v>
      </c>
      <c r="TY29" s="133">
        <f t="shared" si="208"/>
        <v>0.4075939634339914</v>
      </c>
      <c r="TZ29" s="133">
        <f t="shared" si="209"/>
        <v>0.42963315970207927</v>
      </c>
      <c r="UA29" s="81"/>
      <c r="UB29" s="81">
        <v>27</v>
      </c>
      <c r="UC29" s="133">
        <f t="shared" si="210"/>
        <v>-27.554230906056176</v>
      </c>
      <c r="UD29" s="133">
        <f t="shared" si="211"/>
        <v>-23.856517441177317</v>
      </c>
      <c r="UE29" s="133">
        <f t="shared" si="212"/>
        <v>-20.787501384157395</v>
      </c>
      <c r="UF29" s="133">
        <f t="shared" si="435"/>
        <v>-17.358912442885583</v>
      </c>
      <c r="UG29" s="133">
        <f t="shared" si="436"/>
        <v>-11.862079215053683</v>
      </c>
      <c r="UH29" s="134">
        <f t="shared" si="437"/>
        <v>-6.00900291570089</v>
      </c>
      <c r="UI29" s="133">
        <f t="shared" si="438"/>
        <v>-0.39459273568294861</v>
      </c>
      <c r="UJ29" s="133">
        <f t="shared" si="213"/>
        <v>4.4705541441408627</v>
      </c>
      <c r="UK29" s="133">
        <f t="shared" si="214"/>
        <v>7.3181939282474104</v>
      </c>
      <c r="UL29" s="133">
        <f t="shared" si="215"/>
        <v>9.7499235312942147</v>
      </c>
      <c r="UM29" s="133">
        <f t="shared" si="216"/>
        <v>12.535696356425206</v>
      </c>
      <c r="UN29" s="81"/>
      <c r="UO29" s="81">
        <v>27</v>
      </c>
      <c r="UP29" s="133">
        <f t="shared" si="217"/>
        <v>-23.044397900912976</v>
      </c>
      <c r="UQ29" s="133">
        <f t="shared" si="218"/>
        <v>-20.101073094640938</v>
      </c>
      <c r="UR29" s="133">
        <f t="shared" si="219"/>
        <v>-17.579755114429709</v>
      </c>
      <c r="US29" s="133">
        <f t="shared" si="439"/>
        <v>-14.682380852916936</v>
      </c>
      <c r="UT29" s="133">
        <f t="shared" si="440"/>
        <v>-9.867808278769175</v>
      </c>
      <c r="UU29" s="134">
        <f t="shared" si="441"/>
        <v>-4.5240712226127933</v>
      </c>
      <c r="UV29" s="133">
        <f t="shared" si="442"/>
        <v>0.80025136916967199</v>
      </c>
      <c r="UW29" s="133">
        <f t="shared" si="220"/>
        <v>5.5632319681347866</v>
      </c>
      <c r="UX29" s="133">
        <f t="shared" si="221"/>
        <v>8.4128462179541259</v>
      </c>
      <c r="UY29" s="133">
        <f t="shared" si="222"/>
        <v>10.881350806784283</v>
      </c>
      <c r="UZ29" s="133">
        <f t="shared" si="223"/>
        <v>13.748123192484876</v>
      </c>
      <c r="VA29" s="81"/>
      <c r="VB29" s="81">
        <v>30</v>
      </c>
      <c r="VC29" s="133">
        <f t="shared" si="224"/>
        <v>-29.072032498246095</v>
      </c>
      <c r="VD29" s="133">
        <f t="shared" si="225"/>
        <v>-24.943692753284473</v>
      </c>
      <c r="VE29" s="133">
        <f t="shared" si="226"/>
        <v>-21.605180572257694</v>
      </c>
      <c r="VF29" s="133">
        <f t="shared" si="443"/>
        <v>-17.953651191005164</v>
      </c>
      <c r="VG29" s="133">
        <f t="shared" si="444"/>
        <v>-12.241823346636998</v>
      </c>
      <c r="VH29" s="134">
        <f t="shared" si="445"/>
        <v>-6.3175036673948242</v>
      </c>
      <c r="VI29" s="133">
        <f t="shared" si="446"/>
        <v>-0.75980839478283713</v>
      </c>
      <c r="VJ29" s="133">
        <f t="shared" si="227"/>
        <v>3.9724306691718994</v>
      </c>
      <c r="VK29" s="133">
        <f t="shared" si="228"/>
        <v>6.7103433234814958</v>
      </c>
      <c r="VL29" s="133">
        <f t="shared" si="229"/>
        <v>9.0312285182352525</v>
      </c>
      <c r="VM29" s="133">
        <f t="shared" si="230"/>
        <v>11.671794783558141</v>
      </c>
      <c r="VN29" s="81"/>
      <c r="VO29" s="81">
        <v>27</v>
      </c>
      <c r="VP29" s="133">
        <f t="shared" si="231"/>
        <v>-44.776877065630877</v>
      </c>
      <c r="VQ29" s="133">
        <f t="shared" si="232"/>
        <v>-41.088871489187603</v>
      </c>
      <c r="VR29" s="133">
        <f t="shared" si="233"/>
        <v>-37.54901255088933</v>
      </c>
      <c r="VS29" s="133">
        <f t="shared" si="447"/>
        <v>-33.063145768701609</v>
      </c>
      <c r="VT29" s="133">
        <f t="shared" si="448"/>
        <v>-24.657674197570213</v>
      </c>
      <c r="VU29" s="134">
        <f t="shared" si="449"/>
        <v>-13.994818796536343</v>
      </c>
      <c r="VV29" s="133">
        <f t="shared" si="450"/>
        <v>-2.0335240511510264</v>
      </c>
      <c r="VW29" s="133">
        <f t="shared" si="234"/>
        <v>9.7572295570492926</v>
      </c>
      <c r="VX29" s="133">
        <f t="shared" si="235"/>
        <v>17.290644044999901</v>
      </c>
      <c r="VY29" s="133">
        <f t="shared" si="236"/>
        <v>24.100983695644139</v>
      </c>
      <c r="VZ29" s="133">
        <f t="shared" si="237"/>
        <v>32.336711110487691</v>
      </c>
      <c r="WA29" s="81"/>
      <c r="WB29" s="81">
        <v>27</v>
      </c>
      <c r="WC29" s="133">
        <f t="shared" si="238"/>
        <v>-41.330476236205762</v>
      </c>
      <c r="WD29" s="133">
        <f t="shared" si="239"/>
        <v>-37.8938758916551</v>
      </c>
      <c r="WE29" s="133">
        <f t="shared" si="240"/>
        <v>-34.525965848027099</v>
      </c>
      <c r="WF29" s="133">
        <f t="shared" si="451"/>
        <v>-30.19242587317061</v>
      </c>
      <c r="WG29" s="133">
        <f t="shared" si="452"/>
        <v>-21.941682963198538</v>
      </c>
      <c r="WH29" s="134">
        <f t="shared" si="453"/>
        <v>-11.318335340515276</v>
      </c>
      <c r="WI29" s="133">
        <f t="shared" si="454"/>
        <v>0.73156024542935683</v>
      </c>
      <c r="WJ29" s="133">
        <f t="shared" si="241"/>
        <v>12.703370440740613</v>
      </c>
      <c r="WK29" s="133">
        <f t="shared" si="242"/>
        <v>20.389148540280296</v>
      </c>
      <c r="WL29" s="133">
        <f t="shared" si="243"/>
        <v>27.357367095416272</v>
      </c>
      <c r="WM29" s="133">
        <f t="shared" si="244"/>
        <v>35.805984299572749</v>
      </c>
      <c r="WN29" s="81"/>
      <c r="WO29" s="81">
        <v>30</v>
      </c>
      <c r="WP29" s="133">
        <f t="shared" si="245"/>
        <v>-45.458167632475913</v>
      </c>
      <c r="WQ29" s="133">
        <f t="shared" si="246"/>
        <v>-41.524813999221799</v>
      </c>
      <c r="WR29" s="133">
        <f t="shared" si="247"/>
        <v>-37.796040676384067</v>
      </c>
      <c r="WS29" s="133">
        <f t="shared" si="455"/>
        <v>-33.134158144324331</v>
      </c>
      <c r="WT29" s="133">
        <f t="shared" si="456"/>
        <v>-24.567435541722759</v>
      </c>
      <c r="WU29" s="134">
        <f t="shared" si="457"/>
        <v>-13.962060188479043</v>
      </c>
      <c r="WV29" s="133">
        <f t="shared" si="458"/>
        <v>-2.3439940459006934</v>
      </c>
      <c r="WW29" s="133">
        <f t="shared" si="248"/>
        <v>8.8749416841015858</v>
      </c>
      <c r="WX29" s="133">
        <f t="shared" si="249"/>
        <v>15.940164029248471</v>
      </c>
      <c r="WY29" s="133">
        <f t="shared" si="250"/>
        <v>22.266145838312404</v>
      </c>
      <c r="WZ29" s="133">
        <f t="shared" si="251"/>
        <v>29.845597521998421</v>
      </c>
      <c r="XA29" s="81"/>
      <c r="XB29" s="81">
        <v>27</v>
      </c>
      <c r="XC29" s="133">
        <f t="shared" si="252"/>
        <v>-49.988509594767841</v>
      </c>
      <c r="XD29" s="133">
        <f t="shared" si="253"/>
        <v>-45.765902112316979</v>
      </c>
      <c r="XE29" s="133">
        <f t="shared" si="254"/>
        <v>-41.755454219082054</v>
      </c>
      <c r="XF29" s="133">
        <f t="shared" si="459"/>
        <v>-36.77466749537767</v>
      </c>
      <c r="XG29" s="133">
        <f t="shared" si="460"/>
        <v>-27.754682731869828</v>
      </c>
      <c r="XH29" s="134">
        <f t="shared" si="461"/>
        <v>-16.82405945562531</v>
      </c>
      <c r="XI29" s="133">
        <f t="shared" si="462"/>
        <v>-5.1115428908661187</v>
      </c>
      <c r="XJ29" s="133">
        <f t="shared" si="255"/>
        <v>5.9781263768205974</v>
      </c>
      <c r="XK29" s="133">
        <f t="shared" si="256"/>
        <v>12.865205225264695</v>
      </c>
      <c r="XL29" s="133">
        <f t="shared" si="257"/>
        <v>18.97458405919857</v>
      </c>
      <c r="XM29" s="133">
        <f t="shared" si="258"/>
        <v>26.229103777049438</v>
      </c>
      <c r="XN29" s="81"/>
      <c r="XO29" s="81">
        <v>27</v>
      </c>
      <c r="XP29" s="133">
        <f t="shared" si="259"/>
        <v>-46.037890014932017</v>
      </c>
      <c r="XQ29" s="133">
        <f t="shared" si="260"/>
        <v>-41.768919345291884</v>
      </c>
      <c r="XR29" s="133">
        <f t="shared" si="261"/>
        <v>-37.744948894079606</v>
      </c>
      <c r="XS29" s="133">
        <f t="shared" si="463"/>
        <v>-32.7787065999931</v>
      </c>
      <c r="XT29" s="133">
        <f t="shared" si="464"/>
        <v>-23.851390066500866</v>
      </c>
      <c r="XU29" s="134">
        <f t="shared" si="465"/>
        <v>-13.117788512811892</v>
      </c>
      <c r="XV29" s="133">
        <f t="shared" si="466"/>
        <v>-1.6932216328379255</v>
      </c>
      <c r="XW29" s="133">
        <f t="shared" si="262"/>
        <v>9.0663271531866414</v>
      </c>
      <c r="XX29" s="133">
        <f t="shared" si="263"/>
        <v>15.724781990613657</v>
      </c>
      <c r="XY29" s="133">
        <f t="shared" si="264"/>
        <v>21.617962318489212</v>
      </c>
      <c r="XZ29" s="133">
        <f t="shared" si="265"/>
        <v>28.60083963201776</v>
      </c>
      <c r="YA29" s="81"/>
      <c r="YB29" s="81">
        <v>30</v>
      </c>
      <c r="YC29" s="133">
        <f t="shared" si="266"/>
        <v>-51.112769528816258</v>
      </c>
      <c r="YD29" s="133">
        <f t="shared" si="267"/>
        <v>-46.762108366817586</v>
      </c>
      <c r="YE29" s="133">
        <f t="shared" si="268"/>
        <v>-42.659628101864392</v>
      </c>
      <c r="YF29" s="133">
        <f t="shared" si="467"/>
        <v>-37.610640311448073</v>
      </c>
      <c r="YG29" s="133">
        <f t="shared" si="468"/>
        <v>-28.580848637216707</v>
      </c>
      <c r="YH29" s="134">
        <f t="shared" si="469"/>
        <v>-17.796137423811494</v>
      </c>
      <c r="YI29" s="133">
        <f t="shared" si="470"/>
        <v>-6.3899605106108481</v>
      </c>
      <c r="YJ29" s="133">
        <f t="shared" si="269"/>
        <v>4.2947082339357578</v>
      </c>
      <c r="YK29" s="133">
        <f t="shared" si="270"/>
        <v>10.88248176877584</v>
      </c>
      <c r="YL29" s="133">
        <f t="shared" si="271"/>
        <v>16.699073007205961</v>
      </c>
      <c r="YM29" s="133">
        <f t="shared" si="272"/>
        <v>23.575413929602327</v>
      </c>
      <c r="YN29" s="81"/>
      <c r="YO29" s="81">
        <v>27</v>
      </c>
      <c r="YP29" s="133">
        <v>19.454665621140375</v>
      </c>
      <c r="YQ29" s="133">
        <v>21.881049324145067</v>
      </c>
      <c r="YR29" s="133">
        <v>24.208565742187336</v>
      </c>
      <c r="YS29" s="133">
        <v>27.200948754199601</v>
      </c>
      <c r="YT29" s="133">
        <v>33.038385206903754</v>
      </c>
      <c r="YU29" s="134">
        <v>41.032598594606995</v>
      </c>
      <c r="YV29" s="133">
        <v>50.961151305733956</v>
      </c>
      <c r="YW29" s="133">
        <v>61.897625801239691</v>
      </c>
      <c r="YX29" s="133">
        <v>69.548694679258531</v>
      </c>
      <c r="YY29" s="133">
        <v>76.946682148751478</v>
      </c>
      <c r="YZ29" s="133">
        <v>86.543463671592619</v>
      </c>
      <c r="ZA29" s="81"/>
      <c r="ZB29" s="81">
        <v>27</v>
      </c>
      <c r="ZC29" s="133">
        <v>16.615480220161665</v>
      </c>
      <c r="ZD29" s="133">
        <v>18.883027918081925</v>
      </c>
      <c r="ZE29" s="133">
        <v>21.079249575883679</v>
      </c>
      <c r="ZF29" s="133">
        <v>23.930210926799681</v>
      </c>
      <c r="ZG29" s="133">
        <v>29.569820943504148</v>
      </c>
      <c r="ZH29" s="134">
        <v>37.435359515261716</v>
      </c>
      <c r="ZI29" s="133">
        <v>47.393122356554379</v>
      </c>
      <c r="ZJ29" s="133">
        <v>58.562214362575816</v>
      </c>
      <c r="ZK29" s="133">
        <v>66.482733979307085</v>
      </c>
      <c r="ZL29" s="133">
        <v>74.215117835786472</v>
      </c>
      <c r="ZM29" s="133">
        <v>84.343402866947727</v>
      </c>
      <c r="ZN29" s="81"/>
      <c r="ZO29" s="81">
        <v>30</v>
      </c>
      <c r="ZP29" s="133">
        <v>22.448337982698217</v>
      </c>
      <c r="ZQ29" s="133">
        <v>24.885758315669587</v>
      </c>
      <c r="ZR29" s="133">
        <v>27.192719564130606</v>
      </c>
      <c r="ZS29" s="133">
        <v>30.119153080440022</v>
      </c>
      <c r="ZT29" s="133">
        <v>35.718508403866515</v>
      </c>
      <c r="ZU29" s="134">
        <v>43.194593188485079</v>
      </c>
      <c r="ZV29" s="133">
        <v>52.2354645838669</v>
      </c>
      <c r="ZW29" s="133">
        <v>61.94639257404593</v>
      </c>
      <c r="ZX29" s="133">
        <v>68.612956358356527</v>
      </c>
      <c r="ZY29" s="133">
        <v>74.97351927362881</v>
      </c>
      <c r="ZZ29" s="133">
        <v>83.114076514561717</v>
      </c>
      <c r="AAA29" s="81"/>
      <c r="AAB29" s="81">
        <v>27</v>
      </c>
      <c r="AAC29" s="133">
        <v>8.6166331321231873</v>
      </c>
      <c r="AAD29" s="133">
        <v>9.56402201612363</v>
      </c>
      <c r="AAE29" s="133">
        <v>10.461731269128046</v>
      </c>
      <c r="AAF29" s="133">
        <v>11.601801721761415</v>
      </c>
      <c r="AAG29" s="133">
        <v>13.786787416943916</v>
      </c>
      <c r="AAH29" s="134">
        <v>16.710440001287225</v>
      </c>
      <c r="AAI29" s="133">
        <v>20.254087960581487</v>
      </c>
      <c r="AAJ29" s="133">
        <v>24.06857242809572</v>
      </c>
      <c r="AAK29" s="133">
        <v>26.691452671952828</v>
      </c>
      <c r="AAL29" s="133">
        <v>29.196796553360279</v>
      </c>
      <c r="AAM29" s="133">
        <v>32.40695069117028</v>
      </c>
      <c r="AAN29" s="81"/>
      <c r="AAO29" s="81">
        <v>27</v>
      </c>
      <c r="AAP29" s="133">
        <v>7.8195461004411229</v>
      </c>
      <c r="AAQ29" s="133">
        <v>8.7532878130580336</v>
      </c>
      <c r="AAR29" s="133">
        <v>9.6450606266134198</v>
      </c>
      <c r="AAS29" s="133">
        <v>10.786549180238124</v>
      </c>
      <c r="AAT29" s="133">
        <v>12.999256131164024</v>
      </c>
      <c r="AAU29" s="134">
        <v>16.004438913948928</v>
      </c>
      <c r="AAV29" s="133">
        <v>19.704363262468181</v>
      </c>
      <c r="AAW29" s="133">
        <v>23.746432771993174</v>
      </c>
      <c r="AAX29" s="133">
        <v>26.556812327706378</v>
      </c>
      <c r="AAY29" s="133">
        <v>29.262383508995725</v>
      </c>
      <c r="AAZ29" s="133">
        <v>32.756641071004488</v>
      </c>
      <c r="ABA29" s="81"/>
      <c r="ABB29" s="81">
        <v>30</v>
      </c>
      <c r="ABC29" s="133">
        <v>9.758346499495655</v>
      </c>
      <c r="ABD29" s="133">
        <v>10.715152761296658</v>
      </c>
      <c r="ABE29" s="133">
        <v>11.612763763029493</v>
      </c>
      <c r="ABF29" s="133">
        <v>12.741366623780555</v>
      </c>
      <c r="ABG29" s="133">
        <v>14.87342130342723</v>
      </c>
      <c r="ABH29" s="134">
        <v>17.672812216463086</v>
      </c>
      <c r="ABI29" s="133">
        <v>20.999088593449457</v>
      </c>
      <c r="ABJ29" s="133">
        <v>24.512934982612911</v>
      </c>
      <c r="ABK29" s="133">
        <v>26.895259217508436</v>
      </c>
      <c r="ABL29" s="133">
        <v>29.148281746061787</v>
      </c>
      <c r="ABM29" s="133">
        <v>32.00627192880566</v>
      </c>
      <c r="ABN29" s="81"/>
      <c r="ABO29" s="81">
        <v>27</v>
      </c>
      <c r="ABP29" s="133">
        <f t="shared" si="273"/>
        <v>0.19148341989013459</v>
      </c>
      <c r="ABQ29" s="133">
        <f t="shared" si="274"/>
        <v>0.21759547335754334</v>
      </c>
      <c r="ABR29" s="133">
        <f t="shared" si="275"/>
        <v>0.24205118517901167</v>
      </c>
      <c r="ABS29" s="133">
        <f t="shared" si="471"/>
        <v>0.27266717717890665</v>
      </c>
      <c r="ABT29" s="133">
        <f t="shared" si="472"/>
        <v>0.32989042833333176</v>
      </c>
      <c r="ABU29" s="134">
        <f t="shared" si="473"/>
        <v>0.4034758042848467</v>
      </c>
      <c r="ABV29" s="133">
        <f t="shared" si="474"/>
        <v>0.48835920230416041</v>
      </c>
      <c r="ABW29" s="133">
        <f t="shared" si="276"/>
        <v>0.57497871707340042</v>
      </c>
      <c r="ABX29" s="133">
        <f t="shared" si="277"/>
        <v>0.63198037585336975</v>
      </c>
      <c r="ABY29" s="133">
        <f t="shared" si="278"/>
        <v>0.6846643014150009</v>
      </c>
      <c r="ABZ29" s="133">
        <f t="shared" si="279"/>
        <v>0.74986597801108079</v>
      </c>
      <c r="ACA29" s="81"/>
      <c r="ACB29" s="81">
        <v>27</v>
      </c>
      <c r="ACC29" s="133">
        <f t="shared" si="280"/>
        <v>0.20765597996828578</v>
      </c>
      <c r="ACD29" s="133">
        <f t="shared" si="281"/>
        <v>0.23278944952395297</v>
      </c>
      <c r="ACE29" s="133">
        <f t="shared" si="282"/>
        <v>0.2564531337278812</v>
      </c>
      <c r="ACF29" s="133">
        <f t="shared" si="475"/>
        <v>0.28627350948464253</v>
      </c>
      <c r="ACG29" s="133">
        <f t="shared" si="476"/>
        <v>0.34265910395501659</v>
      </c>
      <c r="ACH29" s="134">
        <f t="shared" si="477"/>
        <v>0.41650478131550639</v>
      </c>
      <c r="ACI29" s="133">
        <f t="shared" si="478"/>
        <v>0.50362547111357903</v>
      </c>
      <c r="ACJ29" s="133">
        <f t="shared" si="283"/>
        <v>0.59467601935744629</v>
      </c>
      <c r="ACK29" s="133">
        <f t="shared" si="284"/>
        <v>0.65576435208396955</v>
      </c>
      <c r="ACL29" s="133">
        <f t="shared" si="285"/>
        <v>0.71303950940441641</v>
      </c>
      <c r="ACM29" s="133">
        <f t="shared" si="286"/>
        <v>0.78498954318398473</v>
      </c>
      <c r="ACN29" s="81"/>
      <c r="ACO29" s="81">
        <v>30</v>
      </c>
      <c r="ACP29" s="133">
        <f t="shared" si="287"/>
        <v>0.18607837751946196</v>
      </c>
      <c r="ACQ29" s="133">
        <f t="shared" si="288"/>
        <v>0.21532067140055577</v>
      </c>
      <c r="ACR29" s="133">
        <f t="shared" si="289"/>
        <v>0.24223514027756732</v>
      </c>
      <c r="ACS29" s="133">
        <f t="shared" si="479"/>
        <v>0.27529946857199483</v>
      </c>
      <c r="ACT29" s="133">
        <f t="shared" si="480"/>
        <v>0.33537920569795504</v>
      </c>
      <c r="ACU29" s="134">
        <f t="shared" si="481"/>
        <v>0.40945118630424326</v>
      </c>
      <c r="ACV29" s="133">
        <f t="shared" si="482"/>
        <v>0.49116773598641417</v>
      </c>
      <c r="ACW29" s="133">
        <f t="shared" si="290"/>
        <v>0.5711558613740424</v>
      </c>
      <c r="ACX29" s="133">
        <f t="shared" si="291"/>
        <v>0.62205152446163647</v>
      </c>
      <c r="ACY29" s="133">
        <f t="shared" si="292"/>
        <v>0.66801326654759297</v>
      </c>
      <c r="ACZ29" s="133">
        <f t="shared" si="293"/>
        <v>0.72358186883117448</v>
      </c>
      <c r="ADA29" s="81"/>
      <c r="ADB29" s="81">
        <v>27</v>
      </c>
      <c r="ADC29" s="133">
        <f t="shared" si="294"/>
        <v>0.15956295871025142</v>
      </c>
      <c r="ADD29" s="133">
        <f t="shared" si="295"/>
        <v>0.17856172737541517</v>
      </c>
      <c r="ADE29" s="133">
        <f t="shared" si="296"/>
        <v>0.19527593047112635</v>
      </c>
      <c r="ADF29" s="133">
        <f t="shared" si="483"/>
        <v>0.21495309419443817</v>
      </c>
      <c r="ADG29" s="133">
        <f t="shared" si="484"/>
        <v>0.24868999090108229</v>
      </c>
      <c r="ADH29" s="134">
        <f t="shared" si="485"/>
        <v>0.28754391157064924</v>
      </c>
      <c r="ADI29" s="133">
        <f t="shared" si="486"/>
        <v>0.32761886593578765</v>
      </c>
      <c r="ADJ29" s="133">
        <f t="shared" si="297"/>
        <v>0.36454292914405478</v>
      </c>
      <c r="ADK29" s="133">
        <f t="shared" si="298"/>
        <v>0.38709369631653906</v>
      </c>
      <c r="ADL29" s="133">
        <f t="shared" si="299"/>
        <v>0.40689609687590034</v>
      </c>
      <c r="ADM29" s="133">
        <f t="shared" si="300"/>
        <v>0.43019603313987703</v>
      </c>
      <c r="ADN29" s="81"/>
      <c r="ADO29" s="81">
        <v>27</v>
      </c>
      <c r="ADP29" s="133">
        <f t="shared" si="301"/>
        <v>0.17140786158465218</v>
      </c>
      <c r="ADQ29" s="133">
        <f t="shared" si="302"/>
        <v>0.18899678621929833</v>
      </c>
      <c r="ADR29" s="133">
        <f t="shared" si="303"/>
        <v>0.2046578029091537</v>
      </c>
      <c r="ADS29" s="133">
        <f t="shared" si="487"/>
        <v>0.22331484818003028</v>
      </c>
      <c r="ADT29" s="133">
        <f t="shared" si="488"/>
        <v>0.25583922524930586</v>
      </c>
      <c r="ADU29" s="134">
        <f t="shared" si="489"/>
        <v>0.29410167897025569</v>
      </c>
      <c r="ADV29" s="133">
        <f t="shared" si="490"/>
        <v>0.33442350214709077</v>
      </c>
      <c r="ADW29" s="133">
        <f t="shared" si="304"/>
        <v>0.37230600480831016</v>
      </c>
      <c r="ADX29" s="133">
        <f t="shared" si="305"/>
        <v>0.39577232434223486</v>
      </c>
      <c r="ADY29" s="133">
        <f t="shared" si="306"/>
        <v>0.41657843326222338</v>
      </c>
      <c r="ADZ29" s="133">
        <f t="shared" si="307"/>
        <v>0.44129227044092068</v>
      </c>
      <c r="AEA29" s="81"/>
      <c r="AEB29" s="81">
        <v>30</v>
      </c>
      <c r="AEC29" s="133">
        <f t="shared" si="308"/>
        <v>0.15586366842029756</v>
      </c>
      <c r="AED29" s="133">
        <f t="shared" si="309"/>
        <v>0.17727277297560079</v>
      </c>
      <c r="AEE29" s="133">
        <f t="shared" si="310"/>
        <v>0.19560274272960829</v>
      </c>
      <c r="AEF29" s="133">
        <f t="shared" si="491"/>
        <v>0.21665137281416702</v>
      </c>
      <c r="AEG29" s="133">
        <f t="shared" si="492"/>
        <v>0.25158648331568167</v>
      </c>
      <c r="AEH29" s="134">
        <f t="shared" si="493"/>
        <v>0.29029786666247442</v>
      </c>
      <c r="AEI29" s="133">
        <f t="shared" si="494"/>
        <v>0.32880321448053923</v>
      </c>
      <c r="AEJ29" s="133">
        <f t="shared" si="311"/>
        <v>0.36319604583031972</v>
      </c>
      <c r="AEK29" s="133">
        <f t="shared" si="312"/>
        <v>0.38374992135482017</v>
      </c>
      <c r="AEL29" s="133">
        <f t="shared" si="313"/>
        <v>0.40154163464201664</v>
      </c>
      <c r="AEM29" s="133">
        <f t="shared" si="314"/>
        <v>0.42218888557157797</v>
      </c>
      <c r="AEN29" s="81"/>
    </row>
    <row r="30" spans="1:820">
      <c r="A30" s="81"/>
      <c r="B30" s="81">
        <v>29</v>
      </c>
      <c r="C30" s="133">
        <f t="shared" si="0"/>
        <v>1.7453581390252622</v>
      </c>
      <c r="D30" s="133">
        <f t="shared" si="1"/>
        <v>2.0733939134800452</v>
      </c>
      <c r="E30" s="133">
        <f t="shared" si="2"/>
        <v>2.4152587406183934</v>
      </c>
      <c r="F30" s="133">
        <f t="shared" si="315"/>
        <v>2.8957865021559464</v>
      </c>
      <c r="G30" s="133">
        <f t="shared" si="316"/>
        <v>3.9753691362198902</v>
      </c>
      <c r="H30" s="134">
        <f t="shared" si="317"/>
        <v>5.7922753866412169</v>
      </c>
      <c r="I30" s="133">
        <f t="shared" si="318"/>
        <v>8.6794246608888095</v>
      </c>
      <c r="J30" s="133">
        <f t="shared" si="3"/>
        <v>12.824262831839368</v>
      </c>
      <c r="K30" s="133">
        <f t="shared" si="4"/>
        <v>16.437239596918076</v>
      </c>
      <c r="L30" s="133">
        <f t="shared" si="5"/>
        <v>20.581964228141921</v>
      </c>
      <c r="M30" s="133">
        <f t="shared" si="6"/>
        <v>27.062075113276936</v>
      </c>
      <c r="N30" s="81"/>
      <c r="O30" s="75">
        <v>29</v>
      </c>
      <c r="P30" s="151">
        <f t="shared" si="7"/>
        <v>2.4287680856843501</v>
      </c>
      <c r="Q30" s="151">
        <f t="shared" si="8"/>
        <v>2.7363014585757486</v>
      </c>
      <c r="R30" s="151">
        <f t="shared" si="9"/>
        <v>3.0463274224350889</v>
      </c>
      <c r="S30" s="151">
        <f t="shared" si="319"/>
        <v>3.4685353597245721</v>
      </c>
      <c r="T30" s="151">
        <f t="shared" si="320"/>
        <v>4.3780848271150044</v>
      </c>
      <c r="U30" s="134">
        <f t="shared" si="321"/>
        <v>5.8407452718624775</v>
      </c>
      <c r="V30" s="151">
        <f t="shared" si="322"/>
        <v>8.0933652713246822</v>
      </c>
      <c r="W30" s="151">
        <f t="shared" si="10"/>
        <v>11.306100848999698</v>
      </c>
      <c r="X30" s="151">
        <f t="shared" si="11"/>
        <v>14.14994179286292</v>
      </c>
      <c r="Y30" s="151">
        <f t="shared" si="12"/>
        <v>17.500545339878212</v>
      </c>
      <c r="Z30" s="151">
        <f t="shared" si="13"/>
        <v>22.980490510723406</v>
      </c>
      <c r="AA30" s="81"/>
      <c r="AB30" s="75">
        <v>31</v>
      </c>
      <c r="AC30" s="151">
        <f t="shared" si="14"/>
        <v>1.4434384958582522</v>
      </c>
      <c r="AD30" s="151">
        <f t="shared" si="15"/>
        <v>1.7438296344784914</v>
      </c>
      <c r="AE30" s="151">
        <f t="shared" si="16"/>
        <v>2.0655013268313276</v>
      </c>
      <c r="AF30" s="151">
        <f t="shared" si="323"/>
        <v>2.5317428160645199</v>
      </c>
      <c r="AG30" s="151">
        <f t="shared" si="324"/>
        <v>3.6352071188957606</v>
      </c>
      <c r="AH30" s="134">
        <f t="shared" si="325"/>
        <v>5.6516177141998432</v>
      </c>
      <c r="AI30" s="151">
        <f t="shared" si="326"/>
        <v>9.22492795420772</v>
      </c>
      <c r="AJ30" s="151">
        <f t="shared" si="17"/>
        <v>15.07122175865676</v>
      </c>
      <c r="AK30" s="151">
        <f t="shared" si="18"/>
        <v>20.808024830934247</v>
      </c>
      <c r="AL30" s="151">
        <f t="shared" si="19"/>
        <v>28.089942593797289</v>
      </c>
      <c r="AM30" s="151">
        <f t="shared" si="20"/>
        <v>40.929933103803762</v>
      </c>
      <c r="AN30" s="81"/>
      <c r="AO30" s="81">
        <v>29</v>
      </c>
      <c r="AP30" s="133">
        <f t="shared" si="21"/>
        <v>1.0175983677500069</v>
      </c>
      <c r="AQ30" s="133">
        <f t="shared" si="22"/>
        <v>2.8113025431870762</v>
      </c>
      <c r="AR30" s="133">
        <f t="shared" si="23"/>
        <v>4.5065928541730331</v>
      </c>
      <c r="AS30" s="133">
        <f t="shared" si="327"/>
        <v>6.6378589815132232</v>
      </c>
      <c r="AT30" s="133">
        <f t="shared" si="328"/>
        <v>10.618554097514924</v>
      </c>
      <c r="AU30" s="134">
        <f t="shared" si="329"/>
        <v>15.689410363315293</v>
      </c>
      <c r="AV30" s="133">
        <f t="shared" si="330"/>
        <v>21.436838442787842</v>
      </c>
      <c r="AW30" s="133">
        <f t="shared" si="24"/>
        <v>27.175523752813636</v>
      </c>
      <c r="AX30" s="133">
        <f t="shared" si="25"/>
        <v>30.881808082393224</v>
      </c>
      <c r="AY30" s="133">
        <f t="shared" si="26"/>
        <v>34.259030969210336</v>
      </c>
      <c r="AZ30" s="133">
        <f t="shared" si="27"/>
        <v>38.376576513550972</v>
      </c>
      <c r="BA30" s="81"/>
      <c r="BB30" s="81">
        <v>29</v>
      </c>
      <c r="BC30" s="133">
        <f t="shared" si="28"/>
        <v>3.9457213400412554</v>
      </c>
      <c r="BD30" s="133">
        <f t="shared" si="29"/>
        <v>5.8792708312009454</v>
      </c>
      <c r="BE30" s="133">
        <f t="shared" si="30"/>
        <v>7.6447818550404074</v>
      </c>
      <c r="BF30" s="133">
        <f t="shared" si="331"/>
        <v>9.795131680412851</v>
      </c>
      <c r="BG30" s="133">
        <f t="shared" si="332"/>
        <v>13.648528153354427</v>
      </c>
      <c r="BH30" s="134">
        <f t="shared" si="333"/>
        <v>18.32342876871169</v>
      </c>
      <c r="BI30" s="133">
        <f t="shared" si="334"/>
        <v>23.385363725509805</v>
      </c>
      <c r="BJ30" s="133">
        <f t="shared" si="31"/>
        <v>28.246290137042426</v>
      </c>
      <c r="BK30" s="133">
        <f t="shared" si="32"/>
        <v>31.301642945334219</v>
      </c>
      <c r="BL30" s="133">
        <f t="shared" si="33"/>
        <v>34.036091134294658</v>
      </c>
      <c r="BM30" s="133">
        <f t="shared" si="34"/>
        <v>37.312748772313725</v>
      </c>
      <c r="BN30" s="81"/>
      <c r="BO30" s="75">
        <v>31</v>
      </c>
      <c r="BP30" s="151">
        <f t="shared" si="35"/>
        <v>2.9170121465396934</v>
      </c>
      <c r="BQ30" s="151">
        <f t="shared" si="36"/>
        <v>3.7502361768658878</v>
      </c>
      <c r="BR30" s="151">
        <f t="shared" si="37"/>
        <v>4.621340149566012</v>
      </c>
      <c r="BS30" s="151">
        <f t="shared" si="335"/>
        <v>5.8342402072219208</v>
      </c>
      <c r="BT30" s="151">
        <f t="shared" si="336"/>
        <v>8.4611347113807778</v>
      </c>
      <c r="BU30" s="134">
        <f t="shared" si="337"/>
        <v>12.516650145693832</v>
      </c>
      <c r="BV30" s="151">
        <f t="shared" si="338"/>
        <v>18.12298150256165</v>
      </c>
      <c r="BW30" s="151">
        <f t="shared" si="38"/>
        <v>24.8492987873361</v>
      </c>
      <c r="BX30" s="151">
        <f t="shared" si="39"/>
        <v>29.82096884398857</v>
      </c>
      <c r="BY30" s="151">
        <f t="shared" si="40"/>
        <v>34.796259685458246</v>
      </c>
      <c r="BZ30" s="151">
        <f t="shared" si="41"/>
        <v>41.454396561484479</v>
      </c>
      <c r="CA30" s="81"/>
      <c r="CB30" s="81">
        <v>29</v>
      </c>
      <c r="CC30" s="133">
        <f t="shared" si="42"/>
        <v>-6.4142899673402685</v>
      </c>
      <c r="CD30" s="133">
        <f t="shared" si="43"/>
        <v>-4.7344321241984275</v>
      </c>
      <c r="CE30" s="133">
        <f t="shared" si="44"/>
        <v>-2.8712262041453194</v>
      </c>
      <c r="CF30" s="133">
        <f t="shared" si="339"/>
        <v>-0.36671432441330953</v>
      </c>
      <c r="CG30" s="133">
        <f t="shared" si="340"/>
        <v>4.4897136841165688</v>
      </c>
      <c r="CH30" s="134">
        <f t="shared" si="341"/>
        <v>10.719822186330479</v>
      </c>
      <c r="CI30" s="133">
        <f t="shared" si="342"/>
        <v>17.671364878980746</v>
      </c>
      <c r="CJ30" s="133">
        <f t="shared" si="45"/>
        <v>24.443874006423687</v>
      </c>
      <c r="CK30" s="133">
        <f t="shared" si="46"/>
        <v>28.724594346321485</v>
      </c>
      <c r="CL30" s="133">
        <f t="shared" si="47"/>
        <v>32.56319016001261</v>
      </c>
      <c r="CM30" s="133">
        <f t="shared" si="48"/>
        <v>37.16645393696097</v>
      </c>
      <c r="CN30" s="81"/>
      <c r="CO30" s="81">
        <v>29</v>
      </c>
      <c r="CP30" s="133">
        <f t="shared" si="49"/>
        <v>-1.1945085931439277</v>
      </c>
      <c r="CQ30" s="133">
        <f t="shared" si="50"/>
        <v>0.91264330266916716</v>
      </c>
      <c r="CR30" s="133">
        <f t="shared" si="51"/>
        <v>2.899309887639558</v>
      </c>
      <c r="CS30" s="133">
        <f t="shared" si="343"/>
        <v>5.3689095707972418</v>
      </c>
      <c r="CT30" s="133">
        <f t="shared" si="344"/>
        <v>9.8709095849757063</v>
      </c>
      <c r="CU30" s="134">
        <f t="shared" si="345"/>
        <v>15.390398358713387</v>
      </c>
      <c r="CV30" s="133">
        <f t="shared" si="346"/>
        <v>21.38168682894737</v>
      </c>
      <c r="CW30" s="133">
        <f t="shared" si="52"/>
        <v>27.122102999454601</v>
      </c>
      <c r="CX30" s="133">
        <f t="shared" si="53"/>
        <v>30.717657960723432</v>
      </c>
      <c r="CY30" s="133">
        <f t="shared" si="54"/>
        <v>33.925537741318635</v>
      </c>
      <c r="CZ30" s="133">
        <f t="shared" si="55"/>
        <v>37.755931829439</v>
      </c>
      <c r="DA30" s="81"/>
      <c r="DB30" s="81">
        <v>31</v>
      </c>
      <c r="DC30" s="133">
        <f t="shared" si="56"/>
        <v>-6.5984719158533558</v>
      </c>
      <c r="DD30" s="133">
        <f t="shared" si="57"/>
        <v>-5.5762633526072358</v>
      </c>
      <c r="DE30" s="133">
        <f t="shared" si="58"/>
        <v>-4.3423703937464433</v>
      </c>
      <c r="DF30" s="133">
        <f t="shared" si="347"/>
        <v>-2.5715263136247479</v>
      </c>
      <c r="DG30" s="133">
        <f t="shared" si="348"/>
        <v>1.1150475602797991</v>
      </c>
      <c r="DH30" s="134">
        <f t="shared" si="349"/>
        <v>6.1863478205833511</v>
      </c>
      <c r="DI30" s="133">
        <f t="shared" si="350"/>
        <v>12.173450378123174</v>
      </c>
      <c r="DJ30" s="133">
        <f t="shared" si="59"/>
        <v>18.264873864532589</v>
      </c>
      <c r="DK30" s="133">
        <f t="shared" si="60"/>
        <v>22.225179937910685</v>
      </c>
      <c r="DL30" s="133">
        <f t="shared" si="61"/>
        <v>25.840601480086395</v>
      </c>
      <c r="DM30" s="133">
        <f t="shared" si="62"/>
        <v>30.249287347156486</v>
      </c>
      <c r="DN30" s="81"/>
      <c r="DO30" s="81">
        <v>29</v>
      </c>
      <c r="DP30" s="133">
        <v>13.017139044554035</v>
      </c>
      <c r="DQ30" s="133">
        <v>14.347910246885069</v>
      </c>
      <c r="DR30" s="133">
        <v>15.600761717156317</v>
      </c>
      <c r="DS30" s="133">
        <v>17.181588450442074</v>
      </c>
      <c r="DT30" s="133">
        <v>20.183158524555278</v>
      </c>
      <c r="DU30" s="134">
        <v>24.150593492515355</v>
      </c>
      <c r="DV30" s="133">
        <v>28.897913343500175</v>
      </c>
      <c r="DW30" s="133">
        <v>33.94628894313427</v>
      </c>
      <c r="DX30" s="133">
        <v>37.386069771152137</v>
      </c>
      <c r="DY30" s="133">
        <v>40.650600401361501</v>
      </c>
      <c r="DZ30" s="133">
        <v>44.806402086081995</v>
      </c>
      <c r="EA30" s="81"/>
      <c r="EB30" s="81">
        <v>29</v>
      </c>
      <c r="EC30" s="133">
        <v>13.267621446166057</v>
      </c>
      <c r="ED30" s="133">
        <v>14.236664249259936</v>
      </c>
      <c r="EE30" s="133">
        <v>15.126517056798539</v>
      </c>
      <c r="EF30" s="133">
        <v>16.221708006551218</v>
      </c>
      <c r="EG30" s="133">
        <v>18.227977776520337</v>
      </c>
      <c r="EH30" s="134">
        <v>20.757904018771182</v>
      </c>
      <c r="EI30" s="133">
        <v>23.638967774447909</v>
      </c>
      <c r="EJ30" s="133">
        <v>26.562590023103585</v>
      </c>
      <c r="EK30" s="133">
        <v>28.485776179312559</v>
      </c>
      <c r="EL30" s="133">
        <v>30.266259828029288</v>
      </c>
      <c r="EM30" s="133">
        <v>32.476852086930123</v>
      </c>
      <c r="EN30" s="81"/>
      <c r="EO30" s="81">
        <v>31</v>
      </c>
      <c r="EP30" s="133">
        <v>16.550263619060249</v>
      </c>
      <c r="EQ30" s="133">
        <v>17.859478424121619</v>
      </c>
      <c r="ER30" s="133">
        <v>19.06801436696977</v>
      </c>
      <c r="ES30" s="133">
        <v>20.563223457873168</v>
      </c>
      <c r="ET30" s="133">
        <v>23.322955455949987</v>
      </c>
      <c r="EU30" s="134">
        <v>26.837571634841069</v>
      </c>
      <c r="EV30" s="133">
        <v>30.881817384403544</v>
      </c>
      <c r="EW30" s="133">
        <v>35.02637865754734</v>
      </c>
      <c r="EX30" s="133">
        <v>37.772955138049156</v>
      </c>
      <c r="EY30" s="133">
        <v>40.329019367241116</v>
      </c>
      <c r="EZ30" s="133">
        <v>43.519261555794039</v>
      </c>
      <c r="FA30" s="81"/>
      <c r="FB30" s="81">
        <v>29</v>
      </c>
      <c r="FC30" s="133">
        <v>7.3966219668105184</v>
      </c>
      <c r="FD30" s="133">
        <v>8.2528516945796362</v>
      </c>
      <c r="FE30" s="133">
        <v>9.0681216536263314</v>
      </c>
      <c r="FF30" s="133">
        <v>10.108525115970693</v>
      </c>
      <c r="FG30" s="133">
        <v>12.116479732692255</v>
      </c>
      <c r="FH30" s="134">
        <v>14.827984562124401</v>
      </c>
      <c r="FI30" s="133">
        <v>18.146287620269494</v>
      </c>
      <c r="FJ30" s="133">
        <v>21.750861144641501</v>
      </c>
      <c r="FK30" s="133">
        <v>24.246380294939488</v>
      </c>
      <c r="FL30" s="133">
        <v>26.641594240571028</v>
      </c>
      <c r="FM30" s="133">
        <v>29.725613551858846</v>
      </c>
      <c r="FN30" s="81"/>
      <c r="FO30" s="81">
        <v>29</v>
      </c>
      <c r="FP30" s="133">
        <v>7.2215167824428823</v>
      </c>
      <c r="FQ30" s="133">
        <v>7.9099867690512013</v>
      </c>
      <c r="FR30" s="133">
        <v>8.5543811264642677</v>
      </c>
      <c r="FS30" s="133">
        <v>9.3627463537021018</v>
      </c>
      <c r="FT30" s="133">
        <v>10.884794937690996</v>
      </c>
      <c r="FU30" s="134">
        <v>12.874590743351879</v>
      </c>
      <c r="FV30" s="133">
        <v>15.228131329772548</v>
      </c>
      <c r="FW30" s="133">
        <v>17.703682290107224</v>
      </c>
      <c r="FX30" s="133">
        <v>19.376631033659869</v>
      </c>
      <c r="FY30" s="133">
        <v>20.955166127121615</v>
      </c>
      <c r="FZ30" s="133">
        <v>22.952946285715136</v>
      </c>
      <c r="GA30" s="81"/>
      <c r="GB30" s="81">
        <v>31</v>
      </c>
      <c r="GC30" s="133">
        <v>9.5147911129634899</v>
      </c>
      <c r="GD30" s="133">
        <v>10.417142859571632</v>
      </c>
      <c r="GE30" s="133">
        <v>11.26136911029184</v>
      </c>
      <c r="GF30" s="133">
        <v>12.319967177710142</v>
      </c>
      <c r="GG30" s="133">
        <v>14.311958649730483</v>
      </c>
      <c r="GH30" s="134">
        <v>16.914036246769943</v>
      </c>
      <c r="GI30" s="133">
        <v>19.989201279758795</v>
      </c>
      <c r="GJ30" s="133">
        <v>23.22121626059565</v>
      </c>
      <c r="GK30" s="133">
        <v>25.404071152910962</v>
      </c>
      <c r="GL30" s="133">
        <v>27.462868275266388</v>
      </c>
      <c r="GM30" s="133">
        <v>30.067357103328273</v>
      </c>
      <c r="GN30" s="81"/>
      <c r="GO30" s="81">
        <v>29</v>
      </c>
      <c r="GP30" s="133">
        <f t="shared" si="63"/>
        <v>0.41774382617381212</v>
      </c>
      <c r="GQ30" s="133">
        <f t="shared" si="64"/>
        <v>0.45549925159652699</v>
      </c>
      <c r="GR30" s="133">
        <f t="shared" si="65"/>
        <v>0.48549836420566822</v>
      </c>
      <c r="GS30" s="133">
        <f t="shared" si="351"/>
        <v>0.51781275595644993</v>
      </c>
      <c r="GT30" s="133">
        <f t="shared" si="352"/>
        <v>0.56880283452180802</v>
      </c>
      <c r="GU30" s="134">
        <f t="shared" si="353"/>
        <v>0.61777191271684795</v>
      </c>
      <c r="GV30" s="133">
        <f t="shared" si="354"/>
        <v>0.66293464832250748</v>
      </c>
      <c r="GW30" s="133">
        <f t="shared" si="66"/>
        <v>0.70294703803103431</v>
      </c>
      <c r="GX30" s="133">
        <f t="shared" si="67"/>
        <v>0.72517351592072476</v>
      </c>
      <c r="GY30" s="133">
        <f t="shared" si="68"/>
        <v>0.74388272580562576</v>
      </c>
      <c r="GZ30" s="133">
        <f t="shared" si="69"/>
        <v>0.76502769546758964</v>
      </c>
      <c r="HA30" s="81"/>
      <c r="HB30" s="81">
        <v>29</v>
      </c>
      <c r="HC30" s="133">
        <f t="shared" si="70"/>
        <v>0.39293012254295284</v>
      </c>
      <c r="HD30" s="133">
        <f t="shared" si="71"/>
        <v>0.43510562772946637</v>
      </c>
      <c r="HE30" s="133">
        <f t="shared" si="72"/>
        <v>0.46823955468968526</v>
      </c>
      <c r="HF30" s="133">
        <f t="shared" si="355"/>
        <v>0.50364320304821619</v>
      </c>
      <c r="HG30" s="133">
        <f t="shared" si="356"/>
        <v>0.55754233864149738</v>
      </c>
      <c r="HH30" s="134">
        <f t="shared" si="357"/>
        <v>0.61184782444487584</v>
      </c>
      <c r="HI30" s="133">
        <f t="shared" si="358"/>
        <v>0.66154838966174778</v>
      </c>
      <c r="HJ30" s="133">
        <f t="shared" si="73"/>
        <v>0.70304442077651697</v>
      </c>
      <c r="HK30" s="133">
        <f t="shared" si="74"/>
        <v>0.72674112144957026</v>
      </c>
      <c r="HL30" s="133">
        <f t="shared" si="75"/>
        <v>0.74666206138038371</v>
      </c>
      <c r="HM30" s="133">
        <f t="shared" si="76"/>
        <v>0.76915090135290942</v>
      </c>
      <c r="HN30" s="81"/>
      <c r="HO30" s="81">
        <v>31</v>
      </c>
      <c r="HP30" s="83">
        <f t="shared" si="77"/>
        <v>0.44683233879032286</v>
      </c>
      <c r="HQ30" s="83">
        <f t="shared" si="78"/>
        <v>0.48032727678514564</v>
      </c>
      <c r="HR30" s="83">
        <f t="shared" si="79"/>
        <v>0.50723672423135369</v>
      </c>
      <c r="HS30" s="83">
        <f t="shared" si="359"/>
        <v>0.53646335932111411</v>
      </c>
      <c r="HT30" s="83">
        <f t="shared" si="360"/>
        <v>0.58172009692754478</v>
      </c>
      <c r="HU30" s="84">
        <f t="shared" si="361"/>
        <v>0.62805137515696785</v>
      </c>
      <c r="HV30" s="83">
        <f t="shared" si="362"/>
        <v>0.67095519723555086</v>
      </c>
      <c r="HW30" s="83">
        <f t="shared" si="80"/>
        <v>0.70707002611000624</v>
      </c>
      <c r="HX30" s="83">
        <f t="shared" si="81"/>
        <v>0.72779473058984112</v>
      </c>
      <c r="HY30" s="83">
        <f t="shared" si="82"/>
        <v>0.74526743989724176</v>
      </c>
      <c r="HZ30" s="83">
        <f t="shared" si="83"/>
        <v>0.76504267766091294</v>
      </c>
      <c r="IA30" s="81"/>
      <c r="IB30" s="81">
        <v>29</v>
      </c>
      <c r="IC30" s="83">
        <f t="shared" si="84"/>
        <v>0.2959847046739516</v>
      </c>
      <c r="ID30" s="83">
        <f t="shared" si="85"/>
        <v>0.31389661600097635</v>
      </c>
      <c r="IE30" s="83">
        <f t="shared" si="86"/>
        <v>0.32741234451755491</v>
      </c>
      <c r="IF30" s="83">
        <f t="shared" si="363"/>
        <v>0.34137876173132131</v>
      </c>
      <c r="IG30" s="83">
        <f t="shared" si="364"/>
        <v>0.36181256936361494</v>
      </c>
      <c r="IH30" s="84">
        <f t="shared" si="365"/>
        <v>0.38151794685655632</v>
      </c>
      <c r="II30" s="83">
        <f t="shared" si="366"/>
        <v>0.39887572262921839</v>
      </c>
      <c r="IJ30" s="83">
        <f t="shared" si="87"/>
        <v>0.41292685075584029</v>
      </c>
      <c r="IK30" s="83">
        <f t="shared" si="88"/>
        <v>0.42078547365460528</v>
      </c>
      <c r="IL30" s="83">
        <f t="shared" si="89"/>
        <v>0.4273042949871782</v>
      </c>
      <c r="IM30" s="83">
        <f t="shared" si="90"/>
        <v>0.43457141586566378</v>
      </c>
      <c r="IN30" s="81"/>
      <c r="IO30" s="81">
        <v>29</v>
      </c>
      <c r="IP30" s="133">
        <f t="shared" si="91"/>
        <v>0.28326476460278122</v>
      </c>
      <c r="IQ30" s="133">
        <f t="shared" si="92"/>
        <v>0.30412614344593236</v>
      </c>
      <c r="IR30" s="133">
        <f t="shared" si="93"/>
        <v>0.3195154459818294</v>
      </c>
      <c r="IS30" s="133">
        <f t="shared" si="367"/>
        <v>0.33517589952431975</v>
      </c>
      <c r="IT30" s="133">
        <f t="shared" si="368"/>
        <v>0.35774723179408791</v>
      </c>
      <c r="IU30" s="134">
        <f t="shared" si="369"/>
        <v>0.37922300166194089</v>
      </c>
      <c r="IV30" s="133">
        <f t="shared" si="370"/>
        <v>0.39796115449483094</v>
      </c>
      <c r="IW30" s="133">
        <f t="shared" si="94"/>
        <v>0.41303249449726942</v>
      </c>
      <c r="IX30" s="133">
        <f t="shared" si="95"/>
        <v>0.42142981283557296</v>
      </c>
      <c r="IY30" s="133">
        <f t="shared" si="96"/>
        <v>0.42838010908154073</v>
      </c>
      <c r="IZ30" s="133">
        <f t="shared" si="97"/>
        <v>0.43611320512178836</v>
      </c>
      <c r="JA30" s="81"/>
      <c r="JB30" s="81">
        <v>31</v>
      </c>
      <c r="JC30" s="133">
        <f t="shared" si="98"/>
        <v>0.31016971632264034</v>
      </c>
      <c r="JD30" s="133">
        <f t="shared" si="99"/>
        <v>0.32535132401736594</v>
      </c>
      <c r="JE30" s="133">
        <f t="shared" si="100"/>
        <v>0.33705287520394267</v>
      </c>
      <c r="JF30" s="133">
        <f t="shared" si="371"/>
        <v>0.34933067358505376</v>
      </c>
      <c r="JG30" s="133">
        <f t="shared" si="372"/>
        <v>0.36757731793306359</v>
      </c>
      <c r="JH30" s="134">
        <f t="shared" si="373"/>
        <v>0.38543318135781396</v>
      </c>
      <c r="JI30" s="133">
        <f t="shared" si="374"/>
        <v>0.40133192482809399</v>
      </c>
      <c r="JJ30" s="133">
        <f t="shared" si="101"/>
        <v>0.41429859244309958</v>
      </c>
      <c r="JK30" s="133">
        <f t="shared" si="102"/>
        <v>0.42158336159380094</v>
      </c>
      <c r="JL30" s="133">
        <f t="shared" si="103"/>
        <v>0.42764222411432812</v>
      </c>
      <c r="JM30" s="133">
        <f t="shared" si="104"/>
        <v>0.43441249168245183</v>
      </c>
      <c r="JN30" s="81"/>
      <c r="JO30" s="81">
        <v>28</v>
      </c>
      <c r="JP30" s="133">
        <f t="shared" si="105"/>
        <v>-7.4471560757805335</v>
      </c>
      <c r="JQ30" s="133">
        <f t="shared" si="106"/>
        <v>-6.0467436446765426</v>
      </c>
      <c r="JR30" s="133">
        <f t="shared" si="107"/>
        <v>-4.8234684222968554</v>
      </c>
      <c r="JS30" s="133">
        <f t="shared" si="375"/>
        <v>-3.3926665728367595</v>
      </c>
      <c r="JT30" s="133">
        <f t="shared" si="376"/>
        <v>-0.9601179679495111</v>
      </c>
      <c r="JU30" s="134">
        <f t="shared" si="377"/>
        <v>1.8136940004919282</v>
      </c>
      <c r="JV30" s="133">
        <f t="shared" si="378"/>
        <v>4.6482758916696554</v>
      </c>
      <c r="JW30" s="133">
        <f t="shared" si="108"/>
        <v>7.2394794981540258</v>
      </c>
      <c r="JX30" s="133">
        <f t="shared" si="109"/>
        <v>8.8133665704683644</v>
      </c>
      <c r="JY30" s="133">
        <f t="shared" si="110"/>
        <v>10.190452732400971</v>
      </c>
      <c r="JZ30" s="133">
        <f t="shared" si="111"/>
        <v>11.805157034536403</v>
      </c>
      <c r="KA30" s="81"/>
      <c r="KB30" s="81">
        <v>28</v>
      </c>
      <c r="KC30" s="133">
        <f t="shared" si="112"/>
        <v>-5.5656356100823627</v>
      </c>
      <c r="KD30" s="133">
        <f t="shared" si="113"/>
        <v>-4.4394312128705078</v>
      </c>
      <c r="KE30" s="133">
        <f t="shared" si="114"/>
        <v>-3.4258306543893848</v>
      </c>
      <c r="KF30" s="133">
        <f t="shared" si="379"/>
        <v>-2.2081162850083942</v>
      </c>
      <c r="KG30" s="133">
        <f t="shared" si="380"/>
        <v>-6.609346608029476E-2</v>
      </c>
      <c r="KH30" s="134">
        <f t="shared" si="381"/>
        <v>2.474331931930795</v>
      </c>
      <c r="KI30" s="133">
        <f t="shared" si="382"/>
        <v>5.1654161930208193</v>
      </c>
      <c r="KJ30" s="133">
        <f t="shared" si="115"/>
        <v>7.7005432503085398</v>
      </c>
      <c r="KK30" s="133">
        <f t="shared" si="116"/>
        <v>9.2725102816679428</v>
      </c>
      <c r="KL30" s="133">
        <f t="shared" si="117"/>
        <v>10.666642177455723</v>
      </c>
      <c r="KM30" s="133">
        <f t="shared" si="118"/>
        <v>12.322561553852365</v>
      </c>
      <c r="KN30" s="81"/>
      <c r="KO30" s="81">
        <v>30</v>
      </c>
      <c r="KP30" s="133">
        <f t="shared" si="119"/>
        <v>-8.7681719950286183</v>
      </c>
      <c r="KQ30" s="133">
        <f t="shared" si="120"/>
        <v>-7.157772233543378</v>
      </c>
      <c r="KR30" s="133">
        <f t="shared" si="121"/>
        <v>-5.7817434971250101</v>
      </c>
      <c r="KS30" s="133">
        <f t="shared" si="383"/>
        <v>-4.2044519955270054</v>
      </c>
      <c r="KT30" s="133">
        <f t="shared" si="384"/>
        <v>-1.592524230476922</v>
      </c>
      <c r="KU30" s="134">
        <f t="shared" si="385"/>
        <v>1.2941027372347094</v>
      </c>
      <c r="KV30" s="133">
        <f t="shared" si="386"/>
        <v>4.158410730054559</v>
      </c>
      <c r="KW30" s="133">
        <f t="shared" si="122"/>
        <v>6.711594015501877</v>
      </c>
      <c r="KX30" s="133">
        <f t="shared" si="123"/>
        <v>8.2352878981367077</v>
      </c>
      <c r="KY30" s="133">
        <f t="shared" si="124"/>
        <v>9.5530058180108419</v>
      </c>
      <c r="KZ30" s="133">
        <f t="shared" si="125"/>
        <v>11.080873212799776</v>
      </c>
      <c r="LA30" s="81"/>
      <c r="LB30" s="81">
        <v>28</v>
      </c>
      <c r="LC30" s="133">
        <f t="shared" si="126"/>
        <v>-19.40246743881421</v>
      </c>
      <c r="LD30" s="133">
        <f t="shared" si="127"/>
        <v>-15.847946516929987</v>
      </c>
      <c r="LE30" s="133">
        <f t="shared" si="128"/>
        <v>-12.683276143076665</v>
      </c>
      <c r="LF30" s="133">
        <f t="shared" si="387"/>
        <v>-8.9223866384756185</v>
      </c>
      <c r="LG30" s="133">
        <f t="shared" si="388"/>
        <v>-2.4068931640982711</v>
      </c>
      <c r="LH30" s="134">
        <f t="shared" si="389"/>
        <v>5.1733648674942856</v>
      </c>
      <c r="LI30" s="133">
        <f t="shared" si="390"/>
        <v>13.05223609828122</v>
      </c>
      <c r="LJ30" s="133">
        <f t="shared" si="129"/>
        <v>20.350867222133374</v>
      </c>
      <c r="LK30" s="133">
        <f t="shared" si="130"/>
        <v>24.822684797625357</v>
      </c>
      <c r="LL30" s="133">
        <f t="shared" si="131"/>
        <v>28.756873547068786</v>
      </c>
      <c r="LM30" s="133">
        <f t="shared" si="132"/>
        <v>33.39351553603499</v>
      </c>
      <c r="LN30" s="81"/>
      <c r="LO30" s="81">
        <v>28</v>
      </c>
      <c r="LP30" s="133">
        <f t="shared" si="133"/>
        <v>-16.039181105395283</v>
      </c>
      <c r="LQ30" s="133">
        <f t="shared" si="134"/>
        <v>-12.663946811954897</v>
      </c>
      <c r="LR30" s="133">
        <f t="shared" si="135"/>
        <v>-9.6412120341102927</v>
      </c>
      <c r="LS30" s="133">
        <f t="shared" si="391"/>
        <v>-6.0307104239532663</v>
      </c>
      <c r="LT30" s="133">
        <f t="shared" si="392"/>
        <v>0.26356827248041625</v>
      </c>
      <c r="LU30" s="134">
        <f t="shared" si="393"/>
        <v>7.6380116094867567</v>
      </c>
      <c r="LV30" s="133">
        <f t="shared" si="394"/>
        <v>15.351035252612991</v>
      </c>
      <c r="LW30" s="133">
        <f t="shared" si="136"/>
        <v>22.532811848659119</v>
      </c>
      <c r="LX30" s="133">
        <f t="shared" si="137"/>
        <v>26.948392977254816</v>
      </c>
      <c r="LY30" s="133">
        <f t="shared" si="138"/>
        <v>30.841909034388205</v>
      </c>
      <c r="LZ30" s="133">
        <f t="shared" si="139"/>
        <v>35.440483339083087</v>
      </c>
      <c r="MA30" s="81"/>
      <c r="MB30" s="81">
        <v>30</v>
      </c>
      <c r="MC30" s="133">
        <f t="shared" si="140"/>
        <v>-20.344307136058767</v>
      </c>
      <c r="MD30" s="133">
        <f t="shared" si="141"/>
        <v>-16.798829394345173</v>
      </c>
      <c r="ME30" s="133">
        <f t="shared" si="142"/>
        <v>-13.682887845595463</v>
      </c>
      <c r="MF30" s="133">
        <f t="shared" si="395"/>
        <v>-10.022989817438489</v>
      </c>
      <c r="MG30" s="133">
        <f t="shared" si="396"/>
        <v>-3.7767388442863776</v>
      </c>
      <c r="MH30" s="134">
        <f t="shared" si="397"/>
        <v>3.3651017870095714</v>
      </c>
      <c r="MI30" s="133">
        <f t="shared" si="398"/>
        <v>10.670727383504435</v>
      </c>
      <c r="MJ30" s="133">
        <f t="shared" si="143"/>
        <v>17.348228450088314</v>
      </c>
      <c r="MK30" s="133">
        <f t="shared" si="144"/>
        <v>21.401887322850818</v>
      </c>
      <c r="ML30" s="133">
        <f t="shared" si="145"/>
        <v>24.946678657685403</v>
      </c>
      <c r="MM30" s="133">
        <f t="shared" si="146"/>
        <v>29.1003248194748</v>
      </c>
      <c r="MN30" s="81"/>
      <c r="MO30" s="81">
        <v>28</v>
      </c>
      <c r="MP30" s="133">
        <f t="shared" si="147"/>
        <v>-25.669212344789457</v>
      </c>
      <c r="MQ30" s="133">
        <f t="shared" si="148"/>
        <v>-21.329852258201146</v>
      </c>
      <c r="MR30" s="133">
        <f t="shared" si="149"/>
        <v>-17.565995066964774</v>
      </c>
      <c r="MS30" s="133">
        <f t="shared" si="399"/>
        <v>-13.197443638966089</v>
      </c>
      <c r="MT30" s="133">
        <f t="shared" si="400"/>
        <v>-5.8541262003770207</v>
      </c>
      <c r="MU30" s="134">
        <f t="shared" si="401"/>
        <v>2.3965508033508343</v>
      </c>
      <c r="MV30" s="133">
        <f t="shared" si="402"/>
        <v>10.703292164819089</v>
      </c>
      <c r="MW30" s="133">
        <f t="shared" si="150"/>
        <v>18.19603672816968</v>
      </c>
      <c r="MX30" s="133">
        <f t="shared" si="151"/>
        <v>22.703589367423341</v>
      </c>
      <c r="MY30" s="133">
        <f t="shared" si="152"/>
        <v>26.622090449471919</v>
      </c>
      <c r="MZ30" s="133">
        <f t="shared" si="153"/>
        <v>31.18790691549777</v>
      </c>
      <c r="NA30" s="81"/>
      <c r="NB30" s="81">
        <v>28</v>
      </c>
      <c r="NC30" s="133">
        <f t="shared" si="154"/>
        <v>-21.153478421048362</v>
      </c>
      <c r="ND30" s="133">
        <f t="shared" si="155"/>
        <v>-17.034224215697158</v>
      </c>
      <c r="NE30" s="133">
        <f t="shared" si="156"/>
        <v>-13.43393127966932</v>
      </c>
      <c r="NF30" s="133">
        <f t="shared" si="403"/>
        <v>-9.2339154167403272</v>
      </c>
      <c r="NG30" s="133">
        <f t="shared" si="404"/>
        <v>-2.1375161240010208</v>
      </c>
      <c r="NH30" s="134">
        <f t="shared" si="405"/>
        <v>5.8746446062937032</v>
      </c>
      <c r="NI30" s="133">
        <f t="shared" si="406"/>
        <v>13.971829188330037</v>
      </c>
      <c r="NJ30" s="133">
        <f t="shared" si="157"/>
        <v>21.296227113456016</v>
      </c>
      <c r="NK30" s="133">
        <f t="shared" si="158"/>
        <v>25.710479738063466</v>
      </c>
      <c r="NL30" s="133">
        <f t="shared" si="159"/>
        <v>29.552211125645893</v>
      </c>
      <c r="NM30" s="133">
        <f t="shared" si="160"/>
        <v>34.033253489141629</v>
      </c>
      <c r="NN30" s="81"/>
      <c r="NO30" s="81">
        <v>30</v>
      </c>
      <c r="NP30" s="133">
        <f t="shared" si="161"/>
        <v>-26.213115106138837</v>
      </c>
      <c r="NQ30" s="133">
        <f t="shared" si="162"/>
        <v>-22.230719387549311</v>
      </c>
      <c r="NR30" s="133">
        <f t="shared" si="163"/>
        <v>-18.801241594568623</v>
      </c>
      <c r="NS30" s="133">
        <f t="shared" si="407"/>
        <v>-14.843266462375681</v>
      </c>
      <c r="NT30" s="133">
        <f t="shared" si="408"/>
        <v>-8.2330211768756705</v>
      </c>
      <c r="NU30" s="134">
        <f t="shared" si="409"/>
        <v>-0.85633267615425268</v>
      </c>
      <c r="NV30" s="133">
        <f t="shared" si="410"/>
        <v>6.5279438824758245</v>
      </c>
      <c r="NW30" s="133">
        <f t="shared" si="164"/>
        <v>13.158434320757536</v>
      </c>
      <c r="NX30" s="133">
        <f t="shared" si="165"/>
        <v>17.135270965709999</v>
      </c>
      <c r="NY30" s="133">
        <f t="shared" si="166"/>
        <v>20.58576843029379</v>
      </c>
      <c r="NZ30" s="133">
        <f t="shared" si="167"/>
        <v>24.599020035358379</v>
      </c>
      <c r="OA30" s="81"/>
      <c r="OB30" s="81">
        <v>28</v>
      </c>
      <c r="OC30" s="133">
        <v>15.358907257606536</v>
      </c>
      <c r="OD30" s="133">
        <v>17.05249704215251</v>
      </c>
      <c r="OE30" s="133">
        <v>18.657705112183756</v>
      </c>
      <c r="OF30" s="133">
        <v>20.696826300281391</v>
      </c>
      <c r="OG30" s="133">
        <v>24.606376630427153</v>
      </c>
      <c r="OH30" s="134">
        <v>29.840244858880581</v>
      </c>
      <c r="OI30" s="133">
        <v>36.187376411075093</v>
      </c>
      <c r="OJ30" s="133">
        <v>43.02303166287107</v>
      </c>
      <c r="OK30" s="133">
        <v>47.725066286768467</v>
      </c>
      <c r="OL30" s="133">
        <v>52.217584969335974</v>
      </c>
      <c r="OM30" s="133">
        <v>57.97549254664299</v>
      </c>
      <c r="ON30" s="81"/>
      <c r="OO30" s="81">
        <v>28</v>
      </c>
      <c r="OP30" s="133">
        <v>14.106384493564255</v>
      </c>
      <c r="OQ30" s="133">
        <v>15.532138219916481</v>
      </c>
      <c r="OR30" s="133">
        <v>16.873099101975555</v>
      </c>
      <c r="OS30" s="133">
        <v>18.563447629324333</v>
      </c>
      <c r="OT30" s="133">
        <v>25.29730335685035</v>
      </c>
      <c r="OU30" s="134">
        <v>25.996961999893838</v>
      </c>
      <c r="OV30" s="133">
        <v>31.046857069605526</v>
      </c>
      <c r="OW30" s="133">
        <v>36.407139811481429</v>
      </c>
      <c r="OX30" s="133">
        <v>40.054410226559668</v>
      </c>
      <c r="OY30" s="133">
        <v>43.512491561355588</v>
      </c>
      <c r="OZ30" s="133">
        <v>47.910365234427246</v>
      </c>
      <c r="PA30" s="81"/>
      <c r="PB30" s="81">
        <v>30</v>
      </c>
      <c r="PC30" s="133">
        <v>20.536435840689592</v>
      </c>
      <c r="PD30" s="133">
        <v>22.301204904860079</v>
      </c>
      <c r="PE30" s="133">
        <v>23.939829806784939</v>
      </c>
      <c r="PF30" s="133">
        <v>25.979042423122376</v>
      </c>
      <c r="PG30" s="133">
        <v>29.774665375995184</v>
      </c>
      <c r="PH30" s="134">
        <v>34.662280953947885</v>
      </c>
      <c r="PI30" s="133">
        <v>40.352215743088294</v>
      </c>
      <c r="PJ30" s="133">
        <v>46.247806264832107</v>
      </c>
      <c r="PK30" s="133">
        <v>50.187229008198777</v>
      </c>
      <c r="PL30" s="133">
        <v>53.874834389265793</v>
      </c>
      <c r="PM30" s="133">
        <v>58.504490762213692</v>
      </c>
      <c r="PN30" s="81"/>
      <c r="PO30" s="81">
        <v>28</v>
      </c>
      <c r="PP30" s="133">
        <v>8.0400103817302</v>
      </c>
      <c r="PQ30" s="133">
        <v>8.7730518198911778</v>
      </c>
      <c r="PR30" s="133">
        <v>9.456744412451874</v>
      </c>
      <c r="PS30" s="133">
        <v>10.311384318003261</v>
      </c>
      <c r="PT30" s="133">
        <v>11.912399731948256</v>
      </c>
      <c r="PU30" s="134">
        <v>13.991502592181481</v>
      </c>
      <c r="PV30" s="133">
        <v>16.433476813408156</v>
      </c>
      <c r="PW30" s="133">
        <v>18.985049800270602</v>
      </c>
      <c r="PX30" s="133">
        <v>20.700796833343354</v>
      </c>
      <c r="PY30" s="133">
        <v>22.314030374603384</v>
      </c>
      <c r="PZ30" s="133">
        <v>24.348494030786739</v>
      </c>
      <c r="QA30" s="81"/>
      <c r="QB30" s="81">
        <v>28</v>
      </c>
      <c r="QC30" s="133">
        <v>7.6963773905938657</v>
      </c>
      <c r="QD30" s="133">
        <v>8.3959556941500875</v>
      </c>
      <c r="QE30" s="133">
        <v>9.0482841226095072</v>
      </c>
      <c r="QF30" s="133">
        <v>9.8635256299615062</v>
      </c>
      <c r="QG30" s="133">
        <v>11.390217212104369</v>
      </c>
      <c r="QH30" s="134">
        <v>13.371919148468585</v>
      </c>
      <c r="QI30" s="133">
        <v>15.69840314574172</v>
      </c>
      <c r="QJ30" s="133">
        <v>18.128225993556683</v>
      </c>
      <c r="QK30" s="133">
        <v>19.761561340274625</v>
      </c>
      <c r="QL30" s="133">
        <v>21.29694679520118</v>
      </c>
      <c r="QM30" s="133">
        <v>23.232777271513662</v>
      </c>
      <c r="QN30" s="81"/>
      <c r="QO30" s="81">
        <v>30</v>
      </c>
      <c r="QP30" s="133">
        <v>9.0677199085158939</v>
      </c>
      <c r="QQ30" s="133">
        <v>9.8223518771735314</v>
      </c>
      <c r="QR30" s="133">
        <v>10.521419031254501</v>
      </c>
      <c r="QS30" s="133">
        <v>11.38936911920044</v>
      </c>
      <c r="QT30" s="133">
        <v>12.99951780008173</v>
      </c>
      <c r="QU30" s="134">
        <v>15.06383295475721</v>
      </c>
      <c r="QV30" s="133">
        <v>17.4559600424104</v>
      </c>
      <c r="QW30" s="133">
        <v>19.923760562495456</v>
      </c>
      <c r="QX30" s="133">
        <v>21.567343968979163</v>
      </c>
      <c r="QY30" s="133">
        <v>23.102314611246374</v>
      </c>
      <c r="QZ30" s="133">
        <v>25.02493080710618</v>
      </c>
      <c r="RA30" s="81"/>
      <c r="RB30" s="81">
        <v>28</v>
      </c>
      <c r="RC30" s="133">
        <f t="shared" si="168"/>
        <v>0.26396609910527374</v>
      </c>
      <c r="RD30" s="133">
        <f t="shared" si="169"/>
        <v>0.28638249259030646</v>
      </c>
      <c r="RE30" s="133">
        <f t="shared" si="170"/>
        <v>0.30743295538929988</v>
      </c>
      <c r="RF30" s="133">
        <f t="shared" si="411"/>
        <v>0.33395513934037246</v>
      </c>
      <c r="RG30" s="133">
        <f t="shared" si="412"/>
        <v>0.38430582394804008</v>
      </c>
      <c r="RH30" s="134">
        <f t="shared" si="413"/>
        <v>0.4510721750670893</v>
      </c>
      <c r="RI30" s="133">
        <f t="shared" si="414"/>
        <v>0.53158756750012748</v>
      </c>
      <c r="RJ30" s="133">
        <f t="shared" si="171"/>
        <v>0.61821971373942619</v>
      </c>
      <c r="RK30" s="133">
        <f t="shared" si="172"/>
        <v>0.67794049174691506</v>
      </c>
      <c r="RL30" s="133">
        <f t="shared" si="173"/>
        <v>0.73518131647068152</v>
      </c>
      <c r="RM30" s="133">
        <f t="shared" si="174"/>
        <v>0.80888308435261558</v>
      </c>
      <c r="RN30" s="81"/>
      <c r="RO30" s="81">
        <v>28</v>
      </c>
      <c r="RP30" s="133">
        <f t="shared" si="175"/>
        <v>0.28984761926444125</v>
      </c>
      <c r="RQ30" s="133">
        <f t="shared" si="176"/>
        <v>0.31218677542632917</v>
      </c>
      <c r="RR30" s="133">
        <f t="shared" si="177"/>
        <v>0.33309223131694299</v>
      </c>
      <c r="RS30" s="133">
        <f t="shared" si="415"/>
        <v>0.35934711648711176</v>
      </c>
      <c r="RT30" s="133">
        <f t="shared" si="416"/>
        <v>0.4089828783277486</v>
      </c>
      <c r="RU30" s="134">
        <f t="shared" si="417"/>
        <v>0.47449770614815323</v>
      </c>
      <c r="RV30" s="133">
        <f t="shared" si="418"/>
        <v>0.55321345477006856</v>
      </c>
      <c r="RW30" s="133">
        <f t="shared" si="178"/>
        <v>0.63771969076703916</v>
      </c>
      <c r="RX30" s="133">
        <f t="shared" si="179"/>
        <v>0.69592730986590723</v>
      </c>
      <c r="RY30" s="133">
        <f t="shared" si="180"/>
        <v>0.75171453108352471</v>
      </c>
      <c r="RZ30" s="133">
        <f t="shared" si="181"/>
        <v>0.82357366003211052</v>
      </c>
      <c r="SA30" s="81"/>
      <c r="SB30" s="81">
        <v>30</v>
      </c>
      <c r="SC30" s="133">
        <f t="shared" si="182"/>
        <v>0.24914997518884893</v>
      </c>
      <c r="SD30" s="133">
        <f t="shared" si="183"/>
        <v>0.27179374867619249</v>
      </c>
      <c r="SE30" s="133">
        <f t="shared" si="184"/>
        <v>0.29293098879775892</v>
      </c>
      <c r="SF30" s="133">
        <f t="shared" si="419"/>
        <v>0.31937794732870955</v>
      </c>
      <c r="SG30" s="133">
        <f t="shared" si="420"/>
        <v>0.36899600346663797</v>
      </c>
      <c r="SH30" s="134">
        <f t="shared" si="421"/>
        <v>0.43357496211908414</v>
      </c>
      <c r="SI30" s="133">
        <f t="shared" si="422"/>
        <v>0.50962871321631453</v>
      </c>
      <c r="SJ30" s="133">
        <f t="shared" si="185"/>
        <v>0.58932267365365809</v>
      </c>
      <c r="SK30" s="133">
        <f t="shared" si="186"/>
        <v>0.64303653366621016</v>
      </c>
      <c r="SL30" s="133">
        <f t="shared" si="187"/>
        <v>0.69362998108432006</v>
      </c>
      <c r="SM30" s="133">
        <f t="shared" si="188"/>
        <v>0.75755291802875113</v>
      </c>
      <c r="SN30" s="81"/>
      <c r="SO30" s="81">
        <v>28</v>
      </c>
      <c r="SP30" s="133">
        <f t="shared" si="189"/>
        <v>0.20811556126217176</v>
      </c>
      <c r="SQ30" s="133">
        <f t="shared" si="190"/>
        <v>0.22231445061053259</v>
      </c>
      <c r="SR30" s="133">
        <f t="shared" si="191"/>
        <v>0.23509446933772757</v>
      </c>
      <c r="SS30" s="133">
        <f t="shared" si="423"/>
        <v>0.25050138020852392</v>
      </c>
      <c r="ST30" s="133">
        <f t="shared" si="424"/>
        <v>0.27786570699899255</v>
      </c>
      <c r="SU30" s="134">
        <f t="shared" si="425"/>
        <v>0.31093213846661116</v>
      </c>
      <c r="SV30" s="133">
        <f t="shared" si="426"/>
        <v>0.34685307551912142</v>
      </c>
      <c r="SW30" s="133">
        <f t="shared" si="192"/>
        <v>0.38164046200512097</v>
      </c>
      <c r="SX30" s="133">
        <f t="shared" si="193"/>
        <v>0.40370522026242694</v>
      </c>
      <c r="SY30" s="133">
        <f t="shared" si="194"/>
        <v>0.42360280989858029</v>
      </c>
      <c r="SZ30" s="133">
        <f t="shared" si="195"/>
        <v>0.44764906193379023</v>
      </c>
      <c r="TA30" s="81"/>
      <c r="TB30" s="81">
        <v>28</v>
      </c>
      <c r="TC30" s="133">
        <f t="shared" si="196"/>
        <v>0.22438655509727251</v>
      </c>
      <c r="TD30" s="133">
        <f t="shared" si="197"/>
        <v>0.23786493112523893</v>
      </c>
      <c r="TE30" s="133">
        <f t="shared" si="198"/>
        <v>0.24998552890845396</v>
      </c>
      <c r="TF30" s="133">
        <f t="shared" si="427"/>
        <v>0.26458846477183523</v>
      </c>
      <c r="TG30" s="133">
        <f t="shared" si="428"/>
        <v>0.29051402877158272</v>
      </c>
      <c r="TH30" s="134">
        <f t="shared" si="429"/>
        <v>0.3218477747496995</v>
      </c>
      <c r="TI30" s="133">
        <f t="shared" si="430"/>
        <v>0.35592211996387763</v>
      </c>
      <c r="TJ30" s="133">
        <f t="shared" si="199"/>
        <v>0.38897826959286813</v>
      </c>
      <c r="TK30" s="133">
        <f t="shared" si="200"/>
        <v>0.40998131377878466</v>
      </c>
      <c r="TL30" s="133">
        <f t="shared" si="201"/>
        <v>0.42894873407237361</v>
      </c>
      <c r="TM30" s="133">
        <f t="shared" si="202"/>
        <v>0.45190802714880679</v>
      </c>
      <c r="TN30" s="81"/>
      <c r="TO30" s="81">
        <v>30</v>
      </c>
      <c r="TP30" s="133">
        <f t="shared" si="203"/>
        <v>0.1985178626237695</v>
      </c>
      <c r="TQ30" s="133">
        <f t="shared" si="204"/>
        <v>0.21327344795648426</v>
      </c>
      <c r="TR30" s="133">
        <f t="shared" si="205"/>
        <v>0.22644234563386595</v>
      </c>
      <c r="TS30" s="133">
        <f t="shared" si="431"/>
        <v>0.2421788103201733</v>
      </c>
      <c r="TT30" s="133">
        <f t="shared" si="432"/>
        <v>0.26976262336014117</v>
      </c>
      <c r="TU30" s="134">
        <f t="shared" si="433"/>
        <v>0.30249513544394363</v>
      </c>
      <c r="TV30" s="133">
        <f t="shared" si="434"/>
        <v>0.33735259754253344</v>
      </c>
      <c r="TW30" s="133">
        <f t="shared" si="206"/>
        <v>0.37045904705543192</v>
      </c>
      <c r="TX30" s="133">
        <f t="shared" si="207"/>
        <v>0.39114487095968109</v>
      </c>
      <c r="TY30" s="133">
        <f t="shared" si="208"/>
        <v>0.40960073128344077</v>
      </c>
      <c r="TZ30" s="133">
        <f t="shared" si="209"/>
        <v>0.43166391942959642</v>
      </c>
      <c r="UA30" s="81"/>
      <c r="UB30" s="81">
        <v>28</v>
      </c>
      <c r="UC30" s="133">
        <f t="shared" si="210"/>
        <v>-27.201679250607839</v>
      </c>
      <c r="UD30" s="133">
        <f t="shared" si="211"/>
        <v>-23.507791217363597</v>
      </c>
      <c r="UE30" s="133">
        <f t="shared" si="212"/>
        <v>-20.440907185421011</v>
      </c>
      <c r="UF30" s="133">
        <f t="shared" si="435"/>
        <v>-17.0137816334761</v>
      </c>
      <c r="UG30" s="133">
        <f t="shared" si="436"/>
        <v>-11.517655033220628</v>
      </c>
      <c r="UH30" s="134">
        <f t="shared" si="437"/>
        <v>-5.663578483471511</v>
      </c>
      <c r="UI30" s="133">
        <f t="shared" si="438"/>
        <v>-4.6884412526722485E-2</v>
      </c>
      <c r="UJ30" s="133">
        <f t="shared" si="213"/>
        <v>4.8210844490351974</v>
      </c>
      <c r="UK30" s="133">
        <f t="shared" si="214"/>
        <v>7.6706835905806656</v>
      </c>
      <c r="UL30" s="133">
        <f t="shared" si="215"/>
        <v>10.104246053221871</v>
      </c>
      <c r="UM30" s="133">
        <f t="shared" si="216"/>
        <v>12.892283887301872</v>
      </c>
      <c r="UN30" s="81"/>
      <c r="UO30" s="81">
        <v>28</v>
      </c>
      <c r="UP30" s="133">
        <f t="shared" si="217"/>
        <v>-22.695217056964179</v>
      </c>
      <c r="UQ30" s="133">
        <f t="shared" si="218"/>
        <v>-19.750268488106073</v>
      </c>
      <c r="UR30" s="133">
        <f t="shared" si="219"/>
        <v>-17.227311496826534</v>
      </c>
      <c r="US30" s="133">
        <f t="shared" si="439"/>
        <v>-14.327859497431152</v>
      </c>
      <c r="UT30" s="133">
        <f t="shared" si="440"/>
        <v>-9.5095168733587379</v>
      </c>
      <c r="UU30" s="134">
        <f t="shared" si="441"/>
        <v>-4.1612817929473458</v>
      </c>
      <c r="UV30" s="133">
        <f t="shared" si="442"/>
        <v>1.1677442443604136</v>
      </c>
      <c r="UW30" s="133">
        <f t="shared" si="220"/>
        <v>5.9350673891805101</v>
      </c>
      <c r="UX30" s="133">
        <f t="shared" si="221"/>
        <v>8.7873275646637765</v>
      </c>
      <c r="UY30" s="133">
        <f t="shared" si="222"/>
        <v>11.258148652397132</v>
      </c>
      <c r="UZ30" s="133">
        <f t="shared" si="223"/>
        <v>14.127636384600542</v>
      </c>
      <c r="VA30" s="81"/>
      <c r="VB30" s="81">
        <v>31</v>
      </c>
      <c r="VC30" s="133">
        <f t="shared" si="224"/>
        <v>-28.619101532981965</v>
      </c>
      <c r="VD30" s="133">
        <f t="shared" si="225"/>
        <v>-24.519977199809304</v>
      </c>
      <c r="VE30" s="133">
        <f t="shared" si="226"/>
        <v>-21.2015322324077</v>
      </c>
      <c r="VF30" s="133">
        <f t="shared" si="443"/>
        <v>-17.569083871907814</v>
      </c>
      <c r="VG30" s="133">
        <f t="shared" si="444"/>
        <v>-11.88240044783403</v>
      </c>
      <c r="VH30" s="134">
        <f t="shared" si="445"/>
        <v>-5.9795259973084711</v>
      </c>
      <c r="VI30" s="133">
        <f t="shared" si="446"/>
        <v>-0.43869515712832197</v>
      </c>
      <c r="VJ30" s="133">
        <f t="shared" si="227"/>
        <v>4.2811416779770326</v>
      </c>
      <c r="VK30" s="133">
        <f t="shared" si="228"/>
        <v>7.0125671026414551</v>
      </c>
      <c r="VL30" s="133">
        <f t="shared" si="229"/>
        <v>9.3283015915052658</v>
      </c>
      <c r="VM30" s="133">
        <f t="shared" si="230"/>
        <v>11.96336162396338</v>
      </c>
      <c r="VN30" s="81"/>
      <c r="VO30" s="81">
        <v>28</v>
      </c>
      <c r="VP30" s="133">
        <f t="shared" si="231"/>
        <v>-44.338302642573296</v>
      </c>
      <c r="VQ30" s="133">
        <f t="shared" si="232"/>
        <v>-40.599696736020292</v>
      </c>
      <c r="VR30" s="133">
        <f t="shared" si="233"/>
        <v>-37.020063396486854</v>
      </c>
      <c r="VS30" s="133">
        <f t="shared" si="447"/>
        <v>-32.492097687726584</v>
      </c>
      <c r="VT30" s="133">
        <f t="shared" si="448"/>
        <v>-24.024232950160755</v>
      </c>
      <c r="VU30" s="134">
        <f t="shared" si="449"/>
        <v>-13.301870619966138</v>
      </c>
      <c r="VV30" s="133">
        <f t="shared" si="450"/>
        <v>-1.290304923312398</v>
      </c>
      <c r="VW30" s="133">
        <f t="shared" si="234"/>
        <v>10.538515506200874</v>
      </c>
      <c r="VX30" s="133">
        <f t="shared" si="235"/>
        <v>18.0918020029766</v>
      </c>
      <c r="VY30" s="133">
        <f t="shared" si="236"/>
        <v>24.917683300990653</v>
      </c>
      <c r="VZ30" s="133">
        <f t="shared" si="237"/>
        <v>33.169579988591117</v>
      </c>
      <c r="WA30" s="81"/>
      <c r="WB30" s="81">
        <v>28</v>
      </c>
      <c r="WC30" s="133">
        <f t="shared" si="238"/>
        <v>-40.866956297759451</v>
      </c>
      <c r="WD30" s="133">
        <f t="shared" si="239"/>
        <v>-37.367479221538147</v>
      </c>
      <c r="WE30" s="133">
        <f t="shared" si="240"/>
        <v>-33.951566983127577</v>
      </c>
      <c r="WF30" s="133">
        <f t="shared" si="451"/>
        <v>-29.568708567290852</v>
      </c>
      <c r="WG30" s="133">
        <f t="shared" si="452"/>
        <v>-21.248168543176217</v>
      </c>
      <c r="WH30" s="134">
        <f t="shared" si="453"/>
        <v>-10.56295973009675</v>
      </c>
      <c r="WI30" s="133">
        <f t="shared" si="454"/>
        <v>1.5341184319405556</v>
      </c>
      <c r="WJ30" s="133">
        <f t="shared" si="241"/>
        <v>13.537041607074265</v>
      </c>
      <c r="WK30" s="133">
        <f t="shared" si="242"/>
        <v>21.236754139508001</v>
      </c>
      <c r="WL30" s="133">
        <f t="shared" si="243"/>
        <v>28.214339347002785</v>
      </c>
      <c r="WM30" s="133">
        <f t="shared" si="244"/>
        <v>36.670788330971497</v>
      </c>
      <c r="WN30" s="81"/>
      <c r="WO30" s="81">
        <v>31</v>
      </c>
      <c r="WP30" s="133">
        <f t="shared" si="245"/>
        <v>-44.985220914569453</v>
      </c>
      <c r="WQ30" s="133">
        <f t="shared" si="246"/>
        <v>-41.006183667545976</v>
      </c>
      <c r="WR30" s="133">
        <f t="shared" si="247"/>
        <v>-37.244340337555407</v>
      </c>
      <c r="WS30" s="133">
        <f t="shared" si="455"/>
        <v>-32.55002766548234</v>
      </c>
      <c r="WT30" s="133">
        <f t="shared" si="456"/>
        <v>-23.940106771198863</v>
      </c>
      <c r="WU30" s="134">
        <f t="shared" si="457"/>
        <v>-13.299384086568637</v>
      </c>
      <c r="WV30" s="133">
        <f t="shared" si="458"/>
        <v>-1.6568146299753082</v>
      </c>
      <c r="WW30" s="133">
        <f t="shared" si="248"/>
        <v>9.5763775403752973</v>
      </c>
      <c r="WX30" s="133">
        <f t="shared" si="249"/>
        <v>16.647058773082016</v>
      </c>
      <c r="WY30" s="133">
        <f t="shared" si="250"/>
        <v>22.976057390648513</v>
      </c>
      <c r="WZ30" s="133">
        <f t="shared" si="251"/>
        <v>30.557134322184247</v>
      </c>
      <c r="XA30" s="81"/>
      <c r="XB30" s="81">
        <v>28</v>
      </c>
      <c r="XC30" s="133">
        <f t="shared" si="252"/>
        <v>-49.616049241898388</v>
      </c>
      <c r="XD30" s="133">
        <f t="shared" si="253"/>
        <v>-45.344553768196924</v>
      </c>
      <c r="XE30" s="133">
        <f t="shared" si="254"/>
        <v>-41.300394085415597</v>
      </c>
      <c r="XF30" s="133">
        <f t="shared" si="459"/>
        <v>-36.286647097068055</v>
      </c>
      <c r="XG30" s="133">
        <f t="shared" si="460"/>
        <v>-27.220813747432363</v>
      </c>
      <c r="XH30" s="134">
        <f t="shared" si="461"/>
        <v>-16.247835384343034</v>
      </c>
      <c r="XI30" s="133">
        <f t="shared" si="462"/>
        <v>-4.4990837610019412</v>
      </c>
      <c r="XJ30" s="133">
        <f t="shared" si="255"/>
        <v>6.6193542675564103</v>
      </c>
      <c r="XK30" s="133">
        <f t="shared" si="256"/>
        <v>13.522340505332714</v>
      </c>
      <c r="XL30" s="133">
        <f t="shared" si="257"/>
        <v>19.644826768269219</v>
      </c>
      <c r="XM30" s="133">
        <f t="shared" si="258"/>
        <v>26.913872275890789</v>
      </c>
      <c r="XN30" s="81"/>
      <c r="XO30" s="81">
        <v>28</v>
      </c>
      <c r="XP30" s="133">
        <f t="shared" si="259"/>
        <v>-45.508683993361053</v>
      </c>
      <c r="XQ30" s="133">
        <f t="shared" si="260"/>
        <v>-41.191728425625989</v>
      </c>
      <c r="XR30" s="133">
        <f t="shared" si="261"/>
        <v>-37.140191612467042</v>
      </c>
      <c r="XS30" s="133">
        <f t="shared" si="463"/>
        <v>-32.15203149094657</v>
      </c>
      <c r="XT30" s="133">
        <f t="shared" si="464"/>
        <v>-23.203798100108504</v>
      </c>
      <c r="XU30" s="134">
        <f t="shared" si="465"/>
        <v>-12.462423756490146</v>
      </c>
      <c r="XV30" s="133">
        <f t="shared" si="466"/>
        <v>-1.0414763977850257</v>
      </c>
      <c r="XW30" s="133">
        <f t="shared" si="262"/>
        <v>9.70752781164353</v>
      </c>
      <c r="XX30" s="133">
        <f t="shared" si="263"/>
        <v>16.356947809587361</v>
      </c>
      <c r="XY30" s="133">
        <f t="shared" si="264"/>
        <v>22.240851033401903</v>
      </c>
      <c r="XZ30" s="133">
        <f t="shared" si="265"/>
        <v>29.211414856636416</v>
      </c>
      <c r="YA30" s="81"/>
      <c r="YB30" s="81">
        <v>31</v>
      </c>
      <c r="YC30" s="133">
        <f t="shared" si="266"/>
        <v>-50.725298051880287</v>
      </c>
      <c r="YD30" s="133">
        <f t="shared" si="267"/>
        <v>-46.328308560621245</v>
      </c>
      <c r="YE30" s="133">
        <f t="shared" si="268"/>
        <v>-42.197101699389741</v>
      </c>
      <c r="YF30" s="133">
        <f t="shared" si="467"/>
        <v>-37.122039976200043</v>
      </c>
      <c r="YG30" s="133">
        <f t="shared" si="468"/>
        <v>-28.058913444778081</v>
      </c>
      <c r="YH30" s="134">
        <f t="shared" si="469"/>
        <v>-17.246279321872663</v>
      </c>
      <c r="YI30" s="133">
        <f t="shared" si="470"/>
        <v>-5.8183986073178957</v>
      </c>
      <c r="YJ30" s="133">
        <f t="shared" si="269"/>
        <v>4.8820243855696717</v>
      </c>
      <c r="YK30" s="133">
        <f t="shared" si="270"/>
        <v>11.47792731910004</v>
      </c>
      <c r="YL30" s="133">
        <f t="shared" si="271"/>
        <v>17.300896009132593</v>
      </c>
      <c r="YM30" s="133">
        <f t="shared" si="272"/>
        <v>24.18395681788224</v>
      </c>
      <c r="YN30" s="81"/>
      <c r="YO30" s="81">
        <v>28</v>
      </c>
      <c r="YP30" s="133">
        <v>19.296371441964915</v>
      </c>
      <c r="YQ30" s="133">
        <v>21.704300405568116</v>
      </c>
      <c r="YR30" s="133">
        <v>24.014241162794516</v>
      </c>
      <c r="YS30" s="133">
        <v>26.984191493362193</v>
      </c>
      <c r="YT30" s="133">
        <v>32.778327695382302</v>
      </c>
      <c r="YU30" s="134">
        <v>40.714069005442902</v>
      </c>
      <c r="YV30" s="133">
        <v>50.571079476195727</v>
      </c>
      <c r="YW30" s="133">
        <v>61.429871463361273</v>
      </c>
      <c r="YX30" s="133">
        <v>69.027182818008669</v>
      </c>
      <c r="YY30" s="133">
        <v>76.373593435645091</v>
      </c>
      <c r="YZ30" s="133">
        <v>85.903995990407452</v>
      </c>
      <c r="ZA30" s="81"/>
      <c r="ZB30" s="81">
        <v>28</v>
      </c>
      <c r="ZC30" s="133">
        <v>16.343161771971637</v>
      </c>
      <c r="ZD30" s="133">
        <v>18.586753868675675</v>
      </c>
      <c r="ZE30" s="133">
        <v>20.761206290809707</v>
      </c>
      <c r="ZF30" s="133">
        <v>23.585772130284305</v>
      </c>
      <c r="ZG30" s="133">
        <v>29.17849931828361</v>
      </c>
      <c r="ZH30" s="134">
        <v>36.988393631848339</v>
      </c>
      <c r="ZI30" s="133">
        <v>46.888678151013224</v>
      </c>
      <c r="ZJ30" s="133">
        <v>58.007058488785091</v>
      </c>
      <c r="ZK30" s="133">
        <v>65.898929199994939</v>
      </c>
      <c r="ZL30" s="133">
        <v>73.608402689955057</v>
      </c>
      <c r="ZM30" s="133">
        <v>83.713377041332876</v>
      </c>
      <c r="ZN30" s="81"/>
      <c r="ZO30" s="81">
        <v>31</v>
      </c>
      <c r="ZP30" s="133">
        <v>22.377142483465576</v>
      </c>
      <c r="ZQ30" s="133">
        <v>24.793039906685635</v>
      </c>
      <c r="ZR30" s="133">
        <v>27.078450654134404</v>
      </c>
      <c r="ZS30" s="133">
        <v>29.976051146026084</v>
      </c>
      <c r="ZT30" s="133">
        <v>35.516114485396187</v>
      </c>
      <c r="ZU30" s="134">
        <v>42.90581989847491</v>
      </c>
      <c r="ZV30" s="133">
        <v>51.833073742267779</v>
      </c>
      <c r="ZW30" s="133">
        <v>61.412671475389253</v>
      </c>
      <c r="ZX30" s="133">
        <v>67.98429513836642</v>
      </c>
      <c r="ZY30" s="133">
        <v>74.251055461091326</v>
      </c>
      <c r="ZZ30" s="133">
        <v>82.267402217267488</v>
      </c>
      <c r="AAA30" s="81"/>
      <c r="AAB30" s="81">
        <v>28</v>
      </c>
      <c r="AAC30" s="133">
        <v>8.6585735247206781</v>
      </c>
      <c r="AAD30" s="133">
        <v>9.6121133857682306</v>
      </c>
      <c r="AAE30" s="133">
        <v>10.515785363551583</v>
      </c>
      <c r="AAF30" s="133">
        <v>11.663598951919839</v>
      </c>
      <c r="AAG30" s="133">
        <v>13.863896240338082</v>
      </c>
      <c r="AAH30" s="134">
        <v>16.808864412133367</v>
      </c>
      <c r="AAI30" s="133">
        <v>20.379402581174666</v>
      </c>
      <c r="AAJ30" s="133">
        <v>24.223905845028877</v>
      </c>
      <c r="AAK30" s="133">
        <v>26.867981140503218</v>
      </c>
      <c r="AAL30" s="133">
        <v>29.393944025235022</v>
      </c>
      <c r="AAM30" s="133">
        <v>32.631001171130926</v>
      </c>
      <c r="AAN30" s="81"/>
      <c r="AAO30" s="81">
        <v>28</v>
      </c>
      <c r="AAP30" s="133">
        <v>7.8294938155270346</v>
      </c>
      <c r="AAQ30" s="133">
        <v>8.7699759678155829</v>
      </c>
      <c r="AAR30" s="133">
        <v>9.6687140803223102</v>
      </c>
      <c r="AAS30" s="133">
        <v>10.819794783382122</v>
      </c>
      <c r="AAT30" s="133">
        <v>13.052989097037674</v>
      </c>
      <c r="AAU30" s="134">
        <v>16.08937012224958</v>
      </c>
      <c r="AAV30" s="133">
        <v>19.832072869001816</v>
      </c>
      <c r="AAW30" s="133">
        <v>23.925391942583477</v>
      </c>
      <c r="AAX30" s="133">
        <v>26.773760065734397</v>
      </c>
      <c r="AAY30" s="133">
        <v>29.517507445942972</v>
      </c>
      <c r="AAZ30" s="133">
        <v>33.063163089466222</v>
      </c>
      <c r="ABA30" s="81"/>
      <c r="ABB30" s="81">
        <v>31</v>
      </c>
      <c r="ABC30" s="133">
        <v>9.8171009680097008</v>
      </c>
      <c r="ABD30" s="133">
        <v>10.777425871440633</v>
      </c>
      <c r="ABE30" s="133">
        <v>11.678163920925188</v>
      </c>
      <c r="ABF30" s="133">
        <v>12.810479998466024</v>
      </c>
      <c r="ABG30" s="133">
        <v>14.948954708287349</v>
      </c>
      <c r="ABH30" s="134">
        <v>17.755750753223602</v>
      </c>
      <c r="ABI30" s="133">
        <v>21.089547126383628</v>
      </c>
      <c r="ABJ30" s="133">
        <v>24.610060266933928</v>
      </c>
      <c r="ABK30" s="133">
        <v>26.996254457920276</v>
      </c>
      <c r="ABL30" s="133">
        <v>29.252503201718465</v>
      </c>
      <c r="ABM30" s="133">
        <v>32.114030999369142</v>
      </c>
      <c r="ABN30" s="81"/>
      <c r="ABO30" s="81">
        <v>28</v>
      </c>
      <c r="ABP30" s="133">
        <f t="shared" si="273"/>
        <v>0.19386964756291961</v>
      </c>
      <c r="ABQ30" s="133">
        <f t="shared" si="274"/>
        <v>0.2202755178217011</v>
      </c>
      <c r="ABR30" s="133">
        <f t="shared" si="275"/>
        <v>0.24500408478520827</v>
      </c>
      <c r="ABS30" s="133">
        <f t="shared" si="471"/>
        <v>0.27595893435525443</v>
      </c>
      <c r="ABT30" s="133">
        <f t="shared" si="472"/>
        <v>0.33380872763611452</v>
      </c>
      <c r="ABU30" s="134">
        <f t="shared" si="473"/>
        <v>0.40818932962506538</v>
      </c>
      <c r="ABV30" s="133">
        <f t="shared" si="474"/>
        <v>0.49397862463950237</v>
      </c>
      <c r="ABW30" s="133">
        <f t="shared" si="276"/>
        <v>0.58151258118201232</v>
      </c>
      <c r="ABX30" s="133">
        <f t="shared" si="277"/>
        <v>0.63911144524188468</v>
      </c>
      <c r="ABY30" s="133">
        <f t="shared" si="278"/>
        <v>0.69234454459210848</v>
      </c>
      <c r="ABZ30" s="133">
        <f t="shared" si="279"/>
        <v>0.75822255739978162</v>
      </c>
      <c r="ACA30" s="81"/>
      <c r="ACB30" s="81">
        <v>28</v>
      </c>
      <c r="ACC30" s="133">
        <f t="shared" si="280"/>
        <v>0.21087851407826583</v>
      </c>
      <c r="ACD30" s="133">
        <f t="shared" si="281"/>
        <v>0.23631544224792628</v>
      </c>
      <c r="ACE30" s="133">
        <f t="shared" si="282"/>
        <v>0.26025795039273214</v>
      </c>
      <c r="ACF30" s="133">
        <f t="shared" si="475"/>
        <v>0.29042127342099133</v>
      </c>
      <c r="ACG30" s="133">
        <f t="shared" si="476"/>
        <v>0.34743322356535322</v>
      </c>
      <c r="ACH30" s="134">
        <f t="shared" si="477"/>
        <v>0.42206294650736059</v>
      </c>
      <c r="ACI30" s="133">
        <f t="shared" si="478"/>
        <v>0.5100660018402402</v>
      </c>
      <c r="ACJ30" s="133">
        <f t="shared" si="283"/>
        <v>0.60199871219098566</v>
      </c>
      <c r="ACK30" s="133">
        <f t="shared" si="284"/>
        <v>0.6636595851385324</v>
      </c>
      <c r="ACL30" s="133">
        <f t="shared" si="285"/>
        <v>0.72145917508940893</v>
      </c>
      <c r="ACM30" s="133">
        <f t="shared" si="286"/>
        <v>0.79405274825568395</v>
      </c>
      <c r="ACN30" s="81"/>
      <c r="ACO30" s="81">
        <v>31</v>
      </c>
      <c r="ACP30" s="133">
        <f t="shared" si="287"/>
        <v>0.18837373169646368</v>
      </c>
      <c r="ACQ30" s="133">
        <f t="shared" si="288"/>
        <v>0.21786995261675624</v>
      </c>
      <c r="ACR30" s="133">
        <f t="shared" si="289"/>
        <v>0.24501215247577349</v>
      </c>
      <c r="ACS30" s="133">
        <f t="shared" si="479"/>
        <v>0.27834977792810439</v>
      </c>
      <c r="ACT30" s="133">
        <f t="shared" si="480"/>
        <v>0.33891148153281042</v>
      </c>
      <c r="ACU30" s="134">
        <f t="shared" si="481"/>
        <v>0.41355768596019515</v>
      </c>
      <c r="ACV30" s="133">
        <f t="shared" si="482"/>
        <v>0.49588847900920624</v>
      </c>
      <c r="ACW30" s="133">
        <f t="shared" si="290"/>
        <v>0.57646280704065866</v>
      </c>
      <c r="ACX30" s="133">
        <f t="shared" si="291"/>
        <v>0.62772514740899465</v>
      </c>
      <c r="ACY30" s="133">
        <f t="shared" si="292"/>
        <v>0.67401438861005636</v>
      </c>
      <c r="ACZ30" s="133">
        <f t="shared" si="293"/>
        <v>0.72997484864785755</v>
      </c>
      <c r="ADA30" s="81"/>
      <c r="ADB30" s="81">
        <v>28</v>
      </c>
      <c r="ADC30" s="133">
        <f t="shared" si="294"/>
        <v>0.16139646254388465</v>
      </c>
      <c r="ADD30" s="133">
        <f t="shared" si="295"/>
        <v>0.18047549046822237</v>
      </c>
      <c r="ADE30" s="133">
        <f t="shared" si="296"/>
        <v>0.19725781554982325</v>
      </c>
      <c r="ADF30" s="133">
        <f t="shared" si="483"/>
        <v>0.21701267528090834</v>
      </c>
      <c r="ADG30" s="133">
        <f t="shared" si="484"/>
        <v>0.25087761151801841</v>
      </c>
      <c r="ADH30" s="134">
        <f t="shared" si="485"/>
        <v>0.28987255876083662</v>
      </c>
      <c r="ADI30" s="133">
        <f t="shared" si="486"/>
        <v>0.33008734480086294</v>
      </c>
      <c r="ADJ30" s="133">
        <f t="shared" si="297"/>
        <v>0.36713620714670631</v>
      </c>
      <c r="ADK30" s="133">
        <f t="shared" si="298"/>
        <v>0.3897615932452459</v>
      </c>
      <c r="ADL30" s="133">
        <f t="shared" si="299"/>
        <v>0.40962863760629448</v>
      </c>
      <c r="ADM30" s="133">
        <f t="shared" si="300"/>
        <v>0.43300367858476463</v>
      </c>
      <c r="ADN30" s="81"/>
      <c r="ADO30" s="81">
        <v>28</v>
      </c>
      <c r="ADP30" s="133">
        <f t="shared" si="301"/>
        <v>0.17375628362741466</v>
      </c>
      <c r="ADQ30" s="133">
        <f t="shared" si="302"/>
        <v>0.19140880101308408</v>
      </c>
      <c r="ADR30" s="133">
        <f t="shared" si="303"/>
        <v>0.20712141010173107</v>
      </c>
      <c r="ADS30" s="133">
        <f t="shared" si="487"/>
        <v>0.22583454865627942</v>
      </c>
      <c r="ADT30" s="133">
        <f t="shared" si="488"/>
        <v>0.25844485471766881</v>
      </c>
      <c r="ADU30" s="134">
        <f t="shared" si="489"/>
        <v>0.29679252805762185</v>
      </c>
      <c r="ADV30" s="133">
        <f t="shared" si="490"/>
        <v>0.33718919935610259</v>
      </c>
      <c r="ADW30" s="133">
        <f t="shared" si="304"/>
        <v>0.37513057368395586</v>
      </c>
      <c r="ADX30" s="133">
        <f t="shared" si="305"/>
        <v>0.3986286100000126</v>
      </c>
      <c r="ADY30" s="133">
        <f t="shared" si="306"/>
        <v>0.41946013546915106</v>
      </c>
      <c r="ADZ30" s="133">
        <f t="shared" si="307"/>
        <v>0.44420114694117829</v>
      </c>
      <c r="AEA30" s="81"/>
      <c r="AEB30" s="81">
        <v>31</v>
      </c>
      <c r="AEC30" s="133">
        <f t="shared" si="308"/>
        <v>0.1576682289098372</v>
      </c>
      <c r="AED30" s="133">
        <f t="shared" si="309"/>
        <v>0.17910903193834082</v>
      </c>
      <c r="AEE30" s="133">
        <f t="shared" si="310"/>
        <v>0.19746687585502468</v>
      </c>
      <c r="AEF30" s="133">
        <f t="shared" si="491"/>
        <v>0.21854818359131828</v>
      </c>
      <c r="AEG30" s="133">
        <f t="shared" si="492"/>
        <v>0.25353877486467652</v>
      </c>
      <c r="AEH30" s="134">
        <f t="shared" si="493"/>
        <v>0.29231302323392189</v>
      </c>
      <c r="AEI30" s="133">
        <f t="shared" si="494"/>
        <v>0.33088199236163929</v>
      </c>
      <c r="AEJ30" s="133">
        <f t="shared" si="311"/>
        <v>0.36533236776350708</v>
      </c>
      <c r="AEK30" s="133">
        <f t="shared" si="312"/>
        <v>0.38592090064353651</v>
      </c>
      <c r="AEL30" s="133">
        <f t="shared" si="313"/>
        <v>0.40374275516411556</v>
      </c>
      <c r="AEM30" s="133">
        <f t="shared" si="314"/>
        <v>0.42442513342318428</v>
      </c>
      <c r="AEN30" s="81"/>
    </row>
    <row r="31" spans="1:820">
      <c r="A31" s="81"/>
      <c r="B31" s="81">
        <v>30</v>
      </c>
      <c r="C31" s="133">
        <f t="shared" si="0"/>
        <v>1.75847479268026</v>
      </c>
      <c r="D31" s="133">
        <f t="shared" si="1"/>
        <v>2.090542338948524</v>
      </c>
      <c r="E31" s="133">
        <f t="shared" si="2"/>
        <v>2.4369021569662799</v>
      </c>
      <c r="F31" s="133">
        <f t="shared" si="315"/>
        <v>2.9241893882154546</v>
      </c>
      <c r="G31" s="133">
        <f t="shared" si="316"/>
        <v>4.0205276448848197</v>
      </c>
      <c r="H31" s="134">
        <f t="shared" si="317"/>
        <v>5.8694739376544023</v>
      </c>
      <c r="I31" s="133">
        <f t="shared" si="318"/>
        <v>8.8148746432449556</v>
      </c>
      <c r="J31" s="133">
        <f t="shared" si="3"/>
        <v>13.054817128772106</v>
      </c>
      <c r="K31" s="133">
        <f t="shared" si="4"/>
        <v>16.759096366371619</v>
      </c>
      <c r="L31" s="133">
        <f t="shared" si="5"/>
        <v>21.01625373692691</v>
      </c>
      <c r="M31" s="133">
        <f t="shared" si="6"/>
        <v>27.685610323129751</v>
      </c>
      <c r="N31" s="81"/>
      <c r="O31" s="75">
        <v>30</v>
      </c>
      <c r="P31" s="151">
        <f t="shared" si="7"/>
        <v>2.4434414795516091</v>
      </c>
      <c r="Q31" s="151">
        <f t="shared" si="8"/>
        <v>2.7550899187593587</v>
      </c>
      <c r="R31" s="151">
        <f t="shared" si="9"/>
        <v>3.0696150619434461</v>
      </c>
      <c r="S31" s="151">
        <f t="shared" si="319"/>
        <v>3.4984785395666234</v>
      </c>
      <c r="T31" s="151">
        <f t="shared" si="320"/>
        <v>4.4242508029389374</v>
      </c>
      <c r="U31" s="134">
        <f t="shared" si="321"/>
        <v>5.9177391803969357</v>
      </c>
      <c r="V31" s="151">
        <f t="shared" si="322"/>
        <v>8.2275110717873261</v>
      </c>
      <c r="W31" s="151">
        <f t="shared" si="10"/>
        <v>11.538634657509705</v>
      </c>
      <c r="X31" s="151">
        <f t="shared" si="11"/>
        <v>14.483584662320542</v>
      </c>
      <c r="Y31" s="151">
        <f t="shared" si="12"/>
        <v>17.96794337420452</v>
      </c>
      <c r="Z31" s="151">
        <f t="shared" si="13"/>
        <v>23.696407867655839</v>
      </c>
      <c r="AA31" s="81"/>
      <c r="AB31" s="75">
        <v>32</v>
      </c>
      <c r="AC31" s="151">
        <f t="shared" si="14"/>
        <v>1.4576724454112653</v>
      </c>
      <c r="AD31" s="151">
        <f t="shared" si="15"/>
        <v>1.7614006441175731</v>
      </c>
      <c r="AE31" s="151">
        <f t="shared" si="16"/>
        <v>2.0867275745309297</v>
      </c>
      <c r="AF31" s="151">
        <f t="shared" si="323"/>
        <v>2.5583969135642337</v>
      </c>
      <c r="AG31" s="151">
        <f t="shared" si="324"/>
        <v>3.6752105533509383</v>
      </c>
      <c r="AH31" s="134">
        <f t="shared" si="325"/>
        <v>5.7174089111472242</v>
      </c>
      <c r="AI31" s="151">
        <f t="shared" si="326"/>
        <v>9.3395651604925618</v>
      </c>
      <c r="AJ31" s="151">
        <f t="shared" si="17"/>
        <v>15.271772254702329</v>
      </c>
      <c r="AK31" s="151">
        <f t="shared" si="18"/>
        <v>21.098106772687874</v>
      </c>
      <c r="AL31" s="151">
        <f t="shared" si="19"/>
        <v>28.499324402538466</v>
      </c>
      <c r="AM31" s="151">
        <f t="shared" si="20"/>
        <v>41.561558650895257</v>
      </c>
      <c r="AN31" s="81"/>
      <c r="AO31" s="81">
        <v>30</v>
      </c>
      <c r="AP31" s="133">
        <f t="shared" si="21"/>
        <v>1.0139002541533193</v>
      </c>
      <c r="AQ31" s="133">
        <f t="shared" si="22"/>
        <v>2.8317588988937787</v>
      </c>
      <c r="AR31" s="133">
        <f t="shared" si="23"/>
        <v>4.5518325873125685</v>
      </c>
      <c r="AS31" s="133">
        <f t="shared" si="327"/>
        <v>6.7163331532945518</v>
      </c>
      <c r="AT31" s="133">
        <f t="shared" si="328"/>
        <v>10.76373418864279</v>
      </c>
      <c r="AU31" s="134">
        <f t="shared" si="329"/>
        <v>15.925801642766409</v>
      </c>
      <c r="AV31" s="133">
        <f t="shared" si="330"/>
        <v>21.782506598406261</v>
      </c>
      <c r="AW31" s="133">
        <f t="shared" si="24"/>
        <v>27.63482856415067</v>
      </c>
      <c r="AX31" s="133">
        <f t="shared" si="25"/>
        <v>31.416379889027279</v>
      </c>
      <c r="AY31" s="133">
        <f t="shared" si="26"/>
        <v>34.863257164251749</v>
      </c>
      <c r="AZ31" s="133">
        <f t="shared" si="27"/>
        <v>39.066926937006244</v>
      </c>
      <c r="BA31" s="81"/>
      <c r="BB31" s="81">
        <v>30</v>
      </c>
      <c r="BC31" s="133">
        <f t="shared" si="28"/>
        <v>3.9431621237001098</v>
      </c>
      <c r="BD31" s="133">
        <f t="shared" si="29"/>
        <v>5.9101668892886368</v>
      </c>
      <c r="BE31" s="133">
        <f t="shared" si="30"/>
        <v>7.7078897704033595</v>
      </c>
      <c r="BF31" s="133">
        <f t="shared" si="331"/>
        <v>9.8991841704570369</v>
      </c>
      <c r="BG31" s="133">
        <f t="shared" si="332"/>
        <v>13.829605875703081</v>
      </c>
      <c r="BH31" s="134">
        <f t="shared" si="333"/>
        <v>18.602652317416059</v>
      </c>
      <c r="BI31" s="133">
        <f t="shared" si="334"/>
        <v>23.77510658235353</v>
      </c>
      <c r="BJ31" s="133">
        <f t="shared" si="31"/>
        <v>28.74530147183226</v>
      </c>
      <c r="BK31" s="133">
        <f t="shared" si="32"/>
        <v>31.870602502560903</v>
      </c>
      <c r="BL31" s="133">
        <f t="shared" si="33"/>
        <v>34.668360698780241</v>
      </c>
      <c r="BM31" s="133">
        <f t="shared" si="34"/>
        <v>38.021662851761739</v>
      </c>
      <c r="BN31" s="81"/>
      <c r="BO31" s="75">
        <v>32</v>
      </c>
      <c r="BP31" s="151">
        <f t="shared" si="35"/>
        <v>2.9524854843104866</v>
      </c>
      <c r="BQ31" s="151">
        <f t="shared" si="36"/>
        <v>3.7979444249634891</v>
      </c>
      <c r="BR31" s="151">
        <f t="shared" si="37"/>
        <v>4.682212242125174</v>
      </c>
      <c r="BS31" s="151">
        <f t="shared" si="335"/>
        <v>5.9139284940763766</v>
      </c>
      <c r="BT31" s="151">
        <f t="shared" si="336"/>
        <v>8.5829885935912404</v>
      </c>
      <c r="BU31" s="134">
        <f t="shared" si="337"/>
        <v>12.706172417189022</v>
      </c>
      <c r="BV31" s="151">
        <f t="shared" si="338"/>
        <v>18.409381191680897</v>
      </c>
      <c r="BW31" s="151">
        <f t="shared" si="38"/>
        <v>25.255326650698684</v>
      </c>
      <c r="BX31" s="151">
        <f t="shared" si="39"/>
        <v>30.31714397592841</v>
      </c>
      <c r="BY31" s="151">
        <f t="shared" si="40"/>
        <v>35.383799134027115</v>
      </c>
      <c r="BZ31" s="151">
        <f t="shared" si="41"/>
        <v>42.165685640478138</v>
      </c>
      <c r="CA31" s="81"/>
      <c r="CB31" s="81">
        <v>30</v>
      </c>
      <c r="CC31" s="133">
        <f t="shared" si="42"/>
        <v>-6.4129032360985576</v>
      </c>
      <c r="CD31" s="133">
        <f t="shared" si="43"/>
        <v>-4.7232906950082532</v>
      </c>
      <c r="CE31" s="133">
        <f t="shared" si="44"/>
        <v>-2.8486528544133183</v>
      </c>
      <c r="CF31" s="133">
        <f t="shared" si="339"/>
        <v>-0.32848489072320852</v>
      </c>
      <c r="CG31" s="133">
        <f t="shared" si="340"/>
        <v>4.5586783083327687</v>
      </c>
      <c r="CH31" s="134">
        <f t="shared" si="341"/>
        <v>10.828534423669968</v>
      </c>
      <c r="CI31" s="133">
        <f t="shared" si="342"/>
        <v>17.824631012748512</v>
      </c>
      <c r="CJ31" s="133">
        <f t="shared" si="45"/>
        <v>24.640664317219912</v>
      </c>
      <c r="CK31" s="133">
        <f t="shared" si="46"/>
        <v>28.94893566890752</v>
      </c>
      <c r="CL31" s="133">
        <f t="shared" si="47"/>
        <v>32.812257445148255</v>
      </c>
      <c r="CM31" s="133">
        <f t="shared" si="48"/>
        <v>37.445193787824984</v>
      </c>
      <c r="CN31" s="81"/>
      <c r="CO31" s="81">
        <v>30</v>
      </c>
      <c r="CP31" s="133">
        <f t="shared" si="49"/>
        <v>-1.1784921104164967</v>
      </c>
      <c r="CQ31" s="133">
        <f t="shared" si="50"/>
        <v>0.9388458396653574</v>
      </c>
      <c r="CR31" s="133">
        <f t="shared" si="51"/>
        <v>2.9353225574172237</v>
      </c>
      <c r="CS31" s="133">
        <f t="shared" si="343"/>
        <v>5.4172898473384832</v>
      </c>
      <c r="CT31" s="133">
        <f t="shared" si="344"/>
        <v>9.9421422231939118</v>
      </c>
      <c r="CU31" s="134">
        <f t="shared" si="345"/>
        <v>15.4899762528261</v>
      </c>
      <c r="CV31" s="133">
        <f t="shared" si="346"/>
        <v>21.51228283709553</v>
      </c>
      <c r="CW31" s="133">
        <f t="shared" si="52"/>
        <v>27.28258006616873</v>
      </c>
      <c r="CX31" s="133">
        <f t="shared" si="53"/>
        <v>30.896910943066867</v>
      </c>
      <c r="CY31" s="133">
        <f t="shared" si="54"/>
        <v>34.121573631054204</v>
      </c>
      <c r="CZ31" s="133">
        <f t="shared" si="55"/>
        <v>37.972040648544997</v>
      </c>
      <c r="DA31" s="81"/>
      <c r="DB31" s="81">
        <v>32</v>
      </c>
      <c r="DC31" s="133">
        <f t="shared" si="56"/>
        <v>-6.5857471817861173</v>
      </c>
      <c r="DD31" s="133">
        <f t="shared" si="57"/>
        <v>-5.549192286754451</v>
      </c>
      <c r="DE31" s="133">
        <f t="shared" si="58"/>
        <v>-4.3009773037583905</v>
      </c>
      <c r="DF31" s="133">
        <f t="shared" si="347"/>
        <v>-2.5113458350887825</v>
      </c>
      <c r="DG31" s="133">
        <f t="shared" si="348"/>
        <v>1.2117037681841731</v>
      </c>
      <c r="DH31" s="134">
        <f t="shared" si="349"/>
        <v>6.3307073237853571</v>
      </c>
      <c r="DI31" s="133">
        <f t="shared" si="350"/>
        <v>12.372411074658341</v>
      </c>
      <c r="DJ31" s="133">
        <f t="shared" si="59"/>
        <v>18.518333782489059</v>
      </c>
      <c r="DK31" s="133">
        <f t="shared" si="60"/>
        <v>22.513695968840956</v>
      </c>
      <c r="DL31" s="133">
        <f t="shared" si="61"/>
        <v>26.160925689971041</v>
      </c>
      <c r="DM31" s="133">
        <f t="shared" si="62"/>
        <v>30.608194097154236</v>
      </c>
      <c r="DN31" s="81"/>
      <c r="DO31" s="81">
        <v>30</v>
      </c>
      <c r="DP31" s="133">
        <v>12.996213458231523</v>
      </c>
      <c r="DQ31" s="133">
        <v>14.317891629183181</v>
      </c>
      <c r="DR31" s="133">
        <v>15.561621992638813</v>
      </c>
      <c r="DS31" s="133">
        <v>17.130233064682841</v>
      </c>
      <c r="DT31" s="133">
        <v>20.10667590141319</v>
      </c>
      <c r="DU31" s="134">
        <v>24.037548310303517</v>
      </c>
      <c r="DV31" s="133">
        <v>28.736909651463808</v>
      </c>
      <c r="DW31" s="133">
        <v>33.730056478999416</v>
      </c>
      <c r="DX31" s="133">
        <v>37.130045251291719</v>
      </c>
      <c r="DY31" s="133">
        <v>40.355364025278526</v>
      </c>
      <c r="DZ31" s="133">
        <v>44.459390469937766</v>
      </c>
      <c r="EA31" s="81"/>
      <c r="EB31" s="81">
        <v>30</v>
      </c>
      <c r="EC31" s="133">
        <v>13.216648397390038</v>
      </c>
      <c r="ED31" s="133">
        <v>14.179004746130207</v>
      </c>
      <c r="EE31" s="133">
        <v>15.062546055693334</v>
      </c>
      <c r="EF31" s="133">
        <v>16.149758397222289</v>
      </c>
      <c r="EG31" s="133">
        <v>18.140857425449319</v>
      </c>
      <c r="EH31" s="134">
        <v>20.650733659113424</v>
      </c>
      <c r="EI31" s="133">
        <v>23.50786352917261</v>
      </c>
      <c r="EJ31" s="133">
        <v>26.406141204749467</v>
      </c>
      <c r="EK31" s="133">
        <v>28.312132562638688</v>
      </c>
      <c r="EL31" s="133">
        <v>30.07635643651431</v>
      </c>
      <c r="EM31" s="133">
        <v>32.266334689198047</v>
      </c>
      <c r="EN31" s="81"/>
      <c r="EO31" s="81">
        <v>32</v>
      </c>
      <c r="EP31" s="133">
        <v>16.525031927489252</v>
      </c>
      <c r="EQ31" s="133">
        <v>17.808619953344017</v>
      </c>
      <c r="ER31" s="133">
        <v>18.992042020815756</v>
      </c>
      <c r="ES31" s="133">
        <v>20.454380680620734</v>
      </c>
      <c r="ET31" s="133">
        <v>23.148673293779353</v>
      </c>
      <c r="EU31" s="134">
        <v>26.571982736301901</v>
      </c>
      <c r="EV31" s="133">
        <v>30.501543547554647</v>
      </c>
      <c r="EW31" s="133">
        <v>34.519268882449438</v>
      </c>
      <c r="EX31" s="133">
        <v>37.177164296733103</v>
      </c>
      <c r="EY31" s="133">
        <v>39.647668847340626</v>
      </c>
      <c r="EZ31" s="133">
        <v>42.7273163305533</v>
      </c>
      <c r="FA31" s="81"/>
      <c r="FB31" s="81">
        <v>30</v>
      </c>
      <c r="FC31" s="133">
        <v>7.4491726506044991</v>
      </c>
      <c r="FD31" s="133">
        <v>8.3032354917657063</v>
      </c>
      <c r="FE31" s="133">
        <v>9.1156933828612026</v>
      </c>
      <c r="FF31" s="133">
        <v>10.151553106093841</v>
      </c>
      <c r="FG31" s="133">
        <v>12.148082141055733</v>
      </c>
      <c r="FH31" s="134">
        <v>14.839463321179563</v>
      </c>
      <c r="FI31" s="133">
        <v>18.127114148859071</v>
      </c>
      <c r="FJ31" s="133">
        <v>21.692214911277436</v>
      </c>
      <c r="FK31" s="133">
        <v>24.157204768938257</v>
      </c>
      <c r="FL31" s="133">
        <v>26.520947392015415</v>
      </c>
      <c r="FM31" s="133">
        <v>29.561628114870395</v>
      </c>
      <c r="FN31" s="81"/>
      <c r="FO31" s="81">
        <v>30</v>
      </c>
      <c r="FP31" s="133">
        <v>7.2797655325634318</v>
      </c>
      <c r="FQ31" s="133">
        <v>7.9665029162176673</v>
      </c>
      <c r="FR31" s="133">
        <v>8.6087305100497638</v>
      </c>
      <c r="FS31" s="133">
        <v>9.4136947196409757</v>
      </c>
      <c r="FT31" s="133">
        <v>10.927489583400119</v>
      </c>
      <c r="FU31" s="134">
        <v>12.903324739434886</v>
      </c>
      <c r="FV31" s="133">
        <v>15.2364171167214</v>
      </c>
      <c r="FW31" s="133">
        <v>17.686550742285199</v>
      </c>
      <c r="FX31" s="133">
        <v>19.340341660939032</v>
      </c>
      <c r="FY31" s="133">
        <v>20.899482631503417</v>
      </c>
      <c r="FZ31" s="133">
        <v>22.871037341319983</v>
      </c>
      <c r="GA31" s="81"/>
      <c r="GB31" s="81">
        <v>32</v>
      </c>
      <c r="GC31" s="133">
        <v>9.5733996640460841</v>
      </c>
      <c r="GD31" s="133">
        <v>10.46311209107491</v>
      </c>
      <c r="GE31" s="133">
        <v>11.294171837538174</v>
      </c>
      <c r="GF31" s="133">
        <v>12.334581614653423</v>
      </c>
      <c r="GG31" s="133">
        <v>14.287808000827471</v>
      </c>
      <c r="GH31" s="134">
        <v>16.831483747967482</v>
      </c>
      <c r="GI31" s="133">
        <v>19.828013166308395</v>
      </c>
      <c r="GJ31" s="133">
        <v>22.967852012226817</v>
      </c>
      <c r="GK31" s="133">
        <v>25.083631560881663</v>
      </c>
      <c r="GL31" s="133">
        <v>27.075963890298851</v>
      </c>
      <c r="GM31" s="133">
        <v>29.592292717293756</v>
      </c>
      <c r="GN31" s="81"/>
      <c r="GO31" s="81">
        <v>30</v>
      </c>
      <c r="GP31" s="133">
        <f t="shared" si="63"/>
        <v>0.42139854595171794</v>
      </c>
      <c r="GQ31" s="133">
        <f t="shared" si="64"/>
        <v>0.45887764562797473</v>
      </c>
      <c r="GR31" s="133">
        <f t="shared" si="65"/>
        <v>0.48869077099628833</v>
      </c>
      <c r="GS31" s="133">
        <f t="shared" si="351"/>
        <v>0.5208316166855359</v>
      </c>
      <c r="GT31" s="133">
        <f t="shared" si="352"/>
        <v>0.57159303390464289</v>
      </c>
      <c r="GU31" s="134">
        <f t="shared" si="353"/>
        <v>0.62038333659296796</v>
      </c>
      <c r="GV31" s="133">
        <f t="shared" si="354"/>
        <v>0.66540880830527915</v>
      </c>
      <c r="GW31" s="133">
        <f t="shared" si="66"/>
        <v>0.7053174531768287</v>
      </c>
      <c r="GX31" s="133">
        <f t="shared" si="67"/>
        <v>0.72749246608615781</v>
      </c>
      <c r="GY31" s="133">
        <f t="shared" si="68"/>
        <v>0.74616139155918415</v>
      </c>
      <c r="GZ31" s="133">
        <f t="shared" si="69"/>
        <v>0.7672638983223915</v>
      </c>
      <c r="HA31" s="81"/>
      <c r="HB31" s="81">
        <v>30</v>
      </c>
      <c r="HC31" s="133">
        <f t="shared" si="70"/>
        <v>0.39688741477065792</v>
      </c>
      <c r="HD31" s="133">
        <f t="shared" si="71"/>
        <v>0.43872490102227224</v>
      </c>
      <c r="HE31" s="133">
        <f t="shared" si="72"/>
        <v>0.47164004503783291</v>
      </c>
      <c r="HF31" s="133">
        <f t="shared" si="355"/>
        <v>0.50684542160689283</v>
      </c>
      <c r="HG31" s="133">
        <f t="shared" si="356"/>
        <v>0.56049764714116312</v>
      </c>
      <c r="HH31" s="134">
        <f t="shared" si="357"/>
        <v>0.61460565423153091</v>
      </c>
      <c r="HI31" s="133">
        <f t="shared" si="358"/>
        <v>0.66415979608513109</v>
      </c>
      <c r="HJ31" s="133">
        <f t="shared" si="73"/>
        <v>0.70555346762573912</v>
      </c>
      <c r="HK31" s="133">
        <f t="shared" si="74"/>
        <v>0.72919854357913927</v>
      </c>
      <c r="HL31" s="133">
        <f t="shared" si="75"/>
        <v>0.74907948440779337</v>
      </c>
      <c r="HM31" s="133">
        <f t="shared" si="76"/>
        <v>0.77152657791673684</v>
      </c>
      <c r="HN31" s="81"/>
      <c r="HO31" s="81">
        <v>32</v>
      </c>
      <c r="HP31" s="83">
        <f t="shared" si="77"/>
        <v>0.44992007007198465</v>
      </c>
      <c r="HQ31" s="83">
        <f t="shared" si="78"/>
        <v>0.48322629300703707</v>
      </c>
      <c r="HR31" s="83">
        <f t="shared" si="79"/>
        <v>0.51000477307539194</v>
      </c>
      <c r="HS31" s="83">
        <f t="shared" si="359"/>
        <v>0.5391064700063054</v>
      </c>
      <c r="HT31" s="83">
        <f t="shared" si="360"/>
        <v>0.58419901047832379</v>
      </c>
      <c r="HU31" s="84">
        <f t="shared" si="361"/>
        <v>0.63039183360823148</v>
      </c>
      <c r="HV31" s="83">
        <f t="shared" si="362"/>
        <v>0.67318873306442761</v>
      </c>
      <c r="HW31" s="83">
        <f t="shared" si="80"/>
        <v>0.7092265626820986</v>
      </c>
      <c r="HX31" s="83">
        <f t="shared" si="81"/>
        <v>0.72991169853308824</v>
      </c>
      <c r="HY31" s="83">
        <f t="shared" si="82"/>
        <v>0.74735339820173152</v>
      </c>
      <c r="HZ31" s="83">
        <f t="shared" si="83"/>
        <v>0.76709593296294065</v>
      </c>
      <c r="IA31" s="81"/>
      <c r="IB31" s="81">
        <v>30</v>
      </c>
      <c r="IC31" s="83">
        <f t="shared" si="84"/>
        <v>0.29780979793708839</v>
      </c>
      <c r="ID31" s="83">
        <f t="shared" si="85"/>
        <v>0.31547500315439303</v>
      </c>
      <c r="IE31" s="83">
        <f t="shared" si="86"/>
        <v>0.32883559118087741</v>
      </c>
      <c r="IF31" s="83">
        <f t="shared" si="363"/>
        <v>0.34266430225758088</v>
      </c>
      <c r="IG31" s="83">
        <f t="shared" si="364"/>
        <v>0.36293006891669138</v>
      </c>
      <c r="IH31" s="84">
        <f t="shared" si="365"/>
        <v>0.38250325557584097</v>
      </c>
      <c r="II31" s="83">
        <f t="shared" si="366"/>
        <v>0.39976376116729723</v>
      </c>
      <c r="IJ31" s="83">
        <f t="shared" si="87"/>
        <v>0.41374690306705825</v>
      </c>
      <c r="IK31" s="83">
        <f t="shared" si="88"/>
        <v>0.42157111473497905</v>
      </c>
      <c r="IL31" s="83">
        <f t="shared" si="89"/>
        <v>0.42806316175933107</v>
      </c>
      <c r="IM31" s="83">
        <f t="shared" si="90"/>
        <v>0.435302185313997</v>
      </c>
      <c r="IN31" s="81"/>
      <c r="IO31" s="81">
        <v>30</v>
      </c>
      <c r="IP31" s="133">
        <f t="shared" si="91"/>
        <v>0.28532523350112149</v>
      </c>
      <c r="IQ31" s="133">
        <f t="shared" si="92"/>
        <v>0.30586419115465235</v>
      </c>
      <c r="IR31" s="133">
        <f t="shared" si="93"/>
        <v>0.32106184187893549</v>
      </c>
      <c r="IS31" s="133">
        <f t="shared" si="367"/>
        <v>0.33655860068490151</v>
      </c>
      <c r="IT31" s="133">
        <f t="shared" si="368"/>
        <v>0.35893765614185358</v>
      </c>
      <c r="IU31" s="134">
        <f t="shared" si="369"/>
        <v>0.38026751491241989</v>
      </c>
      <c r="IV31" s="133">
        <f t="shared" si="370"/>
        <v>0.39890113531842719</v>
      </c>
      <c r="IW31" s="133">
        <f t="shared" si="94"/>
        <v>0.41390079675322405</v>
      </c>
      <c r="IX31" s="133">
        <f t="shared" si="95"/>
        <v>0.422262264882029</v>
      </c>
      <c r="IY31" s="133">
        <f t="shared" si="96"/>
        <v>0.42918486733690264</v>
      </c>
      <c r="IZ31" s="133">
        <f t="shared" si="97"/>
        <v>0.43688909057995484</v>
      </c>
      <c r="JA31" s="81"/>
      <c r="JB31" s="81">
        <v>32</v>
      </c>
      <c r="JC31" s="133">
        <f t="shared" si="98"/>
        <v>0.31164809441194585</v>
      </c>
      <c r="JD31" s="133">
        <f t="shared" si="99"/>
        <v>0.32666551208118194</v>
      </c>
      <c r="JE31" s="133">
        <f t="shared" si="100"/>
        <v>0.33825847540839898</v>
      </c>
      <c r="JF31" s="133">
        <f t="shared" si="371"/>
        <v>0.35043636462610039</v>
      </c>
      <c r="JG31" s="133">
        <f t="shared" si="372"/>
        <v>0.36855656315907992</v>
      </c>
      <c r="JH31" s="134">
        <f t="shared" si="373"/>
        <v>0.38630946799694676</v>
      </c>
      <c r="JI31" s="133">
        <f t="shared" si="374"/>
        <v>0.40213051822343737</v>
      </c>
      <c r="JJ31" s="133">
        <f t="shared" si="101"/>
        <v>0.41504193234087516</v>
      </c>
      <c r="JK31" s="133">
        <f t="shared" si="102"/>
        <v>0.4222984441446907</v>
      </c>
      <c r="JL31" s="133">
        <f t="shared" si="103"/>
        <v>0.42833518820368027</v>
      </c>
      <c r="JM31" s="133">
        <f t="shared" si="104"/>
        <v>0.43508212213773406</v>
      </c>
      <c r="JN31" s="81"/>
      <c r="JO31" s="81">
        <v>29</v>
      </c>
      <c r="JP31" s="133">
        <f t="shared" si="105"/>
        <v>-7.2838636537279999</v>
      </c>
      <c r="JQ31" s="133">
        <f t="shared" si="106"/>
        <v>-5.8775886242856927</v>
      </c>
      <c r="JR31" s="133">
        <f t="shared" si="107"/>
        <v>-4.6493285709527967</v>
      </c>
      <c r="JS31" s="133">
        <f t="shared" si="375"/>
        <v>-3.2128337622325809</v>
      </c>
      <c r="JT31" s="133">
        <f t="shared" si="376"/>
        <v>-0.77089112600677367</v>
      </c>
      <c r="JU31" s="134">
        <f t="shared" si="377"/>
        <v>2.013277918455632</v>
      </c>
      <c r="JV31" s="133">
        <f t="shared" si="378"/>
        <v>4.858132803953076</v>
      </c>
      <c r="JW31" s="133">
        <f t="shared" si="108"/>
        <v>7.4585038659395479</v>
      </c>
      <c r="JX31" s="133">
        <f t="shared" si="109"/>
        <v>9.0378705418456633</v>
      </c>
      <c r="JY31" s="133">
        <f t="shared" si="110"/>
        <v>10.419702287566718</v>
      </c>
      <c r="JZ31" s="133">
        <f t="shared" si="111"/>
        <v>12.039918015503002</v>
      </c>
      <c r="KA31" s="81"/>
      <c r="KB31" s="81">
        <v>29</v>
      </c>
      <c r="KC31" s="133">
        <f t="shared" si="112"/>
        <v>-5.4159364244893027</v>
      </c>
      <c r="KD31" s="133">
        <f t="shared" si="113"/>
        <v>-4.278753538472607</v>
      </c>
      <c r="KE31" s="133">
        <f t="shared" si="114"/>
        <v>-3.255812831937078</v>
      </c>
      <c r="KF31" s="133">
        <f t="shared" si="379"/>
        <v>-2.0274133881721355</v>
      </c>
      <c r="KG31" s="133">
        <f t="shared" si="380"/>
        <v>0.13230759137967318</v>
      </c>
      <c r="KH31" s="134">
        <f t="shared" si="381"/>
        <v>2.6923722277423767</v>
      </c>
      <c r="KI31" s="133">
        <f t="shared" si="382"/>
        <v>5.4030917436940182</v>
      </c>
      <c r="KJ31" s="133">
        <f t="shared" si="115"/>
        <v>7.9558839642908108</v>
      </c>
      <c r="KK31" s="133">
        <f t="shared" si="116"/>
        <v>9.538477106946802</v>
      </c>
      <c r="KL31" s="133">
        <f t="shared" si="117"/>
        <v>10.941853183636097</v>
      </c>
      <c r="KM31" s="133">
        <f t="shared" si="118"/>
        <v>12.60855740983809</v>
      </c>
      <c r="KN31" s="81"/>
      <c r="KO31" s="81">
        <v>31</v>
      </c>
      <c r="KP31" s="133">
        <f t="shared" si="119"/>
        <v>-8.5401962173453061</v>
      </c>
      <c r="KQ31" s="133">
        <f t="shared" si="120"/>
        <v>-6.9356569282944154</v>
      </c>
      <c r="KR31" s="133">
        <f t="shared" si="121"/>
        <v>-5.5644614249178392</v>
      </c>
      <c r="KS31" s="133">
        <f t="shared" si="383"/>
        <v>-3.9925507115141272</v>
      </c>
      <c r="KT31" s="133">
        <f t="shared" si="384"/>
        <v>-1.3892361269343709</v>
      </c>
      <c r="KU31" s="134">
        <f t="shared" si="385"/>
        <v>1.4882038784060541</v>
      </c>
      <c r="KV31" s="133">
        <f t="shared" si="386"/>
        <v>4.3436577105827539</v>
      </c>
      <c r="KW31" s="133">
        <f t="shared" si="122"/>
        <v>6.8891210978483635</v>
      </c>
      <c r="KX31" s="133">
        <f t="shared" si="123"/>
        <v>8.4082723314881918</v>
      </c>
      <c r="KY31" s="133">
        <f t="shared" si="124"/>
        <v>9.7220957224262818</v>
      </c>
      <c r="KZ31" s="133">
        <f t="shared" si="125"/>
        <v>11.245483249336221</v>
      </c>
      <c r="LA31" s="81"/>
      <c r="LB31" s="81">
        <v>29</v>
      </c>
      <c r="LC31" s="133">
        <f t="shared" si="126"/>
        <v>-18.929888775973865</v>
      </c>
      <c r="LD31" s="133">
        <f t="shared" si="127"/>
        <v>-15.363929024276821</v>
      </c>
      <c r="LE31" s="133">
        <f t="shared" si="128"/>
        <v>-12.191374849984591</v>
      </c>
      <c r="LF31" s="133">
        <f t="shared" si="387"/>
        <v>-8.4232255185265927</v>
      </c>
      <c r="LG31" s="133">
        <f t="shared" si="388"/>
        <v>-1.8991471114757914</v>
      </c>
      <c r="LH31" s="134">
        <f t="shared" si="389"/>
        <v>5.6865659284534971</v>
      </c>
      <c r="LI31" s="133">
        <f t="shared" si="390"/>
        <v>13.567475086050074</v>
      </c>
      <c r="LJ31" s="133">
        <f t="shared" si="129"/>
        <v>20.865562446490664</v>
      </c>
      <c r="LK31" s="133">
        <f t="shared" si="130"/>
        <v>25.336129201029863</v>
      </c>
      <c r="LL31" s="133">
        <f t="shared" si="131"/>
        <v>29.268728357110582</v>
      </c>
      <c r="LM31" s="133">
        <f t="shared" si="132"/>
        <v>33.902977748825627</v>
      </c>
      <c r="LN31" s="81"/>
      <c r="LO31" s="81">
        <v>29</v>
      </c>
      <c r="LP31" s="133">
        <f t="shared" si="133"/>
        <v>-15.526788436918499</v>
      </c>
      <c r="LQ31" s="133">
        <f t="shared" si="134"/>
        <v>-12.133290926165458</v>
      </c>
      <c r="LR31" s="133">
        <f t="shared" si="135"/>
        <v>-9.0971095836335216</v>
      </c>
      <c r="LS31" s="133">
        <f t="shared" si="391"/>
        <v>-5.4732189029858844</v>
      </c>
      <c r="LT31" s="133">
        <f t="shared" si="392"/>
        <v>0.83932704088547894</v>
      </c>
      <c r="LU31" s="134">
        <f t="shared" si="393"/>
        <v>8.2293916829836142</v>
      </c>
      <c r="LV31" s="133">
        <f t="shared" si="394"/>
        <v>15.95410672424887</v>
      </c>
      <c r="LW31" s="133">
        <f t="shared" si="136"/>
        <v>23.143649047334112</v>
      </c>
      <c r="LX31" s="133">
        <f t="shared" si="137"/>
        <v>27.562824929585535</v>
      </c>
      <c r="LY31" s="133">
        <f t="shared" si="138"/>
        <v>31.458880800025607</v>
      </c>
      <c r="LZ31" s="133">
        <f t="shared" si="139"/>
        <v>36.059785179767147</v>
      </c>
      <c r="MA31" s="81"/>
      <c r="MB31" s="81">
        <v>31</v>
      </c>
      <c r="MC31" s="133">
        <f t="shared" si="140"/>
        <v>-19.778230514053888</v>
      </c>
      <c r="MD31" s="133">
        <f t="shared" si="141"/>
        <v>-16.240686750299041</v>
      </c>
      <c r="ME31" s="133">
        <f t="shared" si="142"/>
        <v>-13.133817421823384</v>
      </c>
      <c r="MF31" s="133">
        <f t="shared" si="395"/>
        <v>-9.4864123087560763</v>
      </c>
      <c r="MG31" s="133">
        <f t="shared" si="396"/>
        <v>-3.2648022229497684</v>
      </c>
      <c r="MH31" s="134">
        <f t="shared" si="397"/>
        <v>3.8452627583079604</v>
      </c>
      <c r="MI31" s="133">
        <f t="shared" si="398"/>
        <v>11.115616492856844</v>
      </c>
      <c r="MJ31" s="133">
        <f t="shared" si="143"/>
        <v>17.759085263869032</v>
      </c>
      <c r="MK31" s="133">
        <f t="shared" si="144"/>
        <v>21.791422380233584</v>
      </c>
      <c r="ML31" s="133">
        <f t="shared" si="145"/>
        <v>25.317220959177156</v>
      </c>
      <c r="MM31" s="133">
        <f t="shared" si="146"/>
        <v>29.448247601544601</v>
      </c>
      <c r="MN31" s="81"/>
      <c r="MO31" s="81">
        <v>29</v>
      </c>
      <c r="MP31" s="133">
        <f t="shared" si="147"/>
        <v>-25.255226750001</v>
      </c>
      <c r="MQ31" s="133">
        <f t="shared" si="148"/>
        <v>-20.916336498320664</v>
      </c>
      <c r="MR31" s="133">
        <f t="shared" si="149"/>
        <v>-17.153742813189126</v>
      </c>
      <c r="MS31" s="133">
        <f t="shared" si="399"/>
        <v>-12.787277275449963</v>
      </c>
      <c r="MT31" s="133">
        <f t="shared" si="400"/>
        <v>-5.4484235729261918</v>
      </c>
      <c r="MU31" s="134">
        <f t="shared" si="401"/>
        <v>2.7963352530712129</v>
      </c>
      <c r="MV31" s="133">
        <f t="shared" si="402"/>
        <v>11.096502974761748</v>
      </c>
      <c r="MW31" s="133">
        <f t="shared" si="150"/>
        <v>18.58295252677614</v>
      </c>
      <c r="MX31" s="133">
        <f t="shared" si="151"/>
        <v>23.086590516309435</v>
      </c>
      <c r="MY31" s="133">
        <f t="shared" si="152"/>
        <v>27.001623887373277</v>
      </c>
      <c r="MZ31" s="133">
        <f t="shared" si="153"/>
        <v>31.563333746032477</v>
      </c>
      <c r="NA31" s="81"/>
      <c r="NB31" s="81">
        <v>29</v>
      </c>
      <c r="NC31" s="133">
        <f t="shared" si="154"/>
        <v>-20.597592296224885</v>
      </c>
      <c r="ND31" s="133">
        <f t="shared" si="155"/>
        <v>-16.485199166334741</v>
      </c>
      <c r="NE31" s="133">
        <f t="shared" si="156"/>
        <v>-12.893943082444354</v>
      </c>
      <c r="NF31" s="133">
        <f t="shared" si="403"/>
        <v>-8.7063774432845413</v>
      </c>
      <c r="NG31" s="133">
        <f t="shared" si="404"/>
        <v>-1.6337019369895849</v>
      </c>
      <c r="NH31" s="134">
        <f t="shared" si="405"/>
        <v>6.3493185366532181</v>
      </c>
      <c r="NI31" s="133">
        <f t="shared" si="406"/>
        <v>14.415537192348477</v>
      </c>
      <c r="NJ31" s="133">
        <f t="shared" si="157"/>
        <v>21.711055982775807</v>
      </c>
      <c r="NK31" s="133">
        <f t="shared" si="158"/>
        <v>26.107607197900311</v>
      </c>
      <c r="NL31" s="133">
        <f t="shared" si="159"/>
        <v>29.933784830637411</v>
      </c>
      <c r="NM31" s="133">
        <f t="shared" si="160"/>
        <v>34.396534967973921</v>
      </c>
      <c r="NN31" s="81"/>
      <c r="NO31" s="81">
        <v>31</v>
      </c>
      <c r="NP31" s="133">
        <f t="shared" si="161"/>
        <v>-25.792644264949192</v>
      </c>
      <c r="NQ31" s="133">
        <f t="shared" si="162"/>
        <v>-21.817082928523046</v>
      </c>
      <c r="NR31" s="133">
        <f t="shared" si="163"/>
        <v>-18.393622205931074</v>
      </c>
      <c r="NS31" s="133">
        <f t="shared" si="407"/>
        <v>-14.44268624375486</v>
      </c>
      <c r="NT31" s="133">
        <f t="shared" si="408"/>
        <v>-7.8443429895367665</v>
      </c>
      <c r="NU31" s="134">
        <f t="shared" si="409"/>
        <v>-0.48107340037772417</v>
      </c>
      <c r="NV31" s="133">
        <f t="shared" si="410"/>
        <v>6.8896776107471993</v>
      </c>
      <c r="NW31" s="133">
        <f t="shared" si="164"/>
        <v>13.507968243787474</v>
      </c>
      <c r="NX31" s="133">
        <f t="shared" si="165"/>
        <v>17.477468549450585</v>
      </c>
      <c r="NY31" s="133">
        <f t="shared" si="166"/>
        <v>20.92159097582536</v>
      </c>
      <c r="NZ31" s="133">
        <f t="shared" si="167"/>
        <v>24.927417946971666</v>
      </c>
      <c r="OA31" s="81"/>
      <c r="OB31" s="81">
        <v>29</v>
      </c>
      <c r="OC31" s="133">
        <v>15.252854331973385</v>
      </c>
      <c r="OD31" s="133">
        <v>16.929374018546714</v>
      </c>
      <c r="OE31" s="133">
        <v>18.517934811497124</v>
      </c>
      <c r="OF31" s="133">
        <v>20.535314254090043</v>
      </c>
      <c r="OG31" s="133">
        <v>24.401536833790573</v>
      </c>
      <c r="OH31" s="134">
        <v>29.574517790051612</v>
      </c>
      <c r="OI31" s="133">
        <v>35.844140001169308</v>
      </c>
      <c r="OJ31" s="133">
        <v>42.592584252265503</v>
      </c>
      <c r="OK31" s="133">
        <v>47.232702318999344</v>
      </c>
      <c r="OL31" s="133">
        <v>51.6647633607638</v>
      </c>
      <c r="OM31" s="133">
        <v>57.343503286503754</v>
      </c>
      <c r="ON31" s="81"/>
      <c r="OO31" s="81">
        <v>29</v>
      </c>
      <c r="OP31" s="133">
        <v>13.945089738924517</v>
      </c>
      <c r="OQ31" s="133">
        <v>15.347267904971305</v>
      </c>
      <c r="OR31" s="133">
        <v>16.665475629217674</v>
      </c>
      <c r="OS31" s="133">
        <v>18.326412388335783</v>
      </c>
      <c r="OT31" s="133">
        <v>25.280586361539989</v>
      </c>
      <c r="OU31" s="134">
        <v>25.622510035502039</v>
      </c>
      <c r="OV31" s="133">
        <v>30.572949608665343</v>
      </c>
      <c r="OW31" s="133">
        <v>35.823324642484529</v>
      </c>
      <c r="OX31" s="133">
        <v>39.393596386076943</v>
      </c>
      <c r="OY31" s="133">
        <v>42.777191652902879</v>
      </c>
      <c r="OZ31" s="133">
        <v>47.078436410982519</v>
      </c>
      <c r="PA31" s="81"/>
      <c r="PB31" s="81">
        <v>31</v>
      </c>
      <c r="PC31" s="133">
        <v>20.507503945892783</v>
      </c>
      <c r="PD31" s="133">
        <v>22.246467775852157</v>
      </c>
      <c r="PE31" s="133">
        <v>23.859562492124251</v>
      </c>
      <c r="PF31" s="133">
        <v>25.865054003213128</v>
      </c>
      <c r="PG31" s="133">
        <v>29.592694696090021</v>
      </c>
      <c r="PH31" s="134">
        <v>34.383959941331824</v>
      </c>
      <c r="PI31" s="133">
        <v>39.950964702221569</v>
      </c>
      <c r="PJ31" s="133">
        <v>45.708650022545633</v>
      </c>
      <c r="PK31" s="133">
        <v>49.550644595321508</v>
      </c>
      <c r="PL31" s="133">
        <v>53.143569269473645</v>
      </c>
      <c r="PM31" s="133">
        <v>57.649956053471499</v>
      </c>
      <c r="PN31" s="81"/>
      <c r="PO31" s="81">
        <v>29</v>
      </c>
      <c r="PP31" s="133">
        <v>8.0755865911510902</v>
      </c>
      <c r="PQ31" s="133">
        <v>8.8107176094959438</v>
      </c>
      <c r="PR31" s="133">
        <v>9.4962757675116549</v>
      </c>
      <c r="PS31" s="133">
        <v>10.353143588325308</v>
      </c>
      <c r="PT31" s="133">
        <v>11.958051835119482</v>
      </c>
      <c r="PU31" s="134">
        <v>14.041731324080782</v>
      </c>
      <c r="PV31" s="133">
        <v>16.48849003970733</v>
      </c>
      <c r="PW31" s="133">
        <v>19.044478316712418</v>
      </c>
      <c r="PX31" s="133">
        <v>20.762899414971056</v>
      </c>
      <c r="PY31" s="133">
        <v>22.378451712624067</v>
      </c>
      <c r="PZ31" s="133">
        <v>24.41559091121912</v>
      </c>
      <c r="QA31" s="81"/>
      <c r="QB31" s="81">
        <v>29</v>
      </c>
      <c r="QC31" s="133">
        <v>7.7270723678210596</v>
      </c>
      <c r="QD31" s="133">
        <v>8.4288144546785162</v>
      </c>
      <c r="QE31" s="133">
        <v>9.0831153994960072</v>
      </c>
      <c r="QF31" s="133">
        <v>9.9007656856093504</v>
      </c>
      <c r="QG31" s="133">
        <v>11.431816213318827</v>
      </c>
      <c r="QH31" s="134">
        <v>13.418917275848091</v>
      </c>
      <c r="QI31" s="133">
        <v>15.75142020270269</v>
      </c>
      <c r="QJ31" s="133">
        <v>18.187213653362193</v>
      </c>
      <c r="QK31" s="133">
        <v>19.824403074967606</v>
      </c>
      <c r="QL31" s="133">
        <v>21.363305815339864</v>
      </c>
      <c r="QM31" s="133">
        <v>23.303436577860221</v>
      </c>
      <c r="QN31" s="81"/>
      <c r="QO31" s="81">
        <v>31</v>
      </c>
      <c r="QP31" s="133">
        <v>9.1107350027833451</v>
      </c>
      <c r="QQ31" s="133">
        <v>9.8664675203889054</v>
      </c>
      <c r="QR31" s="133">
        <v>10.566390924042034</v>
      </c>
      <c r="QS31" s="133">
        <v>11.435201645118918</v>
      </c>
      <c r="QT31" s="133">
        <v>13.046406579625925</v>
      </c>
      <c r="QU31" s="134">
        <v>15.111166151354777</v>
      </c>
      <c r="QV31" s="133">
        <v>17.502700154267135</v>
      </c>
      <c r="QW31" s="133">
        <v>19.968807681788434</v>
      </c>
      <c r="QX31" s="133">
        <v>21.610722534814105</v>
      </c>
      <c r="QY31" s="133">
        <v>23.143778863303833</v>
      </c>
      <c r="QZ31" s="133">
        <v>25.06354782397797</v>
      </c>
      <c r="RA31" s="81"/>
      <c r="RB31" s="81">
        <v>29</v>
      </c>
      <c r="RC31" s="133">
        <f t="shared" si="168"/>
        <v>0.26600715832832067</v>
      </c>
      <c r="RD31" s="133">
        <f t="shared" si="169"/>
        <v>0.28867694318620979</v>
      </c>
      <c r="RE31" s="133">
        <f t="shared" si="170"/>
        <v>0.30997175609840771</v>
      </c>
      <c r="RF31" s="133">
        <f t="shared" si="411"/>
        <v>0.33681006537396013</v>
      </c>
      <c r="RG31" s="133">
        <f t="shared" si="412"/>
        <v>0.3877842037077307</v>
      </c>
      <c r="RH31" s="134">
        <f t="shared" si="413"/>
        <v>0.45541949867385345</v>
      </c>
      <c r="RI31" s="133">
        <f t="shared" si="414"/>
        <v>0.53703895601432505</v>
      </c>
      <c r="RJ31" s="133">
        <f t="shared" si="171"/>
        <v>0.62491909846610671</v>
      </c>
      <c r="RK31" s="133">
        <f t="shared" si="172"/>
        <v>0.68553258036398268</v>
      </c>
      <c r="RL31" s="133">
        <f t="shared" si="173"/>
        <v>0.7436517155366249</v>
      </c>
      <c r="RM31" s="133">
        <f t="shared" si="174"/>
        <v>0.81851468715543729</v>
      </c>
      <c r="RN31" s="81"/>
      <c r="RO31" s="81">
        <v>29</v>
      </c>
      <c r="RP31" s="133">
        <f t="shared" si="175"/>
        <v>0.29228649314203736</v>
      </c>
      <c r="RQ31" s="133">
        <f t="shared" si="176"/>
        <v>0.31494462936110174</v>
      </c>
      <c r="RR31" s="133">
        <f t="shared" si="177"/>
        <v>0.3361586934711423</v>
      </c>
      <c r="RS31" s="133">
        <f t="shared" si="415"/>
        <v>0.36281423941479191</v>
      </c>
      <c r="RT31" s="133">
        <f t="shared" si="416"/>
        <v>0.41324454919886155</v>
      </c>
      <c r="RU31" s="134">
        <f t="shared" si="417"/>
        <v>0.47987579804954472</v>
      </c>
      <c r="RV31" s="133">
        <f t="shared" si="418"/>
        <v>0.5600239799943082</v>
      </c>
      <c r="RW31" s="133">
        <f t="shared" si="178"/>
        <v>0.64616665617294489</v>
      </c>
      <c r="RX31" s="133">
        <f t="shared" si="179"/>
        <v>0.70555531711538033</v>
      </c>
      <c r="RY31" s="133">
        <f t="shared" si="180"/>
        <v>0.76251260183458502</v>
      </c>
      <c r="RZ31" s="133">
        <f t="shared" si="181"/>
        <v>0.8359303606556111</v>
      </c>
      <c r="SA31" s="81"/>
      <c r="SB31" s="81">
        <v>31</v>
      </c>
      <c r="SC31" s="133">
        <f t="shared" si="182"/>
        <v>0.25166332970549476</v>
      </c>
      <c r="SD31" s="133">
        <f t="shared" si="183"/>
        <v>0.27449973132786171</v>
      </c>
      <c r="SE31" s="133">
        <f t="shared" si="184"/>
        <v>0.29581416771821162</v>
      </c>
      <c r="SF31" s="133">
        <f t="shared" si="419"/>
        <v>0.32247955664972838</v>
      </c>
      <c r="SG31" s="133">
        <f t="shared" si="420"/>
        <v>0.37249853949623435</v>
      </c>
      <c r="SH31" s="134">
        <f t="shared" si="421"/>
        <v>0.43758409245103846</v>
      </c>
      <c r="SI31" s="133">
        <f t="shared" si="422"/>
        <v>0.51421553710544887</v>
      </c>
      <c r="SJ31" s="133">
        <f t="shared" si="185"/>
        <v>0.59449602077878683</v>
      </c>
      <c r="SK31" s="133">
        <f t="shared" si="186"/>
        <v>0.64859564059232111</v>
      </c>
      <c r="SL31" s="133">
        <f t="shared" si="187"/>
        <v>0.69954607130301905</v>
      </c>
      <c r="SM31" s="133">
        <f t="shared" si="188"/>
        <v>0.76391191371702083</v>
      </c>
      <c r="SN31" s="81"/>
      <c r="SO31" s="81">
        <v>29</v>
      </c>
      <c r="SP31" s="133">
        <f t="shared" si="189"/>
        <v>0.20945149601613294</v>
      </c>
      <c r="SQ31" s="133">
        <f t="shared" si="190"/>
        <v>0.22374637599522626</v>
      </c>
      <c r="SR31" s="133">
        <f t="shared" si="191"/>
        <v>0.23661298360279745</v>
      </c>
      <c r="SS31" s="133">
        <f t="shared" si="423"/>
        <v>0.25212450341152082</v>
      </c>
      <c r="ST31" s="133">
        <f t="shared" si="424"/>
        <v>0.27967517161542238</v>
      </c>
      <c r="SU31" s="134">
        <f t="shared" si="425"/>
        <v>0.31296760063510043</v>
      </c>
      <c r="SV31" s="133">
        <f t="shared" si="426"/>
        <v>0.34913493976280574</v>
      </c>
      <c r="SW31" s="133">
        <f t="shared" si="192"/>
        <v>0.38416173099800216</v>
      </c>
      <c r="SX31" s="133">
        <f t="shared" si="193"/>
        <v>0.40637869385584385</v>
      </c>
      <c r="SY31" s="133">
        <f t="shared" si="194"/>
        <v>0.42641375702041701</v>
      </c>
      <c r="SZ31" s="133">
        <f t="shared" si="195"/>
        <v>0.45062640432039103</v>
      </c>
      <c r="TA31" s="81"/>
      <c r="TB31" s="81">
        <v>29</v>
      </c>
      <c r="TC31" s="133">
        <f t="shared" si="196"/>
        <v>0.22590503470778395</v>
      </c>
      <c r="TD31" s="133">
        <f t="shared" si="197"/>
        <v>0.23950624741793558</v>
      </c>
      <c r="TE31" s="133">
        <f t="shared" si="198"/>
        <v>0.25173853559527992</v>
      </c>
      <c r="TF31" s="133">
        <f t="shared" si="427"/>
        <v>0.2664774845465317</v>
      </c>
      <c r="TG31" s="133">
        <f t="shared" si="428"/>
        <v>0.29264812573680088</v>
      </c>
      <c r="TH31" s="134">
        <f t="shared" si="429"/>
        <v>0.3242836446157582</v>
      </c>
      <c r="TI31" s="133">
        <f t="shared" si="430"/>
        <v>0.35869232015395669</v>
      </c>
      <c r="TJ31" s="133">
        <f t="shared" si="199"/>
        <v>0.3920782856954354</v>
      </c>
      <c r="TK31" s="133">
        <f t="shared" si="200"/>
        <v>0.41329343724196688</v>
      </c>
      <c r="TL31" s="133">
        <f t="shared" si="201"/>
        <v>0.43245399143013585</v>
      </c>
      <c r="TM31" s="133">
        <f t="shared" si="202"/>
        <v>0.45564896205126798</v>
      </c>
      <c r="TN31" s="81"/>
      <c r="TO31" s="81">
        <v>31</v>
      </c>
      <c r="TP31" s="133">
        <f t="shared" si="203"/>
        <v>0.20020907546409167</v>
      </c>
      <c r="TQ31" s="133">
        <f t="shared" si="204"/>
        <v>0.21500563594808439</v>
      </c>
      <c r="TR31" s="133">
        <f t="shared" si="205"/>
        <v>0.22820845685866425</v>
      </c>
      <c r="TS31" s="133">
        <f t="shared" si="431"/>
        <v>0.24398248336947276</v>
      </c>
      <c r="TT31" s="133">
        <f t="shared" si="432"/>
        <v>0.27162515771763424</v>
      </c>
      <c r="TU31" s="134">
        <f t="shared" si="433"/>
        <v>0.30441748928387524</v>
      </c>
      <c r="TV31" s="133">
        <f t="shared" si="434"/>
        <v>0.33932844447475613</v>
      </c>
      <c r="TW31" s="133">
        <f t="shared" si="206"/>
        <v>0.37247732084712654</v>
      </c>
      <c r="TX31" s="133">
        <f t="shared" si="207"/>
        <v>0.39318598737334515</v>
      </c>
      <c r="TY31" s="133">
        <f t="shared" si="208"/>
        <v>0.4116600574452749</v>
      </c>
      <c r="TZ31" s="133">
        <f t="shared" si="209"/>
        <v>0.43374251834626887</v>
      </c>
      <c r="UA31" s="81"/>
      <c r="UB31" s="81">
        <v>29</v>
      </c>
      <c r="UC31" s="133">
        <f t="shared" si="210"/>
        <v>-26.830154232747446</v>
      </c>
      <c r="UD31" s="133">
        <f t="shared" si="211"/>
        <v>-23.142444074551896</v>
      </c>
      <c r="UE31" s="133">
        <f t="shared" si="212"/>
        <v>-20.07955461205578</v>
      </c>
      <c r="UF31" s="133">
        <f t="shared" si="435"/>
        <v>-16.655891151709831</v>
      </c>
      <c r="UG31" s="133">
        <f t="shared" si="436"/>
        <v>-11.163524304452224</v>
      </c>
      <c r="UH31" s="134">
        <f t="shared" si="437"/>
        <v>-5.3115317268146853</v>
      </c>
      <c r="UI31" s="133">
        <f t="shared" si="438"/>
        <v>0.30461736295603714</v>
      </c>
      <c r="UJ31" s="133">
        <f t="shared" si="213"/>
        <v>5.1730410754699534</v>
      </c>
      <c r="UK31" s="133">
        <f t="shared" si="214"/>
        <v>8.0232452292352008</v>
      </c>
      <c r="UL31" s="133">
        <f t="shared" si="215"/>
        <v>10.457500342110023</v>
      </c>
      <c r="UM31" s="133">
        <f t="shared" si="216"/>
        <v>13.246513979366313</v>
      </c>
      <c r="UN31" s="81"/>
      <c r="UO31" s="81">
        <v>29</v>
      </c>
      <c r="UP31" s="133">
        <f t="shared" si="217"/>
        <v>-22.331050455443926</v>
      </c>
      <c r="UQ31" s="133">
        <f t="shared" si="218"/>
        <v>-19.385795885564271</v>
      </c>
      <c r="UR31" s="133">
        <f t="shared" si="219"/>
        <v>-16.862327329830865</v>
      </c>
      <c r="US31" s="133">
        <f t="shared" si="439"/>
        <v>-13.962090352080072</v>
      </c>
      <c r="UT31" s="133">
        <f t="shared" si="440"/>
        <v>-9.1421188964702829</v>
      </c>
      <c r="UU31" s="134">
        <f t="shared" si="441"/>
        <v>-3.7917534399086712</v>
      </c>
      <c r="UV31" s="133">
        <f t="shared" si="442"/>
        <v>1.5396245125862791</v>
      </c>
      <c r="UW31" s="133">
        <f t="shared" si="220"/>
        <v>6.3091916907520798</v>
      </c>
      <c r="UX31" s="133">
        <f t="shared" si="221"/>
        <v>9.1628442111021471</v>
      </c>
      <c r="UY31" s="133">
        <f t="shared" si="222"/>
        <v>11.634896893287049</v>
      </c>
      <c r="UZ31" s="133">
        <f t="shared" si="223"/>
        <v>14.505841105101005</v>
      </c>
      <c r="VA31" s="81"/>
      <c r="VB31" s="81">
        <v>32</v>
      </c>
      <c r="VC31" s="133">
        <f t="shared" si="224"/>
        <v>-28.152048765360377</v>
      </c>
      <c r="VD31" s="133">
        <f t="shared" si="225"/>
        <v>-24.084070978982169</v>
      </c>
      <c r="VE31" s="133">
        <f t="shared" si="226"/>
        <v>-20.787228301603783</v>
      </c>
      <c r="VF31" s="133">
        <f t="shared" si="443"/>
        <v>-17.175498230868158</v>
      </c>
      <c r="VG31" s="133">
        <f t="shared" si="444"/>
        <v>-11.516422999271782</v>
      </c>
      <c r="VH31" s="134">
        <f t="shared" si="445"/>
        <v>-5.6374265011554883</v>
      </c>
      <c r="VI31" s="133">
        <f t="shared" si="446"/>
        <v>-0.11563936003779673</v>
      </c>
      <c r="VJ31" s="133">
        <f t="shared" si="227"/>
        <v>4.590009002494881</v>
      </c>
      <c r="VK31" s="133">
        <f t="shared" si="228"/>
        <v>7.3139398512013827</v>
      </c>
      <c r="VL31" s="133">
        <f t="shared" si="229"/>
        <v>9.6236835030439778</v>
      </c>
      <c r="VM31" s="133">
        <f t="shared" si="230"/>
        <v>12.25229584260714</v>
      </c>
      <c r="VN31" s="81"/>
      <c r="VO31" s="81">
        <v>29</v>
      </c>
      <c r="VP31" s="133">
        <f t="shared" si="231"/>
        <v>-43.87790636838028</v>
      </c>
      <c r="VQ31" s="133">
        <f t="shared" si="232"/>
        <v>-40.089026755577194</v>
      </c>
      <c r="VR31" s="133">
        <f t="shared" si="233"/>
        <v>-36.470159335667248</v>
      </c>
      <c r="VS31" s="133">
        <f t="shared" si="447"/>
        <v>-31.901009014872017</v>
      </c>
      <c r="VT31" s="133">
        <f t="shared" si="448"/>
        <v>-23.372947021501467</v>
      </c>
      <c r="VU31" s="134">
        <f t="shared" si="449"/>
        <v>-12.594468561841772</v>
      </c>
      <c r="VV31" s="133">
        <f t="shared" si="450"/>
        <v>-0.53696583503004547</v>
      </c>
      <c r="VW31" s="133">
        <f t="shared" si="234"/>
        <v>11.325268208720665</v>
      </c>
      <c r="VX31" s="133">
        <f t="shared" si="235"/>
        <v>18.895303086744015</v>
      </c>
      <c r="VY31" s="133">
        <f t="shared" si="236"/>
        <v>25.73381919220656</v>
      </c>
      <c r="VZ31" s="133">
        <f t="shared" si="237"/>
        <v>33.998279185411057</v>
      </c>
      <c r="WA31" s="81"/>
      <c r="WB31" s="81">
        <v>29</v>
      </c>
      <c r="WC31" s="133">
        <f t="shared" si="238"/>
        <v>-40.378747440406642</v>
      </c>
      <c r="WD31" s="133">
        <f t="shared" si="239"/>
        <v>-36.816911472272984</v>
      </c>
      <c r="WE31" s="133">
        <f t="shared" si="240"/>
        <v>-33.353658120649591</v>
      </c>
      <c r="WF31" s="133">
        <f t="shared" si="451"/>
        <v>-28.92250706491312</v>
      </c>
      <c r="WG31" s="133">
        <f t="shared" si="452"/>
        <v>-20.534518579293877</v>
      </c>
      <c r="WH31" s="134">
        <f t="shared" si="453"/>
        <v>-9.7909921307216266</v>
      </c>
      <c r="WI31" s="133">
        <f t="shared" si="454"/>
        <v>2.3487806370961906</v>
      </c>
      <c r="WJ31" s="133">
        <f t="shared" si="241"/>
        <v>14.378015754234291</v>
      </c>
      <c r="WK31" s="133">
        <f t="shared" si="242"/>
        <v>22.088444239745677</v>
      </c>
      <c r="WL31" s="133">
        <f t="shared" si="243"/>
        <v>29.072402624164887</v>
      </c>
      <c r="WM31" s="133">
        <f t="shared" si="244"/>
        <v>37.532971191887874</v>
      </c>
      <c r="WN31" s="81"/>
      <c r="WO31" s="81">
        <v>32</v>
      </c>
      <c r="WP31" s="133">
        <f t="shared" si="245"/>
        <v>-44.494094706917096</v>
      </c>
      <c r="WQ31" s="133">
        <f t="shared" si="246"/>
        <v>-40.470531680665601</v>
      </c>
      <c r="WR31" s="133">
        <f t="shared" si="247"/>
        <v>-36.67668468055426</v>
      </c>
      <c r="WS31" s="133">
        <f t="shared" si="455"/>
        <v>-31.951289259875661</v>
      </c>
      <c r="WT31" s="133">
        <f t="shared" si="456"/>
        <v>-23.300734608142427</v>
      </c>
      <c r="WU31" s="134">
        <f t="shared" si="457"/>
        <v>-12.627999494575313</v>
      </c>
      <c r="WV31" s="133">
        <f t="shared" si="458"/>
        <v>-0.96474710277485798</v>
      </c>
      <c r="WW31" s="133">
        <f t="shared" si="248"/>
        <v>10.278882374291761</v>
      </c>
      <c r="WX31" s="133">
        <f t="shared" si="249"/>
        <v>17.352564008979662</v>
      </c>
      <c r="WY31" s="133">
        <f t="shared" si="250"/>
        <v>23.682348238151555</v>
      </c>
      <c r="WZ31" s="133">
        <f t="shared" si="251"/>
        <v>31.262344127639274</v>
      </c>
      <c r="XA31" s="81"/>
      <c r="XB31" s="81">
        <v>29</v>
      </c>
      <c r="XC31" s="133">
        <f t="shared" si="252"/>
        <v>-49.213425956986114</v>
      </c>
      <c r="XD31" s="133">
        <f t="shared" si="253"/>
        <v>-44.893206604386904</v>
      </c>
      <c r="XE31" s="133">
        <f t="shared" si="254"/>
        <v>-40.815825716957235</v>
      </c>
      <c r="XF31" s="133">
        <f t="shared" si="459"/>
        <v>-35.770069272286136</v>
      </c>
      <c r="XG31" s="133">
        <f t="shared" si="460"/>
        <v>-26.660749530014023</v>
      </c>
      <c r="XH31" s="134">
        <f t="shared" si="461"/>
        <v>-15.648971984774192</v>
      </c>
      <c r="XI31" s="133">
        <f t="shared" si="462"/>
        <v>-3.8683198882574175</v>
      </c>
      <c r="XJ31" s="133">
        <f t="shared" si="255"/>
        <v>7.2744481075318319</v>
      </c>
      <c r="XK31" s="133">
        <f t="shared" si="256"/>
        <v>14.190462995823673</v>
      </c>
      <c r="XL31" s="133">
        <f t="shared" si="257"/>
        <v>20.323439314307031</v>
      </c>
      <c r="XM31" s="133">
        <f t="shared" si="258"/>
        <v>27.603835927114339</v>
      </c>
      <c r="XN31" s="81"/>
      <c r="XO31" s="81">
        <v>29</v>
      </c>
      <c r="XP31" s="133">
        <f t="shared" si="259"/>
        <v>-44.944220773299399</v>
      </c>
      <c r="XQ31" s="133">
        <f t="shared" si="260"/>
        <v>-40.581192260394587</v>
      </c>
      <c r="XR31" s="133">
        <f t="shared" si="261"/>
        <v>-36.503465913597744</v>
      </c>
      <c r="XS31" s="133">
        <f t="shared" si="463"/>
        <v>-31.495016238974245</v>
      </c>
      <c r="XT31" s="133">
        <f t="shared" si="464"/>
        <v>-22.52890549076394</v>
      </c>
      <c r="XU31" s="134">
        <f t="shared" si="465"/>
        <v>-11.783682004718287</v>
      </c>
      <c r="XV31" s="133">
        <f t="shared" si="466"/>
        <v>-0.37080054616922098</v>
      </c>
      <c r="XW31" s="133">
        <f t="shared" si="262"/>
        <v>10.363275944415463</v>
      </c>
      <c r="XX31" s="133">
        <f t="shared" si="263"/>
        <v>17.000872692721778</v>
      </c>
      <c r="XY31" s="133">
        <f t="shared" si="264"/>
        <v>22.872989910228419</v>
      </c>
      <c r="XZ31" s="133">
        <f t="shared" si="265"/>
        <v>29.828223645557408</v>
      </c>
      <c r="YA31" s="81"/>
      <c r="YB31" s="81">
        <v>32</v>
      </c>
      <c r="YC31" s="133">
        <f t="shared" si="266"/>
        <v>-50.312736421251451</v>
      </c>
      <c r="YD31" s="133">
        <f t="shared" si="267"/>
        <v>-45.870664170889356</v>
      </c>
      <c r="YE31" s="133">
        <f t="shared" si="268"/>
        <v>-41.711752812809664</v>
      </c>
      <c r="YF31" s="133">
        <f t="shared" si="467"/>
        <v>-36.611955525467891</v>
      </c>
      <c r="YG31" s="133">
        <f t="shared" si="468"/>
        <v>-27.518150991256238</v>
      </c>
      <c r="YH31" s="134">
        <f t="shared" si="469"/>
        <v>-16.681101149462748</v>
      </c>
      <c r="YI31" s="133">
        <f t="shared" si="470"/>
        <v>-5.2354937688576939</v>
      </c>
      <c r="YJ31" s="133">
        <f t="shared" si="269"/>
        <v>5.4767836783816577</v>
      </c>
      <c r="YK31" s="133">
        <f t="shared" si="270"/>
        <v>12.078347593519062</v>
      </c>
      <c r="YL31" s="133">
        <f t="shared" si="271"/>
        <v>17.905480868947372</v>
      </c>
      <c r="YM31" s="133">
        <f t="shared" si="272"/>
        <v>24.792610573765948</v>
      </c>
      <c r="YN31" s="81"/>
      <c r="YO31" s="81">
        <v>29</v>
      </c>
      <c r="YP31" s="133">
        <v>19.142658922756898</v>
      </c>
      <c r="YQ31" s="133">
        <v>21.531755641567774</v>
      </c>
      <c r="YR31" s="133">
        <v>23.823664969570199</v>
      </c>
      <c r="YS31" s="133">
        <v>26.770476164442762</v>
      </c>
      <c r="YT31" s="133">
        <v>32.519594636600992</v>
      </c>
      <c r="YU31" s="134">
        <v>40.393903003798265</v>
      </c>
      <c r="YV31" s="133">
        <v>50.17489972165307</v>
      </c>
      <c r="YW31" s="133">
        <v>60.95025691203373</v>
      </c>
      <c r="YX31" s="133">
        <v>68.489353001075983</v>
      </c>
      <c r="YY31" s="133">
        <v>75.779580032492746</v>
      </c>
      <c r="YZ31" s="133">
        <v>85.237239323139505</v>
      </c>
      <c r="ZA31" s="81"/>
      <c r="ZB31" s="81">
        <v>29</v>
      </c>
      <c r="ZC31" s="133">
        <v>16.088724908475942</v>
      </c>
      <c r="ZD31" s="133">
        <v>18.308375166652546</v>
      </c>
      <c r="ZE31" s="133">
        <v>20.46082131739248</v>
      </c>
      <c r="ZF31" s="133">
        <v>23.25836025338819</v>
      </c>
      <c r="ZG31" s="133">
        <v>28.802036518478907</v>
      </c>
      <c r="ZH31" s="134">
        <v>36.551599201977098</v>
      </c>
      <c r="ZI31" s="133">
        <v>46.386282559040765</v>
      </c>
      <c r="ZJ31" s="133">
        <v>57.442544945847864</v>
      </c>
      <c r="ZK31" s="133">
        <v>65.29646994601849</v>
      </c>
      <c r="ZL31" s="133">
        <v>72.973127984368674</v>
      </c>
      <c r="ZM31" s="133">
        <v>83.04072646043717</v>
      </c>
      <c r="ZN31" s="81"/>
      <c r="ZO31" s="81">
        <v>32</v>
      </c>
      <c r="ZP31" s="133">
        <v>22.301703769581405</v>
      </c>
      <c r="ZQ31" s="133">
        <v>24.696147601532882</v>
      </c>
      <c r="ZR31" s="133">
        <v>26.960131517283525</v>
      </c>
      <c r="ZS31" s="133">
        <v>29.829130978262047</v>
      </c>
      <c r="ZT31" s="133">
        <v>35.310558412485754</v>
      </c>
      <c r="ZU31" s="134">
        <v>42.615143075096931</v>
      </c>
      <c r="ZV31" s="133">
        <v>51.430804296451711</v>
      </c>
      <c r="ZW31" s="133">
        <v>60.881774284152847</v>
      </c>
      <c r="ZX31" s="133">
        <v>67.360591996621125</v>
      </c>
      <c r="ZY31" s="133">
        <v>73.535777669155962</v>
      </c>
      <c r="ZZ31" s="133">
        <v>81.431017023371936</v>
      </c>
      <c r="AAA31" s="81"/>
      <c r="AAB31" s="81">
        <v>29</v>
      </c>
      <c r="AAC31" s="133">
        <v>8.700117348335203</v>
      </c>
      <c r="AAD31" s="133">
        <v>9.6595881643969879</v>
      </c>
      <c r="AAE31" s="133">
        <v>10.568999351287896</v>
      </c>
      <c r="AAF31" s="133">
        <v>11.724253162704926</v>
      </c>
      <c r="AAG31" s="133">
        <v>13.939228982974505</v>
      </c>
      <c r="AAH31" s="134">
        <v>16.904573822823153</v>
      </c>
      <c r="AAI31" s="133">
        <v>20.500747672652004</v>
      </c>
      <c r="AAJ31" s="133">
        <v>24.373801227723458</v>
      </c>
      <c r="AAK31" s="133">
        <v>27.03800110428201</v>
      </c>
      <c r="AAL31" s="133">
        <v>29.58351963539609</v>
      </c>
      <c r="AAM31" s="133">
        <v>32.846064563250962</v>
      </c>
      <c r="AAN31" s="81"/>
      <c r="AAO31" s="81">
        <v>29</v>
      </c>
      <c r="AAP31" s="133">
        <v>7.842073356315697</v>
      </c>
      <c r="AAQ31" s="133">
        <v>8.789144294691317</v>
      </c>
      <c r="AAR31" s="133">
        <v>9.6946640021985129</v>
      </c>
      <c r="AAS31" s="133">
        <v>10.855052616938117</v>
      </c>
      <c r="AAT31" s="133">
        <v>13.108048369430204</v>
      </c>
      <c r="AAU31" s="134">
        <v>16.174461319448124</v>
      </c>
      <c r="AAV31" s="133">
        <v>19.958211291349983</v>
      </c>
      <c r="AAW31" s="133">
        <v>24.100592434356781</v>
      </c>
      <c r="AAX31" s="133">
        <v>26.985277562481393</v>
      </c>
      <c r="AAY31" s="133">
        <v>29.765491406522838</v>
      </c>
      <c r="AAZ31" s="133">
        <v>33.360208083699021</v>
      </c>
      <c r="ABA31" s="81"/>
      <c r="ABB31" s="81">
        <v>32</v>
      </c>
      <c r="ABC31" s="133">
        <v>9.8719420670735332</v>
      </c>
      <c r="ABD31" s="133">
        <v>10.835682445710713</v>
      </c>
      <c r="ABE31" s="133">
        <v>11.739473172681814</v>
      </c>
      <c r="ABF31" s="133">
        <v>12.875437195506896</v>
      </c>
      <c r="ABG31" s="133">
        <v>15.020285696128225</v>
      </c>
      <c r="ABH31" s="134">
        <v>17.834559438621138</v>
      </c>
      <c r="ABI31" s="133">
        <v>21.176129189852865</v>
      </c>
      <c r="ABJ31" s="133">
        <v>24.703744466301053</v>
      </c>
      <c r="ABK31" s="133">
        <v>27.09418946583348</v>
      </c>
      <c r="ABL31" s="133">
        <v>29.354081938384823</v>
      </c>
      <c r="ABM31" s="133">
        <v>32.219750501838242</v>
      </c>
      <c r="ABN31" s="81"/>
      <c r="ABO31" s="81">
        <v>29</v>
      </c>
      <c r="ABP31" s="133">
        <f t="shared" si="273"/>
        <v>0.19632651821501698</v>
      </c>
      <c r="ABQ31" s="133">
        <f t="shared" si="274"/>
        <v>0.22303022726599189</v>
      </c>
      <c r="ABR31" s="133">
        <f t="shared" si="275"/>
        <v>0.24803501005240228</v>
      </c>
      <c r="ABS31" s="133">
        <f t="shared" si="471"/>
        <v>0.27933244796489182</v>
      </c>
      <c r="ABT31" s="133">
        <f t="shared" si="472"/>
        <v>0.33781456939105442</v>
      </c>
      <c r="ABU31" s="134">
        <f t="shared" si="473"/>
        <v>0.4129960140535609</v>
      </c>
      <c r="ABV31" s="133">
        <f t="shared" si="474"/>
        <v>0.49969569662785313</v>
      </c>
      <c r="ABW31" s="133">
        <f t="shared" si="276"/>
        <v>0.58814694174403703</v>
      </c>
      <c r="ABX31" s="133">
        <f t="shared" si="277"/>
        <v>0.64634409224592682</v>
      </c>
      <c r="ABY31" s="133">
        <f t="shared" si="278"/>
        <v>0.70012687952045594</v>
      </c>
      <c r="ABZ31" s="133">
        <f t="shared" si="279"/>
        <v>0.76668128847746697</v>
      </c>
      <c r="ACA31" s="81"/>
      <c r="ACB31" s="81">
        <v>29</v>
      </c>
      <c r="ACC31" s="133">
        <f t="shared" si="280"/>
        <v>0.21421352021929804</v>
      </c>
      <c r="ACD31" s="133">
        <f t="shared" si="281"/>
        <v>0.23995852413862423</v>
      </c>
      <c r="ACE31" s="133">
        <f t="shared" si="282"/>
        <v>0.26418353939479727</v>
      </c>
      <c r="ACF31" s="133">
        <f t="shared" si="475"/>
        <v>0.29469364420459077</v>
      </c>
      <c r="ACG31" s="133">
        <f t="shared" si="476"/>
        <v>0.35233709644864564</v>
      </c>
      <c r="ACH31" s="134">
        <f t="shared" si="477"/>
        <v>0.42775418186376035</v>
      </c>
      <c r="ACI31" s="133">
        <f t="shared" si="478"/>
        <v>0.51663953071197777</v>
      </c>
      <c r="ACJ31" s="133">
        <f t="shared" si="283"/>
        <v>0.60945062191684418</v>
      </c>
      <c r="ACK31" s="133">
        <f t="shared" si="284"/>
        <v>0.67167972101705475</v>
      </c>
      <c r="ACL31" s="133">
        <f t="shared" si="285"/>
        <v>0.72999856782750805</v>
      </c>
      <c r="ACM31" s="133">
        <f t="shared" si="286"/>
        <v>0.80322778922684601</v>
      </c>
      <c r="ACN31" s="81"/>
      <c r="ACO31" s="81">
        <v>32</v>
      </c>
      <c r="ACP31" s="133">
        <f t="shared" si="287"/>
        <v>0.19070919695728919</v>
      </c>
      <c r="ACQ31" s="133">
        <f t="shared" si="288"/>
        <v>0.22045997653965724</v>
      </c>
      <c r="ACR31" s="133">
        <f t="shared" si="289"/>
        <v>0.24783021364432256</v>
      </c>
      <c r="ACS31" s="133">
        <f t="shared" si="479"/>
        <v>0.28144121519298626</v>
      </c>
      <c r="ACT31" s="133">
        <f t="shared" si="480"/>
        <v>0.34248435683416661</v>
      </c>
      <c r="ACU31" s="134">
        <f t="shared" si="481"/>
        <v>0.41770321616179967</v>
      </c>
      <c r="ACV31" s="133">
        <f t="shared" si="482"/>
        <v>0.50064563923977268</v>
      </c>
      <c r="ACW31" s="133">
        <f t="shared" si="290"/>
        <v>0.58180292212722384</v>
      </c>
      <c r="ACX31" s="133">
        <f t="shared" si="291"/>
        <v>0.63342958380421333</v>
      </c>
      <c r="ACY31" s="133">
        <f t="shared" si="292"/>
        <v>0.68004403020698678</v>
      </c>
      <c r="ACZ31" s="133">
        <f t="shared" si="293"/>
        <v>0.73639338711812763</v>
      </c>
      <c r="ADA31" s="81"/>
      <c r="ADB31" s="81">
        <v>29</v>
      </c>
      <c r="ADC31" s="133">
        <f t="shared" si="294"/>
        <v>0.16327168292424643</v>
      </c>
      <c r="ADD31" s="133">
        <f t="shared" si="295"/>
        <v>0.18242944461625513</v>
      </c>
      <c r="ADE31" s="133">
        <f t="shared" si="296"/>
        <v>0.19927846747457958</v>
      </c>
      <c r="ADF31" s="133">
        <f t="shared" si="483"/>
        <v>0.21910926205259257</v>
      </c>
      <c r="ADG31" s="133">
        <f t="shared" si="484"/>
        <v>0.25309903986311855</v>
      </c>
      <c r="ADH31" s="134">
        <f t="shared" si="485"/>
        <v>0.29223110370926786</v>
      </c>
      <c r="ADI31" s="133">
        <f t="shared" si="486"/>
        <v>0.3325814857010233</v>
      </c>
      <c r="ADJ31" s="133">
        <f t="shared" si="297"/>
        <v>0.36975109632144421</v>
      </c>
      <c r="ADK31" s="133">
        <f t="shared" si="298"/>
        <v>0.39244856790778215</v>
      </c>
      <c r="ADL31" s="133">
        <f t="shared" si="299"/>
        <v>0.41237799839490369</v>
      </c>
      <c r="ADM31" s="133">
        <f t="shared" si="300"/>
        <v>0.43582545161088609</v>
      </c>
      <c r="ADN31" s="81"/>
      <c r="ADO31" s="81">
        <v>29</v>
      </c>
      <c r="ADP31" s="133">
        <f t="shared" si="301"/>
        <v>0.17616659531719697</v>
      </c>
      <c r="ADQ31" s="133">
        <f t="shared" si="302"/>
        <v>0.19388033562152826</v>
      </c>
      <c r="ADR31" s="133">
        <f t="shared" si="303"/>
        <v>0.20964227973231492</v>
      </c>
      <c r="ADS31" s="133">
        <f t="shared" si="487"/>
        <v>0.22840866320741338</v>
      </c>
      <c r="ADT31" s="133">
        <f t="shared" si="488"/>
        <v>0.26109957677633333</v>
      </c>
      <c r="ADU31" s="134">
        <f t="shared" si="489"/>
        <v>0.29952572610970429</v>
      </c>
      <c r="ADV31" s="133">
        <f t="shared" si="490"/>
        <v>0.33998967670841701</v>
      </c>
      <c r="ADW31" s="133">
        <f t="shared" si="304"/>
        <v>0.37798245358149984</v>
      </c>
      <c r="ADX31" s="133">
        <f t="shared" si="305"/>
        <v>0.40150742992235167</v>
      </c>
      <c r="ADY31" s="133">
        <f t="shared" si="306"/>
        <v>0.42236005075338895</v>
      </c>
      <c r="ADZ31" s="133">
        <f t="shared" si="307"/>
        <v>0.44712300746913697</v>
      </c>
      <c r="AEA31" s="81"/>
      <c r="AEB31" s="81">
        <v>32</v>
      </c>
      <c r="AEC31" s="133">
        <f t="shared" si="308"/>
        <v>0.15949183736890254</v>
      </c>
      <c r="AED31" s="133">
        <f t="shared" si="309"/>
        <v>0.18096256426134341</v>
      </c>
      <c r="AEE31" s="133">
        <f t="shared" si="310"/>
        <v>0.19934676462928622</v>
      </c>
      <c r="AEF31" s="133">
        <f t="shared" si="491"/>
        <v>0.22045901006109242</v>
      </c>
      <c r="AEG31" s="133">
        <f t="shared" si="492"/>
        <v>0.25550220189284317</v>
      </c>
      <c r="AEH31" s="134">
        <f t="shared" si="493"/>
        <v>0.29433613485751742</v>
      </c>
      <c r="AEI31" s="133">
        <f t="shared" si="494"/>
        <v>0.33296557244177905</v>
      </c>
      <c r="AEJ31" s="133">
        <f t="shared" si="311"/>
        <v>0.36747068375028347</v>
      </c>
      <c r="AEK31" s="133">
        <f t="shared" si="312"/>
        <v>0.38809219900010894</v>
      </c>
      <c r="AEL31" s="133">
        <f t="shared" si="313"/>
        <v>0.40594274664908181</v>
      </c>
      <c r="AEM31" s="133">
        <f t="shared" si="314"/>
        <v>0.42665857365296156</v>
      </c>
      <c r="AEN31" s="81"/>
    </row>
    <row r="32" spans="1:820">
      <c r="A32" s="81"/>
      <c r="B32" s="81">
        <v>31</v>
      </c>
      <c r="C32" s="133">
        <f t="shared" si="0"/>
        <v>1.7719565724706796</v>
      </c>
      <c r="D32" s="133">
        <f t="shared" si="1"/>
        <v>2.1080996964149676</v>
      </c>
      <c r="E32" s="133">
        <f t="shared" si="2"/>
        <v>2.458998233462637</v>
      </c>
      <c r="F32" s="133">
        <f t="shared" si="315"/>
        <v>2.9531043878049958</v>
      </c>
      <c r="G32" s="133">
        <f t="shared" si="316"/>
        <v>4.0663289706307291</v>
      </c>
      <c r="H32" s="134">
        <f t="shared" si="317"/>
        <v>5.9475431349021068</v>
      </c>
      <c r="I32" s="133">
        <f t="shared" si="318"/>
        <v>8.9516098577381662</v>
      </c>
      <c r="J32" s="133">
        <f t="shared" si="3"/>
        <v>13.287400856862746</v>
      </c>
      <c r="K32" s="133">
        <f t="shared" si="4"/>
        <v>17.08378608420934</v>
      </c>
      <c r="L32" s="133">
        <f t="shared" si="5"/>
        <v>21.454476495687572</v>
      </c>
      <c r="M32" s="133">
        <f t="shared" si="6"/>
        <v>28.315171617386401</v>
      </c>
      <c r="N32" s="81"/>
      <c r="O32" s="75">
        <v>31</v>
      </c>
      <c r="P32" s="151">
        <f t="shared" si="7"/>
        <v>2.4584338772666134</v>
      </c>
      <c r="Q32" s="151">
        <f t="shared" si="8"/>
        <v>2.7742728271447965</v>
      </c>
      <c r="R32" s="151">
        <f t="shared" si="9"/>
        <v>3.0933840061291229</v>
      </c>
      <c r="S32" s="151">
        <f t="shared" si="319"/>
        <v>3.5290392476656529</v>
      </c>
      <c r="T32" s="151">
        <f t="shared" si="320"/>
        <v>4.4714002863778735</v>
      </c>
      <c r="U32" s="134">
        <f t="shared" si="321"/>
        <v>5.9965198770446708</v>
      </c>
      <c r="V32" s="151">
        <f t="shared" si="322"/>
        <v>8.3652140300910833</v>
      </c>
      <c r="W32" s="151">
        <f t="shared" si="10"/>
        <v>11.778390453812669</v>
      </c>
      <c r="X32" s="151">
        <f t="shared" si="11"/>
        <v>14.82882062101463</v>
      </c>
      <c r="Y32" s="151">
        <f t="shared" si="12"/>
        <v>18.453444701930376</v>
      </c>
      <c r="Z32" s="151">
        <f t="shared" si="13"/>
        <v>24.444239884565391</v>
      </c>
      <c r="AA32" s="81"/>
      <c r="AB32" s="75">
        <v>33</v>
      </c>
      <c r="AC32" s="151">
        <f t="shared" si="14"/>
        <v>1.4722907515204107</v>
      </c>
      <c r="AD32" s="151">
        <f t="shared" si="15"/>
        <v>1.7793756200805511</v>
      </c>
      <c r="AE32" s="151">
        <f t="shared" si="16"/>
        <v>2.1083657742395143</v>
      </c>
      <c r="AF32" s="151">
        <f t="shared" si="323"/>
        <v>2.585453939277425</v>
      </c>
      <c r="AG32" s="151">
        <f t="shared" si="324"/>
        <v>3.7155160759280346</v>
      </c>
      <c r="AH32" s="134">
        <f t="shared" si="325"/>
        <v>5.7830991146533339</v>
      </c>
      <c r="AI32" s="151">
        <f t="shared" si="326"/>
        <v>9.4528974074536638</v>
      </c>
      <c r="AJ32" s="151">
        <f t="shared" si="17"/>
        <v>15.468125080442134</v>
      </c>
      <c r="AK32" s="151">
        <f t="shared" si="18"/>
        <v>21.380356626480538</v>
      </c>
      <c r="AL32" s="151">
        <f t="shared" si="19"/>
        <v>28.895408573505073</v>
      </c>
      <c r="AM32" s="151">
        <f t="shared" si="20"/>
        <v>42.168476275268553</v>
      </c>
      <c r="AN32" s="81"/>
      <c r="AO32" s="81">
        <v>31</v>
      </c>
      <c r="AP32" s="133">
        <f t="shared" si="21"/>
        <v>1.0141611396766139</v>
      </c>
      <c r="AQ32" s="133">
        <f t="shared" si="22"/>
        <v>2.8567451392896492</v>
      </c>
      <c r="AR32" s="133">
        <f t="shared" si="23"/>
        <v>4.6021649954084376</v>
      </c>
      <c r="AS32" s="133">
        <f t="shared" si="327"/>
        <v>6.8006326378184765</v>
      </c>
      <c r="AT32" s="133">
        <f t="shared" si="328"/>
        <v>10.916164921891227</v>
      </c>
      <c r="AU32" s="134">
        <f t="shared" si="329"/>
        <v>16.171337234136907</v>
      </c>
      <c r="AV32" s="133">
        <f t="shared" si="330"/>
        <v>22.139540344593271</v>
      </c>
      <c r="AW32" s="133">
        <f t="shared" si="24"/>
        <v>28.107775152823447</v>
      </c>
      <c r="AX32" s="133">
        <f t="shared" si="25"/>
        <v>31.966087905280144</v>
      </c>
      <c r="AY32" s="133">
        <f t="shared" si="26"/>
        <v>35.483995307650673</v>
      </c>
      <c r="AZ32" s="133">
        <f t="shared" si="27"/>
        <v>39.775482393227058</v>
      </c>
      <c r="BA32" s="81"/>
      <c r="BB32" s="81">
        <v>31</v>
      </c>
      <c r="BC32" s="133">
        <f t="shared" si="28"/>
        <v>3.9441824201730933</v>
      </c>
      <c r="BD32" s="133">
        <f t="shared" si="29"/>
        <v>5.9453084057113452</v>
      </c>
      <c r="BE32" s="133">
        <f t="shared" si="30"/>
        <v>7.7759051315916432</v>
      </c>
      <c r="BF32" s="133">
        <f t="shared" si="331"/>
        <v>10.009004558198143</v>
      </c>
      <c r="BG32" s="133">
        <f t="shared" si="332"/>
        <v>14.018106313573451</v>
      </c>
      <c r="BH32" s="134">
        <f t="shared" si="333"/>
        <v>18.891447752707414</v>
      </c>
      <c r="BI32" s="133">
        <f t="shared" si="334"/>
        <v>24.176873160394223</v>
      </c>
      <c r="BJ32" s="133">
        <f t="shared" si="31"/>
        <v>29.258781217383184</v>
      </c>
      <c r="BK32" s="133">
        <f t="shared" si="32"/>
        <v>32.45560297362973</v>
      </c>
      <c r="BL32" s="133">
        <f t="shared" si="33"/>
        <v>35.318098377185265</v>
      </c>
      <c r="BM32" s="133">
        <f t="shared" si="34"/>
        <v>38.749776965864328</v>
      </c>
      <c r="BN32" s="81"/>
      <c r="BO32" s="75">
        <v>33</v>
      </c>
      <c r="BP32" s="151">
        <f t="shared" si="35"/>
        <v>2.9907157832273135</v>
      </c>
      <c r="BQ32" s="151">
        <f t="shared" si="36"/>
        <v>3.8490020631871622</v>
      </c>
      <c r="BR32" s="151">
        <f t="shared" si="37"/>
        <v>4.7470199907874582</v>
      </c>
      <c r="BS32" s="151">
        <f t="shared" si="335"/>
        <v>5.9983257557770155</v>
      </c>
      <c r="BT32" s="151">
        <f t="shared" si="336"/>
        <v>8.7111025472858472</v>
      </c>
      <c r="BU32" s="134">
        <f t="shared" si="337"/>
        <v>12.904126303848329</v>
      </c>
      <c r="BV32" s="151">
        <f t="shared" si="338"/>
        <v>18.70692802602823</v>
      </c>
      <c r="BW32" s="151">
        <f t="shared" si="38"/>
        <v>25.675470269323352</v>
      </c>
      <c r="BX32" s="151">
        <f t="shared" si="39"/>
        <v>30.829483061379886</v>
      </c>
      <c r="BY32" s="151">
        <f t="shared" si="40"/>
        <v>35.989455281875244</v>
      </c>
      <c r="BZ32" s="151">
        <f t="shared" si="41"/>
        <v>42.897580339780774</v>
      </c>
      <c r="CA32" s="81"/>
      <c r="CB32" s="81">
        <v>31</v>
      </c>
      <c r="CC32" s="133">
        <f t="shared" si="42"/>
        <v>-6.4033876675965686</v>
      </c>
      <c r="CD32" s="133">
        <f t="shared" si="43"/>
        <v>-4.7003177455544529</v>
      </c>
      <c r="CE32" s="133">
        <f t="shared" si="44"/>
        <v>-2.8122104516122377</v>
      </c>
      <c r="CF32" s="133">
        <f t="shared" si="339"/>
        <v>-0.27462541495725201</v>
      </c>
      <c r="CG32" s="133">
        <f t="shared" si="340"/>
        <v>4.6454137016388151</v>
      </c>
      <c r="CH32" s="134">
        <f t="shared" si="341"/>
        <v>10.956686338276786</v>
      </c>
      <c r="CI32" s="133">
        <f t="shared" si="342"/>
        <v>17.998510780091912</v>
      </c>
      <c r="CJ32" s="133">
        <f t="shared" si="45"/>
        <v>24.858813948926116</v>
      </c>
      <c r="CK32" s="133">
        <f t="shared" si="46"/>
        <v>29.194970547688843</v>
      </c>
      <c r="CL32" s="133">
        <f t="shared" si="47"/>
        <v>33.083248716526192</v>
      </c>
      <c r="CM32" s="133">
        <f t="shared" si="48"/>
        <v>37.746062746080767</v>
      </c>
      <c r="CN32" s="81"/>
      <c r="CO32" s="81">
        <v>31</v>
      </c>
      <c r="CP32" s="133">
        <f t="shared" si="49"/>
        <v>-1.1514180954808859</v>
      </c>
      <c r="CQ32" s="133">
        <f t="shared" si="50"/>
        <v>0.97744212471179814</v>
      </c>
      <c r="CR32" s="133">
        <f t="shared" si="51"/>
        <v>2.9847596148593096</v>
      </c>
      <c r="CS32" s="133">
        <f t="shared" si="343"/>
        <v>5.4801839724911376</v>
      </c>
      <c r="CT32" s="133">
        <f t="shared" si="344"/>
        <v>10.029534502821541</v>
      </c>
      <c r="CU32" s="134">
        <f t="shared" si="345"/>
        <v>15.607367475212701</v>
      </c>
      <c r="CV32" s="133">
        <f t="shared" si="346"/>
        <v>21.662209857921425</v>
      </c>
      <c r="CW32" s="133">
        <f t="shared" si="52"/>
        <v>27.463662773152453</v>
      </c>
      <c r="CX32" s="133">
        <f t="shared" si="53"/>
        <v>31.097501713088636</v>
      </c>
      <c r="CY32" s="133">
        <f t="shared" si="54"/>
        <v>34.339565644342606</v>
      </c>
      <c r="CZ32" s="133">
        <f t="shared" si="55"/>
        <v>38.2108071149339</v>
      </c>
      <c r="DA32" s="81"/>
      <c r="DB32" s="81">
        <v>33</v>
      </c>
      <c r="DC32" s="133">
        <f t="shared" si="56"/>
        <v>-6.5680296334818422</v>
      </c>
      <c r="DD32" s="133">
        <f t="shared" si="57"/>
        <v>-5.5142141111781608</v>
      </c>
      <c r="DE32" s="133">
        <f t="shared" si="58"/>
        <v>-4.2496824692256308</v>
      </c>
      <c r="DF32" s="133">
        <f t="shared" si="347"/>
        <v>-2.4393066931942275</v>
      </c>
      <c r="DG32" s="133">
        <f t="shared" si="348"/>
        <v>1.3229366535417588</v>
      </c>
      <c r="DH32" s="134">
        <f t="shared" si="349"/>
        <v>6.4921073673667697</v>
      </c>
      <c r="DI32" s="133">
        <f t="shared" si="350"/>
        <v>12.590434703457319</v>
      </c>
      <c r="DJ32" s="133">
        <f t="shared" si="59"/>
        <v>18.792369832570134</v>
      </c>
      <c r="DK32" s="133">
        <f t="shared" si="60"/>
        <v>22.823577354466334</v>
      </c>
      <c r="DL32" s="133">
        <f t="shared" si="61"/>
        <v>26.503234843627428</v>
      </c>
      <c r="DM32" s="133">
        <f t="shared" si="62"/>
        <v>30.989735406701431</v>
      </c>
      <c r="DN32" s="81"/>
      <c r="DO32" s="81">
        <v>31</v>
      </c>
      <c r="DP32" s="133">
        <v>12.97657659395515</v>
      </c>
      <c r="DQ32" s="133">
        <v>14.289149906512547</v>
      </c>
      <c r="DR32" s="133">
        <v>15.523742529275021</v>
      </c>
      <c r="DS32" s="133">
        <v>17.080110688121465</v>
      </c>
      <c r="DT32" s="133">
        <v>20.031359683832036</v>
      </c>
      <c r="DU32" s="134">
        <v>23.925560784291164</v>
      </c>
      <c r="DV32" s="133">
        <v>28.576814948055681</v>
      </c>
      <c r="DW32" s="133">
        <v>33.514563769245058</v>
      </c>
      <c r="DX32" s="133">
        <v>36.874642681254556</v>
      </c>
      <c r="DY32" s="133">
        <v>40.060637797768095</v>
      </c>
      <c r="DZ32" s="133">
        <v>44.112748435474572</v>
      </c>
      <c r="EA32" s="81"/>
      <c r="EB32" s="81">
        <v>31</v>
      </c>
      <c r="EC32" s="133">
        <v>13.166944331194554</v>
      </c>
      <c r="ED32" s="133">
        <v>14.123329504854119</v>
      </c>
      <c r="EE32" s="133">
        <v>15.00125291552235</v>
      </c>
      <c r="EF32" s="133">
        <v>16.081385546987235</v>
      </c>
      <c r="EG32" s="133">
        <v>18.059079854049987</v>
      </c>
      <c r="EH32" s="134">
        <v>20.551331253439958</v>
      </c>
      <c r="EI32" s="133">
        <v>23.387526922856964</v>
      </c>
      <c r="EJ32" s="133">
        <v>26.263733000776444</v>
      </c>
      <c r="EK32" s="133">
        <v>28.154796047174777</v>
      </c>
      <c r="EL32" s="133">
        <v>29.904932554569076</v>
      </c>
      <c r="EM32" s="133">
        <v>32.077086806540784</v>
      </c>
      <c r="EN32" s="81"/>
      <c r="EO32" s="81">
        <v>33</v>
      </c>
      <c r="EP32" s="133">
        <v>16.488468963409222</v>
      </c>
      <c r="EQ32" s="133">
        <v>17.747363030732632</v>
      </c>
      <c r="ER32" s="133">
        <v>18.906692816736488</v>
      </c>
      <c r="ES32" s="133">
        <v>20.337627058838944</v>
      </c>
      <c r="ET32" s="133">
        <v>22.96973484743798</v>
      </c>
      <c r="EU32" s="134">
        <v>26.306826670138371</v>
      </c>
      <c r="EV32" s="133">
        <v>30.128738274481819</v>
      </c>
      <c r="EW32" s="133">
        <v>34.028017499314487</v>
      </c>
      <c r="EX32" s="133">
        <v>36.603394161039695</v>
      </c>
      <c r="EY32" s="133">
        <v>38.994476433163648</v>
      </c>
      <c r="EZ32" s="133">
        <v>41.97170343641249</v>
      </c>
      <c r="FA32" s="81"/>
      <c r="FB32" s="81">
        <v>31</v>
      </c>
      <c r="FC32" s="133">
        <v>7.5017213880668239</v>
      </c>
      <c r="FD32" s="133">
        <v>8.3533813820881271</v>
      </c>
      <c r="FE32" s="133">
        <v>9.16279594775704</v>
      </c>
      <c r="FF32" s="133">
        <v>10.193810252968751</v>
      </c>
      <c r="FG32" s="133">
        <v>12.178319549111775</v>
      </c>
      <c r="FH32" s="134">
        <v>14.848767964701867</v>
      </c>
      <c r="FI32" s="133">
        <v>18.10478934966341</v>
      </c>
      <c r="FJ32" s="133">
        <v>21.629391228401978</v>
      </c>
      <c r="FK32" s="133">
        <v>24.063169290977093</v>
      </c>
      <c r="FL32" s="133">
        <v>26.394809477074389</v>
      </c>
      <c r="FM32" s="133">
        <v>29.391375480871499</v>
      </c>
      <c r="FN32" s="81"/>
      <c r="FO32" s="81">
        <v>31</v>
      </c>
      <c r="FP32" s="133">
        <v>7.3380596283376738</v>
      </c>
      <c r="FQ32" s="133">
        <v>8.0231073374586206</v>
      </c>
      <c r="FR32" s="133">
        <v>8.6632224815103971</v>
      </c>
      <c r="FS32" s="133">
        <v>9.4648726622342121</v>
      </c>
      <c r="FT32" s="133">
        <v>10.97063251166519</v>
      </c>
      <c r="FU32" s="134">
        <v>12.932895467288645</v>
      </c>
      <c r="FV32" s="133">
        <v>15.246138724450574</v>
      </c>
      <c r="FW32" s="133">
        <v>17.671636073372486</v>
      </c>
      <c r="FX32" s="133">
        <v>19.306878649924048</v>
      </c>
      <c r="FY32" s="133">
        <v>20.847257569010154</v>
      </c>
      <c r="FZ32" s="133">
        <v>22.793462255594303</v>
      </c>
      <c r="GA32" s="81"/>
      <c r="GB32" s="81">
        <v>33</v>
      </c>
      <c r="GC32" s="133">
        <v>9.6250480957259548</v>
      </c>
      <c r="GD32" s="133">
        <v>10.502123111723776</v>
      </c>
      <c r="GE32" s="133">
        <v>11.320118075675605</v>
      </c>
      <c r="GF32" s="133">
        <v>12.342597257760918</v>
      </c>
      <c r="GG32" s="133">
        <v>14.257912466390088</v>
      </c>
      <c r="GH32" s="134">
        <v>16.744970051300911</v>
      </c>
      <c r="GI32" s="133">
        <v>19.665853797316547</v>
      </c>
      <c r="GJ32" s="133">
        <v>22.717586595694446</v>
      </c>
      <c r="GK32" s="133">
        <v>24.769531567119277</v>
      </c>
      <c r="GL32" s="133">
        <v>26.69879404726781</v>
      </c>
      <c r="GM32" s="133">
        <v>29.131700873627285</v>
      </c>
      <c r="GN32" s="81"/>
      <c r="GO32" s="81">
        <v>31</v>
      </c>
      <c r="GP32" s="133">
        <f t="shared" si="63"/>
        <v>0.42498064520925366</v>
      </c>
      <c r="GQ32" s="133">
        <f t="shared" si="64"/>
        <v>0.4621938944055371</v>
      </c>
      <c r="GR32" s="133">
        <f t="shared" si="65"/>
        <v>0.49182752990500589</v>
      </c>
      <c r="GS32" s="133">
        <f t="shared" si="351"/>
        <v>0.52380052079115669</v>
      </c>
      <c r="GT32" s="133">
        <f t="shared" si="352"/>
        <v>0.57434027418036171</v>
      </c>
      <c r="GU32" s="134">
        <f t="shared" si="353"/>
        <v>0.6229569180364769</v>
      </c>
      <c r="GV32" s="133">
        <f t="shared" si="354"/>
        <v>0.66784887315127739</v>
      </c>
      <c r="GW32" s="133">
        <f t="shared" si="66"/>
        <v>0.70765651829696974</v>
      </c>
      <c r="GX32" s="133">
        <f t="shared" si="67"/>
        <v>0.72978140522755564</v>
      </c>
      <c r="GY32" s="133">
        <f t="shared" si="68"/>
        <v>0.74841108584337335</v>
      </c>
      <c r="GZ32" s="133">
        <f t="shared" si="69"/>
        <v>0.76947221893321849</v>
      </c>
      <c r="HA32" s="81"/>
      <c r="HB32" s="81">
        <v>31</v>
      </c>
      <c r="HC32" s="133">
        <f t="shared" si="70"/>
        <v>0.40081245171246754</v>
      </c>
      <c r="HD32" s="133">
        <f t="shared" si="71"/>
        <v>0.44231619234447295</v>
      </c>
      <c r="HE32" s="133">
        <f t="shared" si="72"/>
        <v>0.4750140468990337</v>
      </c>
      <c r="HF32" s="133">
        <f t="shared" si="355"/>
        <v>0.51002158758395078</v>
      </c>
      <c r="HG32" s="133">
        <f t="shared" si="356"/>
        <v>0.56342609957192435</v>
      </c>
      <c r="HH32" s="134">
        <f t="shared" si="357"/>
        <v>0.61733472984380655</v>
      </c>
      <c r="HI32" s="133">
        <f t="shared" si="358"/>
        <v>0.66674014680047522</v>
      </c>
      <c r="HJ32" s="133">
        <f t="shared" si="73"/>
        <v>0.70802927846802877</v>
      </c>
      <c r="HK32" s="133">
        <f t="shared" si="74"/>
        <v>0.73162141113776347</v>
      </c>
      <c r="HL32" s="133">
        <f t="shared" si="75"/>
        <v>0.751461212649016</v>
      </c>
      <c r="HM32" s="133">
        <f t="shared" si="76"/>
        <v>0.77386524398494094</v>
      </c>
      <c r="HN32" s="81"/>
      <c r="HO32" s="81">
        <v>33</v>
      </c>
      <c r="HP32" s="83">
        <f t="shared" si="77"/>
        <v>0.45291179565397888</v>
      </c>
      <c r="HQ32" s="83">
        <f t="shared" si="78"/>
        <v>0.48604253660168972</v>
      </c>
      <c r="HR32" s="83">
        <f t="shared" si="79"/>
        <v>0.51269925672865047</v>
      </c>
      <c r="HS32" s="83">
        <f t="shared" si="359"/>
        <v>0.54168488712837881</v>
      </c>
      <c r="HT32" s="83">
        <f t="shared" si="360"/>
        <v>0.58662515930615167</v>
      </c>
      <c r="HU32" s="84">
        <f t="shared" si="361"/>
        <v>0.63269000664517405</v>
      </c>
      <c r="HV32" s="83">
        <f t="shared" si="362"/>
        <v>0.67538850829622532</v>
      </c>
      <c r="HW32" s="83">
        <f t="shared" si="80"/>
        <v>0.71135582453072177</v>
      </c>
      <c r="HX32" s="83">
        <f t="shared" si="81"/>
        <v>0.73200487595716257</v>
      </c>
      <c r="HY32" s="83">
        <f t="shared" si="82"/>
        <v>0.74941838488228585</v>
      </c>
      <c r="HZ32" s="83">
        <f t="shared" si="83"/>
        <v>0.76913128795983055</v>
      </c>
      <c r="IA32" s="81"/>
      <c r="IB32" s="81">
        <v>31</v>
      </c>
      <c r="IC32" s="83">
        <f t="shared" si="84"/>
        <v>0.29958619664037783</v>
      </c>
      <c r="ID32" s="83">
        <f t="shared" si="85"/>
        <v>0.31701588631836364</v>
      </c>
      <c r="IE32" s="83">
        <f t="shared" si="86"/>
        <v>0.33022756509645468</v>
      </c>
      <c r="IF32" s="83">
        <f t="shared" si="363"/>
        <v>0.34392360081777607</v>
      </c>
      <c r="IG32" s="83">
        <f t="shared" si="364"/>
        <v>0.36402685475635799</v>
      </c>
      <c r="IH32" s="84">
        <f t="shared" si="365"/>
        <v>0.38347175015344925</v>
      </c>
      <c r="II32" s="83">
        <f t="shared" si="366"/>
        <v>0.40063761578270862</v>
      </c>
      <c r="IJ32" s="83">
        <f t="shared" si="87"/>
        <v>0.41455449542468686</v>
      </c>
      <c r="IK32" s="83">
        <f t="shared" si="88"/>
        <v>0.42234513404187385</v>
      </c>
      <c r="IL32" s="83">
        <f t="shared" si="89"/>
        <v>0.42881104342535775</v>
      </c>
      <c r="IM32" s="83">
        <f t="shared" si="90"/>
        <v>0.43602262356291144</v>
      </c>
      <c r="IN32" s="81"/>
      <c r="IO32" s="81">
        <v>31</v>
      </c>
      <c r="IP32" s="133">
        <f t="shared" si="91"/>
        <v>0.28735148007443301</v>
      </c>
      <c r="IQ32" s="133">
        <f t="shared" si="92"/>
        <v>0.30757782721119092</v>
      </c>
      <c r="IR32" s="133">
        <f t="shared" si="93"/>
        <v>0.32258820323368392</v>
      </c>
      <c r="IS32" s="133">
        <f t="shared" si="367"/>
        <v>0.3379241545029712</v>
      </c>
      <c r="IT32" s="133">
        <f t="shared" si="368"/>
        <v>0.36011331674282138</v>
      </c>
      <c r="IU32" s="134">
        <f t="shared" si="369"/>
        <v>0.38129832722657042</v>
      </c>
      <c r="IV32" s="133">
        <f t="shared" si="370"/>
        <v>0.39982775854649583</v>
      </c>
      <c r="IW32" s="133">
        <f t="shared" si="94"/>
        <v>0.41475575958973321</v>
      </c>
      <c r="IX32" s="133">
        <f t="shared" si="95"/>
        <v>0.42308131518996689</v>
      </c>
      <c r="IY32" s="133">
        <f t="shared" si="96"/>
        <v>0.4299761410076175</v>
      </c>
      <c r="IZ32" s="133">
        <f t="shared" si="97"/>
        <v>0.43765137114162123</v>
      </c>
      <c r="JA32" s="81"/>
      <c r="JB32" s="81">
        <v>33</v>
      </c>
      <c r="JC32" s="133">
        <f t="shared" si="98"/>
        <v>0.31307352357376272</v>
      </c>
      <c r="JD32" s="133">
        <f t="shared" si="99"/>
        <v>0.32793698357873169</v>
      </c>
      <c r="JE32" s="133">
        <f t="shared" si="100"/>
        <v>0.33942782447784875</v>
      </c>
      <c r="JF32" s="133">
        <f t="shared" si="371"/>
        <v>0.35151156307705217</v>
      </c>
      <c r="JG32" s="133">
        <f t="shared" si="372"/>
        <v>0.36951237922890717</v>
      </c>
      <c r="JH32" s="134">
        <f t="shared" si="373"/>
        <v>0.387167932280093</v>
      </c>
      <c r="JI32" s="133">
        <f t="shared" si="374"/>
        <v>0.40291546623739322</v>
      </c>
      <c r="JJ32" s="133">
        <f t="shared" si="101"/>
        <v>0.41577458761732977</v>
      </c>
      <c r="JK32" s="133">
        <f t="shared" si="102"/>
        <v>0.42300435857942198</v>
      </c>
      <c r="JL32" s="133">
        <f t="shared" si="103"/>
        <v>0.42902017447578367</v>
      </c>
      <c r="JM32" s="133">
        <f t="shared" si="104"/>
        <v>0.43574503528422598</v>
      </c>
      <c r="JN32" s="81"/>
      <c r="JO32" s="81">
        <v>30</v>
      </c>
      <c r="JP32" s="133">
        <f t="shared" si="105"/>
        <v>-7.1127666046321139</v>
      </c>
      <c r="JQ32" s="133">
        <f t="shared" si="106"/>
        <v>-5.701086265659967</v>
      </c>
      <c r="JR32" s="133">
        <f t="shared" si="107"/>
        <v>-4.4682541842642038</v>
      </c>
      <c r="JS32" s="133">
        <f t="shared" si="375"/>
        <v>-3.0265628600312553</v>
      </c>
      <c r="JT32" s="133">
        <f t="shared" si="376"/>
        <v>-0.57609864836635793</v>
      </c>
      <c r="JU32" s="134">
        <f t="shared" si="377"/>
        <v>2.2173968264559534</v>
      </c>
      <c r="JV32" s="133">
        <f t="shared" si="378"/>
        <v>5.0714398024680634</v>
      </c>
      <c r="JW32" s="133">
        <f t="shared" si="108"/>
        <v>7.6799636158288216</v>
      </c>
      <c r="JX32" s="133">
        <f t="shared" si="109"/>
        <v>9.2641844093510208</v>
      </c>
      <c r="JY32" s="133">
        <f t="shared" si="110"/>
        <v>10.650209399818277</v>
      </c>
      <c r="JZ32" s="133">
        <f t="shared" si="111"/>
        <v>12.275283394640116</v>
      </c>
      <c r="KA32" s="81"/>
      <c r="KB32" s="81">
        <v>30</v>
      </c>
      <c r="KC32" s="133">
        <f t="shared" si="112"/>
        <v>-5.2595945605265255</v>
      </c>
      <c r="KD32" s="133">
        <f t="shared" si="113"/>
        <v>-4.1115686670130902</v>
      </c>
      <c r="KE32" s="133">
        <f t="shared" si="114"/>
        <v>-3.079441712933912</v>
      </c>
      <c r="KF32" s="133">
        <f t="shared" si="379"/>
        <v>-1.8405744272108038</v>
      </c>
      <c r="KG32" s="133">
        <f t="shared" si="380"/>
        <v>0.33639505756318222</v>
      </c>
      <c r="KH32" s="134">
        <f t="shared" si="381"/>
        <v>2.9154808644826264</v>
      </c>
      <c r="KI32" s="133">
        <f t="shared" si="382"/>
        <v>5.6451061764792048</v>
      </c>
      <c r="KJ32" s="133">
        <f t="shared" si="115"/>
        <v>8.2148223775596509</v>
      </c>
      <c r="KK32" s="133">
        <f t="shared" si="116"/>
        <v>9.807560570412905</v>
      </c>
      <c r="KL32" s="133">
        <f t="shared" si="117"/>
        <v>11.219742324403652</v>
      </c>
      <c r="KM32" s="133">
        <f t="shared" si="118"/>
        <v>12.896697615134491</v>
      </c>
      <c r="KN32" s="81"/>
      <c r="KO32" s="81">
        <v>32</v>
      </c>
      <c r="KP32" s="133">
        <f t="shared" si="119"/>
        <v>-8.3041868627220428</v>
      </c>
      <c r="KQ32" s="133">
        <f t="shared" si="120"/>
        <v>-6.7061918801097509</v>
      </c>
      <c r="KR32" s="133">
        <f t="shared" si="121"/>
        <v>-5.3404126616495393</v>
      </c>
      <c r="KS32" s="133">
        <f t="shared" si="383"/>
        <v>-3.7745491994726557</v>
      </c>
      <c r="KT32" s="133">
        <f t="shared" si="384"/>
        <v>-1.1809466837012934</v>
      </c>
      <c r="KU32" s="134">
        <f t="shared" si="385"/>
        <v>1.6860986223933523</v>
      </c>
      <c r="KV32" s="133">
        <f t="shared" si="386"/>
        <v>4.5315062449370593</v>
      </c>
      <c r="KW32" s="133">
        <f t="shared" si="122"/>
        <v>7.0681918899444938</v>
      </c>
      <c r="KX32" s="133">
        <f t="shared" si="123"/>
        <v>8.5821710748224511</v>
      </c>
      <c r="KY32" s="133">
        <f t="shared" si="124"/>
        <v>9.8915566734785756</v>
      </c>
      <c r="KZ32" s="133">
        <f t="shared" si="125"/>
        <v>11.409835571505216</v>
      </c>
      <c r="LA32" s="81"/>
      <c r="LB32" s="81">
        <v>30</v>
      </c>
      <c r="LC32" s="133">
        <f t="shared" si="126"/>
        <v>-18.438160395588412</v>
      </c>
      <c r="LD32" s="133">
        <f t="shared" si="127"/>
        <v>-14.861089933724632</v>
      </c>
      <c r="LE32" s="133">
        <f t="shared" si="128"/>
        <v>-11.680954729892999</v>
      </c>
      <c r="LF32" s="133">
        <f t="shared" si="387"/>
        <v>-7.9059232335491814</v>
      </c>
      <c r="LG32" s="133">
        <f t="shared" si="388"/>
        <v>-1.3739619209045131</v>
      </c>
      <c r="LH32" s="134">
        <f t="shared" si="389"/>
        <v>6.2163196810800301</v>
      </c>
      <c r="LI32" s="133">
        <f t="shared" si="390"/>
        <v>14.098278240822182</v>
      </c>
      <c r="LJ32" s="133">
        <f t="shared" si="129"/>
        <v>21.39485541010913</v>
      </c>
      <c r="LK32" s="133">
        <f t="shared" si="130"/>
        <v>25.863558626117253</v>
      </c>
      <c r="LL32" s="133">
        <f t="shared" si="131"/>
        <v>29.794017651333938</v>
      </c>
      <c r="LM32" s="133">
        <f t="shared" si="132"/>
        <v>34.425213043969073</v>
      </c>
      <c r="LN32" s="81"/>
      <c r="LO32" s="81">
        <v>30</v>
      </c>
      <c r="LP32" s="133">
        <f t="shared" si="133"/>
        <v>-14.995659513310514</v>
      </c>
      <c r="LQ32" s="133">
        <f t="shared" si="134"/>
        <v>-11.58410017897047</v>
      </c>
      <c r="LR32" s="133">
        <f t="shared" si="135"/>
        <v>-8.5346394398784611</v>
      </c>
      <c r="LS32" s="133">
        <f t="shared" si="391"/>
        <v>-4.8975581822056213</v>
      </c>
      <c r="LT32" s="133">
        <f t="shared" si="392"/>
        <v>1.4328923282092596</v>
      </c>
      <c r="LU32" s="134">
        <f t="shared" si="393"/>
        <v>8.8381134531203394</v>
      </c>
      <c r="LV32" s="133">
        <f t="shared" si="394"/>
        <v>16.57398632087661</v>
      </c>
      <c r="LW32" s="133">
        <f t="shared" si="136"/>
        <v>23.770757930909962</v>
      </c>
      <c r="LX32" s="133">
        <f t="shared" si="137"/>
        <v>28.193181785580375</v>
      </c>
      <c r="LY32" s="133">
        <f t="shared" si="138"/>
        <v>32.091461945247872</v>
      </c>
      <c r="LZ32" s="133">
        <f t="shared" si="139"/>
        <v>36.694312870058667</v>
      </c>
      <c r="MA32" s="81"/>
      <c r="MB32" s="81">
        <v>32</v>
      </c>
      <c r="MC32" s="133">
        <f t="shared" si="140"/>
        <v>-19.194500501344436</v>
      </c>
      <c r="MD32" s="133">
        <f t="shared" si="141"/>
        <v>-15.665596189315803</v>
      </c>
      <c r="ME32" s="133">
        <f t="shared" si="142"/>
        <v>-12.568355332122135</v>
      </c>
      <c r="MF32" s="133">
        <f t="shared" si="395"/>
        <v>-8.9340539886860171</v>
      </c>
      <c r="MG32" s="133">
        <f t="shared" si="396"/>
        <v>-2.7380716627319472</v>
      </c>
      <c r="MH32" s="134">
        <f t="shared" si="397"/>
        <v>4.3391278389890502</v>
      </c>
      <c r="MI32" s="133">
        <f t="shared" si="398"/>
        <v>11.573109489574172</v>
      </c>
      <c r="MJ32" s="133">
        <f t="shared" si="143"/>
        <v>18.181542573992886</v>
      </c>
      <c r="MK32" s="133">
        <f t="shared" si="144"/>
        <v>22.191947866955438</v>
      </c>
      <c r="ML32" s="133">
        <f t="shared" si="145"/>
        <v>25.698219110291504</v>
      </c>
      <c r="MM32" s="133">
        <f t="shared" si="146"/>
        <v>29.805998248599899</v>
      </c>
      <c r="MN32" s="81"/>
      <c r="MO32" s="81">
        <v>30</v>
      </c>
      <c r="MP32" s="133">
        <f t="shared" si="147"/>
        <v>-24.812259484275344</v>
      </c>
      <c r="MQ32" s="133">
        <f t="shared" si="148"/>
        <v>-20.474441331093534</v>
      </c>
      <c r="MR32" s="133">
        <f t="shared" si="149"/>
        <v>-16.713646073165016</v>
      </c>
      <c r="MS32" s="133">
        <f t="shared" si="399"/>
        <v>-12.349903624971471</v>
      </c>
      <c r="MT32" s="133">
        <f t="shared" si="400"/>
        <v>-5.0166182193616642</v>
      </c>
      <c r="MU32" s="134">
        <f t="shared" si="401"/>
        <v>3.2209433449283438</v>
      </c>
      <c r="MV32" s="133">
        <f t="shared" si="402"/>
        <v>11.513220159520529</v>
      </c>
      <c r="MW32" s="133">
        <f t="shared" si="150"/>
        <v>18.992167558073923</v>
      </c>
      <c r="MX32" s="133">
        <f t="shared" si="151"/>
        <v>23.491157762499107</v>
      </c>
      <c r="MY32" s="133">
        <f t="shared" si="152"/>
        <v>27.402082486429229</v>
      </c>
      <c r="MZ32" s="133">
        <f t="shared" si="153"/>
        <v>31.958935168711797</v>
      </c>
      <c r="NA32" s="81"/>
      <c r="NB32" s="81">
        <v>30</v>
      </c>
      <c r="NC32" s="133">
        <f t="shared" si="154"/>
        <v>-20.012138856813905</v>
      </c>
      <c r="ND32" s="133">
        <f t="shared" si="155"/>
        <v>-15.907595302934615</v>
      </c>
      <c r="NE32" s="133">
        <f t="shared" si="156"/>
        <v>-12.326069314589319</v>
      </c>
      <c r="NF32" s="133">
        <f t="shared" si="403"/>
        <v>-8.1517075014922469</v>
      </c>
      <c r="NG32" s="133">
        <f t="shared" si="404"/>
        <v>-1.103998237474066</v>
      </c>
      <c r="NH32" s="134">
        <f t="shared" si="405"/>
        <v>6.8484743090085622</v>
      </c>
      <c r="NI32" s="133">
        <f t="shared" si="406"/>
        <v>14.882285589234396</v>
      </c>
      <c r="NJ32" s="133">
        <f t="shared" si="157"/>
        <v>22.147604776554633</v>
      </c>
      <c r="NK32" s="133">
        <f t="shared" si="158"/>
        <v>26.525651901714692</v>
      </c>
      <c r="NL32" s="133">
        <f t="shared" si="159"/>
        <v>30.335573414356954</v>
      </c>
      <c r="NM32" s="133">
        <f t="shared" si="160"/>
        <v>34.779207994668965</v>
      </c>
      <c r="NN32" s="81"/>
      <c r="NO32" s="81">
        <v>32</v>
      </c>
      <c r="NP32" s="133">
        <f t="shared" si="161"/>
        <v>-25.348631404954695</v>
      </c>
      <c r="NQ32" s="133">
        <f t="shared" si="162"/>
        <v>-21.380214066273254</v>
      </c>
      <c r="NR32" s="133">
        <f t="shared" si="163"/>
        <v>-17.963035951938743</v>
      </c>
      <c r="NS32" s="133">
        <f t="shared" si="407"/>
        <v>-14.019446067488513</v>
      </c>
      <c r="NT32" s="133">
        <f t="shared" si="408"/>
        <v>-7.4335194964678308</v>
      </c>
      <c r="NU32" s="134">
        <f t="shared" si="409"/>
        <v>-8.4246196261801742E-2</v>
      </c>
      <c r="NV32" s="133">
        <f t="shared" si="410"/>
        <v>7.2723986224339257</v>
      </c>
      <c r="NW32" s="133">
        <f t="shared" si="164"/>
        <v>13.877966253205308</v>
      </c>
      <c r="NX32" s="133">
        <f t="shared" si="165"/>
        <v>17.839815728341208</v>
      </c>
      <c r="NY32" s="133">
        <f t="shared" si="166"/>
        <v>21.277289884428455</v>
      </c>
      <c r="NZ32" s="133">
        <f t="shared" si="167"/>
        <v>25.27537404444778</v>
      </c>
      <c r="OA32" s="81"/>
      <c r="OB32" s="81">
        <v>30</v>
      </c>
      <c r="OC32" s="133">
        <v>15.148785451765878</v>
      </c>
      <c r="OD32" s="133">
        <v>16.808199508022913</v>
      </c>
      <c r="OE32" s="133">
        <v>18.380060452505177</v>
      </c>
      <c r="OF32" s="133">
        <v>20.375607757830572</v>
      </c>
      <c r="OG32" s="133">
        <v>24.198265359239855</v>
      </c>
      <c r="OH32" s="134">
        <v>29.309932282489488</v>
      </c>
      <c r="OI32" s="133">
        <v>35.501393081305793</v>
      </c>
      <c r="OJ32" s="133">
        <v>42.161791717548553</v>
      </c>
      <c r="OK32" s="133">
        <v>46.739352823348796</v>
      </c>
      <c r="OL32" s="133">
        <v>51.110300659750372</v>
      </c>
      <c r="OM32" s="133">
        <v>56.70897730642676</v>
      </c>
      <c r="ON32" s="81"/>
      <c r="OO32" s="81">
        <v>30</v>
      </c>
      <c r="OP32" s="133">
        <v>13.793181090465101</v>
      </c>
      <c r="OQ32" s="133">
        <v>15.172553106880583</v>
      </c>
      <c r="OR32" s="133">
        <v>16.468723384377157</v>
      </c>
      <c r="OS32" s="133">
        <v>18.101141254746469</v>
      </c>
      <c r="OT32" s="133">
        <v>25.261524276448963</v>
      </c>
      <c r="OU32" s="134">
        <v>25.263660446389331</v>
      </c>
      <c r="OV32" s="133">
        <v>30.117198248737218</v>
      </c>
      <c r="OW32" s="133">
        <v>35.260347961932766</v>
      </c>
      <c r="OX32" s="133">
        <v>38.755435030011306</v>
      </c>
      <c r="OY32" s="133">
        <v>42.066258371573362</v>
      </c>
      <c r="OZ32" s="133">
        <v>46.273048614700315</v>
      </c>
      <c r="PA32" s="81"/>
      <c r="PB32" s="81">
        <v>32</v>
      </c>
      <c r="PC32" s="133">
        <v>20.46300416415146</v>
      </c>
      <c r="PD32" s="133">
        <v>22.175915980798212</v>
      </c>
      <c r="PE32" s="133">
        <v>23.763364018288691</v>
      </c>
      <c r="PF32" s="133">
        <v>25.73513297134674</v>
      </c>
      <c r="PG32" s="133">
        <v>29.395184548807599</v>
      </c>
      <c r="PH32" s="134">
        <v>34.091299817203748</v>
      </c>
      <c r="PI32" s="133">
        <v>39.537656968839144</v>
      </c>
      <c r="PJ32" s="133">
        <v>45.160704027466146</v>
      </c>
      <c r="PK32" s="133">
        <v>48.907920710721498</v>
      </c>
      <c r="PL32" s="133">
        <v>52.40896133592954</v>
      </c>
      <c r="PM32" s="133">
        <v>56.795997005294488</v>
      </c>
      <c r="PN32" s="81"/>
      <c r="PO32" s="81">
        <v>30</v>
      </c>
      <c r="PP32" s="133">
        <v>8.111577453392842</v>
      </c>
      <c r="PQ32" s="133">
        <v>8.8487807124852242</v>
      </c>
      <c r="PR32" s="133">
        <v>9.5361845585704916</v>
      </c>
      <c r="PS32" s="133">
        <v>10.39525084632653</v>
      </c>
      <c r="PT32" s="133">
        <v>12.003984443371156</v>
      </c>
      <c r="PU32" s="134">
        <v>14.092132130155097</v>
      </c>
      <c r="PV32" s="133">
        <v>16.543522603731301</v>
      </c>
      <c r="PW32" s="133">
        <v>19.103741786464607</v>
      </c>
      <c r="PX32" s="133">
        <v>20.824700565937743</v>
      </c>
      <c r="PY32" s="133">
        <v>22.442435226533625</v>
      </c>
      <c r="PZ32" s="133">
        <v>24.48206765142654</v>
      </c>
      <c r="QA32" s="81"/>
      <c r="QB32" s="81">
        <v>30</v>
      </c>
      <c r="QC32" s="133">
        <v>7.7594813924283494</v>
      </c>
      <c r="QD32" s="133">
        <v>8.4634193004634248</v>
      </c>
      <c r="QE32" s="133">
        <v>9.1197138234348252</v>
      </c>
      <c r="QF32" s="133">
        <v>9.9397882148295942</v>
      </c>
      <c r="QG32" s="133">
        <v>11.475196779930313</v>
      </c>
      <c r="QH32" s="134">
        <v>13.46764540265778</v>
      </c>
      <c r="QI32" s="133">
        <v>15.806044651796441</v>
      </c>
      <c r="QJ32" s="133">
        <v>18.247619443352377</v>
      </c>
      <c r="QK32" s="133">
        <v>19.888504859181623</v>
      </c>
      <c r="QL32" s="133">
        <v>21.430755850864884</v>
      </c>
      <c r="QM32" s="133">
        <v>23.37494782431158</v>
      </c>
      <c r="QN32" s="81"/>
      <c r="QO32" s="81">
        <v>32</v>
      </c>
      <c r="QP32" s="133">
        <v>9.1503141446295206</v>
      </c>
      <c r="QQ32" s="133">
        <v>9.9072116600266167</v>
      </c>
      <c r="QR32" s="133">
        <v>10.608074934689533</v>
      </c>
      <c r="QS32" s="133">
        <v>11.47787985011786</v>
      </c>
      <c r="QT32" s="133">
        <v>13.090468421416102</v>
      </c>
      <c r="QU32" s="134">
        <v>15.156226725120268</v>
      </c>
      <c r="QV32" s="133">
        <v>17.547974690305249</v>
      </c>
      <c r="QW32" s="133">
        <v>20.013383267894291</v>
      </c>
      <c r="QX32" s="133">
        <v>21.654372726202165</v>
      </c>
      <c r="QY32" s="133">
        <v>23.186262333536611</v>
      </c>
      <c r="QZ32" s="133">
        <v>25.104188218288805</v>
      </c>
      <c r="RA32" s="81"/>
      <c r="RB32" s="81">
        <v>30</v>
      </c>
      <c r="RC32" s="133">
        <f t="shared" si="168"/>
        <v>0.26817535611939336</v>
      </c>
      <c r="RD32" s="133">
        <f t="shared" si="169"/>
        <v>0.29110677004915653</v>
      </c>
      <c r="RE32" s="133">
        <f t="shared" si="170"/>
        <v>0.31265350696182131</v>
      </c>
      <c r="RF32" s="133">
        <f t="shared" si="411"/>
        <v>0.33981728070820044</v>
      </c>
      <c r="RG32" s="133">
        <f t="shared" si="412"/>
        <v>0.39143204823886446</v>
      </c>
      <c r="RH32" s="134">
        <f t="shared" si="413"/>
        <v>0.45995810567404405</v>
      </c>
      <c r="RI32" s="133">
        <f t="shared" si="414"/>
        <v>0.54270674516034689</v>
      </c>
      <c r="RJ32" s="133">
        <f t="shared" si="171"/>
        <v>0.63186071965806445</v>
      </c>
      <c r="RK32" s="133">
        <f t="shared" si="172"/>
        <v>0.69338411514239273</v>
      </c>
      <c r="RL32" s="133">
        <f t="shared" si="173"/>
        <v>0.75239765859564522</v>
      </c>
      <c r="RM32" s="133">
        <f t="shared" si="174"/>
        <v>0.82844205653566971</v>
      </c>
      <c r="RN32" s="81"/>
      <c r="RO32" s="81">
        <v>30</v>
      </c>
      <c r="RP32" s="133">
        <f t="shared" si="175"/>
        <v>0.29484763737856262</v>
      </c>
      <c r="RQ32" s="133">
        <f t="shared" si="176"/>
        <v>0.31783571644918929</v>
      </c>
      <c r="RR32" s="133">
        <f t="shared" si="177"/>
        <v>0.33936888482317884</v>
      </c>
      <c r="RS32" s="133">
        <f t="shared" si="415"/>
        <v>0.3664385955294458</v>
      </c>
      <c r="RT32" s="133">
        <f t="shared" si="416"/>
        <v>0.41768995228062922</v>
      </c>
      <c r="RU32" s="134">
        <f t="shared" si="417"/>
        <v>0.48547450537542214</v>
      </c>
      <c r="RV32" s="133">
        <f t="shared" si="418"/>
        <v>0.5671022321037682</v>
      </c>
      <c r="RW32" s="133">
        <f t="shared" si="178"/>
        <v>0.65493522011661665</v>
      </c>
      <c r="RX32" s="133">
        <f t="shared" si="179"/>
        <v>0.71554395668964765</v>
      </c>
      <c r="RY32" s="133">
        <f t="shared" si="180"/>
        <v>0.77371015421009737</v>
      </c>
      <c r="RZ32" s="133">
        <f t="shared" si="181"/>
        <v>0.84873861302301534</v>
      </c>
      <c r="SA32" s="81"/>
      <c r="SB32" s="81">
        <v>32</v>
      </c>
      <c r="SC32" s="133">
        <f t="shared" si="182"/>
        <v>0.25430794410261792</v>
      </c>
      <c r="SD32" s="133">
        <f t="shared" si="183"/>
        <v>0.27734245987610207</v>
      </c>
      <c r="SE32" s="133">
        <f t="shared" si="184"/>
        <v>0.29883875298834039</v>
      </c>
      <c r="SF32" s="133">
        <f t="shared" si="419"/>
        <v>0.32572782742261092</v>
      </c>
      <c r="SG32" s="133">
        <f t="shared" si="420"/>
        <v>0.37615603954096499</v>
      </c>
      <c r="SH32" s="134">
        <f t="shared" si="421"/>
        <v>0.44175633176621398</v>
      </c>
      <c r="SI32" s="133">
        <f t="shared" si="422"/>
        <v>0.51897176664707934</v>
      </c>
      <c r="SJ32" s="133">
        <f t="shared" si="185"/>
        <v>0.59984210400526816</v>
      </c>
      <c r="SK32" s="133">
        <f t="shared" si="186"/>
        <v>0.65432807382863867</v>
      </c>
      <c r="SL32" s="133">
        <f t="shared" si="187"/>
        <v>0.70563494422081219</v>
      </c>
      <c r="SM32" s="133">
        <f t="shared" si="188"/>
        <v>0.77044160389372829</v>
      </c>
      <c r="SN32" s="81"/>
      <c r="SO32" s="81">
        <v>30</v>
      </c>
      <c r="SP32" s="133">
        <f t="shared" si="189"/>
        <v>0.21086382246065458</v>
      </c>
      <c r="SQ32" s="133">
        <f t="shared" si="190"/>
        <v>0.22525527328885098</v>
      </c>
      <c r="SR32" s="133">
        <f t="shared" si="191"/>
        <v>0.23820880997947583</v>
      </c>
      <c r="SS32" s="133">
        <f t="shared" si="423"/>
        <v>0.25382513665149709</v>
      </c>
      <c r="ST32" s="133">
        <f t="shared" si="424"/>
        <v>0.28156197709829828</v>
      </c>
      <c r="SU32" s="134">
        <f t="shared" si="425"/>
        <v>0.31507940887372587</v>
      </c>
      <c r="SV32" s="133">
        <f t="shared" si="426"/>
        <v>0.3514912138793696</v>
      </c>
      <c r="SW32" s="133">
        <f t="shared" si="192"/>
        <v>0.38675479073350494</v>
      </c>
      <c r="SX32" s="133">
        <f t="shared" si="193"/>
        <v>0.40912195641458987</v>
      </c>
      <c r="SY32" s="133">
        <f t="shared" si="194"/>
        <v>0.42929247931818787</v>
      </c>
      <c r="SZ32" s="133">
        <f t="shared" si="195"/>
        <v>0.45366884120449291</v>
      </c>
      <c r="TA32" s="81"/>
      <c r="TB32" s="81">
        <v>30</v>
      </c>
      <c r="TC32" s="133">
        <f t="shared" si="196"/>
        <v>0.22749129922455585</v>
      </c>
      <c r="TD32" s="133">
        <f t="shared" si="197"/>
        <v>0.2412173920243709</v>
      </c>
      <c r="TE32" s="133">
        <f t="shared" si="198"/>
        <v>0.25356313443706768</v>
      </c>
      <c r="TF32" s="133">
        <f t="shared" si="427"/>
        <v>0.26844013483074597</v>
      </c>
      <c r="TG32" s="133">
        <f t="shared" si="428"/>
        <v>0.29485925681548769</v>
      </c>
      <c r="TH32" s="134">
        <f t="shared" si="429"/>
        <v>0.3268003306943249</v>
      </c>
      <c r="TI32" s="133">
        <f t="shared" si="430"/>
        <v>0.3615470842917326</v>
      </c>
      <c r="TJ32" s="133">
        <f t="shared" si="199"/>
        <v>0.39526617835123701</v>
      </c>
      <c r="TK32" s="133">
        <f t="shared" si="200"/>
        <v>0.41669539198715533</v>
      </c>
      <c r="TL32" s="133">
        <f t="shared" si="201"/>
        <v>0.43605075241429281</v>
      </c>
      <c r="TM32" s="133">
        <f t="shared" si="202"/>
        <v>0.45948331383305241</v>
      </c>
      <c r="TN32" s="81"/>
      <c r="TO32" s="81">
        <v>32</v>
      </c>
      <c r="TP32" s="133">
        <f t="shared" si="203"/>
        <v>0.20197829817442581</v>
      </c>
      <c r="TQ32" s="133">
        <f t="shared" si="204"/>
        <v>0.21681478837174242</v>
      </c>
      <c r="TR32" s="133">
        <f t="shared" si="205"/>
        <v>0.23005041825803874</v>
      </c>
      <c r="TS32" s="133">
        <f t="shared" si="431"/>
        <v>0.24586047155855312</v>
      </c>
      <c r="TT32" s="133">
        <f t="shared" si="432"/>
        <v>0.27355883990322322</v>
      </c>
      <c r="TU32" s="134">
        <f t="shared" si="433"/>
        <v>0.30640654892617541</v>
      </c>
      <c r="TV32" s="133">
        <f t="shared" si="434"/>
        <v>0.34136557244585691</v>
      </c>
      <c r="TW32" s="133">
        <f t="shared" si="206"/>
        <v>0.37455115467603667</v>
      </c>
      <c r="TX32" s="133">
        <f t="shared" si="207"/>
        <v>0.39527884067220559</v>
      </c>
      <c r="TY32" s="133">
        <f t="shared" si="208"/>
        <v>0.41376756255264896</v>
      </c>
      <c r="TZ32" s="133">
        <f t="shared" si="209"/>
        <v>0.43586487400412899</v>
      </c>
      <c r="UA32" s="81"/>
      <c r="UB32" s="81">
        <v>30</v>
      </c>
      <c r="UC32" s="133">
        <f t="shared" si="210"/>
        <v>-26.441808676064532</v>
      </c>
      <c r="UD32" s="133">
        <f t="shared" si="211"/>
        <v>-22.762366616041845</v>
      </c>
      <c r="UE32" s="133">
        <f t="shared" si="212"/>
        <v>-19.705134965007026</v>
      </c>
      <c r="UF32" s="133">
        <f t="shared" si="435"/>
        <v>-16.286725167252939</v>
      </c>
      <c r="UG32" s="133">
        <f t="shared" si="436"/>
        <v>-10.80086574823099</v>
      </c>
      <c r="UH32" s="134">
        <f t="shared" si="437"/>
        <v>-4.9537433978918202</v>
      </c>
      <c r="UI32" s="133">
        <f t="shared" si="438"/>
        <v>0.65929790645478192</v>
      </c>
      <c r="UJ32" s="133">
        <f t="shared" si="213"/>
        <v>5.5260277660816257</v>
      </c>
      <c r="UK32" s="133">
        <f t="shared" si="214"/>
        <v>8.3756061178899586</v>
      </c>
      <c r="UL32" s="133">
        <f t="shared" si="215"/>
        <v>10.809516957596131</v>
      </c>
      <c r="UM32" s="133">
        <f t="shared" si="216"/>
        <v>13.598333263556412</v>
      </c>
      <c r="UN32" s="81"/>
      <c r="UO32" s="81">
        <v>30</v>
      </c>
      <c r="UP32" s="133">
        <f t="shared" si="217"/>
        <v>-21.953410717679585</v>
      </c>
      <c r="UQ32" s="133">
        <f t="shared" si="218"/>
        <v>-19.009048838161469</v>
      </c>
      <c r="UR32" s="133">
        <f t="shared" si="219"/>
        <v>-16.486096540210536</v>
      </c>
      <c r="US32" s="133">
        <f t="shared" si="439"/>
        <v>-13.58625470881902</v>
      </c>
      <c r="UT32" s="133">
        <f t="shared" si="440"/>
        <v>-8.766611421700766</v>
      </c>
      <c r="UU32" s="134">
        <f t="shared" si="441"/>
        <v>-3.4162815762204843</v>
      </c>
      <c r="UV32" s="133">
        <f t="shared" si="442"/>
        <v>1.9152957912263489</v>
      </c>
      <c r="UW32" s="133">
        <f t="shared" si="220"/>
        <v>6.6851854254334953</v>
      </c>
      <c r="UX32" s="133">
        <f t="shared" si="221"/>
        <v>9.5390821846144078</v>
      </c>
      <c r="UY32" s="133">
        <f t="shared" si="222"/>
        <v>12.01137273364256</v>
      </c>
      <c r="UZ32" s="133">
        <f t="shared" si="223"/>
        <v>14.882620251423965</v>
      </c>
      <c r="VA32" s="81"/>
      <c r="VB32" s="81">
        <v>33</v>
      </c>
      <c r="VC32" s="133">
        <f t="shared" si="224"/>
        <v>-27.67277788614355</v>
      </c>
      <c r="VD32" s="133">
        <f t="shared" si="225"/>
        <v>-23.637568478883829</v>
      </c>
      <c r="VE32" s="133">
        <f t="shared" si="226"/>
        <v>-20.363646276810911</v>
      </c>
      <c r="VF32" s="133">
        <f t="shared" si="443"/>
        <v>-16.774060693520283</v>
      </c>
      <c r="VG32" s="133">
        <f t="shared" si="444"/>
        <v>-11.144768729841175</v>
      </c>
      <c r="VH32" s="134">
        <f t="shared" si="445"/>
        <v>-5.2918225933301812</v>
      </c>
      <c r="VI32" s="133">
        <f t="shared" si="446"/>
        <v>0.20895964839843373</v>
      </c>
      <c r="VJ32" s="133">
        <f t="shared" si="227"/>
        <v>4.8988039261695917</v>
      </c>
      <c r="VK32" s="133">
        <f t="shared" si="228"/>
        <v>7.6143264560591888</v>
      </c>
      <c r="VL32" s="133">
        <f t="shared" si="229"/>
        <v>9.9173159543136506</v>
      </c>
      <c r="VM32" s="133">
        <f t="shared" si="230"/>
        <v>12.538624007378374</v>
      </c>
      <c r="VN32" s="81"/>
      <c r="VO32" s="81">
        <v>30</v>
      </c>
      <c r="VP32" s="133">
        <f t="shared" si="231"/>
        <v>-43.396499204752153</v>
      </c>
      <c r="VQ32" s="133">
        <f t="shared" si="232"/>
        <v>-39.557825254724214</v>
      </c>
      <c r="VR32" s="133">
        <f t="shared" si="233"/>
        <v>-35.900355895901932</v>
      </c>
      <c r="VS32" s="133">
        <f t="shared" si="447"/>
        <v>-31.291000363583546</v>
      </c>
      <c r="VT32" s="133">
        <f t="shared" si="448"/>
        <v>-22.704958325726565</v>
      </c>
      <c r="VU32" s="134">
        <f t="shared" si="449"/>
        <v>-11.873663276640407</v>
      </c>
      <c r="VV32" s="133">
        <f t="shared" si="450"/>
        <v>0.225642770687557</v>
      </c>
      <c r="VW32" s="133">
        <f t="shared" si="234"/>
        <v>12.116901947866445</v>
      </c>
      <c r="VX32" s="133">
        <f t="shared" si="235"/>
        <v>19.700756589820195</v>
      </c>
      <c r="VY32" s="133">
        <f t="shared" si="236"/>
        <v>26.549190958411266</v>
      </c>
      <c r="VZ32" s="133">
        <f t="shared" si="237"/>
        <v>34.822853520649367</v>
      </c>
      <c r="WA32" s="81"/>
      <c r="WB32" s="81">
        <v>30</v>
      </c>
      <c r="WC32" s="133">
        <f t="shared" si="238"/>
        <v>-39.866451509137868</v>
      </c>
      <c r="WD32" s="133">
        <f t="shared" si="239"/>
        <v>-36.242987150523767</v>
      </c>
      <c r="WE32" s="133">
        <f t="shared" si="240"/>
        <v>-32.733190715247687</v>
      </c>
      <c r="WF32" s="133">
        <f t="shared" si="451"/>
        <v>-28.254883121867913</v>
      </c>
      <c r="WG32" s="133">
        <f t="shared" si="452"/>
        <v>-19.801877254019367</v>
      </c>
      <c r="WH32" s="134">
        <f t="shared" si="453"/>
        <v>-9.0035355410395894</v>
      </c>
      <c r="WI32" s="133">
        <f t="shared" si="454"/>
        <v>3.1746102706767303</v>
      </c>
      <c r="WJ32" s="133">
        <f t="shared" si="241"/>
        <v>15.225602889365085</v>
      </c>
      <c r="WK32" s="133">
        <f t="shared" si="242"/>
        <v>22.943718054990306</v>
      </c>
      <c r="WL32" s="133">
        <f t="shared" si="243"/>
        <v>29.931244300753796</v>
      </c>
      <c r="WM32" s="133">
        <f t="shared" si="244"/>
        <v>38.392466247670349</v>
      </c>
      <c r="WN32" s="81"/>
      <c r="WO32" s="81">
        <v>33</v>
      </c>
      <c r="WP32" s="133">
        <f t="shared" si="245"/>
        <v>-43.985472866457215</v>
      </c>
      <c r="WQ32" s="133">
        <f t="shared" si="246"/>
        <v>-39.91862409026993</v>
      </c>
      <c r="WR32" s="133">
        <f t="shared" si="247"/>
        <v>-36.093879299170766</v>
      </c>
      <c r="WS32" s="133">
        <f t="shared" si="455"/>
        <v>-31.338762980527235</v>
      </c>
      <c r="WT32" s="133">
        <f t="shared" si="456"/>
        <v>-22.650100243046154</v>
      </c>
      <c r="WU32" s="134">
        <f t="shared" si="457"/>
        <v>-11.948567020121203</v>
      </c>
      <c r="WV32" s="133">
        <f t="shared" si="458"/>
        <v>-0.26826363373550066</v>
      </c>
      <c r="WW32" s="133">
        <f t="shared" si="248"/>
        <v>10.982202790044518</v>
      </c>
      <c r="WX32" s="133">
        <f t="shared" si="249"/>
        <v>18.056577741979332</v>
      </c>
      <c r="WY32" s="133">
        <f t="shared" si="250"/>
        <v>24.385059131917892</v>
      </c>
      <c r="WZ32" s="133">
        <f t="shared" si="251"/>
        <v>31.961446315432973</v>
      </c>
      <c r="XA32" s="81"/>
      <c r="XB32" s="81">
        <v>30</v>
      </c>
      <c r="XC32" s="133">
        <f t="shared" si="252"/>
        <v>-48.782121274168041</v>
      </c>
      <c r="XD32" s="133">
        <f t="shared" si="253"/>
        <v>-44.413673014469637</v>
      </c>
      <c r="XE32" s="133">
        <f t="shared" si="254"/>
        <v>-40.303716376528229</v>
      </c>
      <c r="XF32" s="133">
        <f t="shared" si="459"/>
        <v>-35.226985808837654</v>
      </c>
      <c r="XG32" s="133">
        <f t="shared" si="460"/>
        <v>-26.076535736170669</v>
      </c>
      <c r="XH32" s="134">
        <f t="shared" si="461"/>
        <v>-15.029364046505194</v>
      </c>
      <c r="XI32" s="133">
        <f t="shared" si="462"/>
        <v>-3.220890426270401</v>
      </c>
      <c r="XJ32" s="133">
        <f t="shared" si="255"/>
        <v>7.9420652783207686</v>
      </c>
      <c r="XK32" s="133">
        <f t="shared" si="256"/>
        <v>14.868432955449315</v>
      </c>
      <c r="XL32" s="133">
        <f t="shared" si="257"/>
        <v>21.00947133445883</v>
      </c>
      <c r="XM32" s="133">
        <f t="shared" si="258"/>
        <v>28.298278853803446</v>
      </c>
      <c r="XN32" s="81"/>
      <c r="XO32" s="81">
        <v>30</v>
      </c>
      <c r="XP32" s="133">
        <f t="shared" si="259"/>
        <v>-44.346141147745321</v>
      </c>
      <c r="XQ32" s="133">
        <f t="shared" si="260"/>
        <v>-39.939219519029884</v>
      </c>
      <c r="XR32" s="133">
        <f t="shared" si="261"/>
        <v>-35.836822257665027</v>
      </c>
      <c r="XS32" s="133">
        <f t="shared" si="463"/>
        <v>-30.809790980526881</v>
      </c>
      <c r="XT32" s="133">
        <f t="shared" si="464"/>
        <v>-21.828833002582389</v>
      </c>
      <c r="XU32" s="134">
        <f t="shared" si="465"/>
        <v>-11.083530205338207</v>
      </c>
      <c r="XV32" s="133">
        <f t="shared" si="466"/>
        <v>0.31709727314102309</v>
      </c>
      <c r="XW32" s="133">
        <f t="shared" si="262"/>
        <v>11.032161006956002</v>
      </c>
      <c r="XX32" s="133">
        <f t="shared" si="263"/>
        <v>17.655349351074769</v>
      </c>
      <c r="XY32" s="133">
        <f t="shared" si="264"/>
        <v>23.513360959793978</v>
      </c>
      <c r="XZ32" s="133">
        <f t="shared" si="265"/>
        <v>30.450481883014866</v>
      </c>
      <c r="YA32" s="81"/>
      <c r="YB32" s="81">
        <v>33</v>
      </c>
      <c r="YC32" s="133">
        <f t="shared" si="266"/>
        <v>-49.876242356139599</v>
      </c>
      <c r="YD32" s="133">
        <f t="shared" si="267"/>
        <v>-45.390533533904275</v>
      </c>
      <c r="YE32" s="133">
        <f t="shared" si="268"/>
        <v>-41.20502105967703</v>
      </c>
      <c r="YF32" s="133">
        <f t="shared" si="467"/>
        <v>-36.081851057743023</v>
      </c>
      <c r="YG32" s="133">
        <f t="shared" si="468"/>
        <v>-26.959961949062986</v>
      </c>
      <c r="YH32" s="134">
        <f t="shared" si="469"/>
        <v>-16.101835984748845</v>
      </c>
      <c r="YI32" s="133">
        <f t="shared" si="470"/>
        <v>-4.6422445140758057</v>
      </c>
      <c r="YJ32" s="133">
        <f t="shared" si="269"/>
        <v>6.0782393337677405</v>
      </c>
      <c r="YK32" s="133">
        <f t="shared" si="270"/>
        <v>12.683161761499655</v>
      </c>
      <c r="YL32" s="133">
        <f t="shared" si="271"/>
        <v>18.512398587946201</v>
      </c>
      <c r="YM32" s="133">
        <f t="shared" si="272"/>
        <v>25.401131051280636</v>
      </c>
      <c r="YN32" s="81"/>
      <c r="YO32" s="81">
        <v>30</v>
      </c>
      <c r="YP32" s="133">
        <v>18.994312384957492</v>
      </c>
      <c r="YQ32" s="133">
        <v>21.364340791682782</v>
      </c>
      <c r="YR32" s="133">
        <v>23.63790282336992</v>
      </c>
      <c r="YS32" s="133">
        <v>26.561053720537352</v>
      </c>
      <c r="YT32" s="133">
        <v>32.263813693714582</v>
      </c>
      <c r="YU32" s="134">
        <v>40.074271418502299</v>
      </c>
      <c r="YV32" s="133">
        <v>49.775492908845123</v>
      </c>
      <c r="YW32" s="133">
        <v>60.46248189626796</v>
      </c>
      <c r="YX32" s="133">
        <v>67.939497074844155</v>
      </c>
      <c r="YY32" s="133">
        <v>75.169519405391256</v>
      </c>
      <c r="YZ32" s="133">
        <v>84.548847948590009</v>
      </c>
      <c r="ZA32" s="81"/>
      <c r="ZB32" s="81">
        <v>30</v>
      </c>
      <c r="ZC32" s="133">
        <v>15.852238001037119</v>
      </c>
      <c r="ZD32" s="133">
        <v>18.048119191134798</v>
      </c>
      <c r="ZE32" s="133">
        <v>20.178485362369688</v>
      </c>
      <c r="ZF32" s="133">
        <v>22.94858912182524</v>
      </c>
      <c r="ZG32" s="133">
        <v>28.441515860980367</v>
      </c>
      <c r="ZH32" s="134">
        <v>36.12675727837324</v>
      </c>
      <c r="ZI32" s="133">
        <v>45.888643834242743</v>
      </c>
      <c r="ZJ32" s="133">
        <v>56.87245453400179</v>
      </c>
      <c r="ZK32" s="133">
        <v>64.679908725182074</v>
      </c>
      <c r="ZL32" s="133">
        <v>72.314603955606472</v>
      </c>
      <c r="ZM32" s="133">
        <v>82.331756018620609</v>
      </c>
      <c r="ZN32" s="81"/>
      <c r="ZO32" s="81">
        <v>33</v>
      </c>
      <c r="ZP32" s="133">
        <v>22.222780949775352</v>
      </c>
      <c r="ZQ32" s="133">
        <v>24.595937741224468</v>
      </c>
      <c r="ZR32" s="133">
        <v>26.838710394983448</v>
      </c>
      <c r="ZS32" s="133">
        <v>29.679457047694445</v>
      </c>
      <c r="ZT32" s="133">
        <v>35.103125438713043</v>
      </c>
      <c r="ZU32" s="134">
        <v>42.324138475182572</v>
      </c>
      <c r="ZV32" s="133">
        <v>51.030575633327537</v>
      </c>
      <c r="ZW32" s="133">
        <v>60.355979382903975</v>
      </c>
      <c r="ZX32" s="133">
        <v>66.744365556448514</v>
      </c>
      <c r="ZY32" s="133">
        <v>72.830429012837897</v>
      </c>
      <c r="ZZ32" s="133">
        <v>80.60794469040286</v>
      </c>
      <c r="AAA32" s="81"/>
      <c r="AAB32" s="81">
        <v>30</v>
      </c>
      <c r="AAC32" s="133">
        <v>8.7415218586355472</v>
      </c>
      <c r="AAD32" s="133">
        <v>9.7067304548015034</v>
      </c>
      <c r="AAE32" s="133">
        <v>10.621682513321053</v>
      </c>
      <c r="AAF32" s="133">
        <v>11.784105262904314</v>
      </c>
      <c r="AAG32" s="133">
        <v>14.013186152257049</v>
      </c>
      <c r="AAH32" s="134">
        <v>16.998046577744208</v>
      </c>
      <c r="AAI32" s="133">
        <v>20.618693302138446</v>
      </c>
      <c r="AAJ32" s="133">
        <v>24.51892451849594</v>
      </c>
      <c r="AAK32" s="133">
        <v>27.202242874120845</v>
      </c>
      <c r="AAL32" s="133">
        <v>29.766314085319884</v>
      </c>
      <c r="AAM32" s="133">
        <v>33.053007489048468</v>
      </c>
      <c r="AAN32" s="81"/>
      <c r="AAO32" s="81">
        <v>30</v>
      </c>
      <c r="AAP32" s="133">
        <v>7.8575106779124377</v>
      </c>
      <c r="AAQ32" s="133">
        <v>8.8110466574903121</v>
      </c>
      <c r="AAR32" s="133">
        <v>9.7231895418518146</v>
      </c>
      <c r="AAS32" s="133">
        <v>10.892632260335056</v>
      </c>
      <c r="AAT32" s="133">
        <v>13.164796462619556</v>
      </c>
      <c r="AAU32" s="134">
        <v>16.26013470323981</v>
      </c>
      <c r="AAV32" s="133">
        <v>20.083256229462016</v>
      </c>
      <c r="AAW32" s="133">
        <v>24.272551780736507</v>
      </c>
      <c r="AAX32" s="133">
        <v>27.191898237658894</v>
      </c>
      <c r="AAY32" s="133">
        <v>30.006875555782333</v>
      </c>
      <c r="AAZ32" s="133">
        <v>33.648313238786031</v>
      </c>
      <c r="ABA32" s="81"/>
      <c r="ABB32" s="81">
        <v>33</v>
      </c>
      <c r="ABC32" s="133">
        <v>9.9230666714203402</v>
      </c>
      <c r="ABD32" s="133">
        <v>10.89014564023913</v>
      </c>
      <c r="ABE32" s="133">
        <v>11.796939594188418</v>
      </c>
      <c r="ABF32" s="133">
        <v>12.936517925755888</v>
      </c>
      <c r="ABG32" s="133">
        <v>15.087754461833883</v>
      </c>
      <c r="ABH32" s="134">
        <v>17.90965890504528</v>
      </c>
      <c r="ABI32" s="133">
        <v>21.259351940439817</v>
      </c>
      <c r="ABJ32" s="133">
        <v>24.794607322922694</v>
      </c>
      <c r="ABK32" s="133">
        <v>27.189753709774283</v>
      </c>
      <c r="ABL32" s="133">
        <v>29.453773410511008</v>
      </c>
      <c r="ABM32" s="133">
        <v>32.32426957473583</v>
      </c>
      <c r="ABN32" s="81"/>
      <c r="ABO32" s="81">
        <v>30</v>
      </c>
      <c r="ABP32" s="133">
        <f t="shared" si="273"/>
        <v>0.19884987666967752</v>
      </c>
      <c r="ABQ32" s="133">
        <f t="shared" si="274"/>
        <v>0.22585516874283135</v>
      </c>
      <c r="ABR32" s="133">
        <f t="shared" si="275"/>
        <v>0.25113929199628693</v>
      </c>
      <c r="ABS32" s="133">
        <f t="shared" si="471"/>
        <v>0.28278278200781315</v>
      </c>
      <c r="ABT32" s="133">
        <f t="shared" si="472"/>
        <v>0.3419025900249747</v>
      </c>
      <c r="ABU32" s="134">
        <f t="shared" si="473"/>
        <v>0.41789005500679355</v>
      </c>
      <c r="ABV32" s="133">
        <f t="shared" si="474"/>
        <v>0.50550423133399258</v>
      </c>
      <c r="ABW32" s="133">
        <f t="shared" si="276"/>
        <v>0.59487532702569268</v>
      </c>
      <c r="ABX32" s="133">
        <f t="shared" si="277"/>
        <v>0.65367170708140587</v>
      </c>
      <c r="ABY32" s="133">
        <f t="shared" si="278"/>
        <v>0.70800459919902226</v>
      </c>
      <c r="ABZ32" s="133">
        <f t="shared" si="279"/>
        <v>0.77523538014885296</v>
      </c>
      <c r="ACA32" s="81"/>
      <c r="ACB32" s="81">
        <v>30</v>
      </c>
      <c r="ACC32" s="133">
        <f t="shared" si="280"/>
        <v>0.217656361830281</v>
      </c>
      <c r="ACD32" s="133">
        <f t="shared" si="281"/>
        <v>0.24371374804789533</v>
      </c>
      <c r="ACE32" s="133">
        <f t="shared" si="282"/>
        <v>0.26822469347356448</v>
      </c>
      <c r="ACF32" s="133">
        <f t="shared" si="475"/>
        <v>0.29908512732132864</v>
      </c>
      <c r="ACG32" s="133">
        <f t="shared" si="476"/>
        <v>0.35736479458410503</v>
      </c>
      <c r="ACH32" s="134">
        <f t="shared" si="477"/>
        <v>0.4335721780089663</v>
      </c>
      <c r="ACI32" s="133">
        <f t="shared" si="478"/>
        <v>0.52333952613293566</v>
      </c>
      <c r="ACJ32" s="133">
        <f t="shared" si="283"/>
        <v>0.61702520601228283</v>
      </c>
      <c r="ACK32" s="133">
        <f t="shared" si="284"/>
        <v>0.67981831972416351</v>
      </c>
      <c r="ACL32" s="133">
        <f t="shared" si="285"/>
        <v>0.73865141547044078</v>
      </c>
      <c r="ACM32" s="133">
        <f t="shared" si="286"/>
        <v>0.81250869466298037</v>
      </c>
      <c r="ACN32" s="81"/>
      <c r="ACO32" s="81">
        <v>33</v>
      </c>
      <c r="ACP32" s="133">
        <f t="shared" si="287"/>
        <v>0.19308215650972274</v>
      </c>
      <c r="ACQ32" s="133">
        <f t="shared" si="288"/>
        <v>0.22308800241890259</v>
      </c>
      <c r="ACR32" s="133">
        <f t="shared" si="289"/>
        <v>0.25068648978118924</v>
      </c>
      <c r="ACS32" s="133">
        <f t="shared" si="479"/>
        <v>0.28457085435958546</v>
      </c>
      <c r="ACT32" s="133">
        <f t="shared" si="480"/>
        <v>0.34609478946294453</v>
      </c>
      <c r="ACU32" s="134">
        <f t="shared" si="481"/>
        <v>0.42188466140634534</v>
      </c>
      <c r="ACV32" s="133">
        <f t="shared" si="482"/>
        <v>0.50543608751061786</v>
      </c>
      <c r="ACW32" s="133">
        <f t="shared" si="290"/>
        <v>0.58717311674051098</v>
      </c>
      <c r="ACX32" s="133">
        <f t="shared" si="291"/>
        <v>0.63916179086070934</v>
      </c>
      <c r="ACY32" s="133">
        <f t="shared" si="292"/>
        <v>0.68609920381104583</v>
      </c>
      <c r="ACZ32" s="133">
        <f t="shared" si="293"/>
        <v>0.74283457786916107</v>
      </c>
      <c r="ADA32" s="81"/>
      <c r="ADB32" s="81">
        <v>30</v>
      </c>
      <c r="ADC32" s="133">
        <f t="shared" si="294"/>
        <v>0.16518464726151758</v>
      </c>
      <c r="ADD32" s="133">
        <f t="shared" si="295"/>
        <v>0.18441966296289911</v>
      </c>
      <c r="ADE32" s="133">
        <f t="shared" si="296"/>
        <v>0.20133401225163858</v>
      </c>
      <c r="ADF32" s="133">
        <f t="shared" si="483"/>
        <v>0.22123905532534568</v>
      </c>
      <c r="ADG32" s="133">
        <f t="shared" si="484"/>
        <v>0.25535063071604924</v>
      </c>
      <c r="ADH32" s="134">
        <f t="shared" si="485"/>
        <v>0.29461611007859251</v>
      </c>
      <c r="ADI32" s="133">
        <f t="shared" si="486"/>
        <v>0.33509809499490906</v>
      </c>
      <c r="ADJ32" s="133">
        <f t="shared" si="297"/>
        <v>0.37238464597718207</v>
      </c>
      <c r="ADK32" s="133">
        <f t="shared" si="298"/>
        <v>0.39515182558896306</v>
      </c>
      <c r="ADL32" s="133">
        <f t="shared" si="299"/>
        <v>0.41514152565187856</v>
      </c>
      <c r="ADM32" s="133">
        <f t="shared" si="300"/>
        <v>0.43865886917616681</v>
      </c>
      <c r="ADN32" s="81"/>
      <c r="ADO32" s="81">
        <v>30</v>
      </c>
      <c r="ADP32" s="133">
        <f t="shared" si="301"/>
        <v>0.17863394927372789</v>
      </c>
      <c r="ADQ32" s="133">
        <f t="shared" si="302"/>
        <v>0.19640658566643571</v>
      </c>
      <c r="ADR32" s="133">
        <f t="shared" si="303"/>
        <v>0.21221567056293647</v>
      </c>
      <c r="ADS32" s="133">
        <f t="shared" si="487"/>
        <v>0.23103255221494948</v>
      </c>
      <c r="ADT32" s="133">
        <f t="shared" si="488"/>
        <v>0.2637989869500223</v>
      </c>
      <c r="ADU32" s="134">
        <f t="shared" si="489"/>
        <v>0.30229722241227247</v>
      </c>
      <c r="ADV32" s="133">
        <f t="shared" si="490"/>
        <v>0.34282132850698305</v>
      </c>
      <c r="ADW32" s="133">
        <f t="shared" si="304"/>
        <v>0.3808585118375688</v>
      </c>
      <c r="ADX32" s="133">
        <f t="shared" si="305"/>
        <v>0.40440596716179622</v>
      </c>
      <c r="ADY32" s="133">
        <f t="shared" si="306"/>
        <v>0.42527565496961811</v>
      </c>
      <c r="ADZ32" s="133">
        <f t="shared" si="307"/>
        <v>0.45005568999688494</v>
      </c>
      <c r="AEA32" s="81"/>
      <c r="AEB32" s="81">
        <v>33</v>
      </c>
      <c r="AEC32" s="133">
        <f t="shared" si="308"/>
        <v>0.1613320767409796</v>
      </c>
      <c r="AED32" s="133">
        <f t="shared" si="309"/>
        <v>0.18283108246782409</v>
      </c>
      <c r="AEE32" s="133">
        <f t="shared" si="310"/>
        <v>0.20124023063612134</v>
      </c>
      <c r="AEF32" s="133">
        <f t="shared" si="491"/>
        <v>0.22238179732735266</v>
      </c>
      <c r="AEG32" s="133">
        <f t="shared" si="492"/>
        <v>0.25747491133557282</v>
      </c>
      <c r="AEH32" s="134">
        <f t="shared" si="493"/>
        <v>0.2963655686016487</v>
      </c>
      <c r="AEI32" s="133">
        <f t="shared" si="494"/>
        <v>0.33505253801620122</v>
      </c>
      <c r="AEJ32" s="133">
        <f t="shared" si="311"/>
        <v>0.36960976843941185</v>
      </c>
      <c r="AEK32" s="133">
        <f t="shared" si="312"/>
        <v>0.39026270477198632</v>
      </c>
      <c r="AEL32" s="133">
        <f t="shared" si="313"/>
        <v>0.40814059551833143</v>
      </c>
      <c r="AEM32" s="133">
        <f t="shared" si="314"/>
        <v>0.4288883061361779</v>
      </c>
      <c r="AEN32" s="81"/>
    </row>
    <row r="33" spans="1:820">
      <c r="A33" s="81"/>
      <c r="B33" s="81">
        <v>32</v>
      </c>
      <c r="C33" s="133">
        <f t="shared" si="0"/>
        <v>1.7857846667508355</v>
      </c>
      <c r="D33" s="133">
        <f t="shared" si="1"/>
        <v>2.1260467365532669</v>
      </c>
      <c r="E33" s="133">
        <f t="shared" si="2"/>
        <v>2.4815276649506428</v>
      </c>
      <c r="F33" s="133">
        <f t="shared" si="315"/>
        <v>2.9825126734472307</v>
      </c>
      <c r="G33" s="133">
        <f t="shared" si="316"/>
        <v>4.1127571309707953</v>
      </c>
      <c r="H33" s="134">
        <f t="shared" si="317"/>
        <v>6.0264754855841085</v>
      </c>
      <c r="I33" s="133">
        <f t="shared" si="318"/>
        <v>9.0896420430821916</v>
      </c>
      <c r="J33" s="133">
        <f t="shared" si="3"/>
        <v>13.522060561475419</v>
      </c>
      <c r="K33" s="133">
        <f t="shared" si="4"/>
        <v>17.411390087655661</v>
      </c>
      <c r="L33" s="133">
        <f t="shared" si="5"/>
        <v>21.896757477831997</v>
      </c>
      <c r="M33" s="133">
        <f t="shared" si="6"/>
        <v>28.950958613764953</v>
      </c>
      <c r="N33" s="81"/>
      <c r="O33" s="75">
        <v>32</v>
      </c>
      <c r="P33" s="151">
        <f t="shared" si="7"/>
        <v>2.4737284007404989</v>
      </c>
      <c r="Q33" s="151">
        <f t="shared" si="8"/>
        <v>2.7938317225603542</v>
      </c>
      <c r="R33" s="151">
        <f t="shared" si="9"/>
        <v>3.1176144386199582</v>
      </c>
      <c r="S33" s="151">
        <f t="shared" si="319"/>
        <v>3.5601962732069921</v>
      </c>
      <c r="T33" s="151">
        <f t="shared" si="320"/>
        <v>4.519511188941852</v>
      </c>
      <c r="U33" s="134">
        <f t="shared" si="321"/>
        <v>6.0770715232807584</v>
      </c>
      <c r="V33" s="151">
        <f t="shared" si="322"/>
        <v>8.5064918095317736</v>
      </c>
      <c r="W33" s="151">
        <f t="shared" si="10"/>
        <v>12.025497843141626</v>
      </c>
      <c r="X33" s="151">
        <f t="shared" si="11"/>
        <v>15.185955077350556</v>
      </c>
      <c r="Y33" s="151">
        <f t="shared" si="12"/>
        <v>18.95767016177172</v>
      </c>
      <c r="Z33" s="151">
        <f t="shared" si="13"/>
        <v>25.225414692614713</v>
      </c>
      <c r="AA33" s="81"/>
      <c r="AB33" s="75">
        <v>34</v>
      </c>
      <c r="AC33" s="151">
        <f t="shared" si="14"/>
        <v>1.4872810349100234</v>
      </c>
      <c r="AD33" s="151">
        <f t="shared" si="15"/>
        <v>1.7977424241095468</v>
      </c>
      <c r="AE33" s="151">
        <f t="shared" si="16"/>
        <v>2.1304045762344792</v>
      </c>
      <c r="AF33" s="151">
        <f t="shared" si="323"/>
        <v>2.6129044952442473</v>
      </c>
      <c r="AG33" s="151">
        <f t="shared" si="324"/>
        <v>3.7561218606638191</v>
      </c>
      <c r="AH33" s="134">
        <f t="shared" si="325"/>
        <v>5.8487077743237119</v>
      </c>
      <c r="AI33" s="151">
        <f t="shared" si="326"/>
        <v>9.5649963316943332</v>
      </c>
      <c r="AJ33" s="151">
        <f t="shared" si="17"/>
        <v>15.660459553045698</v>
      </c>
      <c r="AK33" s="151">
        <f t="shared" si="18"/>
        <v>21.655074275584358</v>
      </c>
      <c r="AL33" s="151">
        <f t="shared" si="19"/>
        <v>29.278659598371696</v>
      </c>
      <c r="AM33" s="151">
        <f t="shared" si="20"/>
        <v>42.751455453554343</v>
      </c>
      <c r="AN33" s="81"/>
      <c r="AO33" s="81">
        <v>32</v>
      </c>
      <c r="AP33" s="133">
        <f t="shared" si="21"/>
        <v>1.0180692926037063</v>
      </c>
      <c r="AQ33" s="133">
        <f t="shared" si="22"/>
        <v>2.8859108044588089</v>
      </c>
      <c r="AR33" s="133">
        <f t="shared" si="23"/>
        <v>4.6572034999446954</v>
      </c>
      <c r="AS33" s="133">
        <f t="shared" si="327"/>
        <v>6.8903259613764272</v>
      </c>
      <c r="AT33" s="133">
        <f t="shared" si="328"/>
        <v>11.075332101583871</v>
      </c>
      <c r="AU33" s="134">
        <f t="shared" si="329"/>
        <v>16.425399071541744</v>
      </c>
      <c r="AV33" s="133">
        <f t="shared" si="330"/>
        <v>22.507205291316303</v>
      </c>
      <c r="AW33" s="133">
        <f t="shared" si="24"/>
        <v>28.59351404651358</v>
      </c>
      <c r="AX33" s="133">
        <f t="shared" si="25"/>
        <v>32.530008770861592</v>
      </c>
      <c r="AY33" s="133">
        <f t="shared" si="26"/>
        <v>36.120254958790191</v>
      </c>
      <c r="AZ33" s="133">
        <f t="shared" si="27"/>
        <v>40.501170932878296</v>
      </c>
      <c r="BA33" s="81"/>
      <c r="BB33" s="81">
        <v>32</v>
      </c>
      <c r="BC33" s="133">
        <f t="shared" si="28"/>
        <v>3.9485002039879236</v>
      </c>
      <c r="BD33" s="133">
        <f t="shared" si="29"/>
        <v>5.9843590293900677</v>
      </c>
      <c r="BE33" s="133">
        <f t="shared" si="30"/>
        <v>7.8484415801997836</v>
      </c>
      <c r="BF33" s="133">
        <f t="shared" si="331"/>
        <v>10.124145113185051</v>
      </c>
      <c r="BG33" s="133">
        <f t="shared" si="332"/>
        <v>14.213470675056644</v>
      </c>
      <c r="BH33" s="134">
        <f t="shared" si="333"/>
        <v>19.189120043483516</v>
      </c>
      <c r="BI33" s="133">
        <f t="shared" si="334"/>
        <v>24.589819475650867</v>
      </c>
      <c r="BJ33" s="133">
        <f t="shared" si="31"/>
        <v>29.78574125406104</v>
      </c>
      <c r="BK33" s="133">
        <f t="shared" si="32"/>
        <v>33.055565189639672</v>
      </c>
      <c r="BL33" s="133">
        <f t="shared" si="33"/>
        <v>35.984143258480572</v>
      </c>
      <c r="BM33" s="133">
        <f t="shared" si="34"/>
        <v>39.495831968983424</v>
      </c>
      <c r="BN33" s="81"/>
      <c r="BO33" s="75">
        <v>34</v>
      </c>
      <c r="BP33" s="151">
        <f t="shared" si="35"/>
        <v>3.0315881459065621</v>
      </c>
      <c r="BQ33" s="151">
        <f t="shared" si="36"/>
        <v>3.9032746004841523</v>
      </c>
      <c r="BR33" s="151">
        <f t="shared" si="37"/>
        <v>4.8156102938607637</v>
      </c>
      <c r="BS33" s="151">
        <f t="shared" si="335"/>
        <v>6.0872553387507402</v>
      </c>
      <c r="BT33" s="151">
        <f t="shared" si="336"/>
        <v>8.8452554678254778</v>
      </c>
      <c r="BU33" s="134">
        <f t="shared" si="337"/>
        <v>13.110233382446893</v>
      </c>
      <c r="BV33" s="151">
        <f t="shared" si="338"/>
        <v>19.015278140570675</v>
      </c>
      <c r="BW33" s="151">
        <f t="shared" si="38"/>
        <v>26.109320540248625</v>
      </c>
      <c r="BX33" s="151">
        <f t="shared" si="39"/>
        <v>31.357535217462477</v>
      </c>
      <c r="BY33" s="151">
        <f t="shared" si="40"/>
        <v>36.612739585769667</v>
      </c>
      <c r="BZ33" s="151">
        <f t="shared" si="41"/>
        <v>43.649546914795415</v>
      </c>
      <c r="CA33" s="81"/>
      <c r="CB33" s="81">
        <v>32</v>
      </c>
      <c r="CC33" s="133">
        <f t="shared" si="42"/>
        <v>-6.3862816802566895</v>
      </c>
      <c r="CD33" s="133">
        <f t="shared" si="43"/>
        <v>-4.6663572997383298</v>
      </c>
      <c r="CE33" s="133">
        <f t="shared" si="44"/>
        <v>-2.7629064477821634</v>
      </c>
      <c r="CF33" s="133">
        <f t="shared" si="339"/>
        <v>-0.20628495084169352</v>
      </c>
      <c r="CG33" s="133">
        <f t="shared" si="340"/>
        <v>4.7485955593999867</v>
      </c>
      <c r="CH33" s="134">
        <f t="shared" si="341"/>
        <v>11.102811535999479</v>
      </c>
      <c r="CI33" s="133">
        <f t="shared" si="342"/>
        <v>18.191431562455353</v>
      </c>
      <c r="CJ33" s="133">
        <f t="shared" si="45"/>
        <v>25.096676876188479</v>
      </c>
      <c r="CK33" s="133">
        <f t="shared" si="46"/>
        <v>29.461016885167464</v>
      </c>
      <c r="CL33" s="133">
        <f t="shared" si="47"/>
        <v>33.374454738670117</v>
      </c>
      <c r="CM33" s="133">
        <f t="shared" si="48"/>
        <v>38.067324378906584</v>
      </c>
      <c r="CN33" s="81"/>
      <c r="CO33" s="81">
        <v>32</v>
      </c>
      <c r="CP33" s="133">
        <f t="shared" si="49"/>
        <v>-1.1141163320662457</v>
      </c>
      <c r="CQ33" s="133">
        <f t="shared" si="50"/>
        <v>1.0274983302120138</v>
      </c>
      <c r="CR33" s="133">
        <f t="shared" si="51"/>
        <v>3.0466062379658885</v>
      </c>
      <c r="CS33" s="133">
        <f t="shared" si="343"/>
        <v>5.5564907341015592</v>
      </c>
      <c r="CT33" s="133">
        <f t="shared" si="344"/>
        <v>10.13185307578901</v>
      </c>
      <c r="CU33" s="134">
        <f t="shared" si="345"/>
        <v>15.741203786712202</v>
      </c>
      <c r="CV33" s="133">
        <f t="shared" si="346"/>
        <v>21.829973872995307</v>
      </c>
      <c r="CW33" s="133">
        <f t="shared" si="52"/>
        <v>27.663749944663746</v>
      </c>
      <c r="CX33" s="133">
        <f t="shared" si="53"/>
        <v>31.317766902322862</v>
      </c>
      <c r="CY33" s="133">
        <f t="shared" si="54"/>
        <v>34.577797519137107</v>
      </c>
      <c r="CZ33" s="133">
        <f t="shared" si="55"/>
        <v>38.470454545650618</v>
      </c>
      <c r="DA33" s="81"/>
      <c r="DB33" s="81">
        <v>34</v>
      </c>
      <c r="DC33" s="133">
        <f t="shared" si="56"/>
        <v>-6.5454606273491853</v>
      </c>
      <c r="DD33" s="133">
        <f t="shared" si="57"/>
        <v>-5.4717097571374183</v>
      </c>
      <c r="DE33" s="133">
        <f t="shared" si="58"/>
        <v>-4.1890198449940783</v>
      </c>
      <c r="DF33" s="133">
        <f t="shared" si="347"/>
        <v>-2.3560896503334927</v>
      </c>
      <c r="DG33" s="133">
        <f t="shared" si="348"/>
        <v>1.4478632105313531</v>
      </c>
      <c r="DH33" s="134">
        <f t="shared" si="349"/>
        <v>6.6694804531456962</v>
      </c>
      <c r="DI33" s="133">
        <f t="shared" si="350"/>
        <v>12.826299450133181</v>
      </c>
      <c r="DJ33" s="133">
        <f t="shared" si="59"/>
        <v>19.085641588000165</v>
      </c>
      <c r="DK33" s="133">
        <f t="shared" si="60"/>
        <v>23.153420149646635</v>
      </c>
      <c r="DL33" s="133">
        <f t="shared" si="61"/>
        <v>26.866074022246561</v>
      </c>
      <c r="DM33" s="133">
        <f t="shared" si="62"/>
        <v>31.392401534923547</v>
      </c>
      <c r="DN33" s="81"/>
      <c r="DO33" s="81">
        <v>32</v>
      </c>
      <c r="DP33" s="133">
        <v>12.958483890160963</v>
      </c>
      <c r="DQ33" s="133">
        <v>14.262007980162094</v>
      </c>
      <c r="DR33" s="133">
        <v>15.487513381667982</v>
      </c>
      <c r="DS33" s="133">
        <v>17.031700721928562</v>
      </c>
      <c r="DT33" s="133">
        <v>19.95787160868332</v>
      </c>
      <c r="DU33" s="134">
        <v>23.815555803716297</v>
      </c>
      <c r="DV33" s="133">
        <v>28.418897032745463</v>
      </c>
      <c r="DW33" s="133">
        <v>33.301471620486609</v>
      </c>
      <c r="DX33" s="133">
        <v>36.621805209303446</v>
      </c>
      <c r="DY33" s="133">
        <v>39.768642608309563</v>
      </c>
      <c r="DZ33" s="133">
        <v>43.769063036037004</v>
      </c>
      <c r="EA33" s="81"/>
      <c r="EB33" s="81">
        <v>32</v>
      </c>
      <c r="EC33" s="133">
        <v>13.118843639002023</v>
      </c>
      <c r="ED33" s="133">
        <v>14.069991822107168</v>
      </c>
      <c r="EE33" s="133">
        <v>14.943007456628779</v>
      </c>
      <c r="EF33" s="133">
        <v>16.016978543352664</v>
      </c>
      <c r="EG33" s="133">
        <v>17.983066494832723</v>
      </c>
      <c r="EH33" s="134">
        <v>20.460153846310476</v>
      </c>
      <c r="EI33" s="133">
        <v>23.278448952795653</v>
      </c>
      <c r="EJ33" s="133">
        <v>26.135884135802087</v>
      </c>
      <c r="EK33" s="133">
        <v>28.014300108576386</v>
      </c>
      <c r="EL33" s="133">
        <v>29.752532958615436</v>
      </c>
      <c r="EM33" s="133">
        <v>31.90966421538495</v>
      </c>
      <c r="EN33" s="81"/>
      <c r="EO33" s="81">
        <v>34</v>
      </c>
      <c r="EP33" s="133">
        <v>16.441119471765933</v>
      </c>
      <c r="EQ33" s="133">
        <v>17.676444960478321</v>
      </c>
      <c r="ER33" s="133">
        <v>18.812879193809113</v>
      </c>
      <c r="ES33" s="133">
        <v>20.214087319282267</v>
      </c>
      <c r="ET33" s="133">
        <v>22.787641186955508</v>
      </c>
      <c r="EU33" s="134">
        <v>26.044049616786687</v>
      </c>
      <c r="EV33" s="133">
        <v>29.76580660002346</v>
      </c>
      <c r="EW33" s="133">
        <v>33.555436351292585</v>
      </c>
      <c r="EX33" s="133">
        <v>36.054689633304911</v>
      </c>
      <c r="EY33" s="133">
        <v>38.372677422309728</v>
      </c>
      <c r="EZ33" s="133">
        <v>41.255859834025742</v>
      </c>
      <c r="FA33" s="81"/>
      <c r="FB33" s="81">
        <v>32</v>
      </c>
      <c r="FC33" s="133">
        <v>7.5543861108200545</v>
      </c>
      <c r="FD33" s="133">
        <v>8.4034511963547249</v>
      </c>
      <c r="FE33" s="133">
        <v>9.2096365290589635</v>
      </c>
      <c r="FF33" s="133">
        <v>10.235566183374472</v>
      </c>
      <c r="FG33" s="133">
        <v>12.207594949673043</v>
      </c>
      <c r="FH33" s="134">
        <v>14.856504518862995</v>
      </c>
      <c r="FI33" s="133">
        <v>18.080197404068361</v>
      </c>
      <c r="FJ33" s="133">
        <v>21.563606992010158</v>
      </c>
      <c r="FK33" s="133">
        <v>23.965736956347538</v>
      </c>
      <c r="FL33" s="133">
        <v>26.264890621931539</v>
      </c>
      <c r="FM33" s="133">
        <v>29.216897744062639</v>
      </c>
      <c r="FN33" s="81"/>
      <c r="FO33" s="81">
        <v>32</v>
      </c>
      <c r="FP33" s="133">
        <v>7.3964846087094598</v>
      </c>
      <c r="FQ33" s="133">
        <v>8.079913642270121</v>
      </c>
      <c r="FR33" s="133">
        <v>8.7179978931343953</v>
      </c>
      <c r="FS33" s="133">
        <v>9.5164563353484386</v>
      </c>
      <c r="FT33" s="133">
        <v>11.01446909217729</v>
      </c>
      <c r="FU33" s="134">
        <v>12.963642794596096</v>
      </c>
      <c r="FV33" s="133">
        <v>15.257751699102792</v>
      </c>
      <c r="FW33" s="133">
        <v>17.659518268543611</v>
      </c>
      <c r="FX33" s="133">
        <v>19.276906987810914</v>
      </c>
      <c r="FY33" s="133">
        <v>20.799236470387143</v>
      </c>
      <c r="FZ33" s="133">
        <v>22.721068642256757</v>
      </c>
      <c r="GA33" s="81"/>
      <c r="GB33" s="81">
        <v>34</v>
      </c>
      <c r="GC33" s="133">
        <v>9.6698178213918808</v>
      </c>
      <c r="GD33" s="133">
        <v>10.53439885419461</v>
      </c>
      <c r="GE33" s="133">
        <v>11.33956575771033</v>
      </c>
      <c r="GF33" s="133">
        <v>12.344543573834324</v>
      </c>
      <c r="GG33" s="133">
        <v>14.223126976068567</v>
      </c>
      <c r="GH33" s="134">
        <v>16.655772140287993</v>
      </c>
      <c r="GI33" s="133">
        <v>19.504483511675307</v>
      </c>
      <c r="GJ33" s="133">
        <v>22.472661215049378</v>
      </c>
      <c r="GK33" s="133">
        <v>24.464318256681537</v>
      </c>
      <c r="GL33" s="133">
        <v>26.334179047979756</v>
      </c>
      <c r="GM33" s="133">
        <v>28.688725135595387</v>
      </c>
      <c r="GN33" s="81"/>
      <c r="GO33" s="81">
        <v>32</v>
      </c>
      <c r="GP33" s="133">
        <f t="shared" si="63"/>
        <v>0.42849328086782223</v>
      </c>
      <c r="GQ33" s="133">
        <f t="shared" si="64"/>
        <v>0.46545051299606799</v>
      </c>
      <c r="GR33" s="133">
        <f t="shared" si="65"/>
        <v>0.494910785379303</v>
      </c>
      <c r="GS33" s="133">
        <f t="shared" si="351"/>
        <v>0.52672130485479496</v>
      </c>
      <c r="GT33" s="133">
        <f t="shared" si="352"/>
        <v>0.57704603363431228</v>
      </c>
      <c r="GU33" s="134">
        <f t="shared" si="353"/>
        <v>0.62549388601203615</v>
      </c>
      <c r="GV33" s="133">
        <f t="shared" si="354"/>
        <v>0.67025589484375181</v>
      </c>
      <c r="GW33" s="133">
        <f t="shared" si="66"/>
        <v>0.70996515799676441</v>
      </c>
      <c r="GX33" s="133">
        <f t="shared" si="67"/>
        <v>0.73204119629693654</v>
      </c>
      <c r="GY33" s="133">
        <f t="shared" si="68"/>
        <v>0.75063262387753027</v>
      </c>
      <c r="GZ33" s="133">
        <f t="shared" si="69"/>
        <v>0.77165342256607594</v>
      </c>
      <c r="HA33" s="81"/>
      <c r="HB33" s="81">
        <v>32</v>
      </c>
      <c r="HC33" s="133">
        <f t="shared" si="70"/>
        <v>0.40470354445772438</v>
      </c>
      <c r="HD33" s="133">
        <f t="shared" si="71"/>
        <v>0.44587814367357786</v>
      </c>
      <c r="HE33" s="133">
        <f t="shared" si="72"/>
        <v>0.47836050432899424</v>
      </c>
      <c r="HF33" s="133">
        <f t="shared" si="355"/>
        <v>0.51317097673692558</v>
      </c>
      <c r="HG33" s="133">
        <f t="shared" si="356"/>
        <v>0.56632746633957065</v>
      </c>
      <c r="HH33" s="134">
        <f t="shared" si="357"/>
        <v>0.62003529357183806</v>
      </c>
      <c r="HI33" s="133">
        <f t="shared" si="358"/>
        <v>0.66929009040930076</v>
      </c>
      <c r="HJ33" s="133">
        <f t="shared" si="73"/>
        <v>0.71047282374122245</v>
      </c>
      <c r="HK33" s="133">
        <f t="shared" si="74"/>
        <v>0.73401087190758374</v>
      </c>
      <c r="HL33" s="133">
        <f t="shared" si="75"/>
        <v>0.75380853963931616</v>
      </c>
      <c r="HM33" s="133">
        <f t="shared" si="76"/>
        <v>0.77616835421640717</v>
      </c>
      <c r="HN33" s="81"/>
      <c r="HO33" s="81">
        <v>34</v>
      </c>
      <c r="HP33" s="83">
        <f t="shared" si="77"/>
        <v>0.45581358641623415</v>
      </c>
      <c r="HQ33" s="83">
        <f t="shared" si="78"/>
        <v>0.48878099180398993</v>
      </c>
      <c r="HR33" s="83">
        <f t="shared" si="79"/>
        <v>0.51532442720753036</v>
      </c>
      <c r="HS33" s="83">
        <f t="shared" si="359"/>
        <v>0.54420217375200619</v>
      </c>
      <c r="HT33" s="83">
        <f t="shared" si="360"/>
        <v>0.58900120231408803</v>
      </c>
      <c r="HU33" s="84">
        <f t="shared" si="361"/>
        <v>0.63494777607725994</v>
      </c>
      <c r="HV33" s="83">
        <f t="shared" si="362"/>
        <v>0.67755578159206165</v>
      </c>
      <c r="HW33" s="83">
        <f t="shared" si="80"/>
        <v>0.71345860013421991</v>
      </c>
      <c r="HX33" s="83">
        <f t="shared" si="81"/>
        <v>0.7340747997665733</v>
      </c>
      <c r="HY33" s="83">
        <f t="shared" si="82"/>
        <v>0.75146273368564664</v>
      </c>
      <c r="HZ33" s="83">
        <f t="shared" si="83"/>
        <v>0.77114885533250144</v>
      </c>
      <c r="IA33" s="81"/>
      <c r="IB33" s="81">
        <v>32</v>
      </c>
      <c r="IC33" s="83">
        <f t="shared" si="84"/>
        <v>0.3013165104250492</v>
      </c>
      <c r="ID33" s="83">
        <f t="shared" si="85"/>
        <v>0.31852107218767939</v>
      </c>
      <c r="IE33" s="83">
        <f t="shared" si="86"/>
        <v>0.33158967151504226</v>
      </c>
      <c r="IF33" s="83">
        <f t="shared" si="363"/>
        <v>0.34515776371874812</v>
      </c>
      <c r="IG33" s="83">
        <f t="shared" si="364"/>
        <v>0.36510373156387149</v>
      </c>
      <c r="IH33" s="84">
        <f t="shared" si="365"/>
        <v>0.384424039770625</v>
      </c>
      <c r="II33" s="83">
        <f t="shared" si="366"/>
        <v>0.40149777181888385</v>
      </c>
      <c r="IJ33" s="83">
        <f t="shared" si="87"/>
        <v>0.41535003540341647</v>
      </c>
      <c r="IK33" s="83">
        <f t="shared" si="88"/>
        <v>0.4231079022706547</v>
      </c>
      <c r="IL33" s="83">
        <f t="shared" si="89"/>
        <v>0.42954828305728415</v>
      </c>
      <c r="IM33" s="83">
        <f t="shared" si="90"/>
        <v>0.43673304564905213</v>
      </c>
      <c r="IN33" s="81"/>
      <c r="IO33" s="81">
        <v>32</v>
      </c>
      <c r="IP33" s="133">
        <f t="shared" si="91"/>
        <v>0.28934364723261868</v>
      </c>
      <c r="IQ33" s="133">
        <f t="shared" si="92"/>
        <v>0.30926695607263233</v>
      </c>
      <c r="IR33" s="133">
        <f t="shared" si="93"/>
        <v>0.32409442674094019</v>
      </c>
      <c r="IS33" s="133">
        <f t="shared" si="367"/>
        <v>0.33927251503293876</v>
      </c>
      <c r="IT33" s="133">
        <f t="shared" si="368"/>
        <v>0.36127429861428817</v>
      </c>
      <c r="IU33" s="134">
        <f t="shared" si="369"/>
        <v>0.38231566335479322</v>
      </c>
      <c r="IV33" s="133">
        <f t="shared" si="370"/>
        <v>0.4007413693836977</v>
      </c>
      <c r="IW33" s="133">
        <f t="shared" si="94"/>
        <v>0.41559782102140608</v>
      </c>
      <c r="IX33" s="133">
        <f t="shared" si="95"/>
        <v>0.42388745157094454</v>
      </c>
      <c r="IY33" s="133">
        <f t="shared" si="96"/>
        <v>0.43075445804488921</v>
      </c>
      <c r="IZ33" s="133">
        <f t="shared" si="97"/>
        <v>0.43840061827449994</v>
      </c>
      <c r="JA33" s="81"/>
      <c r="JB33" s="81">
        <v>34</v>
      </c>
      <c r="JC33" s="133">
        <f t="shared" si="98"/>
        <v>0.3144496581914788</v>
      </c>
      <c r="JD33" s="133">
        <f t="shared" si="99"/>
        <v>0.32916850063252895</v>
      </c>
      <c r="JE33" s="133">
        <f t="shared" si="100"/>
        <v>0.34056315108617891</v>
      </c>
      <c r="JF33" s="133">
        <f t="shared" si="371"/>
        <v>0.35255804200667956</v>
      </c>
      <c r="JG33" s="133">
        <f t="shared" si="372"/>
        <v>0.37044600473176692</v>
      </c>
      <c r="JH33" s="134">
        <f t="shared" si="373"/>
        <v>0.38800940662139305</v>
      </c>
      <c r="JI33" s="133">
        <f t="shared" si="374"/>
        <v>0.40368730821838816</v>
      </c>
      <c r="JJ33" s="133">
        <f t="shared" si="101"/>
        <v>0.4164968943110397</v>
      </c>
      <c r="JK33" s="133">
        <f t="shared" si="102"/>
        <v>0.42370133807887911</v>
      </c>
      <c r="JL33" s="133">
        <f t="shared" si="103"/>
        <v>0.42969733593206338</v>
      </c>
      <c r="JM33" s="133">
        <f t="shared" si="104"/>
        <v>0.43640129970448632</v>
      </c>
      <c r="JN33" s="81"/>
      <c r="JO33" s="81">
        <v>31</v>
      </c>
      <c r="JP33" s="133">
        <f t="shared" si="105"/>
        <v>-6.9345218855026243</v>
      </c>
      <c r="JQ33" s="133">
        <f t="shared" si="106"/>
        <v>-5.5178654595497107</v>
      </c>
      <c r="JR33" s="133">
        <f t="shared" si="107"/>
        <v>-4.2808478438919195</v>
      </c>
      <c r="JS33" s="133">
        <f t="shared" si="375"/>
        <v>-2.8344238946072089</v>
      </c>
      <c r="JT33" s="133">
        <f t="shared" si="376"/>
        <v>-0.37625159565310184</v>
      </c>
      <c r="JU33" s="134">
        <f t="shared" si="377"/>
        <v>2.4256113320071826</v>
      </c>
      <c r="JV33" s="133">
        <f t="shared" si="378"/>
        <v>5.2878345359030483</v>
      </c>
      <c r="JW33" s="133">
        <f t="shared" si="108"/>
        <v>7.9035695089923728</v>
      </c>
      <c r="JX33" s="133">
        <f t="shared" si="109"/>
        <v>9.4920643945715533</v>
      </c>
      <c r="JY33" s="133">
        <f t="shared" si="110"/>
        <v>10.881770641132459</v>
      </c>
      <c r="JZ33" s="133">
        <f t="shared" si="111"/>
        <v>12.511097676210181</v>
      </c>
      <c r="KA33" s="81"/>
      <c r="KB33" s="81">
        <v>31</v>
      </c>
      <c r="KC33" s="133">
        <f t="shared" si="112"/>
        <v>-5.0970382872839952</v>
      </c>
      <c r="KD33" s="133">
        <f t="shared" si="113"/>
        <v>-3.9383130694228328</v>
      </c>
      <c r="KE33" s="133">
        <f t="shared" si="114"/>
        <v>-2.8971564587779426</v>
      </c>
      <c r="KF33" s="133">
        <f t="shared" si="379"/>
        <v>-1.6480372277219839</v>
      </c>
      <c r="KG33" s="133">
        <f t="shared" si="380"/>
        <v>0.54574263769355547</v>
      </c>
      <c r="KH33" s="134">
        <f t="shared" si="381"/>
        <v>3.1432562938889408</v>
      </c>
      <c r="KI33" s="133">
        <f t="shared" si="382"/>
        <v>5.8910935397809343</v>
      </c>
      <c r="KJ33" s="133">
        <f t="shared" si="115"/>
        <v>8.4770326379356522</v>
      </c>
      <c r="KK33" s="133">
        <f t="shared" si="116"/>
        <v>10.079462236817639</v>
      </c>
      <c r="KL33" s="133">
        <f t="shared" si="117"/>
        <v>11.500036868546845</v>
      </c>
      <c r="KM33" s="133">
        <f t="shared" si="118"/>
        <v>13.18674146725172</v>
      </c>
      <c r="KN33" s="81"/>
      <c r="KO33" s="81">
        <v>33</v>
      </c>
      <c r="KP33" s="133">
        <f t="shared" si="119"/>
        <v>-8.060912202598848</v>
      </c>
      <c r="KQ33" s="133">
        <f t="shared" si="120"/>
        <v>-6.4700827246851436</v>
      </c>
      <c r="KR33" s="133">
        <f t="shared" si="121"/>
        <v>-5.110250694638891</v>
      </c>
      <c r="KS33" s="133">
        <f t="shared" si="383"/>
        <v>-3.551042409044797</v>
      </c>
      <c r="KT33" s="133">
        <f t="shared" si="384"/>
        <v>-0.96815617801815179</v>
      </c>
      <c r="KU33" s="134">
        <f t="shared" si="385"/>
        <v>1.8873888604277482</v>
      </c>
      <c r="KV33" s="133">
        <f t="shared" si="386"/>
        <v>4.7216577264254553</v>
      </c>
      <c r="KW33" s="133">
        <f t="shared" si="122"/>
        <v>7.248595280749818</v>
      </c>
      <c r="KX33" s="133">
        <f t="shared" si="123"/>
        <v>8.756824796143249</v>
      </c>
      <c r="KY33" s="133">
        <f t="shared" si="124"/>
        <v>10.061273892017301</v>
      </c>
      <c r="KZ33" s="133">
        <f t="shared" si="125"/>
        <v>11.573866823355896</v>
      </c>
      <c r="LA33" s="81"/>
      <c r="LB33" s="81">
        <v>31</v>
      </c>
      <c r="LC33" s="133">
        <f t="shared" si="126"/>
        <v>-17.928662968706366</v>
      </c>
      <c r="LD33" s="133">
        <f t="shared" si="127"/>
        <v>-14.340847386583057</v>
      </c>
      <c r="LE33" s="133">
        <f t="shared" si="128"/>
        <v>-11.153454619325082</v>
      </c>
      <c r="LF33" s="133">
        <f t="shared" si="387"/>
        <v>-7.3719315883920231</v>
      </c>
      <c r="LG33" s="133">
        <f t="shared" si="388"/>
        <v>-0.83279002731905649</v>
      </c>
      <c r="LH33" s="134">
        <f t="shared" si="389"/>
        <v>6.7611973790481272</v>
      </c>
      <c r="LI33" s="133">
        <f t="shared" si="390"/>
        <v>14.643260607623219</v>
      </c>
      <c r="LJ33" s="133">
        <f t="shared" si="129"/>
        <v>21.937414299953005</v>
      </c>
      <c r="LK33" s="133">
        <f t="shared" si="130"/>
        <v>26.403678489351641</v>
      </c>
      <c r="LL33" s="133">
        <f t="shared" si="131"/>
        <v>30.331482060077498</v>
      </c>
      <c r="LM33" s="133">
        <f t="shared" si="132"/>
        <v>34.959006141789978</v>
      </c>
      <c r="LN33" s="81"/>
      <c r="LO33" s="81">
        <v>31</v>
      </c>
      <c r="LP33" s="133">
        <f t="shared" si="133"/>
        <v>-14.447037875393374</v>
      </c>
      <c r="LQ33" s="133">
        <f t="shared" si="134"/>
        <v>-11.017675461155847</v>
      </c>
      <c r="LR33" s="133">
        <f t="shared" si="135"/>
        <v>-7.9551420608208616</v>
      </c>
      <c r="LS33" s="133">
        <f t="shared" si="391"/>
        <v>-4.3051048062590915</v>
      </c>
      <c r="LT33" s="133">
        <f t="shared" si="392"/>
        <v>2.0428462114536963</v>
      </c>
      <c r="LU33" s="134">
        <f t="shared" si="393"/>
        <v>9.4627351232682493</v>
      </c>
      <c r="LV33" s="133">
        <f t="shared" si="394"/>
        <v>17.209226927171844</v>
      </c>
      <c r="LW33" s="133">
        <f t="shared" si="136"/>
        <v>24.412699478915496</v>
      </c>
      <c r="LX33" s="133">
        <f t="shared" si="137"/>
        <v>28.838034382291756</v>
      </c>
      <c r="LY33" s="133">
        <f t="shared" si="138"/>
        <v>32.738234582926651</v>
      </c>
      <c r="LZ33" s="133">
        <f t="shared" si="139"/>
        <v>37.342664569125247</v>
      </c>
      <c r="MA33" s="81"/>
      <c r="MB33" s="81">
        <v>33</v>
      </c>
      <c r="MC33" s="133">
        <f t="shared" si="140"/>
        <v>-18.594438035886416</v>
      </c>
      <c r="MD33" s="133">
        <f t="shared" si="141"/>
        <v>-15.074872722056806</v>
      </c>
      <c r="ME33" s="133">
        <f t="shared" si="142"/>
        <v>-11.987805997916496</v>
      </c>
      <c r="MF33" s="133">
        <f t="shared" si="395"/>
        <v>-8.3672010736259637</v>
      </c>
      <c r="MG33" s="133">
        <f t="shared" si="396"/>
        <v>-2.1977906787803221</v>
      </c>
      <c r="MH33" s="134">
        <f t="shared" si="397"/>
        <v>4.8455157803407829</v>
      </c>
      <c r="MI33" s="133">
        <f t="shared" si="398"/>
        <v>12.042099447526084</v>
      </c>
      <c r="MJ33" s="133">
        <f t="shared" si="143"/>
        <v>18.614568305498288</v>
      </c>
      <c r="MK33" s="133">
        <f t="shared" si="144"/>
        <v>22.602479690538381</v>
      </c>
      <c r="ML33" s="133">
        <f t="shared" si="145"/>
        <v>26.088732304533529</v>
      </c>
      <c r="MM33" s="133">
        <f t="shared" si="146"/>
        <v>30.172688058325285</v>
      </c>
      <c r="MN33" s="81"/>
      <c r="MO33" s="81">
        <v>31</v>
      </c>
      <c r="MP33" s="133">
        <f t="shared" si="147"/>
        <v>-24.342793445933477</v>
      </c>
      <c r="MQ33" s="133">
        <f t="shared" si="148"/>
        <v>-20.006629394932201</v>
      </c>
      <c r="MR33" s="133">
        <f t="shared" si="149"/>
        <v>-16.248139409906379</v>
      </c>
      <c r="MS33" s="133">
        <f t="shared" si="399"/>
        <v>-11.887717282863189</v>
      </c>
      <c r="MT33" s="133">
        <f t="shared" si="400"/>
        <v>-4.5610266646352784</v>
      </c>
      <c r="MU33" s="134">
        <f t="shared" si="401"/>
        <v>3.6681559630334277</v>
      </c>
      <c r="MV33" s="133">
        <f t="shared" si="402"/>
        <v>11.951328891011144</v>
      </c>
      <c r="MW33" s="133">
        <f t="shared" si="150"/>
        <v>19.4216645773691</v>
      </c>
      <c r="MX33" s="133">
        <f t="shared" si="151"/>
        <v>23.915333751596705</v>
      </c>
      <c r="MY33" s="133">
        <f t="shared" si="152"/>
        <v>27.821561542331871</v>
      </c>
      <c r="MZ33" s="133">
        <f t="shared" si="153"/>
        <v>32.372868416228265</v>
      </c>
      <c r="NA33" s="81"/>
      <c r="NB33" s="81">
        <v>31</v>
      </c>
      <c r="NC33" s="133">
        <f t="shared" si="154"/>
        <v>-19.39956204231796</v>
      </c>
      <c r="ND33" s="133">
        <f t="shared" si="155"/>
        <v>-15.303845348488386</v>
      </c>
      <c r="NE33" s="133">
        <f t="shared" si="156"/>
        <v>-11.732725114525646</v>
      </c>
      <c r="NF33" s="133">
        <f t="shared" si="403"/>
        <v>-7.572287965920669</v>
      </c>
      <c r="NG33" s="133">
        <f t="shared" si="404"/>
        <v>-0.55071148732081099</v>
      </c>
      <c r="NH33" s="134">
        <f t="shared" si="405"/>
        <v>7.3699099469400018</v>
      </c>
      <c r="NI33" s="133">
        <f t="shared" si="406"/>
        <v>15.369989903233336</v>
      </c>
      <c r="NJ33" s="133">
        <f t="shared" si="157"/>
        <v>22.603901898941469</v>
      </c>
      <c r="NK33" s="133">
        <f t="shared" si="158"/>
        <v>26.962712467927719</v>
      </c>
      <c r="NL33" s="133">
        <f t="shared" si="159"/>
        <v>30.755737669785059</v>
      </c>
      <c r="NM33" s="133">
        <f t="shared" si="160"/>
        <v>35.179506946389253</v>
      </c>
      <c r="NN33" s="81"/>
      <c r="NO33" s="81">
        <v>33</v>
      </c>
      <c r="NP33" s="133">
        <f t="shared" si="161"/>
        <v>-24.883073042245705</v>
      </c>
      <c r="NQ33" s="133">
        <f t="shared" si="162"/>
        <v>-20.922086056912523</v>
      </c>
      <c r="NR33" s="133">
        <f t="shared" si="163"/>
        <v>-17.511434973376502</v>
      </c>
      <c r="NS33" s="133">
        <f t="shared" si="407"/>
        <v>-13.575472893975544</v>
      </c>
      <c r="NT33" s="133">
        <f t="shared" si="408"/>
        <v>-7.002434374417895</v>
      </c>
      <c r="NU33" s="134">
        <f t="shared" si="409"/>
        <v>0.33231467255351532</v>
      </c>
      <c r="NV33" s="133">
        <f t="shared" si="410"/>
        <v>7.6743228345675334</v>
      </c>
      <c r="NW33" s="133">
        <f t="shared" si="164"/>
        <v>14.266689729590752</v>
      </c>
      <c r="NX33" s="133">
        <f t="shared" si="165"/>
        <v>18.220601287567675</v>
      </c>
      <c r="NY33" s="133">
        <f t="shared" si="166"/>
        <v>21.651177786247196</v>
      </c>
      <c r="NZ33" s="133">
        <f t="shared" si="167"/>
        <v>25.641228759454044</v>
      </c>
      <c r="OA33" s="81"/>
      <c r="OB33" s="81">
        <v>31</v>
      </c>
      <c r="OC33" s="133">
        <v>15.04744388178589</v>
      </c>
      <c r="OD33" s="133">
        <v>16.689824393750261</v>
      </c>
      <c r="OE33" s="133">
        <v>18.245037632592719</v>
      </c>
      <c r="OF33" s="133">
        <v>20.218798926636172</v>
      </c>
      <c r="OG33" s="133">
        <v>23.997925909260271</v>
      </c>
      <c r="OH33" s="134">
        <v>29.048233296913725</v>
      </c>
      <c r="OI33" s="133">
        <v>35.161366063986534</v>
      </c>
      <c r="OJ33" s="133">
        <v>41.733431384013038</v>
      </c>
      <c r="OK33" s="133">
        <v>46.248184008377876</v>
      </c>
      <c r="OL33" s="133">
        <v>50.557743315016545</v>
      </c>
      <c r="OM33" s="133">
        <v>56.075959764389012</v>
      </c>
      <c r="ON33" s="81"/>
      <c r="OO33" s="81">
        <v>31</v>
      </c>
      <c r="OP33" s="133">
        <v>13.651231223899078</v>
      </c>
      <c r="OQ33" s="133">
        <v>15.00861762324228</v>
      </c>
      <c r="OR33" s="133">
        <v>16.283514380161026</v>
      </c>
      <c r="OS33" s="133">
        <v>17.888367248287562</v>
      </c>
      <c r="OT33" s="133">
        <v>25.240695512505809</v>
      </c>
      <c r="OU33" s="134">
        <v>24.921418332173854</v>
      </c>
      <c r="OV33" s="133">
        <v>29.680796863805053</v>
      </c>
      <c r="OW33" s="133">
        <v>34.719607612408907</v>
      </c>
      <c r="OX33" s="133">
        <v>38.141464869764143</v>
      </c>
      <c r="OY33" s="133">
        <v>41.38136551133222</v>
      </c>
      <c r="OZ33" s="133">
        <v>45.496049513826812</v>
      </c>
      <c r="PA33" s="81"/>
      <c r="PB33" s="81">
        <v>33</v>
      </c>
      <c r="PC33" s="133">
        <v>20.40401986336223</v>
      </c>
      <c r="PD33" s="133">
        <v>22.09084681990419</v>
      </c>
      <c r="PE33" s="133">
        <v>23.652732685190113</v>
      </c>
      <c r="PF33" s="133">
        <v>25.591030040792603</v>
      </c>
      <c r="PG33" s="133">
        <v>29.184359361149951</v>
      </c>
      <c r="PH33" s="134">
        <v>33.787136740659513</v>
      </c>
      <c r="PI33" s="133">
        <v>39.115835814839805</v>
      </c>
      <c r="PJ33" s="133">
        <v>44.608232154482984</v>
      </c>
      <c r="PK33" s="133">
        <v>48.263793631202958</v>
      </c>
      <c r="PL33" s="133">
        <v>51.676181471841637</v>
      </c>
      <c r="PM33" s="133">
        <v>55.948318849750109</v>
      </c>
      <c r="PN33" s="81"/>
      <c r="PO33" s="81">
        <v>31</v>
      </c>
      <c r="PP33" s="133">
        <v>8.148161683837376</v>
      </c>
      <c r="PQ33" s="133">
        <v>8.8874411530179334</v>
      </c>
      <c r="PR33" s="133">
        <v>9.5766910781804935</v>
      </c>
      <c r="PS33" s="133">
        <v>10.43795221613621</v>
      </c>
      <c r="PT33" s="133">
        <v>12.050493417720906</v>
      </c>
      <c r="PU33" s="134">
        <v>14.14306777712796</v>
      </c>
      <c r="PV33" s="133">
        <v>16.599018746758176</v>
      </c>
      <c r="PW33" s="133">
        <v>19.163372470628001</v>
      </c>
      <c r="PX33" s="133">
        <v>20.886793206076661</v>
      </c>
      <c r="PY33" s="133">
        <v>22.506631853254159</v>
      </c>
      <c r="PZ33" s="133">
        <v>24.548649610771204</v>
      </c>
      <c r="QA33" s="81"/>
      <c r="QB33" s="81">
        <v>31</v>
      </c>
      <c r="QC33" s="133">
        <v>7.7937268476611496</v>
      </c>
      <c r="QD33" s="133">
        <v>8.4999130853144269</v>
      </c>
      <c r="QE33" s="133">
        <v>9.1582420608947093</v>
      </c>
      <c r="QF33" s="133">
        <v>9.9807815548892815</v>
      </c>
      <c r="QG33" s="133">
        <v>11.520597793107772</v>
      </c>
      <c r="QH33" s="134">
        <v>13.518412264966438</v>
      </c>
      <c r="QI33" s="133">
        <v>15.862672532055939</v>
      </c>
      <c r="QJ33" s="133">
        <v>18.309935866302222</v>
      </c>
      <c r="QK33" s="133">
        <v>19.954426728456827</v>
      </c>
      <c r="QL33" s="133">
        <v>21.499922214655779</v>
      </c>
      <c r="QM33" s="133">
        <v>23.448020919598466</v>
      </c>
      <c r="QN33" s="81"/>
      <c r="QO33" s="81">
        <v>33</v>
      </c>
      <c r="QP33" s="133">
        <v>9.1866665822928013</v>
      </c>
      <c r="QQ33" s="133">
        <v>9.9448135777451387</v>
      </c>
      <c r="QR33" s="133">
        <v>10.646718679452079</v>
      </c>
      <c r="QS33" s="133">
        <v>11.517673800673274</v>
      </c>
      <c r="QT33" s="133">
        <v>13.132014082887412</v>
      </c>
      <c r="QU33" s="134">
        <v>15.199375732530527</v>
      </c>
      <c r="QV33" s="133">
        <v>17.592200343410074</v>
      </c>
      <c r="QW33" s="133">
        <v>20.057958460772987</v>
      </c>
      <c r="QX33" s="133">
        <v>21.698800317181586</v>
      </c>
      <c r="QY33" s="133">
        <v>23.23030199134401</v>
      </c>
      <c r="QZ33" s="133">
        <v>25.147426500046091</v>
      </c>
      <c r="RA33" s="81"/>
      <c r="RB33" s="81">
        <v>31</v>
      </c>
      <c r="RC33" s="133">
        <f t="shared" si="168"/>
        <v>0.27046379905313789</v>
      </c>
      <c r="RD33" s="133">
        <f t="shared" si="169"/>
        <v>0.2936647922259864</v>
      </c>
      <c r="RE33" s="133">
        <f t="shared" si="170"/>
        <v>0.31547077597450202</v>
      </c>
      <c r="RF33" s="133">
        <f t="shared" si="411"/>
        <v>0.34296906092720308</v>
      </c>
      <c r="RG33" s="133">
        <f t="shared" si="412"/>
        <v>0.39524114339992028</v>
      </c>
      <c r="RH33" s="134">
        <f t="shared" si="413"/>
        <v>0.46467924617659523</v>
      </c>
      <c r="RI33" s="133">
        <f t="shared" si="414"/>
        <v>0.54858168238747307</v>
      </c>
      <c r="RJ33" s="133">
        <f t="shared" si="171"/>
        <v>0.63903492873178669</v>
      </c>
      <c r="RK33" s="133">
        <f t="shared" si="172"/>
        <v>0.70148524867692807</v>
      </c>
      <c r="RL33" s="133">
        <f t="shared" si="173"/>
        <v>0.76140915744960957</v>
      </c>
      <c r="RM33" s="133">
        <f t="shared" si="174"/>
        <v>0.83865508711942649</v>
      </c>
      <c r="RN33" s="81"/>
      <c r="RO33" s="81">
        <v>31</v>
      </c>
      <c r="RP33" s="133">
        <f t="shared" si="175"/>
        <v>0.29752503480007458</v>
      </c>
      <c r="RQ33" s="133">
        <f t="shared" si="176"/>
        <v>0.32085374655542709</v>
      </c>
      <c r="RR33" s="133">
        <f t="shared" si="177"/>
        <v>0.34271627581549963</v>
      </c>
      <c r="RS33" s="133">
        <f t="shared" si="415"/>
        <v>0.3702133757807205</v>
      </c>
      <c r="RT33" s="133">
        <f t="shared" si="416"/>
        <v>0.42231181195842821</v>
      </c>
      <c r="RU33" s="134">
        <f t="shared" si="417"/>
        <v>0.49128605425172744</v>
      </c>
      <c r="RV33" s="133">
        <f t="shared" si="418"/>
        <v>0.5744400055272052</v>
      </c>
      <c r="RW33" s="133">
        <f t="shared" si="178"/>
        <v>0.66401690569869531</v>
      </c>
      <c r="RX33" s="133">
        <f t="shared" si="179"/>
        <v>0.72588467569208015</v>
      </c>
      <c r="RY33" s="133">
        <f t="shared" si="180"/>
        <v>0.78529864472272892</v>
      </c>
      <c r="RZ33" s="133">
        <f t="shared" si="181"/>
        <v>0.86199000144001592</v>
      </c>
      <c r="SA33" s="81"/>
      <c r="SB33" s="81">
        <v>33</v>
      </c>
      <c r="SC33" s="133">
        <f t="shared" si="182"/>
        <v>0.25707800303848133</v>
      </c>
      <c r="SD33" s="133">
        <f t="shared" si="183"/>
        <v>0.28031580991751798</v>
      </c>
      <c r="SE33" s="133">
        <f t="shared" si="184"/>
        <v>0.30199835233293543</v>
      </c>
      <c r="SF33" s="133">
        <f t="shared" si="419"/>
        <v>0.32911605851834491</v>
      </c>
      <c r="SG33" s="133">
        <f t="shared" si="420"/>
        <v>0.37996129581893284</v>
      </c>
      <c r="SH33" s="134">
        <f t="shared" si="421"/>
        <v>0.44608394106188592</v>
      </c>
      <c r="SI33" s="133">
        <f t="shared" si="422"/>
        <v>0.5238892015514377</v>
      </c>
      <c r="SJ33" s="133">
        <f t="shared" si="185"/>
        <v>0.60535240814667357</v>
      </c>
      <c r="SK33" s="133">
        <f t="shared" si="186"/>
        <v>0.66022519361363075</v>
      </c>
      <c r="SL33" s="133">
        <f t="shared" si="187"/>
        <v>0.71188790223210752</v>
      </c>
      <c r="SM33" s="133">
        <f t="shared" si="188"/>
        <v>0.77713329499064354</v>
      </c>
      <c r="SN33" s="81"/>
      <c r="SO33" s="81">
        <v>31</v>
      </c>
      <c r="SP33" s="133">
        <f t="shared" si="189"/>
        <v>0.21234710931313369</v>
      </c>
      <c r="SQ33" s="133">
        <f t="shared" si="190"/>
        <v>0.22683565290538463</v>
      </c>
      <c r="SR33" s="133">
        <f t="shared" si="191"/>
        <v>0.23987641865941955</v>
      </c>
      <c r="SS33" s="133">
        <f t="shared" si="423"/>
        <v>0.2555977159156167</v>
      </c>
      <c r="ST33" s="133">
        <f t="shared" si="424"/>
        <v>0.28352053373564068</v>
      </c>
      <c r="SU33" s="134">
        <f t="shared" si="425"/>
        <v>0.31726199561753404</v>
      </c>
      <c r="SV33" s="133">
        <f t="shared" si="426"/>
        <v>0.35391641194539097</v>
      </c>
      <c r="SW33" s="133">
        <f t="shared" si="192"/>
        <v>0.38941428442868264</v>
      </c>
      <c r="SX33" s="133">
        <f t="shared" si="193"/>
        <v>0.41192975598352394</v>
      </c>
      <c r="SY33" s="133">
        <f t="shared" si="194"/>
        <v>0.43223383340813715</v>
      </c>
      <c r="SZ33" s="133">
        <f t="shared" si="195"/>
        <v>0.45677137703345805</v>
      </c>
      <c r="TA33" s="81"/>
      <c r="TB33" s="81">
        <v>31</v>
      </c>
      <c r="TC33" s="133">
        <f t="shared" si="196"/>
        <v>0.22914068214865943</v>
      </c>
      <c r="TD33" s="133">
        <f t="shared" si="197"/>
        <v>0.24299357543974368</v>
      </c>
      <c r="TE33" s="133">
        <f t="shared" si="198"/>
        <v>0.25545443037678095</v>
      </c>
      <c r="TF33" s="133">
        <f t="shared" si="427"/>
        <v>0.27047139932563991</v>
      </c>
      <c r="TG33" s="133">
        <f t="shared" si="428"/>
        <v>0.29714220508758898</v>
      </c>
      <c r="TH33" s="134">
        <f t="shared" si="429"/>
        <v>0.32939239596384368</v>
      </c>
      <c r="TI33" s="133">
        <f t="shared" si="430"/>
        <v>0.36448076043861749</v>
      </c>
      <c r="TJ33" s="133">
        <f t="shared" si="199"/>
        <v>0.39853610857335314</v>
      </c>
      <c r="TK33" s="133">
        <f t="shared" si="200"/>
        <v>0.42018123007079672</v>
      </c>
      <c r="TL33" s="133">
        <f t="shared" si="201"/>
        <v>0.43973297677888934</v>
      </c>
      <c r="TM33" s="133">
        <f t="shared" si="202"/>
        <v>0.46340493777177788</v>
      </c>
      <c r="TN33" s="81"/>
      <c r="TO33" s="81">
        <v>33</v>
      </c>
      <c r="TP33" s="133">
        <f t="shared" si="203"/>
        <v>0.20382034657533341</v>
      </c>
      <c r="TQ33" s="133">
        <f t="shared" si="204"/>
        <v>0.2186957069150274</v>
      </c>
      <c r="TR33" s="133">
        <f t="shared" si="205"/>
        <v>0.2319630368000424</v>
      </c>
      <c r="TS33" s="133">
        <f t="shared" si="431"/>
        <v>0.24780760833992302</v>
      </c>
      <c r="TT33" s="133">
        <f t="shared" si="432"/>
        <v>0.27555859725121173</v>
      </c>
      <c r="TU33" s="134">
        <f t="shared" si="433"/>
        <v>0.30845742153894323</v>
      </c>
      <c r="TV33" s="133">
        <f t="shared" si="434"/>
        <v>0.34345935005915862</v>
      </c>
      <c r="TW33" s="133">
        <f t="shared" si="206"/>
        <v>0.37667622303393844</v>
      </c>
      <c r="TX33" s="133">
        <f t="shared" si="207"/>
        <v>0.39741932174383932</v>
      </c>
      <c r="TY33" s="133">
        <f t="shared" si="208"/>
        <v>0.41591934554662552</v>
      </c>
      <c r="TZ33" s="133">
        <f t="shared" si="209"/>
        <v>0.43802735132415183</v>
      </c>
      <c r="UA33" s="81"/>
      <c r="UB33" s="81">
        <v>31</v>
      </c>
      <c r="UC33" s="133">
        <f t="shared" si="210"/>
        <v>-26.038550961645612</v>
      </c>
      <c r="UD33" s="133">
        <f t="shared" si="211"/>
        <v>-22.369233590473904</v>
      </c>
      <c r="UE33" s="133">
        <f t="shared" si="212"/>
        <v>-19.31914532559756</v>
      </c>
      <c r="UF33" s="133">
        <f t="shared" si="435"/>
        <v>-15.907596082317134</v>
      </c>
      <c r="UG33" s="133">
        <f t="shared" si="436"/>
        <v>-10.430719437131316</v>
      </c>
      <c r="UH33" s="134">
        <f t="shared" si="437"/>
        <v>-4.5909879813908105</v>
      </c>
      <c r="UI33" s="133">
        <f t="shared" si="438"/>
        <v>1.0166198042575303</v>
      </c>
      <c r="UJ33" s="133">
        <f t="shared" si="213"/>
        <v>5.8797016657893408</v>
      </c>
      <c r="UK33" s="133">
        <f t="shared" si="214"/>
        <v>8.7275334090596743</v>
      </c>
      <c r="UL33" s="133">
        <f t="shared" si="215"/>
        <v>11.160155017914889</v>
      </c>
      <c r="UM33" s="133">
        <f t="shared" si="216"/>
        <v>13.947704194322412</v>
      </c>
      <c r="UN33" s="81"/>
      <c r="UO33" s="81">
        <v>31</v>
      </c>
      <c r="UP33" s="133">
        <f t="shared" si="217"/>
        <v>-21.56363728984406</v>
      </c>
      <c r="UQ33" s="133">
        <f t="shared" si="218"/>
        <v>-18.621261110208476</v>
      </c>
      <c r="UR33" s="133">
        <f t="shared" si="219"/>
        <v>-16.09976425887848</v>
      </c>
      <c r="US33" s="133">
        <f t="shared" si="439"/>
        <v>-13.201397372052053</v>
      </c>
      <c r="UT33" s="133">
        <f t="shared" si="440"/>
        <v>-8.383875029851076</v>
      </c>
      <c r="UU33" s="134">
        <f t="shared" si="441"/>
        <v>-3.0355669197160573</v>
      </c>
      <c r="UV33" s="133">
        <f t="shared" si="442"/>
        <v>2.2942349198944356</v>
      </c>
      <c r="UW33" s="133">
        <f t="shared" si="220"/>
        <v>7.0626832957925743</v>
      </c>
      <c r="UX33" s="133">
        <f t="shared" si="221"/>
        <v>9.9157702974776072</v>
      </c>
      <c r="UY33" s="133">
        <f t="shared" si="222"/>
        <v>12.387386339907223</v>
      </c>
      <c r="UZ33" s="133">
        <f t="shared" si="223"/>
        <v>15.25787829822157</v>
      </c>
      <c r="VA33" s="81"/>
      <c r="VB33" s="81">
        <v>34</v>
      </c>
      <c r="VC33" s="133">
        <f t="shared" si="224"/>
        <v>-27.182973845423767</v>
      </c>
      <c r="VD33" s="133">
        <f t="shared" si="225"/>
        <v>-23.181884145191404</v>
      </c>
      <c r="VE33" s="133">
        <f t="shared" si="226"/>
        <v>-19.932009324898331</v>
      </c>
      <c r="VF33" s="133">
        <f t="shared" si="443"/>
        <v>-16.365807311882307</v>
      </c>
      <c r="VG33" s="133">
        <f t="shared" si="444"/>
        <v>-10.768216618005688</v>
      </c>
      <c r="VH33" s="134">
        <f t="shared" si="445"/>
        <v>-4.9432606802095762</v>
      </c>
      <c r="VI33" s="133">
        <f t="shared" si="446"/>
        <v>0.53475063831288594</v>
      </c>
      <c r="VJ33" s="133">
        <f t="shared" si="227"/>
        <v>5.207328076142602</v>
      </c>
      <c r="VK33" s="133">
        <f t="shared" si="228"/>
        <v>7.9136124299999722</v>
      </c>
      <c r="VL33" s="133">
        <f t="shared" si="229"/>
        <v>10.209153309978277</v>
      </c>
      <c r="VM33" s="133">
        <f t="shared" si="230"/>
        <v>12.822376561425926</v>
      </c>
      <c r="VN33" s="81"/>
      <c r="VO33" s="81">
        <v>31</v>
      </c>
      <c r="VP33" s="133">
        <f t="shared" si="231"/>
        <v>-42.894809624828504</v>
      </c>
      <c r="VQ33" s="133">
        <f t="shared" si="232"/>
        <v>-39.006954297660101</v>
      </c>
      <c r="VR33" s="133">
        <f t="shared" si="233"/>
        <v>-35.311595416746925</v>
      </c>
      <c r="VS33" s="133">
        <f t="shared" si="447"/>
        <v>-30.663070671727617</v>
      </c>
      <c r="VT33" s="133">
        <f t="shared" si="448"/>
        <v>-22.021282852158421</v>
      </c>
      <c r="VU33" s="134">
        <f t="shared" si="449"/>
        <v>-11.140387392329373</v>
      </c>
      <c r="VV33" s="133">
        <f t="shared" si="450"/>
        <v>0.99676889118065048</v>
      </c>
      <c r="VW33" s="133">
        <f t="shared" si="234"/>
        <v>12.912902874032589</v>
      </c>
      <c r="VX33" s="133">
        <f t="shared" si="235"/>
        <v>20.507823931460287</v>
      </c>
      <c r="VY33" s="133">
        <f t="shared" si="236"/>
        <v>27.363630980936868</v>
      </c>
      <c r="VZ33" s="133">
        <f t="shared" si="237"/>
        <v>35.643355628123224</v>
      </c>
      <c r="WA33" s="81"/>
      <c r="WB33" s="81">
        <v>31</v>
      </c>
      <c r="WC33" s="133">
        <f t="shared" si="238"/>
        <v>-39.330625828463553</v>
      </c>
      <c r="WD33" s="133">
        <f t="shared" si="239"/>
        <v>-35.64644642044285</v>
      </c>
      <c r="WE33" s="133">
        <f t="shared" si="240"/>
        <v>-32.091022940167129</v>
      </c>
      <c r="WF33" s="133">
        <f t="shared" si="451"/>
        <v>-27.566789712947507</v>
      </c>
      <c r="WG33" s="133">
        <f t="shared" si="452"/>
        <v>-19.051266707246164</v>
      </c>
      <c r="WH33" s="134">
        <f t="shared" si="453"/>
        <v>-8.2015717223343714</v>
      </c>
      <c r="WI33" s="133">
        <f t="shared" si="454"/>
        <v>4.0107770930003923</v>
      </c>
      <c r="WJ33" s="133">
        <f t="shared" si="241"/>
        <v>16.079195333708888</v>
      </c>
      <c r="WK33" s="133">
        <f t="shared" si="242"/>
        <v>23.802138221175419</v>
      </c>
      <c r="WL33" s="133">
        <f t="shared" si="243"/>
        <v>30.790596199532125</v>
      </c>
      <c r="WM33" s="133">
        <f t="shared" si="244"/>
        <v>39.24922633826224</v>
      </c>
      <c r="WN33" s="81"/>
      <c r="WO33" s="81">
        <v>34</v>
      </c>
      <c r="WP33" s="133">
        <f t="shared" si="245"/>
        <v>-43.459990655108172</v>
      </c>
      <c r="WQ33" s="133">
        <f t="shared" si="246"/>
        <v>-39.351163071891399</v>
      </c>
      <c r="WR33" s="133">
        <f t="shared" si="247"/>
        <v>-35.496657864491262</v>
      </c>
      <c r="WS33" s="133">
        <f t="shared" si="455"/>
        <v>-30.713192097566296</v>
      </c>
      <c r="WT33" s="133">
        <f t="shared" si="456"/>
        <v>-21.988907995295655</v>
      </c>
      <c r="WU33" s="134">
        <f t="shared" si="457"/>
        <v>-11.261679308276896</v>
      </c>
      <c r="WV33" s="133">
        <f t="shared" si="458"/>
        <v>0.43221525438413977</v>
      </c>
      <c r="WW33" s="133">
        <f t="shared" si="248"/>
        <v>11.686117185802594</v>
      </c>
      <c r="WX33" s="133">
        <f t="shared" si="249"/>
        <v>18.759015791951065</v>
      </c>
      <c r="WY33" s="133">
        <f t="shared" si="250"/>
        <v>25.084235354844246</v>
      </c>
      <c r="WZ33" s="133">
        <f t="shared" si="251"/>
        <v>32.654648077583907</v>
      </c>
      <c r="XA33" s="81"/>
      <c r="XB33" s="81">
        <v>31</v>
      </c>
      <c r="XC33" s="133">
        <f t="shared" si="252"/>
        <v>-48.323477912754278</v>
      </c>
      <c r="XD33" s="133">
        <f t="shared" si="253"/>
        <v>-43.907571711163605</v>
      </c>
      <c r="XE33" s="133">
        <f t="shared" si="254"/>
        <v>-39.765816777208194</v>
      </c>
      <c r="XF33" s="133">
        <f t="shared" si="459"/>
        <v>-34.65921973009516</v>
      </c>
      <c r="XG33" s="133">
        <f t="shared" si="460"/>
        <v>-25.46998806286906</v>
      </c>
      <c r="XH33" s="134">
        <f t="shared" si="461"/>
        <v>-14.390691990661722</v>
      </c>
      <c r="XI33" s="133">
        <f t="shared" si="462"/>
        <v>-2.5582472649489176</v>
      </c>
      <c r="XJ33" s="133">
        <f t="shared" si="255"/>
        <v>8.621018965232345</v>
      </c>
      <c r="XK33" s="133">
        <f t="shared" si="256"/>
        <v>15.55524495743925</v>
      </c>
      <c r="XL33" s="133">
        <f t="shared" si="257"/>
        <v>21.702086746807019</v>
      </c>
      <c r="XM33" s="133">
        <f t="shared" si="258"/>
        <v>28.99657468559942</v>
      </c>
      <c r="XN33" s="81"/>
      <c r="XO33" s="81">
        <v>31</v>
      </c>
      <c r="XP33" s="133">
        <f t="shared" si="259"/>
        <v>-43.715984179514663</v>
      </c>
      <c r="XQ33" s="133">
        <f t="shared" si="260"/>
        <v>-39.267544190243612</v>
      </c>
      <c r="XR33" s="133">
        <f t="shared" si="261"/>
        <v>-35.142103396001616</v>
      </c>
      <c r="XS33" s="133">
        <f t="shared" si="463"/>
        <v>-30.098258792105728</v>
      </c>
      <c r="XT33" s="133">
        <f t="shared" si="464"/>
        <v>-21.105467087856724</v>
      </c>
      <c r="XU33" s="134">
        <f t="shared" si="465"/>
        <v>-10.36371393722839</v>
      </c>
      <c r="XV33" s="133">
        <f t="shared" si="466"/>
        <v>1.0207033932412699</v>
      </c>
      <c r="XW33" s="133">
        <f t="shared" si="262"/>
        <v>11.712935840566168</v>
      </c>
      <c r="XX33" s="133">
        <f t="shared" si="263"/>
        <v>18.31931212242413</v>
      </c>
      <c r="XY33" s="133">
        <f t="shared" si="264"/>
        <v>24.161067484417295</v>
      </c>
      <c r="XZ33" s="133">
        <f t="shared" si="265"/>
        <v>31.077501570815691</v>
      </c>
      <c r="YA33" s="81"/>
      <c r="YB33" s="81">
        <v>34</v>
      </c>
      <c r="YC33" s="133">
        <f t="shared" si="266"/>
        <v>-49.416900009940051</v>
      </c>
      <c r="YD33" s="133">
        <f t="shared" si="267"/>
        <v>-44.889154197678813</v>
      </c>
      <c r="YE33" s="133">
        <f t="shared" si="268"/>
        <v>-40.678208394516361</v>
      </c>
      <c r="YF33" s="133">
        <f t="shared" si="467"/>
        <v>-35.533045835458225</v>
      </c>
      <c r="YG33" s="133">
        <f t="shared" si="468"/>
        <v>-26.385604988937455</v>
      </c>
      <c r="YH33" s="134">
        <f t="shared" si="469"/>
        <v>-15.509589766963018</v>
      </c>
      <c r="YI33" s="133">
        <f t="shared" si="470"/>
        <v>-4.0395443455840052</v>
      </c>
      <c r="YJ33" s="133">
        <f t="shared" si="269"/>
        <v>6.6857255103455842</v>
      </c>
      <c r="YK33" s="133">
        <f t="shared" si="270"/>
        <v>13.291853996128729</v>
      </c>
      <c r="YL33" s="133">
        <f t="shared" si="271"/>
        <v>19.121270574486921</v>
      </c>
      <c r="YM33" s="133">
        <f t="shared" si="272"/>
        <v>26.009306728351113</v>
      </c>
      <c r="YN33" s="81"/>
      <c r="YO33" s="81">
        <v>31</v>
      </c>
      <c r="YP33" s="133">
        <v>18.851954402202217</v>
      </c>
      <c r="YQ33" s="133">
        <v>21.202797559885269</v>
      </c>
      <c r="YR33" s="133">
        <v>23.457814921627037</v>
      </c>
      <c r="YS33" s="133">
        <v>26.356942144046602</v>
      </c>
      <c r="YT33" s="133">
        <v>32.012326039550047</v>
      </c>
      <c r="YU33" s="134">
        <v>39.756985767268993</v>
      </c>
      <c r="YV33" s="133">
        <v>49.375291109619269</v>
      </c>
      <c r="YW33" s="133">
        <v>59.969700151876403</v>
      </c>
      <c r="YX33" s="133">
        <v>67.381293721503909</v>
      </c>
      <c r="YY33" s="133">
        <v>74.547611598635754</v>
      </c>
      <c r="YZ33" s="133">
        <v>83.843716337134083</v>
      </c>
      <c r="ZA33" s="81"/>
      <c r="ZB33" s="81">
        <v>31</v>
      </c>
      <c r="ZC33" s="133">
        <v>15.633625463486103</v>
      </c>
      <c r="ZD33" s="133">
        <v>17.806039251044101</v>
      </c>
      <c r="ZE33" s="133">
        <v>19.914386414534409</v>
      </c>
      <c r="ZF33" s="133">
        <v>22.656833556156428</v>
      </c>
      <c r="ZG33" s="133">
        <v>28.097713251376888</v>
      </c>
      <c r="ZH33" s="134">
        <v>35.715254104838138</v>
      </c>
      <c r="ZI33" s="133">
        <v>45.397978275354845</v>
      </c>
      <c r="ZJ33" s="133">
        <v>56.299984400359918</v>
      </c>
      <c r="ZK33" s="133">
        <v>64.05315982229726</v>
      </c>
      <c r="ZL33" s="133">
        <v>71.637457257562829</v>
      </c>
      <c r="ZM33" s="133">
        <v>81.592038823777685</v>
      </c>
      <c r="ZN33" s="81"/>
      <c r="ZO33" s="81">
        <v>34</v>
      </c>
      <c r="ZP33" s="133">
        <v>22.141041558442168</v>
      </c>
      <c r="ZQ33" s="133">
        <v>24.493159981990015</v>
      </c>
      <c r="ZR33" s="133">
        <v>26.715014113295961</v>
      </c>
      <c r="ZS33" s="133">
        <v>29.527953186262462</v>
      </c>
      <c r="ZT33" s="133">
        <v>34.89492194132842</v>
      </c>
      <c r="ZU33" s="134">
        <v>42.034149437963599</v>
      </c>
      <c r="ZV33" s="133">
        <v>50.634006917792583</v>
      </c>
      <c r="ZW33" s="133">
        <v>59.837189114586863</v>
      </c>
      <c r="ZX33" s="133">
        <v>66.13770486812848</v>
      </c>
      <c r="ZY33" s="133">
        <v>72.137270987991982</v>
      </c>
      <c r="ZZ33" s="133">
        <v>79.800659526758537</v>
      </c>
      <c r="AAA33" s="81"/>
      <c r="AAB33" s="81">
        <v>31</v>
      </c>
      <c r="AAC33" s="133">
        <v>8.7830121703078152</v>
      </c>
      <c r="AAD33" s="133">
        <v>9.7537892974779901</v>
      </c>
      <c r="AAE33" s="133">
        <v>10.674106372368767</v>
      </c>
      <c r="AAF33" s="133">
        <v>11.843455073024989</v>
      </c>
      <c r="AAG33" s="133">
        <v>14.086121051817177</v>
      </c>
      <c r="AAH33" s="134">
        <v>17.089706118784335</v>
      </c>
      <c r="AAI33" s="133">
        <v>20.733745944114098</v>
      </c>
      <c r="AAJ33" s="133">
        <v>24.659869389939679</v>
      </c>
      <c r="AAK33" s="133">
        <v>27.361358884565991</v>
      </c>
      <c r="AAL33" s="133">
        <v>29.943035093236148</v>
      </c>
      <c r="AAM33" s="133">
        <v>33.252607370140879</v>
      </c>
      <c r="AAN33" s="81"/>
      <c r="AAO33" s="81">
        <v>31</v>
      </c>
      <c r="AAP33" s="133">
        <v>7.8759962049970476</v>
      </c>
      <c r="AAQ33" s="133">
        <v>8.8358984506350176</v>
      </c>
      <c r="AAR33" s="133">
        <v>9.7545288357793289</v>
      </c>
      <c r="AAS33" s="133">
        <v>10.932799374083615</v>
      </c>
      <c r="AAT33" s="133">
        <v>13.22354736259881</v>
      </c>
      <c r="AAU33" s="134">
        <v>16.346759598049662</v>
      </c>
      <c r="AAV33" s="133">
        <v>20.207629770527234</v>
      </c>
      <c r="AAW33" s="133">
        <v>24.441731729740688</v>
      </c>
      <c r="AAX33" s="133">
        <v>27.394101125242056</v>
      </c>
      <c r="AAY33" s="133">
        <v>30.242148079149128</v>
      </c>
      <c r="AAZ33" s="133">
        <v>33.927968272367757</v>
      </c>
      <c r="ABA33" s="81"/>
      <c r="ABB33" s="81">
        <v>34</v>
      </c>
      <c r="ABC33" s="133">
        <v>9.9706574577550722</v>
      </c>
      <c r="ABD33" s="133">
        <v>10.941021394981943</v>
      </c>
      <c r="ABE33" s="133">
        <v>11.850791127000772</v>
      </c>
      <c r="ABF33" s="133">
        <v>12.993977992097435</v>
      </c>
      <c r="ABG33" s="133">
        <v>15.151669894312768</v>
      </c>
      <c r="ABH33" s="134">
        <v>17.981428335334172</v>
      </c>
      <c r="ABI33" s="133">
        <v>21.339678545935204</v>
      </c>
      <c r="ABJ33" s="133">
        <v>24.883200908559314</v>
      </c>
      <c r="ABK33" s="133">
        <v>27.283559512080277</v>
      </c>
      <c r="ABL33" s="133">
        <v>29.5522468429733</v>
      </c>
      <c r="ABM33" s="133">
        <v>32.428329460588841</v>
      </c>
      <c r="ABN33" s="81"/>
      <c r="ABO33" s="81">
        <v>31</v>
      </c>
      <c r="ABP33" s="133">
        <f t="shared" si="273"/>
        <v>0.201436068095732</v>
      </c>
      <c r="ABQ33" s="133">
        <f t="shared" si="274"/>
        <v>0.22874644113920792</v>
      </c>
      <c r="ABR33" s="133">
        <f t="shared" si="275"/>
        <v>0.25431282032594799</v>
      </c>
      <c r="ABS33" s="133">
        <f t="shared" si="471"/>
        <v>0.2863055897139557</v>
      </c>
      <c r="ABT33" s="133">
        <f t="shared" si="472"/>
        <v>0.34606806457671851</v>
      </c>
      <c r="ABU33" s="134">
        <f t="shared" si="473"/>
        <v>0.42286634021677194</v>
      </c>
      <c r="ABV33" s="133">
        <f t="shared" si="474"/>
        <v>0.51139877885234353</v>
      </c>
      <c r="ABW33" s="133">
        <f t="shared" si="276"/>
        <v>0.6016920387666097</v>
      </c>
      <c r="ABX33" s="133">
        <f t="shared" si="277"/>
        <v>0.66108847228684464</v>
      </c>
      <c r="ABY33" s="133">
        <f t="shared" si="278"/>
        <v>0.7159718032273692</v>
      </c>
      <c r="ABZ33" s="133">
        <f t="shared" si="279"/>
        <v>0.78387886185510303</v>
      </c>
      <c r="ACA33" s="81"/>
      <c r="ACB33" s="81">
        <v>31</v>
      </c>
      <c r="ACC33" s="133">
        <f t="shared" si="280"/>
        <v>0.22120303285831702</v>
      </c>
      <c r="ACD33" s="133">
        <f t="shared" si="281"/>
        <v>0.24757682902039532</v>
      </c>
      <c r="ACE33" s="133">
        <f t="shared" si="282"/>
        <v>0.27237689375621632</v>
      </c>
      <c r="ACF33" s="133">
        <f t="shared" si="475"/>
        <v>0.30359094517982055</v>
      </c>
      <c r="ACG33" s="133">
        <f t="shared" si="476"/>
        <v>0.36251114898260789</v>
      </c>
      <c r="ACH33" s="134">
        <f t="shared" si="477"/>
        <v>0.43951142010250704</v>
      </c>
      <c r="ACI33" s="133">
        <f t="shared" si="478"/>
        <v>0.53016026954465989</v>
      </c>
      <c r="ACJ33" s="133">
        <f t="shared" si="283"/>
        <v>0.62471673210627998</v>
      </c>
      <c r="ACK33" s="133">
        <f t="shared" si="284"/>
        <v>0.68806973863255538</v>
      </c>
      <c r="ACL33" s="133">
        <f t="shared" si="285"/>
        <v>0.74741222425407994</v>
      </c>
      <c r="ACM33" s="133">
        <f t="shared" si="286"/>
        <v>0.82189023897512259</v>
      </c>
      <c r="ACN33" s="81"/>
      <c r="ACO33" s="81">
        <v>34</v>
      </c>
      <c r="ACP33" s="133">
        <f t="shared" si="287"/>
        <v>0.19549026779359718</v>
      </c>
      <c r="ACQ33" s="133">
        <f t="shared" si="288"/>
        <v>0.22575157794555861</v>
      </c>
      <c r="ACR33" s="133">
        <f t="shared" si="289"/>
        <v>0.25357844640130794</v>
      </c>
      <c r="ACS33" s="133">
        <f t="shared" si="479"/>
        <v>0.2877360803762794</v>
      </c>
      <c r="ACT33" s="133">
        <f t="shared" si="480"/>
        <v>0.34974006411315001</v>
      </c>
      <c r="ACU33" s="134">
        <f t="shared" si="481"/>
        <v>0.42609924588835274</v>
      </c>
      <c r="ACV33" s="133">
        <f t="shared" si="482"/>
        <v>0.51025704207613976</v>
      </c>
      <c r="ACW33" s="133">
        <f t="shared" si="290"/>
        <v>0.59257065090867811</v>
      </c>
      <c r="ACX33" s="133">
        <f t="shared" si="291"/>
        <v>0.64491907517732727</v>
      </c>
      <c r="ACY33" s="133">
        <f t="shared" si="292"/>
        <v>0.69217726957345893</v>
      </c>
      <c r="ACZ33" s="133">
        <f t="shared" si="293"/>
        <v>0.74929585876388194</v>
      </c>
      <c r="ADA33" s="81"/>
      <c r="ADB33" s="81">
        <v>31</v>
      </c>
      <c r="ADC33" s="133">
        <f t="shared" si="294"/>
        <v>0.16713184172878012</v>
      </c>
      <c r="ADD33" s="133">
        <f t="shared" si="295"/>
        <v>0.18644267469484319</v>
      </c>
      <c r="ADE33" s="133">
        <f t="shared" si="296"/>
        <v>0.20342102803997736</v>
      </c>
      <c r="ADF33" s="133">
        <f t="shared" si="483"/>
        <v>0.22339870200932319</v>
      </c>
      <c r="ADG33" s="133">
        <f t="shared" si="484"/>
        <v>0.25762917156863818</v>
      </c>
      <c r="ADH33" s="134">
        <f t="shared" si="485"/>
        <v>0.29702455518517556</v>
      </c>
      <c r="ADI33" s="133">
        <f t="shared" si="486"/>
        <v>0.3376343699145824</v>
      </c>
      <c r="ADJ33" s="133">
        <f t="shared" si="297"/>
        <v>0.37503427310409992</v>
      </c>
      <c r="ADK33" s="133">
        <f t="shared" si="298"/>
        <v>0.39786892422839126</v>
      </c>
      <c r="ADL33" s="133">
        <f t="shared" si="299"/>
        <v>0.41791690477622828</v>
      </c>
      <c r="ADM33" s="133">
        <f t="shared" si="300"/>
        <v>0.44150177063960716</v>
      </c>
      <c r="ADN33" s="81"/>
      <c r="ADO33" s="81">
        <v>31</v>
      </c>
      <c r="ADP33" s="133">
        <f t="shared" si="301"/>
        <v>0.18115405074881252</v>
      </c>
      <c r="ADQ33" s="133">
        <f t="shared" si="302"/>
        <v>0.1989832967393135</v>
      </c>
      <c r="ADR33" s="133">
        <f t="shared" si="303"/>
        <v>0.21483738611287331</v>
      </c>
      <c r="ADS33" s="133">
        <f t="shared" si="487"/>
        <v>0.23370211160484797</v>
      </c>
      <c r="ADT33" s="133">
        <f t="shared" si="488"/>
        <v>0.26653919368600903</v>
      </c>
      <c r="ADU33" s="134">
        <f t="shared" si="489"/>
        <v>0.30510344388365945</v>
      </c>
      <c r="ADV33" s="133">
        <f t="shared" si="490"/>
        <v>0.3456809814193923</v>
      </c>
      <c r="ADW33" s="133">
        <f t="shared" si="304"/>
        <v>0.38375599950588052</v>
      </c>
      <c r="ADX33" s="133">
        <f t="shared" si="305"/>
        <v>0.40732175583374064</v>
      </c>
      <c r="ADY33" s="133">
        <f t="shared" si="306"/>
        <v>0.42820474465638331</v>
      </c>
      <c r="ADZ33" s="133">
        <f t="shared" si="307"/>
        <v>0.45299731551140382</v>
      </c>
      <c r="AEA33" s="81"/>
      <c r="AEB33" s="81">
        <v>34</v>
      </c>
      <c r="AEC33" s="133">
        <f t="shared" si="308"/>
        <v>0.16318680171480143</v>
      </c>
      <c r="AED33" s="133">
        <f t="shared" si="309"/>
        <v>0.18471255825775715</v>
      </c>
      <c r="AEE33" s="133">
        <f t="shared" si="310"/>
        <v>0.2031453441511607</v>
      </c>
      <c r="AEF33" s="133">
        <f t="shared" si="491"/>
        <v>0.22431472738592062</v>
      </c>
      <c r="AEG33" s="133">
        <f t="shared" si="492"/>
        <v>0.25945526786179463</v>
      </c>
      <c r="AEH33" s="134">
        <f t="shared" si="493"/>
        <v>0.29839988849189231</v>
      </c>
      <c r="AEI33" s="133">
        <f t="shared" si="494"/>
        <v>0.33714164901167409</v>
      </c>
      <c r="AEJ33" s="133">
        <f t="shared" si="311"/>
        <v>0.3717485551720468</v>
      </c>
      <c r="AEK33" s="133">
        <f t="shared" si="312"/>
        <v>0.39243145435664434</v>
      </c>
      <c r="AEL33" s="133">
        <f t="shared" si="313"/>
        <v>0.41033542707183079</v>
      </c>
      <c r="AEM33" s="133">
        <f t="shared" si="314"/>
        <v>0.43111355902540621</v>
      </c>
      <c r="AEN33" s="81"/>
    </row>
    <row r="34" spans="1:820">
      <c r="A34" s="81"/>
      <c r="B34" s="81">
        <v>33</v>
      </c>
      <c r="C34" s="133">
        <f t="shared" si="0"/>
        <v>1.799942537644039</v>
      </c>
      <c r="D34" s="133">
        <f t="shared" si="1"/>
        <v>2.1443665827740435</v>
      </c>
      <c r="E34" s="133">
        <f t="shared" si="2"/>
        <v>2.5044735842507855</v>
      </c>
      <c r="F34" s="133">
        <f t="shared" si="315"/>
        <v>3.0123978962815916</v>
      </c>
      <c r="G34" s="133">
        <f t="shared" si="316"/>
        <v>4.1597985585105661</v>
      </c>
      <c r="H34" s="134">
        <f t="shared" si="317"/>
        <v>6.1062655099595933</v>
      </c>
      <c r="I34" s="133">
        <f t="shared" si="318"/>
        <v>9.2289839317045477</v>
      </c>
      <c r="J34" s="133">
        <f t="shared" si="3"/>
        <v>13.758841994939791</v>
      </c>
      <c r="K34" s="133">
        <f t="shared" si="4"/>
        <v>17.741987280203396</v>
      </c>
      <c r="L34" s="133">
        <f t="shared" si="5"/>
        <v>22.343217367075944</v>
      </c>
      <c r="M34" s="133">
        <f t="shared" si="6"/>
        <v>29.593163924555807</v>
      </c>
      <c r="N34" s="81"/>
      <c r="O34" s="75">
        <v>33</v>
      </c>
      <c r="P34" s="151">
        <f t="shared" si="7"/>
        <v>2.4893102125164273</v>
      </c>
      <c r="Q34" s="151">
        <f t="shared" si="8"/>
        <v>2.8137504585028426</v>
      </c>
      <c r="R34" s="151">
        <f t="shared" si="9"/>
        <v>3.1422891384150979</v>
      </c>
      <c r="S34" s="151">
        <f t="shared" si="319"/>
        <v>3.5919313922481244</v>
      </c>
      <c r="T34" s="151">
        <f t="shared" si="320"/>
        <v>4.5685653036402494</v>
      </c>
      <c r="U34" s="134">
        <f t="shared" si="321"/>
        <v>6.159383833577146</v>
      </c>
      <c r="V34" s="151">
        <f t="shared" si="322"/>
        <v>8.6513711548362693</v>
      </c>
      <c r="W34" s="151">
        <f t="shared" si="10"/>
        <v>12.280103905691684</v>
      </c>
      <c r="X34" s="151">
        <f t="shared" si="11"/>
        <v>15.555323331735512</v>
      </c>
      <c r="Y34" s="151">
        <f t="shared" si="12"/>
        <v>19.481293500967549</v>
      </c>
      <c r="Z34" s="151">
        <f t="shared" si="13"/>
        <v>26.041477526035809</v>
      </c>
      <c r="AA34" s="81"/>
      <c r="AB34" s="75">
        <v>35</v>
      </c>
      <c r="AC34" s="151">
        <f t="shared" si="14"/>
        <v>1.5026325815807235</v>
      </c>
      <c r="AD34" s="151">
        <f t="shared" si="15"/>
        <v>1.8164905627772014</v>
      </c>
      <c r="AE34" s="151">
        <f t="shared" si="16"/>
        <v>2.1528341953219137</v>
      </c>
      <c r="AF34" s="151">
        <f t="shared" si="323"/>
        <v>2.6407405473725323</v>
      </c>
      <c r="AG34" s="151">
        <f t="shared" si="324"/>
        <v>3.7970266898861085</v>
      </c>
      <c r="AH34" s="134">
        <f t="shared" si="325"/>
        <v>5.9142529757359101</v>
      </c>
      <c r="AI34" s="151">
        <f t="shared" si="326"/>
        <v>9.6759279487579484</v>
      </c>
      <c r="AJ34" s="151">
        <f t="shared" si="17"/>
        <v>15.848942251325658</v>
      </c>
      <c r="AK34" s="151">
        <f t="shared" si="18"/>
        <v>21.922540844740219</v>
      </c>
      <c r="AL34" s="151">
        <f t="shared" si="19"/>
        <v>29.649517696667488</v>
      </c>
      <c r="AM34" s="151">
        <f t="shared" si="20"/>
        <v>43.311238393846921</v>
      </c>
      <c r="AN34" s="81"/>
      <c r="AO34" s="81">
        <v>33</v>
      </c>
      <c r="AP34" s="133">
        <f t="shared" si="21"/>
        <v>1.0253470192866212</v>
      </c>
      <c r="AQ34" s="133">
        <f t="shared" si="22"/>
        <v>2.9189438980193367</v>
      </c>
      <c r="AR34" s="133">
        <f t="shared" si="23"/>
        <v>4.7166040574860828</v>
      </c>
      <c r="AS34" s="133">
        <f t="shared" si="327"/>
        <v>6.9850291858592231</v>
      </c>
      <c r="AT34" s="133">
        <f t="shared" si="328"/>
        <v>11.240778144275435</v>
      </c>
      <c r="AU34" s="134">
        <f t="shared" si="329"/>
        <v>16.687436909808987</v>
      </c>
      <c r="AV34" s="133">
        <f t="shared" si="330"/>
        <v>22.884847239259177</v>
      </c>
      <c r="AW34" s="133">
        <f t="shared" si="24"/>
        <v>29.091288058928317</v>
      </c>
      <c r="AX34" s="133">
        <f t="shared" si="25"/>
        <v>33.107319117294878</v>
      </c>
      <c r="AY34" s="133">
        <f t="shared" si="26"/>
        <v>36.771152630178122</v>
      </c>
      <c r="AZ34" s="133">
        <f t="shared" si="27"/>
        <v>41.243035979416931</v>
      </c>
      <c r="BA34" s="81"/>
      <c r="BB34" s="81">
        <v>33</v>
      </c>
      <c r="BC34" s="133">
        <f t="shared" si="28"/>
        <v>3.9558631805522451</v>
      </c>
      <c r="BD34" s="133">
        <f t="shared" si="29"/>
        <v>6.0270183670406992</v>
      </c>
      <c r="BE34" s="133">
        <f t="shared" si="30"/>
        <v>7.9251543441562147</v>
      </c>
      <c r="BF34" s="133">
        <f t="shared" si="331"/>
        <v>10.244206491490839</v>
      </c>
      <c r="BG34" s="133">
        <f t="shared" si="332"/>
        <v>14.415200630823122</v>
      </c>
      <c r="BH34" s="134">
        <f t="shared" si="333"/>
        <v>19.495049141807367</v>
      </c>
      <c r="BI34" s="133">
        <f t="shared" si="334"/>
        <v>25.01319214259809</v>
      </c>
      <c r="BJ34" s="133">
        <f t="shared" si="31"/>
        <v>30.32529898247321</v>
      </c>
      <c r="BK34" s="133">
        <f t="shared" si="32"/>
        <v>33.669524853096647</v>
      </c>
      <c r="BL34" s="133">
        <f t="shared" si="33"/>
        <v>36.665457657033826</v>
      </c>
      <c r="BM34" s="133">
        <f t="shared" si="34"/>
        <v>40.258701935300216</v>
      </c>
      <c r="BN34" s="81"/>
      <c r="BO34" s="75">
        <v>35</v>
      </c>
      <c r="BP34" s="151">
        <f t="shared" si="35"/>
        <v>3.0750040728459154</v>
      </c>
      <c r="BQ34" s="151">
        <f t="shared" si="36"/>
        <v>3.9606465950308816</v>
      </c>
      <c r="BR34" s="151">
        <f t="shared" si="37"/>
        <v>4.8878516003599985</v>
      </c>
      <c r="BS34" s="151">
        <f t="shared" si="335"/>
        <v>6.1805652858914719</v>
      </c>
      <c r="BT34" s="151">
        <f t="shared" si="336"/>
        <v>8.9852568351856537</v>
      </c>
      <c r="BU34" s="134">
        <f t="shared" si="337"/>
        <v>13.324253335205954</v>
      </c>
      <c r="BV34" s="151">
        <f t="shared" si="338"/>
        <v>19.334134293478009</v>
      </c>
      <c r="BW34" s="151">
        <f t="shared" si="38"/>
        <v>26.556523428524585</v>
      </c>
      <c r="BX34" s="151">
        <f t="shared" si="39"/>
        <v>31.900910024094809</v>
      </c>
      <c r="BY34" s="151">
        <f t="shared" si="40"/>
        <v>37.253228824888481</v>
      </c>
      <c r="BZ34" s="151">
        <f t="shared" si="41"/>
        <v>44.421122778360804</v>
      </c>
      <c r="CA34" s="81"/>
      <c r="CB34" s="81">
        <v>33</v>
      </c>
      <c r="CC34" s="133">
        <f t="shared" si="42"/>
        <v>-6.361994044260987</v>
      </c>
      <c r="CD34" s="133">
        <f t="shared" si="43"/>
        <v>-4.6221263217361495</v>
      </c>
      <c r="CE34" s="133">
        <f t="shared" si="44"/>
        <v>-2.7016148403118967</v>
      </c>
      <c r="CF34" s="133">
        <f t="shared" si="339"/>
        <v>-0.1244712193757378</v>
      </c>
      <c r="CG34" s="133">
        <f t="shared" si="340"/>
        <v>4.8670526576492295</v>
      </c>
      <c r="CH34" s="134">
        <f t="shared" si="341"/>
        <v>11.265607406404655</v>
      </c>
      <c r="CI34" s="133">
        <f t="shared" si="342"/>
        <v>18.401993090914374</v>
      </c>
      <c r="CJ34" s="133">
        <f t="shared" si="45"/>
        <v>25.35278561883133</v>
      </c>
      <c r="CK34" s="133">
        <f t="shared" si="46"/>
        <v>29.745574266042386</v>
      </c>
      <c r="CL34" s="133">
        <f t="shared" si="47"/>
        <v>33.684350366261832</v>
      </c>
      <c r="CM34" s="133">
        <f t="shared" si="48"/>
        <v>38.407428807408408</v>
      </c>
      <c r="CN34" s="81"/>
      <c r="CO34" s="81">
        <v>33</v>
      </c>
      <c r="CP34" s="133">
        <f t="shared" si="49"/>
        <v>-1.0673142032222378</v>
      </c>
      <c r="CQ34" s="133">
        <f t="shared" si="50"/>
        <v>1.0881913425484377</v>
      </c>
      <c r="CR34" s="133">
        <f t="shared" si="51"/>
        <v>3.1199652105623583</v>
      </c>
      <c r="CS34" s="133">
        <f t="shared" si="343"/>
        <v>5.6452341828016541</v>
      </c>
      <c r="CT34" s="133">
        <f t="shared" si="344"/>
        <v>10.248002035551835</v>
      </c>
      <c r="CU34" s="134">
        <f t="shared" si="345"/>
        <v>15.890267263966262</v>
      </c>
      <c r="CV34" s="133">
        <f t="shared" si="346"/>
        <v>22.01424349104698</v>
      </c>
      <c r="CW34" s="133">
        <f t="shared" si="52"/>
        <v>27.881413708130072</v>
      </c>
      <c r="CX34" s="133">
        <f t="shared" si="53"/>
        <v>31.556222709211536</v>
      </c>
      <c r="CY34" s="133">
        <f t="shared" si="54"/>
        <v>34.83473792247937</v>
      </c>
      <c r="CZ34" s="133">
        <f t="shared" si="55"/>
        <v>38.749397348456426</v>
      </c>
      <c r="DA34" s="81"/>
      <c r="DB34" s="81">
        <v>35</v>
      </c>
      <c r="DC34" s="133">
        <f t="shared" si="56"/>
        <v>-6.5181214508571594</v>
      </c>
      <c r="DD34" s="133">
        <f t="shared" si="57"/>
        <v>-5.4219883075010351</v>
      </c>
      <c r="DE34" s="133">
        <f t="shared" si="58"/>
        <v>-4.1194421063905349</v>
      </c>
      <c r="DF34" s="133">
        <f t="shared" si="347"/>
        <v>-2.2622841937996192</v>
      </c>
      <c r="DG34" s="133">
        <f t="shared" si="348"/>
        <v>1.5857065450772856</v>
      </c>
      <c r="DH34" s="134">
        <f t="shared" si="349"/>
        <v>6.8618795122260936</v>
      </c>
      <c r="DI34" s="133">
        <f t="shared" si="350"/>
        <v>13.07891635509603</v>
      </c>
      <c r="DJ34" s="133">
        <f t="shared" si="59"/>
        <v>19.396951275901696</v>
      </c>
      <c r="DK34" s="133">
        <f t="shared" si="60"/>
        <v>23.501968398308033</v>
      </c>
      <c r="DL34" s="133">
        <f t="shared" si="61"/>
        <v>27.248140623491057</v>
      </c>
      <c r="DM34" s="133">
        <f t="shared" si="62"/>
        <v>31.814839759978785</v>
      </c>
      <c r="DN34" s="81"/>
      <c r="DO34" s="81">
        <v>33</v>
      </c>
      <c r="DP34" s="133">
        <v>12.9421501378506</v>
      </c>
      <c r="DQ34" s="133">
        <v>14.236737626372939</v>
      </c>
      <c r="DR34" s="133">
        <v>15.453262981134376</v>
      </c>
      <c r="DS34" s="133">
        <v>16.985406883222247</v>
      </c>
      <c r="DT34" s="133">
        <v>19.886768754627887</v>
      </c>
      <c r="DU34" s="134">
        <v>23.708311246125749</v>
      </c>
      <c r="DV34" s="133">
        <v>28.264220752924938</v>
      </c>
      <c r="DW34" s="133">
        <v>33.092172946318101</v>
      </c>
      <c r="DX34" s="133">
        <v>36.373160984147816</v>
      </c>
      <c r="DY34" s="133">
        <v>39.481237689029015</v>
      </c>
      <c r="DZ34" s="133">
        <v>43.430497726904129</v>
      </c>
      <c r="EA34" s="81"/>
      <c r="EB34" s="81">
        <v>33</v>
      </c>
      <c r="EC34" s="133">
        <v>13.072625214917545</v>
      </c>
      <c r="ED34" s="133">
        <v>14.019283685622122</v>
      </c>
      <c r="EE34" s="133">
        <v>14.888112889357927</v>
      </c>
      <c r="EF34" s="133">
        <v>15.95685339461636</v>
      </c>
      <c r="EG34" s="133">
        <v>17.913154032072526</v>
      </c>
      <c r="EH34" s="134">
        <v>20.377559399067565</v>
      </c>
      <c r="EI34" s="133">
        <v>23.181005774809574</v>
      </c>
      <c r="EJ34" s="133">
        <v>26.022983152970824</v>
      </c>
      <c r="EK34" s="133">
        <v>27.891038316840362</v>
      </c>
      <c r="EL34" s="133">
        <v>29.619553778513872</v>
      </c>
      <c r="EM34" s="133">
        <v>31.76446354391609</v>
      </c>
      <c r="EN34" s="81"/>
      <c r="EO34" s="81">
        <v>35</v>
      </c>
      <c r="EP34" s="133">
        <v>16.383503906259751</v>
      </c>
      <c r="EQ34" s="133">
        <v>17.596554980706259</v>
      </c>
      <c r="ER34" s="133">
        <v>18.711442310878883</v>
      </c>
      <c r="ES34" s="133">
        <v>20.084784723036577</v>
      </c>
      <c r="ET34" s="133">
        <v>22.603732673368025</v>
      </c>
      <c r="EU34" s="134">
        <v>25.785356525506728</v>
      </c>
      <c r="EV34" s="133">
        <v>29.41481483413876</v>
      </c>
      <c r="EW34" s="133">
        <v>33.103895327535788</v>
      </c>
      <c r="EX34" s="133">
        <v>35.533584215521806</v>
      </c>
      <c r="EY34" s="133">
        <v>37.784930736527997</v>
      </c>
      <c r="EZ34" s="133">
        <v>40.582564935542024</v>
      </c>
      <c r="FA34" s="81"/>
      <c r="FB34" s="81">
        <v>33</v>
      </c>
      <c r="FC34" s="133">
        <v>7.6072721177138298</v>
      </c>
      <c r="FD34" s="133">
        <v>8.4535888014403611</v>
      </c>
      <c r="FE34" s="133">
        <v>9.2563987271411978</v>
      </c>
      <c r="FF34" s="133">
        <v>10.277059059409254</v>
      </c>
      <c r="FG34" s="133">
        <v>12.236262564290776</v>
      </c>
      <c r="FH34" s="134">
        <v>14.863202954627182</v>
      </c>
      <c r="FI34" s="133">
        <v>18.05410769094939</v>
      </c>
      <c r="FJ34" s="133">
        <v>21.495916369983064</v>
      </c>
      <c r="FK34" s="133">
        <v>23.866171778305286</v>
      </c>
      <c r="FL34" s="133">
        <v>26.132664748585562</v>
      </c>
      <c r="FM34" s="133">
        <v>29.039950017829579</v>
      </c>
      <c r="FN34" s="81"/>
      <c r="FO34" s="81">
        <v>33</v>
      </c>
      <c r="FP34" s="133">
        <v>7.4551173146678229</v>
      </c>
      <c r="FQ34" s="133">
        <v>8.1370233036081743</v>
      </c>
      <c r="FR34" s="133">
        <v>8.7731819559503226</v>
      </c>
      <c r="FS34" s="133">
        <v>9.5686014912829904</v>
      </c>
      <c r="FT34" s="133">
        <v>11.059214329081724</v>
      </c>
      <c r="FU34" s="134">
        <v>12.995861453087645</v>
      </c>
      <c r="FV34" s="133">
        <v>15.271646780886011</v>
      </c>
      <c r="FW34" s="133">
        <v>17.650689608268308</v>
      </c>
      <c r="FX34" s="133">
        <v>19.250987356223682</v>
      </c>
      <c r="FY34" s="133">
        <v>20.756044146138542</v>
      </c>
      <c r="FZ34" s="133">
        <v>22.654561662706005</v>
      </c>
      <c r="GA34" s="81"/>
      <c r="GB34" s="81">
        <v>35</v>
      </c>
      <c r="GC34" s="133">
        <v>9.7077916659008867</v>
      </c>
      <c r="GD34" s="133">
        <v>10.56015295264722</v>
      </c>
      <c r="GE34" s="133">
        <v>11.352851945530572</v>
      </c>
      <c r="GF34" s="133">
        <v>12.340912718627623</v>
      </c>
      <c r="GG34" s="133">
        <v>14.184233076106963</v>
      </c>
      <c r="GH34" s="134">
        <v>16.56503797112801</v>
      </c>
      <c r="GI34" s="133">
        <v>19.345457841293833</v>
      </c>
      <c r="GJ34" s="133">
        <v>22.235023392615616</v>
      </c>
      <c r="GK34" s="133">
        <v>24.170180700096211</v>
      </c>
      <c r="GL34" s="133">
        <v>25.984517858344656</v>
      </c>
      <c r="GM34" s="133">
        <v>28.266004507364787</v>
      </c>
      <c r="GN34" s="81"/>
      <c r="GO34" s="81">
        <v>33</v>
      </c>
      <c r="GP34" s="133">
        <f t="shared" si="63"/>
        <v>0.43193940854072965</v>
      </c>
      <c r="GQ34" s="133">
        <f t="shared" si="64"/>
        <v>0.46864986857223812</v>
      </c>
      <c r="GR34" s="133">
        <f t="shared" si="65"/>
        <v>0.4979425628689681</v>
      </c>
      <c r="GS34" s="133">
        <f t="shared" si="351"/>
        <v>0.52959570938642131</v>
      </c>
      <c r="GT34" s="133">
        <f t="shared" si="352"/>
        <v>0.57971172001169968</v>
      </c>
      <c r="GU34" s="134">
        <f t="shared" si="353"/>
        <v>0.62799541610045528</v>
      </c>
      <c r="GV34" s="133">
        <f t="shared" si="354"/>
        <v>0.67263088396063675</v>
      </c>
      <c r="GW34" s="133">
        <f t="shared" si="66"/>
        <v>0.71224426405971286</v>
      </c>
      <c r="GX34" s="133">
        <f t="shared" si="67"/>
        <v>0.73427267358624737</v>
      </c>
      <c r="GY34" s="133">
        <f t="shared" si="68"/>
        <v>0.75282679545298259</v>
      </c>
      <c r="GZ34" s="133">
        <f t="shared" si="69"/>
        <v>0.77380825245574514</v>
      </c>
      <c r="HA34" s="81"/>
      <c r="HB34" s="81">
        <v>33</v>
      </c>
      <c r="HC34" s="133">
        <f t="shared" si="70"/>
        <v>0.4085594018959563</v>
      </c>
      <c r="HD34" s="133">
        <f t="shared" si="71"/>
        <v>0.44940970951299397</v>
      </c>
      <c r="HE34" s="133">
        <f t="shared" si="72"/>
        <v>0.48167861466644801</v>
      </c>
      <c r="HF34" s="133">
        <f t="shared" si="355"/>
        <v>0.51629306179216061</v>
      </c>
      <c r="HG34" s="133">
        <f t="shared" si="356"/>
        <v>0.56920164046723742</v>
      </c>
      <c r="HH34" s="134">
        <f t="shared" si="357"/>
        <v>0.6227076460371137</v>
      </c>
      <c r="HI34" s="133">
        <f t="shared" si="358"/>
        <v>0.67181028191386571</v>
      </c>
      <c r="HJ34" s="133">
        <f t="shared" si="73"/>
        <v>0.71288504078548942</v>
      </c>
      <c r="HK34" s="133">
        <f t="shared" si="74"/>
        <v>0.73636801930268769</v>
      </c>
      <c r="HL34" s="133">
        <f t="shared" si="75"/>
        <v>0.75612268729101983</v>
      </c>
      <c r="HM34" s="133">
        <f t="shared" si="76"/>
        <v>0.77843727278602126</v>
      </c>
      <c r="HN34" s="81"/>
      <c r="HO34" s="81">
        <v>35</v>
      </c>
      <c r="HP34" s="83">
        <f t="shared" si="77"/>
        <v>0.45863095356467914</v>
      </c>
      <c r="HQ34" s="83">
        <f t="shared" si="78"/>
        <v>0.49144619986572013</v>
      </c>
      <c r="HR34" s="83">
        <f t="shared" si="79"/>
        <v>0.5178841696104004</v>
      </c>
      <c r="HS34" s="83">
        <f t="shared" si="359"/>
        <v>0.5466615958416946</v>
      </c>
      <c r="HT34" s="83">
        <f t="shared" si="360"/>
        <v>0.59132959060611112</v>
      </c>
      <c r="HU34" s="84">
        <f t="shared" si="361"/>
        <v>0.63716689085017875</v>
      </c>
      <c r="HV34" s="83">
        <f t="shared" si="362"/>
        <v>0.67969173785139214</v>
      </c>
      <c r="HW34" s="83">
        <f t="shared" si="80"/>
        <v>0.71553564833881966</v>
      </c>
      <c r="HX34" s="83">
        <f t="shared" si="81"/>
        <v>0.73612200071199807</v>
      </c>
      <c r="HY34" s="83">
        <f t="shared" si="82"/>
        <v>0.75348679110728412</v>
      </c>
      <c r="HZ34" s="83">
        <f t="shared" si="83"/>
        <v>0.77314878102897411</v>
      </c>
      <c r="IA34" s="81"/>
      <c r="IB34" s="81">
        <v>33</v>
      </c>
      <c r="IC34" s="83">
        <f t="shared" si="84"/>
        <v>0.30300314571534703</v>
      </c>
      <c r="ID34" s="83">
        <f t="shared" si="85"/>
        <v>0.31999224135493437</v>
      </c>
      <c r="IE34" s="83">
        <f t="shared" si="86"/>
        <v>0.33292322442417771</v>
      </c>
      <c r="IF34" s="83">
        <f t="shared" si="363"/>
        <v>0.34636783009687683</v>
      </c>
      <c r="IG34" s="83">
        <f t="shared" si="364"/>
        <v>0.36616145939026673</v>
      </c>
      <c r="IH34" s="84">
        <f t="shared" si="365"/>
        <v>0.38536070257492183</v>
      </c>
      <c r="II34" s="83">
        <f t="shared" si="366"/>
        <v>0.40234469178111121</v>
      </c>
      <c r="IJ34" s="83">
        <f t="shared" si="87"/>
        <v>0.41613391272989469</v>
      </c>
      <c r="IK34" s="83">
        <f t="shared" si="88"/>
        <v>0.42385977459664276</v>
      </c>
      <c r="IL34" s="83">
        <f t="shared" si="89"/>
        <v>0.43027520993627855</v>
      </c>
      <c r="IM34" s="83">
        <f t="shared" si="90"/>
        <v>0.43743375456178279</v>
      </c>
      <c r="IN34" s="81"/>
      <c r="IO34" s="81">
        <v>33</v>
      </c>
      <c r="IP34" s="133">
        <f t="shared" si="91"/>
        <v>0.29130203924013742</v>
      </c>
      <c r="IQ34" s="133">
        <f t="shared" si="92"/>
        <v>0.31093161263185032</v>
      </c>
      <c r="IR34" s="133">
        <f t="shared" si="93"/>
        <v>0.32558051163704299</v>
      </c>
      <c r="IS34" s="133">
        <f t="shared" si="367"/>
        <v>0.34060371187152516</v>
      </c>
      <c r="IT34" s="133">
        <f t="shared" si="368"/>
        <v>0.36242072835871852</v>
      </c>
      <c r="IU34" s="134">
        <f t="shared" si="369"/>
        <v>0.38331976274991225</v>
      </c>
      <c r="IV34" s="133">
        <f t="shared" si="370"/>
        <v>0.40164230788045846</v>
      </c>
      <c r="IW34" s="133">
        <f t="shared" si="94"/>
        <v>0.41642739990155614</v>
      </c>
      <c r="IX34" s="133">
        <f t="shared" si="95"/>
        <v>0.42468113550832792</v>
      </c>
      <c r="IY34" s="133">
        <f t="shared" si="96"/>
        <v>0.43152031444359318</v>
      </c>
      <c r="IZ34" s="133">
        <f t="shared" si="97"/>
        <v>0.43913736552185645</v>
      </c>
      <c r="JA34" s="81"/>
      <c r="JB34" s="81">
        <v>35</v>
      </c>
      <c r="JC34" s="133">
        <f t="shared" si="98"/>
        <v>0.3157797911858034</v>
      </c>
      <c r="JD34" s="133">
        <f t="shared" si="99"/>
        <v>0.33036256634577027</v>
      </c>
      <c r="JE34" s="133">
        <f t="shared" si="100"/>
        <v>0.3416664829678886</v>
      </c>
      <c r="JF34" s="133">
        <f t="shared" si="371"/>
        <v>0.35357742120477337</v>
      </c>
      <c r="JG34" s="133">
        <f t="shared" si="372"/>
        <v>0.37135857857922183</v>
      </c>
      <c r="JH34" s="134">
        <f t="shared" si="373"/>
        <v>0.38883466284917556</v>
      </c>
      <c r="JI34" s="133">
        <f t="shared" si="374"/>
        <v>0.40444655029831578</v>
      </c>
      <c r="JJ34" s="133">
        <f t="shared" si="101"/>
        <v>0.41720917385058365</v>
      </c>
      <c r="JK34" s="133">
        <f t="shared" si="102"/>
        <v>0.42438961051820495</v>
      </c>
      <c r="JL34" s="133">
        <f t="shared" si="103"/>
        <v>0.43036682747387855</v>
      </c>
      <c r="JM34" s="133">
        <f t="shared" si="104"/>
        <v>0.43705099342582637</v>
      </c>
      <c r="JN34" s="81"/>
      <c r="JO34" s="81">
        <v>32</v>
      </c>
      <c r="JP34" s="133">
        <f t="shared" si="105"/>
        <v>-6.7497144303695027</v>
      </c>
      <c r="JQ34" s="133">
        <f t="shared" si="106"/>
        <v>-5.3284860370159031</v>
      </c>
      <c r="JR34" s="133">
        <f t="shared" si="107"/>
        <v>-4.0876458297479275</v>
      </c>
      <c r="JS34" s="133">
        <f t="shared" si="375"/>
        <v>-2.6369239859317517</v>
      </c>
      <c r="JT34" s="133">
        <f t="shared" si="376"/>
        <v>-0.17180422872110768</v>
      </c>
      <c r="JU34" s="134">
        <f t="shared" si="377"/>
        <v>2.6375314629914044</v>
      </c>
      <c r="JV34" s="133">
        <f t="shared" si="378"/>
        <v>5.5069961772947913</v>
      </c>
      <c r="JW34" s="133">
        <f t="shared" si="108"/>
        <v>8.1290663621200778</v>
      </c>
      <c r="JX34" s="133">
        <f t="shared" si="109"/>
        <v>9.7212961397574844</v>
      </c>
      <c r="JY34" s="133">
        <f t="shared" si="110"/>
        <v>11.11420789511256</v>
      </c>
      <c r="JZ34" s="133">
        <f t="shared" si="111"/>
        <v>12.747225800053261</v>
      </c>
      <c r="KA34" s="81"/>
      <c r="KB34" s="81">
        <v>32</v>
      </c>
      <c r="KC34" s="133">
        <f t="shared" si="112"/>
        <v>-4.9286497842348211</v>
      </c>
      <c r="KD34" s="133">
        <f t="shared" si="113"/>
        <v>-3.7593761683530893</v>
      </c>
      <c r="KE34" s="133">
        <f t="shared" si="114"/>
        <v>-2.7093488203524121</v>
      </c>
      <c r="KF34" s="133">
        <f t="shared" si="379"/>
        <v>-1.450192248303555</v>
      </c>
      <c r="KG34" s="133">
        <f t="shared" si="380"/>
        <v>0.75997038089926505</v>
      </c>
      <c r="KH34" s="134">
        <f t="shared" si="381"/>
        <v>3.3753409741250966</v>
      </c>
      <c r="KI34" s="133">
        <f t="shared" si="382"/>
        <v>6.140728471974148</v>
      </c>
      <c r="KJ34" s="133">
        <f t="shared" si="115"/>
        <v>8.742225612574229</v>
      </c>
      <c r="KK34" s="133">
        <f t="shared" si="116"/>
        <v>10.353917738016127</v>
      </c>
      <c r="KL34" s="133">
        <f t="shared" si="117"/>
        <v>11.782495663012545</v>
      </c>
      <c r="KM34" s="133">
        <f t="shared" si="118"/>
        <v>13.47847673832799</v>
      </c>
      <c r="KN34" s="81"/>
      <c r="KO34" s="81">
        <v>34</v>
      </c>
      <c r="KP34" s="133">
        <f t="shared" si="119"/>
        <v>-7.8110598450665965</v>
      </c>
      <c r="KQ34" s="133">
        <f t="shared" si="120"/>
        <v>-6.227960985184442</v>
      </c>
      <c r="KR34" s="133">
        <f t="shared" si="121"/>
        <v>-4.8745602794311722</v>
      </c>
      <c r="KS34" s="133">
        <f t="shared" si="383"/>
        <v>-3.3225625454480046</v>
      </c>
      <c r="KT34" s="133">
        <f t="shared" si="384"/>
        <v>-0.75131175158189123</v>
      </c>
      <c r="KU34" s="134">
        <f t="shared" si="385"/>
        <v>2.0917193085073933</v>
      </c>
      <c r="KV34" s="133">
        <f t="shared" si="386"/>
        <v>4.913846361948881</v>
      </c>
      <c r="KW34" s="133">
        <f t="shared" si="122"/>
        <v>7.4301441825927661</v>
      </c>
      <c r="KX34" s="133">
        <f t="shared" si="123"/>
        <v>8.9320929880782742</v>
      </c>
      <c r="KY34" s="133">
        <f t="shared" si="124"/>
        <v>10.231146951492956</v>
      </c>
      <c r="KZ34" s="133">
        <f t="shared" si="125"/>
        <v>11.737522840808342</v>
      </c>
      <c r="LA34" s="81"/>
      <c r="LB34" s="81">
        <v>32</v>
      </c>
      <c r="LC34" s="133">
        <f t="shared" si="126"/>
        <v>-17.402633285313783</v>
      </c>
      <c r="LD34" s="133">
        <f t="shared" si="127"/>
        <v>-13.804468904260265</v>
      </c>
      <c r="LE34" s="133">
        <f t="shared" si="128"/>
        <v>-10.61015887474629</v>
      </c>
      <c r="LF34" s="133">
        <f t="shared" si="387"/>
        <v>-6.8225451358848908</v>
      </c>
      <c r="LG34" s="133">
        <f t="shared" si="388"/>
        <v>-0.27692499182609964</v>
      </c>
      <c r="LH34" s="134">
        <f t="shared" si="389"/>
        <v>7.3199277068200601</v>
      </c>
      <c r="LI34" s="133">
        <f t="shared" si="390"/>
        <v>15.201190695636015</v>
      </c>
      <c r="LJ34" s="133">
        <f t="shared" si="129"/>
        <v>22.492055540150112</v>
      </c>
      <c r="LK34" s="133">
        <f t="shared" si="130"/>
        <v>26.955338680340141</v>
      </c>
      <c r="LL34" s="133">
        <f t="shared" si="131"/>
        <v>30.880003084302139</v>
      </c>
      <c r="LM34" s="133">
        <f t="shared" si="132"/>
        <v>35.503278084583847</v>
      </c>
      <c r="LN34" s="81"/>
      <c r="LO34" s="81">
        <v>32</v>
      </c>
      <c r="LP34" s="133">
        <f t="shared" si="133"/>
        <v>-13.882043287760666</v>
      </c>
      <c r="LQ34" s="133">
        <f t="shared" si="134"/>
        <v>-10.435183855202993</v>
      </c>
      <c r="LR34" s="133">
        <f t="shared" si="135"/>
        <v>-7.3598174198925648</v>
      </c>
      <c r="LS34" s="133">
        <f t="shared" si="391"/>
        <v>-3.6970888446200689</v>
      </c>
      <c r="LT34" s="133">
        <f t="shared" si="392"/>
        <v>2.6679241747117466</v>
      </c>
      <c r="LU34" s="134">
        <f t="shared" si="393"/>
        <v>10.101972719844927</v>
      </c>
      <c r="LV34" s="133">
        <f t="shared" si="394"/>
        <v>17.858541110099228</v>
      </c>
      <c r="LW34" s="133">
        <f t="shared" si="136"/>
        <v>25.068194342490582</v>
      </c>
      <c r="LX34" s="133">
        <f t="shared" si="137"/>
        <v>29.49611259108929</v>
      </c>
      <c r="LY34" s="133">
        <f t="shared" si="138"/>
        <v>33.397938971112794</v>
      </c>
      <c r="LZ34" s="133">
        <f t="shared" si="139"/>
        <v>38.003595190334067</v>
      </c>
      <c r="MA34" s="81"/>
      <c r="MB34" s="81">
        <v>34</v>
      </c>
      <c r="MC34" s="133">
        <f t="shared" si="140"/>
        <v>-17.979237129510313</v>
      </c>
      <c r="MD34" s="133">
        <f t="shared" si="141"/>
        <v>-14.469701259038089</v>
      </c>
      <c r="ME34" s="133">
        <f t="shared" si="142"/>
        <v>-11.393342676398312</v>
      </c>
      <c r="MF34" s="133">
        <f t="shared" si="395"/>
        <v>-7.7870087990560961</v>
      </c>
      <c r="MG34" s="133">
        <f t="shared" si="396"/>
        <v>-1.645074517310448</v>
      </c>
      <c r="MH34" s="134">
        <f t="shared" si="397"/>
        <v>5.3633681387806931</v>
      </c>
      <c r="MI34" s="133">
        <f t="shared" si="398"/>
        <v>12.521595023112297</v>
      </c>
      <c r="MJ34" s="133">
        <f t="shared" si="143"/>
        <v>19.057238397224395</v>
      </c>
      <c r="MK34" s="133">
        <f t="shared" si="144"/>
        <v>23.022136843005306</v>
      </c>
      <c r="ML34" s="133">
        <f t="shared" si="145"/>
        <v>26.487918341260425</v>
      </c>
      <c r="MM34" s="133">
        <f t="shared" si="146"/>
        <v>30.547521515415674</v>
      </c>
      <c r="MN34" s="81"/>
      <c r="MO34" s="81">
        <v>32</v>
      </c>
      <c r="MP34" s="133">
        <f t="shared" si="147"/>
        <v>-23.849046051877608</v>
      </c>
      <c r="MQ34" s="133">
        <f t="shared" si="148"/>
        <v>-19.515098072614823</v>
      </c>
      <c r="MR34" s="133">
        <f t="shared" si="149"/>
        <v>-15.759394399236438</v>
      </c>
      <c r="MS34" s="133">
        <f t="shared" si="399"/>
        <v>-11.402853703512793</v>
      </c>
      <c r="MT34" s="133">
        <f t="shared" si="400"/>
        <v>-4.0837143219720957</v>
      </c>
      <c r="MU34" s="134">
        <f t="shared" si="401"/>
        <v>4.1359948371492834</v>
      </c>
      <c r="MV34" s="133">
        <f t="shared" si="402"/>
        <v>12.408944118711624</v>
      </c>
      <c r="MW34" s="133">
        <f t="shared" si="150"/>
        <v>19.869645741336647</v>
      </c>
      <c r="MX34" s="133">
        <f t="shared" si="151"/>
        <v>24.357374159779134</v>
      </c>
      <c r="MY34" s="133">
        <f t="shared" si="152"/>
        <v>28.258363780489724</v>
      </c>
      <c r="MZ34" s="133">
        <f t="shared" si="153"/>
        <v>32.803491562575168</v>
      </c>
      <c r="NA34" s="81"/>
      <c r="NB34" s="81">
        <v>32</v>
      </c>
      <c r="NC34" s="133">
        <f t="shared" si="154"/>
        <v>-18.76206120872062</v>
      </c>
      <c r="ND34" s="133">
        <f t="shared" si="155"/>
        <v>-14.676126809460788</v>
      </c>
      <c r="NE34" s="133">
        <f t="shared" si="156"/>
        <v>-11.116067703735212</v>
      </c>
      <c r="NF34" s="133">
        <f t="shared" si="403"/>
        <v>-6.9702442014213908</v>
      </c>
      <c r="NG34" s="133">
        <f t="shared" si="404"/>
        <v>2.410249107294149E-2</v>
      </c>
      <c r="NH34" s="134">
        <f t="shared" si="405"/>
        <v>7.9116634614623003</v>
      </c>
      <c r="NI34" s="133">
        <f t="shared" si="406"/>
        <v>15.876793059361969</v>
      </c>
      <c r="NJ34" s="133">
        <f t="shared" si="157"/>
        <v>23.078190872795862</v>
      </c>
      <c r="NK34" s="133">
        <f t="shared" si="158"/>
        <v>27.41709495427207</v>
      </c>
      <c r="NL34" s="133">
        <f t="shared" si="159"/>
        <v>31.192639015633116</v>
      </c>
      <c r="NM34" s="133">
        <f t="shared" si="160"/>
        <v>35.59585875207955</v>
      </c>
      <c r="NN34" s="81"/>
      <c r="NO34" s="81">
        <v>34</v>
      </c>
      <c r="NP34" s="133">
        <f t="shared" si="161"/>
        <v>-24.397762547761943</v>
      </c>
      <c r="NQ34" s="133">
        <f t="shared" si="162"/>
        <v>-20.444471089929337</v>
      </c>
      <c r="NR34" s="133">
        <f t="shared" si="163"/>
        <v>-17.040572393181996</v>
      </c>
      <c r="NS34" s="133">
        <f t="shared" si="407"/>
        <v>-13.112497184098348</v>
      </c>
      <c r="NT34" s="133">
        <f t="shared" si="408"/>
        <v>-6.5527792038268871</v>
      </c>
      <c r="NU34" s="134">
        <f t="shared" si="409"/>
        <v>0.76696197024811141</v>
      </c>
      <c r="NV34" s="133">
        <f t="shared" si="410"/>
        <v>8.0938480291745876</v>
      </c>
      <c r="NW34" s="133">
        <f t="shared" si="164"/>
        <v>14.672577235877938</v>
      </c>
      <c r="NX34" s="133">
        <f t="shared" si="165"/>
        <v>18.618288371006585</v>
      </c>
      <c r="NY34" s="133">
        <f t="shared" si="166"/>
        <v>22.041739212889183</v>
      </c>
      <c r="NZ34" s="133">
        <f t="shared" si="167"/>
        <v>26.023491559945818</v>
      </c>
      <c r="OA34" s="81"/>
      <c r="OB34" s="81">
        <v>32</v>
      </c>
      <c r="OC34" s="133">
        <v>14.949439769786634</v>
      </c>
      <c r="OD34" s="133">
        <v>16.574947828359697</v>
      </c>
      <c r="OE34" s="133">
        <v>18.11365220447794</v>
      </c>
      <c r="OF34" s="133">
        <v>20.065786770068474</v>
      </c>
      <c r="OG34" s="133">
        <v>23.801642955762272</v>
      </c>
      <c r="OH34" s="134">
        <v>28.79086243152604</v>
      </c>
      <c r="OI34" s="133">
        <v>34.825905131493492</v>
      </c>
      <c r="OJ34" s="133">
        <v>41.309806041970063</v>
      </c>
      <c r="OK34" s="133">
        <v>45.761823744531128</v>
      </c>
      <c r="OL34" s="133">
        <v>50.010037324689982</v>
      </c>
      <c r="OM34" s="133">
        <v>55.447814253636622</v>
      </c>
      <c r="ON34" s="81"/>
      <c r="OO34" s="81">
        <v>32</v>
      </c>
      <c r="OP34" s="133">
        <v>13.51965633910574</v>
      </c>
      <c r="OQ34" s="133">
        <v>14.855911988916299</v>
      </c>
      <c r="OR34" s="133">
        <v>16.110331535958348</v>
      </c>
      <c r="OS34" s="133">
        <v>17.688614288239215</v>
      </c>
      <c r="OT34" s="133">
        <v>25.218697614473456</v>
      </c>
      <c r="OU34" s="134">
        <v>24.596491149116392</v>
      </c>
      <c r="OV34" s="133">
        <v>29.264581116576078</v>
      </c>
      <c r="OW34" s="133">
        <v>34.202078636018669</v>
      </c>
      <c r="OX34" s="133">
        <v>37.552757713162279</v>
      </c>
      <c r="OY34" s="133">
        <v>40.723678041437672</v>
      </c>
      <c r="OZ34" s="133">
        <v>44.748724499647921</v>
      </c>
      <c r="PA34" s="81"/>
      <c r="PB34" s="81">
        <v>34</v>
      </c>
      <c r="PC34" s="133">
        <v>20.331567617150537</v>
      </c>
      <c r="PD34" s="133">
        <v>21.992467826701333</v>
      </c>
      <c r="PE34" s="133">
        <v>23.529054229179838</v>
      </c>
      <c r="PF34" s="133">
        <v>25.434353181182765</v>
      </c>
      <c r="PG34" s="133">
        <v>28.962239849864066</v>
      </c>
      <c r="PH34" s="134">
        <v>33.474016705837286</v>
      </c>
      <c r="PI34" s="133">
        <v>38.688644256494975</v>
      </c>
      <c r="PJ34" s="133">
        <v>44.054975034775651</v>
      </c>
      <c r="PK34" s="133">
        <v>47.622389897553113</v>
      </c>
      <c r="PL34" s="133">
        <v>50.949707111188687</v>
      </c>
      <c r="PM34" s="133">
        <v>55.111824898217677</v>
      </c>
      <c r="PN34" s="81"/>
      <c r="PO34" s="81">
        <v>32</v>
      </c>
      <c r="PP34" s="133">
        <v>8.1854954322265829</v>
      </c>
      <c r="PQ34" s="133">
        <v>8.9268736252010132</v>
      </c>
      <c r="PR34" s="133">
        <v>9.6179876560090545</v>
      </c>
      <c r="PS34" s="133">
        <v>10.48146249938541</v>
      </c>
      <c r="PT34" s="133">
        <v>12.097836817117846</v>
      </c>
      <c r="PU34" s="134">
        <v>14.19485449544927</v>
      </c>
      <c r="PV34" s="133">
        <v>16.655365516409702</v>
      </c>
      <c r="PW34" s="133">
        <v>19.223833902834748</v>
      </c>
      <c r="PX34" s="133">
        <v>20.949693569328758</v>
      </c>
      <c r="PY34" s="133">
        <v>22.571608225543699</v>
      </c>
      <c r="PZ34" s="133">
        <v>24.615968063910689</v>
      </c>
      <c r="QA34" s="81"/>
      <c r="QB34" s="81">
        <v>32</v>
      </c>
      <c r="QC34" s="133">
        <v>7.8299145923767703</v>
      </c>
      <c r="QD34" s="133">
        <v>8.5384193836533893</v>
      </c>
      <c r="QE34" s="133">
        <v>9.1988408412351941</v>
      </c>
      <c r="QF34" s="133">
        <v>10.023908673695454</v>
      </c>
      <c r="QG34" s="133">
        <v>11.568226038790721</v>
      </c>
      <c r="QH34" s="134">
        <v>13.571485265488667</v>
      </c>
      <c r="QI34" s="133">
        <v>15.921647078278358</v>
      </c>
      <c r="QJ34" s="133">
        <v>18.374590023421824</v>
      </c>
      <c r="QK34" s="133">
        <v>20.022654537704138</v>
      </c>
      <c r="QL34" s="133">
        <v>21.571347580325504</v>
      </c>
      <c r="QM34" s="133">
        <v>23.52327220665973</v>
      </c>
      <c r="QN34" s="81"/>
      <c r="QO34" s="81">
        <v>34</v>
      </c>
      <c r="QP34" s="133">
        <v>9.2199848375080471</v>
      </c>
      <c r="QQ34" s="133">
        <v>9.9794830095608571</v>
      </c>
      <c r="QR34" s="133">
        <v>10.682547592835672</v>
      </c>
      <c r="QS34" s="133">
        <v>11.554828084853776</v>
      </c>
      <c r="QT34" s="133">
        <v>13.171322686422011</v>
      </c>
      <c r="QU34" s="134">
        <v>15.240934681287017</v>
      </c>
      <c r="QV34" s="133">
        <v>17.635745132773582</v>
      </c>
      <c r="QW34" s="133">
        <v>20.102946426675192</v>
      </c>
      <c r="QX34" s="133">
        <v>21.744447000174539</v>
      </c>
      <c r="QY34" s="133">
        <v>23.276365091930661</v>
      </c>
      <c r="QZ34" s="133">
        <v>25.193760516209164</v>
      </c>
      <c r="RA34" s="81"/>
      <c r="RB34" s="81">
        <v>32</v>
      </c>
      <c r="RC34" s="133">
        <f t="shared" si="168"/>
        <v>0.27286651701597636</v>
      </c>
      <c r="RD34" s="133">
        <f t="shared" si="169"/>
        <v>0.29634479354279669</v>
      </c>
      <c r="RE34" s="133">
        <f t="shared" si="170"/>
        <v>0.3184171326322251</v>
      </c>
      <c r="RF34" s="133">
        <f t="shared" si="411"/>
        <v>0.34625872660016765</v>
      </c>
      <c r="RG34" s="133">
        <f t="shared" si="412"/>
        <v>0.39920439502612187</v>
      </c>
      <c r="RH34" s="134">
        <f t="shared" si="413"/>
        <v>0.46957537669651334</v>
      </c>
      <c r="RI34" s="133">
        <f t="shared" si="414"/>
        <v>0.55465580955783844</v>
      </c>
      <c r="RJ34" s="133">
        <f t="shared" si="171"/>
        <v>0.64643345004683694</v>
      </c>
      <c r="RK34" s="133">
        <f t="shared" si="172"/>
        <v>0.70982755246040452</v>
      </c>
      <c r="RL34" s="133">
        <f t="shared" si="173"/>
        <v>0.77067768141194137</v>
      </c>
      <c r="RM34" s="133">
        <f t="shared" si="174"/>
        <v>0.84914517382600752</v>
      </c>
      <c r="RN34" s="81"/>
      <c r="RO34" s="81">
        <v>32</v>
      </c>
      <c r="RP34" s="133">
        <f t="shared" si="175"/>
        <v>0.30031349040100325</v>
      </c>
      <c r="RQ34" s="133">
        <f t="shared" si="176"/>
        <v>0.32399330220639844</v>
      </c>
      <c r="RR34" s="133">
        <f t="shared" si="177"/>
        <v>0.3461952562044871</v>
      </c>
      <c r="RS34" s="133">
        <f t="shared" si="415"/>
        <v>0.37413274829700199</v>
      </c>
      <c r="RT34" s="133">
        <f t="shared" si="416"/>
        <v>0.42710393733479923</v>
      </c>
      <c r="RU34" s="134">
        <f t="shared" si="417"/>
        <v>0.49730389457450946</v>
      </c>
      <c r="RV34" s="133">
        <f t="shared" si="418"/>
        <v>0.58203048252686151</v>
      </c>
      <c r="RW34" s="133">
        <f t="shared" si="178"/>
        <v>0.67340479778975382</v>
      </c>
      <c r="RX34" s="133">
        <f t="shared" si="179"/>
        <v>0.73657060214397219</v>
      </c>
      <c r="RY34" s="133">
        <f t="shared" si="180"/>
        <v>0.79727132486081298</v>
      </c>
      <c r="RZ34" s="133">
        <f t="shared" si="181"/>
        <v>0.87567805232398233</v>
      </c>
      <c r="SA34" s="81"/>
      <c r="SB34" s="81">
        <v>34</v>
      </c>
      <c r="SC34" s="133">
        <f t="shared" si="182"/>
        <v>0.2599684562737809</v>
      </c>
      <c r="SD34" s="133">
        <f t="shared" si="183"/>
        <v>0.2834144528709302</v>
      </c>
      <c r="SE34" s="133">
        <f t="shared" si="184"/>
        <v>0.30528739541634659</v>
      </c>
      <c r="SF34" s="133">
        <f t="shared" si="419"/>
        <v>0.33263840024216551</v>
      </c>
      <c r="SG34" s="133">
        <f t="shared" si="420"/>
        <v>0.38390799877072451</v>
      </c>
      <c r="SH34" s="134">
        <f t="shared" si="421"/>
        <v>0.45056012595892198</v>
      </c>
      <c r="SI34" s="133">
        <f t="shared" si="422"/>
        <v>0.52896062301068592</v>
      </c>
      <c r="SJ34" s="133">
        <f t="shared" si="185"/>
        <v>0.61101942063854464</v>
      </c>
      <c r="SK34" s="133">
        <f t="shared" si="186"/>
        <v>0.666279368266667</v>
      </c>
      <c r="SL34" s="133">
        <f t="shared" si="187"/>
        <v>0.71829725514392562</v>
      </c>
      <c r="SM34" s="133">
        <f t="shared" si="188"/>
        <v>0.7839792926339828</v>
      </c>
      <c r="SN34" s="81"/>
      <c r="SO34" s="81">
        <v>32</v>
      </c>
      <c r="SP34" s="133">
        <f t="shared" si="189"/>
        <v>0.21389655530904444</v>
      </c>
      <c r="SQ34" s="133">
        <f t="shared" si="190"/>
        <v>0.22848265997302597</v>
      </c>
      <c r="SR34" s="133">
        <f t="shared" si="191"/>
        <v>0.24161091755663502</v>
      </c>
      <c r="SS34" s="133">
        <f t="shared" si="423"/>
        <v>0.25743731712898471</v>
      </c>
      <c r="ST34" s="133">
        <f t="shared" si="424"/>
        <v>0.28554589225528831</v>
      </c>
      <c r="SU34" s="134">
        <f t="shared" si="425"/>
        <v>0.31951042918999722</v>
      </c>
      <c r="SV34" s="133">
        <f t="shared" si="426"/>
        <v>0.35640567346413549</v>
      </c>
      <c r="SW34" s="133">
        <f t="shared" si="192"/>
        <v>0.39213546585135084</v>
      </c>
      <c r="SX34" s="133">
        <f t="shared" si="193"/>
        <v>0.41479743957132403</v>
      </c>
      <c r="SY34" s="133">
        <f t="shared" si="194"/>
        <v>0.43523326311245536</v>
      </c>
      <c r="SZ34" s="133">
        <f t="shared" si="195"/>
        <v>0.45992958770986386</v>
      </c>
      <c r="TA34" s="81"/>
      <c r="TB34" s="81">
        <v>32</v>
      </c>
      <c r="TC34" s="133">
        <f t="shared" si="196"/>
        <v>0.23084905956293245</v>
      </c>
      <c r="TD34" s="133">
        <f t="shared" si="197"/>
        <v>0.24483056463162159</v>
      </c>
      <c r="TE34" s="133">
        <f t="shared" si="198"/>
        <v>0.25740809676579623</v>
      </c>
      <c r="TF34" s="133">
        <f t="shared" si="427"/>
        <v>0.27256684387315827</v>
      </c>
      <c r="TG34" s="133">
        <f t="shared" si="428"/>
        <v>0.29949235856023348</v>
      </c>
      <c r="TH34" s="134">
        <f t="shared" si="429"/>
        <v>0.33205503344400078</v>
      </c>
      <c r="TI34" s="133">
        <f t="shared" si="430"/>
        <v>0.36748835137293556</v>
      </c>
      <c r="TJ34" s="133">
        <f t="shared" si="199"/>
        <v>0.40188291373008561</v>
      </c>
      <c r="TK34" s="133">
        <f t="shared" si="200"/>
        <v>0.42374569259728273</v>
      </c>
      <c r="TL34" s="133">
        <f t="shared" si="201"/>
        <v>0.44349532414017723</v>
      </c>
      <c r="TM34" s="133">
        <f t="shared" si="202"/>
        <v>0.46740840132825862</v>
      </c>
      <c r="TN34" s="81"/>
      <c r="TO34" s="81">
        <v>34</v>
      </c>
      <c r="TP34" s="133">
        <f t="shared" si="203"/>
        <v>0.20573059407074806</v>
      </c>
      <c r="TQ34" s="133">
        <f t="shared" si="204"/>
        <v>0.22064375017307766</v>
      </c>
      <c r="TR34" s="133">
        <f t="shared" si="205"/>
        <v>0.23394167414872399</v>
      </c>
      <c r="TS34" s="133">
        <f t="shared" si="431"/>
        <v>0.24981927740593704</v>
      </c>
      <c r="TT34" s="133">
        <f t="shared" si="432"/>
        <v>0.27761989525926684</v>
      </c>
      <c r="TU34" s="134">
        <f t="shared" si="433"/>
        <v>0.31056573197356402</v>
      </c>
      <c r="TV34" s="133">
        <f t="shared" si="434"/>
        <v>0.3456056355087509</v>
      </c>
      <c r="TW34" s="133">
        <f t="shared" si="206"/>
        <v>0.37884865814910118</v>
      </c>
      <c r="TX34" s="133">
        <f t="shared" si="207"/>
        <v>0.3996037570395069</v>
      </c>
      <c r="TY34" s="133">
        <f t="shared" si="208"/>
        <v>0.41811191980375645</v>
      </c>
      <c r="TZ34" s="133">
        <f t="shared" si="209"/>
        <v>0.44022670285519383</v>
      </c>
      <c r="UA34" s="81"/>
      <c r="UB34" s="81">
        <v>32</v>
      </c>
      <c r="UC34" s="133">
        <f t="shared" si="210"/>
        <v>-25.622076484436278</v>
      </c>
      <c r="UD34" s="133">
        <f t="shared" si="211"/>
        <v>-21.964532124352218</v>
      </c>
      <c r="UE34" s="133">
        <f t="shared" si="212"/>
        <v>-18.922914256424605</v>
      </c>
      <c r="UF34" s="133">
        <f t="shared" si="435"/>
        <v>-15.519667529860243</v>
      </c>
      <c r="UG34" s="133">
        <f t="shared" si="436"/>
        <v>-10.054005687013628</v>
      </c>
      <c r="UH34" s="134">
        <f t="shared" si="437"/>
        <v>-4.2239484546748827</v>
      </c>
      <c r="UI34" s="133">
        <f t="shared" si="438"/>
        <v>1.3761119261923085</v>
      </c>
      <c r="UJ34" s="133">
        <f t="shared" si="213"/>
        <v>6.2337654817912522</v>
      </c>
      <c r="UK34" s="133">
        <f t="shared" si="214"/>
        <v>9.0788280906927383</v>
      </c>
      <c r="UL34" s="133">
        <f t="shared" si="215"/>
        <v>11.509297666865294</v>
      </c>
      <c r="UM34" s="133">
        <f t="shared" si="216"/>
        <v>14.294602222001899</v>
      </c>
      <c r="UN34" s="81"/>
      <c r="UO34" s="81">
        <v>32</v>
      </c>
      <c r="UP34" s="133">
        <f t="shared" si="217"/>
        <v>-21.162920196880215</v>
      </c>
      <c r="UQ34" s="133">
        <f t="shared" si="218"/>
        <v>-18.223528641789855</v>
      </c>
      <c r="UR34" s="133">
        <f t="shared" si="219"/>
        <v>-15.704347322239766</v>
      </c>
      <c r="US34" s="133">
        <f t="shared" si="439"/>
        <v>-12.808445524613674</v>
      </c>
      <c r="UT34" s="133">
        <f t="shared" si="440"/>
        <v>-7.9946900150072722</v>
      </c>
      <c r="UU34" s="134">
        <f t="shared" si="441"/>
        <v>-2.6502287942126159</v>
      </c>
      <c r="UV34" s="133">
        <f t="shared" si="442"/>
        <v>2.6759815256098634</v>
      </c>
      <c r="UW34" s="133">
        <f t="shared" si="220"/>
        <v>7.4413662676046002</v>
      </c>
      <c r="UX34" s="133">
        <f t="shared" si="221"/>
        <v>10.292673779274843</v>
      </c>
      <c r="UY34" s="133">
        <f t="shared" si="222"/>
        <v>12.762775786505763</v>
      </c>
      <c r="UZ34" s="133">
        <f t="shared" si="223"/>
        <v>15.631537765691085</v>
      </c>
      <c r="VA34" s="81"/>
      <c r="VB34" s="81">
        <v>35</v>
      </c>
      <c r="VC34" s="133">
        <f t="shared" si="224"/>
        <v>-26.6841291913058</v>
      </c>
      <c r="VD34" s="133">
        <f t="shared" si="225"/>
        <v>-22.718274293658062</v>
      </c>
      <c r="VE34" s="133">
        <f t="shared" si="226"/>
        <v>-19.493405147152508</v>
      </c>
      <c r="VF34" s="133">
        <f t="shared" si="443"/>
        <v>-15.951659867215852</v>
      </c>
      <c r="VG34" s="133">
        <f t="shared" si="444"/>
        <v>-10.387459307041077</v>
      </c>
      <c r="VH34" s="134">
        <f t="shared" si="445"/>
        <v>-4.5922252796478418</v>
      </c>
      <c r="VI34" s="133">
        <f t="shared" si="446"/>
        <v>0.86142414532777423</v>
      </c>
      <c r="VJ34" s="133">
        <f t="shared" si="227"/>
        <v>5.5154092470585425</v>
      </c>
      <c r="VK34" s="133">
        <f t="shared" si="228"/>
        <v>8.2117009348605592</v>
      </c>
      <c r="VL34" s="133">
        <f t="shared" si="229"/>
        <v>10.499160608303427</v>
      </c>
      <c r="VM34" s="133">
        <f t="shared" si="230"/>
        <v>13.103586927426491</v>
      </c>
      <c r="VN34" s="81"/>
      <c r="VO34" s="81">
        <v>32</v>
      </c>
      <c r="VP34" s="133">
        <f t="shared" si="231"/>
        <v>-42.373497738453196</v>
      </c>
      <c r="VQ34" s="133">
        <f t="shared" si="232"/>
        <v>-38.437190569617108</v>
      </c>
      <c r="VR34" s="133">
        <f t="shared" si="233"/>
        <v>-34.704724525982584</v>
      </c>
      <c r="VS34" s="133">
        <f t="shared" si="447"/>
        <v>-30.018115477717807</v>
      </c>
      <c r="VT34" s="133">
        <f t="shared" si="448"/>
        <v>-21.32282906323114</v>
      </c>
      <c r="VU34" s="134">
        <f t="shared" si="449"/>
        <v>-10.395472504741328</v>
      </c>
      <c r="VV34" s="133">
        <f t="shared" si="450"/>
        <v>1.775744799093701</v>
      </c>
      <c r="VW34" s="133">
        <f t="shared" si="234"/>
        <v>13.71281847991937</v>
      </c>
      <c r="VX34" s="133">
        <f t="shared" si="235"/>
        <v>21.316210782030758</v>
      </c>
      <c r="VY34" s="133">
        <f t="shared" si="236"/>
        <v>28.176999129425234</v>
      </c>
      <c r="VZ34" s="133">
        <f t="shared" si="237"/>
        <v>36.459843948883879</v>
      </c>
      <c r="WA34" s="81"/>
      <c r="WB34" s="81">
        <v>32</v>
      </c>
      <c r="WC34" s="133">
        <f t="shared" si="238"/>
        <v>-38.771791845298168</v>
      </c>
      <c r="WD34" s="133">
        <f t="shared" si="239"/>
        <v>-35.027967567945716</v>
      </c>
      <c r="WE34" s="133">
        <f t="shared" si="240"/>
        <v>-31.427934459833594</v>
      </c>
      <c r="WF34" s="133">
        <f t="shared" si="451"/>
        <v>-26.859087604759701</v>
      </c>
      <c r="WG34" s="133">
        <f t="shared" si="452"/>
        <v>-18.283604974715907</v>
      </c>
      <c r="WH34" s="134">
        <f t="shared" si="453"/>
        <v>-7.3859786856622947</v>
      </c>
      <c r="WI34" s="133">
        <f t="shared" si="454"/>
        <v>4.8565419402848207</v>
      </c>
      <c r="WJ34" s="133">
        <f t="shared" si="241"/>
        <v>16.938255764671972</v>
      </c>
      <c r="WK34" s="133">
        <f t="shared" si="242"/>
        <v>24.663321385518437</v>
      </c>
      <c r="WL34" s="133">
        <f t="shared" si="243"/>
        <v>31.650227713728434</v>
      </c>
      <c r="WM34" s="133">
        <f t="shared" si="244"/>
        <v>40.103220207934463</v>
      </c>
      <c r="WN34" s="81"/>
      <c r="WO34" s="81">
        <v>35</v>
      </c>
      <c r="WP34" s="133">
        <f t="shared" si="245"/>
        <v>-42.918241108163514</v>
      </c>
      <c r="WQ34" s="133">
        <f t="shared" si="246"/>
        <v>-38.768795374134541</v>
      </c>
      <c r="WR34" s="133">
        <f t="shared" si="247"/>
        <v>-34.885691595584717</v>
      </c>
      <c r="WS34" s="133">
        <f t="shared" si="455"/>
        <v>-30.075253146702945</v>
      </c>
      <c r="WT34" s="133">
        <f t="shared" si="456"/>
        <v>-21.317795310617285</v>
      </c>
      <c r="WU34" s="134">
        <f t="shared" si="457"/>
        <v>-10.567869895263733</v>
      </c>
      <c r="WV34" s="133">
        <f t="shared" si="458"/>
        <v>1.1363138464635867</v>
      </c>
      <c r="WW34" s="133">
        <f t="shared" si="248"/>
        <v>12.390431329392804</v>
      </c>
      <c r="WX34" s="133">
        <f t="shared" si="249"/>
        <v>19.459809058180376</v>
      </c>
      <c r="WY34" s="133">
        <f t="shared" si="250"/>
        <v>25.779925585552796</v>
      </c>
      <c r="WZ34" s="133">
        <f t="shared" si="251"/>
        <v>33.34214529234125</v>
      </c>
      <c r="XA34" s="81"/>
      <c r="XB34" s="81">
        <v>32</v>
      </c>
      <c r="XC34" s="133">
        <f t="shared" si="252"/>
        <v>-47.838725227608229</v>
      </c>
      <c r="XD34" s="133">
        <f t="shared" si="253"/>
        <v>-43.376359553105402</v>
      </c>
      <c r="XE34" s="133">
        <f t="shared" si="254"/>
        <v>-39.203694881464088</v>
      </c>
      <c r="XF34" s="133">
        <f t="shared" si="459"/>
        <v>-34.068399724389614</v>
      </c>
      <c r="XG34" s="133">
        <f t="shared" si="460"/>
        <v>-24.842725698303081</v>
      </c>
      <c r="XH34" s="134">
        <f t="shared" si="461"/>
        <v>-13.734452470500244</v>
      </c>
      <c r="XI34" s="133">
        <f t="shared" si="462"/>
        <v>-1.8816815502948714</v>
      </c>
      <c r="XJ34" s="133">
        <f t="shared" si="255"/>
        <v>9.3102560898626692</v>
      </c>
      <c r="XK34" s="133">
        <f t="shared" si="256"/>
        <v>16.250008790249886</v>
      </c>
      <c r="XL34" s="133">
        <f t="shared" si="257"/>
        <v>22.400547386864751</v>
      </c>
      <c r="XM34" s="133">
        <f t="shared" si="258"/>
        <v>29.698173549429448</v>
      </c>
      <c r="XN34" s="81"/>
      <c r="XO34" s="81">
        <v>32</v>
      </c>
      <c r="XP34" s="133">
        <f t="shared" si="259"/>
        <v>-43.055199152843706</v>
      </c>
      <c r="XQ34" s="133">
        <f t="shared" si="260"/>
        <v>-38.567751703713007</v>
      </c>
      <c r="XR34" s="133">
        <f t="shared" si="261"/>
        <v>-34.420975481122071</v>
      </c>
      <c r="XS34" s="133">
        <f t="shared" si="463"/>
        <v>-29.362129207211737</v>
      </c>
      <c r="XT34" s="133">
        <f t="shared" si="464"/>
        <v>-20.360493746660151</v>
      </c>
      <c r="XU34" s="134">
        <f t="shared" si="465"/>
        <v>-9.6257889459909265</v>
      </c>
      <c r="XV34" s="133">
        <f t="shared" si="466"/>
        <v>1.7386715404739732</v>
      </c>
      <c r="XW34" s="133">
        <f t="shared" si="262"/>
        <v>12.404493569045407</v>
      </c>
      <c r="XX34" s="133">
        <f t="shared" si="263"/>
        <v>18.991816894078688</v>
      </c>
      <c r="XY34" s="133">
        <f t="shared" si="264"/>
        <v>24.815316801698593</v>
      </c>
      <c r="XZ34" s="133">
        <f t="shared" si="265"/>
        <v>31.708676994347336</v>
      </c>
      <c r="YA34" s="81"/>
      <c r="YB34" s="81">
        <v>35</v>
      </c>
      <c r="YC34" s="133">
        <f t="shared" si="266"/>
        <v>-48.935728808940048</v>
      </c>
      <c r="YD34" s="133">
        <f t="shared" si="267"/>
        <v>-44.367659654859438</v>
      </c>
      <c r="YE34" s="133">
        <f t="shared" si="268"/>
        <v>-40.13249786126454</v>
      </c>
      <c r="YF34" s="133">
        <f t="shared" si="467"/>
        <v>-34.966733616891425</v>
      </c>
      <c r="YG34" s="133">
        <f t="shared" si="468"/>
        <v>-25.796215333895802</v>
      </c>
      <c r="YH34" s="134">
        <f t="shared" si="469"/>
        <v>-14.905357732810451</v>
      </c>
      <c r="YI34" s="133">
        <f t="shared" si="470"/>
        <v>-3.4281953120669542</v>
      </c>
      <c r="YJ34" s="133">
        <f t="shared" si="269"/>
        <v>7.2986467664357377</v>
      </c>
      <c r="YK34" s="133">
        <f t="shared" si="270"/>
        <v>13.903964910516301</v>
      </c>
      <c r="YL34" s="133">
        <f t="shared" si="271"/>
        <v>19.731761876730125</v>
      </c>
      <c r="YM34" s="133">
        <f t="shared" si="272"/>
        <v>26.61695411700871</v>
      </c>
      <c r="YN34" s="81"/>
      <c r="YO34" s="81">
        <v>32</v>
      </c>
      <c r="YP34" s="133">
        <v>18.716074868398177</v>
      </c>
      <c r="YQ34" s="133">
        <v>21.047715914718925</v>
      </c>
      <c r="YR34" s="133">
        <v>23.284091378506734</v>
      </c>
      <c r="YS34" s="133">
        <v>26.158965681166819</v>
      </c>
      <c r="YT34" s="133">
        <v>31.766232874141885</v>
      </c>
      <c r="YU34" s="134">
        <v>39.443554299267625</v>
      </c>
      <c r="YV34" s="133">
        <v>48.97634484779303</v>
      </c>
      <c r="YW34" s="133">
        <v>59.474598297262517</v>
      </c>
      <c r="YX34" s="133">
        <v>66.817895122822236</v>
      </c>
      <c r="YY34" s="133">
        <v>73.917473138797334</v>
      </c>
      <c r="YZ34" s="133">
        <v>83.126082081783522</v>
      </c>
      <c r="ZA34" s="81"/>
      <c r="ZB34" s="81">
        <v>32</v>
      </c>
      <c r="ZC34" s="133">
        <v>15.432708638690825</v>
      </c>
      <c r="ZD34" s="133">
        <v>17.582059902374446</v>
      </c>
      <c r="ZE34" s="133">
        <v>19.668559051923271</v>
      </c>
      <c r="ZF34" s="133">
        <v>22.383283451614265</v>
      </c>
      <c r="ZG34" s="133">
        <v>27.77115949454172</v>
      </c>
      <c r="ZH34" s="134">
        <v>35.318152601228832</v>
      </c>
      <c r="ZI34" s="133">
        <v>44.916090140523345</v>
      </c>
      <c r="ZJ34" s="133">
        <v>55.727833937327333</v>
      </c>
      <c r="ZK34" s="133">
        <v>63.419587569721514</v>
      </c>
      <c r="ZL34" s="133">
        <v>70.945720244942933</v>
      </c>
      <c r="ZM34" s="133">
        <v>80.826505078728857</v>
      </c>
      <c r="ZN34" s="81"/>
      <c r="ZO34" s="81">
        <v>35</v>
      </c>
      <c r="ZP34" s="133">
        <v>22.057073130625263</v>
      </c>
      <c r="ZQ34" s="133">
        <v>24.388471015098826</v>
      </c>
      <c r="ZR34" s="133">
        <v>26.5897639281057</v>
      </c>
      <c r="ZS34" s="133">
        <v>29.37542125128358</v>
      </c>
      <c r="ZT34" s="133">
        <v>34.686899823548572</v>
      </c>
      <c r="ZU34" s="134">
        <v>41.746319566072259</v>
      </c>
      <c r="ZV34" s="133">
        <v>50.242460588233079</v>
      </c>
      <c r="ZW34" s="133">
        <v>59.326985727446448</v>
      </c>
      <c r="ZX34" s="133">
        <v>65.542334336805254</v>
      </c>
      <c r="ZY34" s="133">
        <v>71.458157267575061</v>
      </c>
      <c r="ZZ34" s="133">
        <v>79.011171926201285</v>
      </c>
      <c r="AAA34" s="81"/>
      <c r="AAB34" s="81">
        <v>32</v>
      </c>
      <c r="AAC34" s="133">
        <v>8.8247859840990497</v>
      </c>
      <c r="AAD34" s="133">
        <v>9.8009837609454493</v>
      </c>
      <c r="AAE34" s="133">
        <v>10.7265101140721</v>
      </c>
      <c r="AAF34" s="133">
        <v>11.902567149795336</v>
      </c>
      <c r="AAG34" s="133">
        <v>14.158346332580056</v>
      </c>
      <c r="AAH34" s="134">
        <v>17.179928427828798</v>
      </c>
      <c r="AAI34" s="133">
        <v>20.846356901592703</v>
      </c>
      <c r="AAJ34" s="133">
        <v>24.797166617152421</v>
      </c>
      <c r="AAK34" s="133">
        <v>27.515933667755835</v>
      </c>
      <c r="AAL34" s="133">
        <v>30.114317907700361</v>
      </c>
      <c r="AAM34" s="133">
        <v>33.445563588412931</v>
      </c>
      <c r="AAN34" s="81"/>
      <c r="AAO34" s="81">
        <v>32</v>
      </c>
      <c r="AAP34" s="133">
        <v>7.8976917484040419</v>
      </c>
      <c r="AAQ34" s="133">
        <v>8.8638837944431774</v>
      </c>
      <c r="AAR34" s="133">
        <v>9.788886421470254</v>
      </c>
      <c r="AAS34" s="133">
        <v>10.975783335277791</v>
      </c>
      <c r="AAT34" s="133">
        <v>13.284574434739069</v>
      </c>
      <c r="AAU34" s="134">
        <v>16.434660470775885</v>
      </c>
      <c r="AAV34" s="133">
        <v>20.331706229397835</v>
      </c>
      <c r="AAW34" s="133">
        <v>24.608545607997591</v>
      </c>
      <c r="AAX34" s="133">
        <v>27.592317773477212</v>
      </c>
      <c r="AAY34" s="133">
        <v>30.471751554212563</v>
      </c>
      <c r="AAZ34" s="133">
        <v>34.199621027785064</v>
      </c>
      <c r="ABA34" s="81"/>
      <c r="ABB34" s="81">
        <v>35</v>
      </c>
      <c r="ABC34" s="133">
        <v>10.014884325530975</v>
      </c>
      <c r="ABD34" s="133">
        <v>10.988500201052604</v>
      </c>
      <c r="ABE34" s="133">
        <v>11.901237689311808</v>
      </c>
      <c r="ABF34" s="133">
        <v>13.048051855905452</v>
      </c>
      <c r="ABG34" s="133">
        <v>15.212313067583482</v>
      </c>
      <c r="ABH34" s="134">
        <v>18.050210279299897</v>
      </c>
      <c r="ABI34" s="133">
        <v>21.417524716949536</v>
      </c>
      <c r="ABJ34" s="133">
        <v>24.970018108832413</v>
      </c>
      <c r="ABK34" s="133">
        <v>27.376151929101045</v>
      </c>
      <c r="ABL34" s="133">
        <v>29.650096479566326</v>
      </c>
      <c r="ABM34" s="133">
        <v>32.532586551834157</v>
      </c>
      <c r="ABN34" s="81"/>
      <c r="ABO34" s="81">
        <v>32</v>
      </c>
      <c r="ABP34" s="133">
        <f t="shared" si="273"/>
        <v>0.20408186417924778</v>
      </c>
      <c r="ABQ34" s="133">
        <f t="shared" si="274"/>
        <v>0.23170059690195846</v>
      </c>
      <c r="ABR34" s="133">
        <f t="shared" si="275"/>
        <v>0.25755196137385561</v>
      </c>
      <c r="ABS34" s="133">
        <f t="shared" si="471"/>
        <v>0.28989702715229754</v>
      </c>
      <c r="ABT34" s="133">
        <f t="shared" si="472"/>
        <v>0.3503068132955075</v>
      </c>
      <c r="ABU34" s="134">
        <f t="shared" si="473"/>
        <v>0.42792034691801994</v>
      </c>
      <c r="ABV34" s="133">
        <f t="shared" si="474"/>
        <v>0.51737451874307294</v>
      </c>
      <c r="ABW34" s="133">
        <f t="shared" si="276"/>
        <v>0.60859203922672933</v>
      </c>
      <c r="ABX34" s="133">
        <f t="shared" si="277"/>
        <v>0.66858924691343069</v>
      </c>
      <c r="ABY34" s="133">
        <f t="shared" si="278"/>
        <v>0.72402327977565173</v>
      </c>
      <c r="ABZ34" s="133">
        <f t="shared" si="279"/>
        <v>0.7926064632940345</v>
      </c>
      <c r="ACA34" s="81"/>
      <c r="ACB34" s="81">
        <v>32</v>
      </c>
      <c r="ACC34" s="133">
        <f t="shared" si="280"/>
        <v>0.2248500627367378</v>
      </c>
      <c r="ACD34" s="133">
        <f t="shared" si="281"/>
        <v>0.25154404485670973</v>
      </c>
      <c r="ACE34" s="133">
        <f t="shared" si="282"/>
        <v>0.27663620669953726</v>
      </c>
      <c r="ACF34" s="133">
        <f t="shared" si="475"/>
        <v>0.30820693014123179</v>
      </c>
      <c r="ACG34" s="133">
        <f t="shared" si="476"/>
        <v>0.36777163701892096</v>
      </c>
      <c r="ACH34" s="134">
        <f t="shared" si="477"/>
        <v>0.44556707047729255</v>
      </c>
      <c r="ACI34" s="133">
        <f t="shared" si="478"/>
        <v>0.53709673575199723</v>
      </c>
      <c r="ACJ34" s="133">
        <f t="shared" si="283"/>
        <v>0.63252015889178881</v>
      </c>
      <c r="ACK34" s="133">
        <f t="shared" si="284"/>
        <v>0.69642901522982437</v>
      </c>
      <c r="ACL34" s="133">
        <f t="shared" si="285"/>
        <v>0.75627616418308308</v>
      </c>
      <c r="ACM34" s="133">
        <f t="shared" si="286"/>
        <v>0.83136783224607269</v>
      </c>
      <c r="ACN34" s="81"/>
      <c r="ACO34" s="81">
        <v>35</v>
      </c>
      <c r="ACP34" s="133">
        <f t="shared" si="287"/>
        <v>0.19793142622477441</v>
      </c>
      <c r="ACQ34" s="133">
        <f t="shared" si="288"/>
        <v>0.22844850115679824</v>
      </c>
      <c r="ACR34" s="133">
        <f t="shared" si="289"/>
        <v>0.25650380898894143</v>
      </c>
      <c r="ACS34" s="133">
        <f t="shared" si="479"/>
        <v>0.29093454807538027</v>
      </c>
      <c r="ACT34" s="133">
        <f t="shared" si="480"/>
        <v>0.35341774906036127</v>
      </c>
      <c r="ACU34" s="134">
        <f t="shared" si="481"/>
        <v>0.43034448836552858</v>
      </c>
      <c r="ACV34" s="133">
        <f t="shared" si="482"/>
        <v>0.51510602217732282</v>
      </c>
      <c r="ACW34" s="133">
        <f t="shared" si="290"/>
        <v>0.59799308747902136</v>
      </c>
      <c r="ACX34" s="133">
        <f t="shared" si="291"/>
        <v>0.65069904546656476</v>
      </c>
      <c r="ACY34" s="133">
        <f t="shared" si="292"/>
        <v>0.69827588804567364</v>
      </c>
      <c r="ACZ34" s="133">
        <f t="shared" si="293"/>
        <v>0.75577496477991879</v>
      </c>
      <c r="ADA34" s="81"/>
      <c r="ADB34" s="81">
        <v>32</v>
      </c>
      <c r="ADC34" s="133">
        <f t="shared" si="294"/>
        <v>0.16911014631950064</v>
      </c>
      <c r="ADD34" s="133">
        <f t="shared" si="295"/>
        <v>0.18849540045289057</v>
      </c>
      <c r="ADE34" s="133">
        <f t="shared" si="296"/>
        <v>0.20553648106295325</v>
      </c>
      <c r="ADF34" s="133">
        <f t="shared" si="483"/>
        <v>0.22558523179809517</v>
      </c>
      <c r="ADG34" s="133">
        <f t="shared" si="484"/>
        <v>0.25993182102856177</v>
      </c>
      <c r="ADH34" s="134">
        <f t="shared" si="485"/>
        <v>0.29945377084363589</v>
      </c>
      <c r="ADI34" s="133">
        <f t="shared" si="486"/>
        <v>0.34018784232848431</v>
      </c>
      <c r="ADJ34" s="133">
        <f t="shared" si="297"/>
        <v>0.37769770910937739</v>
      </c>
      <c r="ADK34" s="133">
        <f t="shared" si="298"/>
        <v>0.40059772308317143</v>
      </c>
      <c r="ADL34" s="133">
        <f t="shared" si="299"/>
        <v>0.42070211057162099</v>
      </c>
      <c r="ADM34" s="133">
        <f t="shared" si="300"/>
        <v>0.44435227030569269</v>
      </c>
      <c r="ADN34" s="81"/>
      <c r="ADO34" s="81">
        <v>32</v>
      </c>
      <c r="ADP34" s="133">
        <f t="shared" si="301"/>
        <v>0.18372307813767325</v>
      </c>
      <c r="ADQ34" s="133">
        <f t="shared" si="302"/>
        <v>0.20160668549091754</v>
      </c>
      <c r="ADR34" s="133">
        <f t="shared" si="303"/>
        <v>0.21750369661736624</v>
      </c>
      <c r="ADS34" s="133">
        <f t="shared" si="487"/>
        <v>0.23641369621640723</v>
      </c>
      <c r="ADT34" s="133">
        <f t="shared" si="488"/>
        <v>0.26931674500094782</v>
      </c>
      <c r="ADU34" s="134">
        <f t="shared" si="489"/>
        <v>0.30794122666334006</v>
      </c>
      <c r="ADV34" s="133">
        <f t="shared" si="490"/>
        <v>0.34856583228670712</v>
      </c>
      <c r="ADW34" s="133">
        <f t="shared" si="304"/>
        <v>0.38667249577826834</v>
      </c>
      <c r="ADX34" s="133">
        <f t="shared" si="305"/>
        <v>0.4102526299502261</v>
      </c>
      <c r="ADY34" s="133">
        <f t="shared" si="306"/>
        <v>0.43114538996201635</v>
      </c>
      <c r="ADZ34" s="133">
        <f t="shared" si="307"/>
        <v>0.45594624600082645</v>
      </c>
      <c r="AEA34" s="81"/>
      <c r="AEB34" s="81">
        <v>35</v>
      </c>
      <c r="AEC34" s="133">
        <f t="shared" si="308"/>
        <v>0.16505410333249471</v>
      </c>
      <c r="AED34" s="133">
        <f t="shared" si="309"/>
        <v>0.18660518862691264</v>
      </c>
      <c r="AEE34" s="133">
        <f t="shared" si="310"/>
        <v>0.20506039151724148</v>
      </c>
      <c r="AEF34" s="133">
        <f t="shared" si="491"/>
        <v>0.22625618791064939</v>
      </c>
      <c r="AEG34" s="133">
        <f t="shared" si="492"/>
        <v>0.26144182494588986</v>
      </c>
      <c r="AEH34" s="134">
        <f t="shared" si="493"/>
        <v>0.3004378290574804</v>
      </c>
      <c r="AEI34" s="133">
        <f t="shared" si="494"/>
        <v>0.33923181795093404</v>
      </c>
      <c r="AEJ34" s="133">
        <f t="shared" si="311"/>
        <v>0.37388611407853461</v>
      </c>
      <c r="AEK34" s="133">
        <f t="shared" si="312"/>
        <v>0.39459761156280532</v>
      </c>
      <c r="AEL34" s="133">
        <f t="shared" si="313"/>
        <v>0.41252648593867247</v>
      </c>
      <c r="AEM34" s="133">
        <f t="shared" si="314"/>
        <v>0.43333367045996507</v>
      </c>
      <c r="AEN34" s="81"/>
    </row>
    <row r="35" spans="1:820">
      <c r="A35" s="81"/>
      <c r="B35" s="81">
        <v>34</v>
      </c>
      <c r="C35" s="133">
        <f t="shared" si="0"/>
        <v>1.8144156085850367</v>
      </c>
      <c r="D35" s="133">
        <f t="shared" si="1"/>
        <v>2.163044405446418</v>
      </c>
      <c r="E35" s="133">
        <f t="shared" si="2"/>
        <v>2.5278212275257683</v>
      </c>
      <c r="F35" s="133">
        <f t="shared" si="315"/>
        <v>3.0427458457131751</v>
      </c>
      <c r="G35" s="133">
        <f t="shared" si="316"/>
        <v>4.2074417680452445</v>
      </c>
      <c r="H35" s="134">
        <f t="shared" si="317"/>
        <v>6.186909459468791</v>
      </c>
      <c r="I35" s="133">
        <f t="shared" si="318"/>
        <v>9.3696490988986341</v>
      </c>
      <c r="J35" s="133">
        <f t="shared" si="3"/>
        <v>13.997790198775602</v>
      </c>
      <c r="K35" s="133">
        <f t="shared" si="4"/>
        <v>18.075654432441436</v>
      </c>
      <c r="L35" s="133">
        <f t="shared" si="5"/>
        <v>22.793973112534079</v>
      </c>
      <c r="M35" s="133">
        <f t="shared" si="6"/>
        <v>30.241974102510731</v>
      </c>
      <c r="N35" s="81"/>
      <c r="O35" s="75">
        <v>34</v>
      </c>
      <c r="P35" s="151">
        <f t="shared" si="7"/>
        <v>2.5051662371969625</v>
      </c>
      <c r="Q35" s="151">
        <f t="shared" si="8"/>
        <v>2.8340148871848228</v>
      </c>
      <c r="R35" s="151">
        <f t="shared" si="9"/>
        <v>3.167393126344245</v>
      </c>
      <c r="S35" s="151">
        <f t="shared" si="319"/>
        <v>3.6242289632945037</v>
      </c>
      <c r="T35" s="151">
        <f t="shared" si="320"/>
        <v>4.6185477930809355</v>
      </c>
      <c r="U35" s="134">
        <f t="shared" si="321"/>
        <v>6.2434514019030383</v>
      </c>
      <c r="V35" s="151">
        <f t="shared" si="322"/>
        <v>8.7998870223531949</v>
      </c>
      <c r="W35" s="151">
        <f t="shared" si="10"/>
        <v>12.542372264180264</v>
      </c>
      <c r="X35" s="151">
        <f t="shared" si="11"/>
        <v>15.937289965232441</v>
      </c>
      <c r="Y35" s="151">
        <f t="shared" si="12"/>
        <v>20.025041872958639</v>
      </c>
      <c r="Z35" s="151">
        <f t="shared" si="13"/>
        <v>26.894095712570149</v>
      </c>
      <c r="AA35" s="81"/>
      <c r="AB35" s="75">
        <v>36</v>
      </c>
      <c r="AC35" s="151">
        <f t="shared" si="14"/>
        <v>1.5183361281680512</v>
      </c>
      <c r="AD35" s="151">
        <f t="shared" si="15"/>
        <v>1.8356109761406285</v>
      </c>
      <c r="AE35" s="151">
        <f t="shared" si="16"/>
        <v>2.1756462100053109</v>
      </c>
      <c r="AF35" s="151">
        <f t="shared" si="323"/>
        <v>2.6689552496458377</v>
      </c>
      <c r="AG35" s="151">
        <f t="shared" si="324"/>
        <v>3.838229868777745</v>
      </c>
      <c r="AH35" s="134">
        <f t="shared" si="325"/>
        <v>5.9797515791310838</v>
      </c>
      <c r="AI35" s="151">
        <f t="shared" si="326"/>
        <v>9.7857532417103243</v>
      </c>
      <c r="AJ35" s="151">
        <f t="shared" si="17"/>
        <v>16.033728268006065</v>
      </c>
      <c r="AK35" s="151">
        <f t="shared" si="18"/>
        <v>22.183020403352185</v>
      </c>
      <c r="AL35" s="151">
        <f t="shared" si="19"/>
        <v>30.008400747544396</v>
      </c>
      <c r="AM35" s="151">
        <f t="shared" si="20"/>
        <v>43.848541403261045</v>
      </c>
      <c r="AN35" s="81"/>
      <c r="AO35" s="81">
        <v>34</v>
      </c>
      <c r="AP35" s="133">
        <f t="shared" si="21"/>
        <v>1.0357460766867215</v>
      </c>
      <c r="AQ35" s="133">
        <f t="shared" si="22"/>
        <v>2.9555656718133969</v>
      </c>
      <c r="AR35" s="133">
        <f t="shared" si="23"/>
        <v>4.7800593684977075</v>
      </c>
      <c r="AS35" s="133">
        <f t="shared" si="327"/>
        <v>7.0843994122309697</v>
      </c>
      <c r="AT35" s="133">
        <f t="shared" si="328"/>
        <v>11.412094306277087</v>
      </c>
      <c r="AU35" s="134">
        <f t="shared" si="329"/>
        <v>16.956958982388375</v>
      </c>
      <c r="AV35" s="133">
        <f t="shared" si="330"/>
        <v>23.271881111329762</v>
      </c>
      <c r="AW35" s="133">
        <f t="shared" si="24"/>
        <v>29.600419537888076</v>
      </c>
      <c r="AX35" s="133">
        <f t="shared" si="25"/>
        <v>33.697281745486734</v>
      </c>
      <c r="AY35" s="133">
        <f t="shared" si="26"/>
        <v>37.435896999067779</v>
      </c>
      <c r="AZ35" s="133">
        <f t="shared" si="27"/>
        <v>42.000220373698248</v>
      </c>
      <c r="BA35" s="81"/>
      <c r="BB35" s="81">
        <v>34</v>
      </c>
      <c r="BC35" s="133">
        <f t="shared" si="28"/>
        <v>3.9660448980725791</v>
      </c>
      <c r="BD35" s="133">
        <f t="shared" si="29"/>
        <v>6.073017222646361</v>
      </c>
      <c r="BE35" s="133">
        <f t="shared" si="30"/>
        <v>8.0057346898110566</v>
      </c>
      <c r="BF35" s="133">
        <f t="shared" si="331"/>
        <v>10.368831238127608</v>
      </c>
      <c r="BG35" s="133">
        <f t="shared" si="332"/>
        <v>14.622850134227217</v>
      </c>
      <c r="BH35" s="134">
        <f t="shared" si="333"/>
        <v>19.808679786371883</v>
      </c>
      <c r="BI35" s="133">
        <f t="shared" si="334"/>
        <v>25.446316015240573</v>
      </c>
      <c r="BJ35" s="133">
        <f t="shared" si="31"/>
        <v>30.876662903160511</v>
      </c>
      <c r="BK35" s="133">
        <f t="shared" si="32"/>
        <v>34.296616827867915</v>
      </c>
      <c r="BL35" s="133">
        <f t="shared" si="33"/>
        <v>37.361110251551949</v>
      </c>
      <c r="BM35" s="133">
        <f t="shared" si="34"/>
        <v>41.03737592205691</v>
      </c>
      <c r="BN35" s="81"/>
      <c r="BO35" s="75">
        <v>36</v>
      </c>
      <c r="BP35" s="151">
        <f t="shared" si="35"/>
        <v>3.1208791172313068</v>
      </c>
      <c r="BQ35" s="151">
        <f t="shared" si="36"/>
        <v>4.0210189470802558</v>
      </c>
      <c r="BR35" s="151">
        <f t="shared" si="37"/>
        <v>4.9636308631611099</v>
      </c>
      <c r="BS35" s="151">
        <f t="shared" si="335"/>
        <v>6.2781248646675225</v>
      </c>
      <c r="BT35" s="151">
        <f t="shared" si="336"/>
        <v>9.1309424518169902</v>
      </c>
      <c r="BU35" s="134">
        <f t="shared" si="337"/>
        <v>13.545978686400668</v>
      </c>
      <c r="BV35" s="151">
        <f t="shared" si="338"/>
        <v>19.663239477284883</v>
      </c>
      <c r="BW35" s="151">
        <f t="shared" si="38"/>
        <v>27.016772469510791</v>
      </c>
      <c r="BX35" s="151">
        <f t="shared" si="39"/>
        <v>32.459269320814677</v>
      </c>
      <c r="BY35" s="151">
        <f t="shared" si="40"/>
        <v>37.910556263743118</v>
      </c>
      <c r="BZ35" s="151">
        <f t="shared" si="41"/>
        <v>45.211906904209798</v>
      </c>
      <c r="CA35" s="81"/>
      <c r="CB35" s="81">
        <v>34</v>
      </c>
      <c r="CC35" s="133">
        <f t="shared" si="42"/>
        <v>-6.3308335682127606</v>
      </c>
      <c r="CD35" s="133">
        <f t="shared" si="43"/>
        <v>-4.5682371660790348</v>
      </c>
      <c r="CE35" s="133">
        <f t="shared" si="44"/>
        <v>-2.6290977299694571</v>
      </c>
      <c r="CF35" s="133">
        <f t="shared" si="339"/>
        <v>-3.0072148167464618E-2</v>
      </c>
      <c r="CG35" s="133">
        <f t="shared" si="340"/>
        <v>4.9997447403884303</v>
      </c>
      <c r="CH35" s="134">
        <f t="shared" si="341"/>
        <v>11.443912217650023</v>
      </c>
      <c r="CI35" s="133">
        <f t="shared" si="342"/>
        <v>18.628943805175776</v>
      </c>
      <c r="CJ35" s="133">
        <f t="shared" si="45"/>
        <v>25.625827029603069</v>
      </c>
      <c r="CK35" s="133">
        <f t="shared" si="46"/>
        <v>30.047299445553602</v>
      </c>
      <c r="CL35" s="133">
        <f t="shared" si="47"/>
        <v>34.011569798518593</v>
      </c>
      <c r="CM35" s="133">
        <f t="shared" si="48"/>
        <v>38.764987718100819</v>
      </c>
      <c r="CN35" s="81"/>
      <c r="CO35" s="81">
        <v>34</v>
      </c>
      <c r="CP35" s="133">
        <f t="shared" si="49"/>
        <v>-1.0116521701766255</v>
      </c>
      <c r="CQ35" s="133">
        <f t="shared" si="50"/>
        <v>1.1587925459353663</v>
      </c>
      <c r="CR35" s="133">
        <f t="shared" si="51"/>
        <v>3.2040400194955518</v>
      </c>
      <c r="CS35" s="133">
        <f t="shared" si="343"/>
        <v>5.7455459162807108</v>
      </c>
      <c r="CT35" s="133">
        <f t="shared" si="344"/>
        <v>10.377003837232952</v>
      </c>
      <c r="CU35" s="134">
        <f t="shared" si="345"/>
        <v>16.053469715132533</v>
      </c>
      <c r="CV35" s="133">
        <f t="shared" si="346"/>
        <v>22.213827884828049</v>
      </c>
      <c r="CW35" s="133">
        <f t="shared" si="52"/>
        <v>28.115376125526975</v>
      </c>
      <c r="CX35" s="133">
        <f t="shared" si="53"/>
        <v>31.811540756609663</v>
      </c>
      <c r="CY35" s="133">
        <f t="shared" si="54"/>
        <v>35.109015641535933</v>
      </c>
      <c r="CZ35" s="133">
        <f t="shared" si="55"/>
        <v>39.046215442992164</v>
      </c>
      <c r="DA35" s="81"/>
      <c r="DB35" s="81">
        <v>36</v>
      </c>
      <c r="DC35" s="133">
        <f t="shared" si="56"/>
        <v>-6.4860488627858537</v>
      </c>
      <c r="DD35" s="133">
        <f t="shared" si="57"/>
        <v>-5.3653011531545367</v>
      </c>
      <c r="DE35" s="133">
        <f t="shared" si="58"/>
        <v>-4.0413349511855259</v>
      </c>
      <c r="DF35" s="133">
        <f t="shared" si="347"/>
        <v>-2.1584033573172583</v>
      </c>
      <c r="DG35" s="133">
        <f t="shared" si="348"/>
        <v>1.7357799687318396</v>
      </c>
      <c r="DH35" s="134">
        <f t="shared" si="349"/>
        <v>7.068460769073476</v>
      </c>
      <c r="DI35" s="133">
        <f t="shared" si="350"/>
        <v>13.347311025566544</v>
      </c>
      <c r="DJ35" s="133">
        <f t="shared" si="59"/>
        <v>19.725224542174026</v>
      </c>
      <c r="DK35" s="133">
        <f t="shared" si="60"/>
        <v>23.868094371118705</v>
      </c>
      <c r="DL35" s="133">
        <f t="shared" si="61"/>
        <v>27.648264166250012</v>
      </c>
      <c r="DM35" s="133">
        <f t="shared" si="62"/>
        <v>32.255833708322733</v>
      </c>
      <c r="DN35" s="81"/>
      <c r="DO35" s="81">
        <v>34</v>
      </c>
      <c r="DP35" s="133">
        <v>12.927755922114441</v>
      </c>
      <c r="DQ35" s="133">
        <v>14.213567527675893</v>
      </c>
      <c r="DR35" s="133">
        <v>15.421267757228362</v>
      </c>
      <c r="DS35" s="133">
        <v>16.941568953457192</v>
      </c>
      <c r="DT35" s="133">
        <v>19.818519666881201</v>
      </c>
      <c r="DU35" s="134">
        <v>23.604480492515343</v>
      </c>
      <c r="DV35" s="133">
        <v>28.113678957194196</v>
      </c>
      <c r="DW35" s="133">
        <v>32.887833520745893</v>
      </c>
      <c r="DX35" s="133">
        <v>36.130071022233317</v>
      </c>
      <c r="DY35" s="133">
        <v>39.19997553299995</v>
      </c>
      <c r="DZ35" s="133">
        <v>43.098856652176593</v>
      </c>
      <c r="EA35" s="81"/>
      <c r="EB35" s="81">
        <v>34</v>
      </c>
      <c r="EC35" s="133">
        <v>13.02852123006052</v>
      </c>
      <c r="ED35" s="133">
        <v>13.971445768420191</v>
      </c>
      <c r="EE35" s="133">
        <v>14.836816960992309</v>
      </c>
      <c r="EF35" s="133">
        <v>15.901265635060124</v>
      </c>
      <c r="EG35" s="133">
        <v>17.849609781269852</v>
      </c>
      <c r="EH35" s="134">
        <v>20.303825835340447</v>
      </c>
      <c r="EI35" s="133">
        <v>23.095482119974413</v>
      </c>
      <c r="EJ35" s="133">
        <v>25.925316450465015</v>
      </c>
      <c r="EK35" s="133">
        <v>27.785295500758586</v>
      </c>
      <c r="EL35" s="133">
        <v>29.506276614811107</v>
      </c>
      <c r="EM35" s="133">
        <v>31.641760125521422</v>
      </c>
      <c r="EN35" s="81"/>
      <c r="EO35" s="81">
        <v>36</v>
      </c>
      <c r="EP35" s="133">
        <v>16.316120540995261</v>
      </c>
      <c r="EQ35" s="133">
        <v>17.508338126968571</v>
      </c>
      <c r="ER35" s="133">
        <v>18.603157990458662</v>
      </c>
      <c r="ES35" s="133">
        <v>19.950650170963897</v>
      </c>
      <c r="ET35" s="133">
        <v>22.419205503011408</v>
      </c>
      <c r="EU35" s="134">
        <v>25.532239892763904</v>
      </c>
      <c r="EV35" s="133">
        <v>29.077536840191769</v>
      </c>
      <c r="EW35" s="133">
        <v>32.675389942449613</v>
      </c>
      <c r="EX35" s="133">
        <v>35.042183390368123</v>
      </c>
      <c r="EY35" s="133">
        <v>37.233418112796912</v>
      </c>
      <c r="EZ35" s="133">
        <v>39.95406091195008</v>
      </c>
      <c r="FA35" s="81"/>
      <c r="FB35" s="81">
        <v>34</v>
      </c>
      <c r="FC35" s="133">
        <v>7.660473813277509</v>
      </c>
      <c r="FD35" s="133">
        <v>8.503922554012652</v>
      </c>
      <c r="FE35" s="133">
        <v>9.3032457676322196</v>
      </c>
      <c r="FF35" s="133">
        <v>10.318499838600902</v>
      </c>
      <c r="FG35" s="133">
        <v>12.264634419068887</v>
      </c>
      <c r="FH35" s="134">
        <v>14.869327425784226</v>
      </c>
      <c r="FI35" s="133">
        <v>18.027190256190639</v>
      </c>
      <c r="FJ35" s="133">
        <v>21.427232790959444</v>
      </c>
      <c r="FK35" s="133">
        <v>23.765565654990809</v>
      </c>
      <c r="FL35" s="133">
        <v>25.999401651518149</v>
      </c>
      <c r="FM35" s="133">
        <v>28.86203954016041</v>
      </c>
      <c r="FN35" s="81"/>
      <c r="FO35" s="81">
        <v>34</v>
      </c>
      <c r="FP35" s="133">
        <v>7.5140270686762536</v>
      </c>
      <c r="FQ35" s="133">
        <v>8.1945273397544174</v>
      </c>
      <c r="FR35" s="133">
        <v>8.8288864431808207</v>
      </c>
      <c r="FS35" s="133">
        <v>9.6214464055037556</v>
      </c>
      <c r="FT35" s="133">
        <v>11.105057334208897</v>
      </c>
      <c r="FU35" s="134">
        <v>13.029807882239755</v>
      </c>
      <c r="FV35" s="133">
        <v>15.288160010222208</v>
      </c>
      <c r="FW35" s="133">
        <v>17.645568690270977</v>
      </c>
      <c r="FX35" s="133">
        <v>19.229593056914588</v>
      </c>
      <c r="FY35" s="133">
        <v>20.718204529556829</v>
      </c>
      <c r="FZ35" s="133">
        <v>22.594527794000445</v>
      </c>
      <c r="GA35" s="81"/>
      <c r="GB35" s="81">
        <v>36</v>
      </c>
      <c r="GC35" s="133">
        <v>9.7390544951377205</v>
      </c>
      <c r="GD35" s="133">
        <v>10.579590774555891</v>
      </c>
      <c r="GE35" s="133">
        <v>11.360294532256525</v>
      </c>
      <c r="GF35" s="133">
        <v>12.332162474598574</v>
      </c>
      <c r="GG35" s="133">
        <v>14.141945344202588</v>
      </c>
      <c r="GH35" s="134">
        <v>16.47379957658811</v>
      </c>
      <c r="GI35" s="133">
        <v>19.190151417241051</v>
      </c>
      <c r="GJ35" s="133">
        <v>22.006365310916703</v>
      </c>
      <c r="GK35" s="133">
        <v>23.888999683856657</v>
      </c>
      <c r="GL35" s="133">
        <v>25.651849705026688</v>
      </c>
      <c r="GM35" s="133">
        <v>27.865751508535638</v>
      </c>
      <c r="GN35" s="81"/>
      <c r="GO35" s="81">
        <v>34</v>
      </c>
      <c r="GP35" s="133">
        <f t="shared" si="63"/>
        <v>0.4353217985393068</v>
      </c>
      <c r="GQ35" s="133">
        <f t="shared" si="64"/>
        <v>0.47179419090434793</v>
      </c>
      <c r="GR35" s="133">
        <f t="shared" si="65"/>
        <v>0.5009247765160596</v>
      </c>
      <c r="GS35" s="133">
        <f t="shared" si="351"/>
        <v>0.53242538438337161</v>
      </c>
      <c r="GT35" s="133">
        <f t="shared" si="352"/>
        <v>0.582338673789631</v>
      </c>
      <c r="GU35" s="134">
        <f t="shared" si="353"/>
        <v>0.63046263227039212</v>
      </c>
      <c r="GV35" s="133">
        <f t="shared" si="354"/>
        <v>0.67497481040344565</v>
      </c>
      <c r="GW35" s="133">
        <f t="shared" si="66"/>
        <v>0.71449469542406463</v>
      </c>
      <c r="GX35" s="133">
        <f t="shared" si="67"/>
        <v>0.73647664233562071</v>
      </c>
      <c r="GY35" s="133">
        <f t="shared" si="68"/>
        <v>0.75499436425300781</v>
      </c>
      <c r="GZ35" s="133">
        <f t="shared" si="69"/>
        <v>0.77593742882013228</v>
      </c>
      <c r="HA35" s="81"/>
      <c r="HB35" s="81">
        <v>34</v>
      </c>
      <c r="HC35" s="133">
        <f t="shared" si="70"/>
        <v>0.41237906299784721</v>
      </c>
      <c r="HD35" s="133">
        <f t="shared" si="71"/>
        <v>0.45291010480514104</v>
      </c>
      <c r="HE35" s="133">
        <f t="shared" si="72"/>
        <v>0.4849677863197851</v>
      </c>
      <c r="HF35" s="133">
        <f t="shared" si="355"/>
        <v>0.51938747909222815</v>
      </c>
      <c r="HG35" s="133">
        <f t="shared" si="356"/>
        <v>0.57204861536515739</v>
      </c>
      <c r="HH35" s="134">
        <f t="shared" si="357"/>
        <v>0.62535213319241134</v>
      </c>
      <c r="HI35" s="133">
        <f t="shared" si="358"/>
        <v>0.67430137698243864</v>
      </c>
      <c r="HJ35" s="133">
        <f t="shared" si="73"/>
        <v>0.71526683354657183</v>
      </c>
      <c r="HK35" s="133">
        <f t="shared" si="74"/>
        <v>0.73869389497462001</v>
      </c>
      <c r="HL35" s="133">
        <f t="shared" si="75"/>
        <v>0.75840481084154832</v>
      </c>
      <c r="HM35" s="133">
        <f t="shared" si="76"/>
        <v>0.78067328088218857</v>
      </c>
      <c r="HN35" s="81"/>
      <c r="HO35" s="81">
        <v>36</v>
      </c>
      <c r="HP35" s="83">
        <f t="shared" si="77"/>
        <v>0.46136891528010943</v>
      </c>
      <c r="HQ35" s="83">
        <f t="shared" si="78"/>
        <v>0.49404231022595435</v>
      </c>
      <c r="HR35" s="83">
        <f t="shared" si="79"/>
        <v>0.52038204351441364</v>
      </c>
      <c r="HS35" s="83">
        <f t="shared" si="359"/>
        <v>0.54906615489637389</v>
      </c>
      <c r="HT35" s="83">
        <f t="shared" si="360"/>
        <v>0.59361258918129145</v>
      </c>
      <c r="HU35" s="84">
        <f t="shared" si="361"/>
        <v>0.63934897976095151</v>
      </c>
      <c r="HV35" s="83">
        <f t="shared" si="362"/>
        <v>0.68179749395154099</v>
      </c>
      <c r="HW35" s="83">
        <f t="shared" si="80"/>
        <v>0.71758769893861662</v>
      </c>
      <c r="HX35" s="83">
        <f t="shared" si="81"/>
        <v>0.73814700123910115</v>
      </c>
      <c r="HY35" s="83">
        <f t="shared" si="82"/>
        <v>0.75549091204724483</v>
      </c>
      <c r="HZ35" s="83">
        <f t="shared" si="83"/>
        <v>0.77513123754498792</v>
      </c>
      <c r="IA35" s="81"/>
      <c r="IB35" s="81">
        <v>34</v>
      </c>
      <c r="IC35" s="83">
        <f t="shared" si="84"/>
        <v>0.3046483259645113</v>
      </c>
      <c r="ID35" s="83">
        <f t="shared" si="85"/>
        <v>0.3214309594244647</v>
      </c>
      <c r="IE35" s="83">
        <f t="shared" si="86"/>
        <v>0.33422945392749442</v>
      </c>
      <c r="IF35" s="83">
        <f t="shared" si="363"/>
        <v>0.34755477689407627</v>
      </c>
      <c r="IG35" s="83">
        <f t="shared" si="364"/>
        <v>0.36720075654072393</v>
      </c>
      <c r="IH35" s="84">
        <f t="shared" si="365"/>
        <v>0.38628228738504022</v>
      </c>
      <c r="II35" s="83">
        <f t="shared" si="366"/>
        <v>0.40317881636101882</v>
      </c>
      <c r="IJ35" s="83">
        <f t="shared" si="87"/>
        <v>0.4169064999031909</v>
      </c>
      <c r="IK35" s="83">
        <f t="shared" si="88"/>
        <v>0.42460109110928285</v>
      </c>
      <c r="IL35" s="83">
        <f t="shared" si="89"/>
        <v>0.43099213984914603</v>
      </c>
      <c r="IM35" s="83">
        <f t="shared" si="90"/>
        <v>0.43812504140131153</v>
      </c>
      <c r="IN35" s="81"/>
      <c r="IO35" s="81">
        <v>34</v>
      </c>
      <c r="IP35" s="133">
        <f t="shared" si="91"/>
        <v>0.29322708421163524</v>
      </c>
      <c r="IQ35" s="133">
        <f t="shared" si="92"/>
        <v>0.31257193548350487</v>
      </c>
      <c r="IR35" s="133">
        <f t="shared" si="93"/>
        <v>0.3270465394798468</v>
      </c>
      <c r="IS35" s="133">
        <f t="shared" si="367"/>
        <v>0.34191783530873748</v>
      </c>
      <c r="IT35" s="133">
        <f t="shared" si="368"/>
        <v>0.36355276531633168</v>
      </c>
      <c r="IU35" s="134">
        <f t="shared" si="369"/>
        <v>0.38431087507476785</v>
      </c>
      <c r="IV35" s="133">
        <f t="shared" si="370"/>
        <v>0.40253090749681703</v>
      </c>
      <c r="IW35" s="133">
        <f t="shared" si="94"/>
        <v>0.41724489657791486</v>
      </c>
      <c r="IX35" s="133">
        <f t="shared" si="95"/>
        <v>0.42546280386602314</v>
      </c>
      <c r="IY35" s="133">
        <f t="shared" si="96"/>
        <v>0.43227417677057761</v>
      </c>
      <c r="IZ35" s="133">
        <f t="shared" si="97"/>
        <v>0.43986211189333135</v>
      </c>
      <c r="JA35" s="81"/>
      <c r="JB35" s="81">
        <v>36</v>
      </c>
      <c r="JC35" s="133">
        <f t="shared" si="98"/>
        <v>0.31706689978275382</v>
      </c>
      <c r="JD35" s="133">
        <f t="shared" si="99"/>
        <v>0.3315214560891474</v>
      </c>
      <c r="JE35" s="133">
        <f t="shared" si="100"/>
        <v>0.3427396703963892</v>
      </c>
      <c r="JF35" s="133">
        <f t="shared" si="371"/>
        <v>0.35457118448707153</v>
      </c>
      <c r="JG35" s="133">
        <f t="shared" si="372"/>
        <v>0.37225115063070385</v>
      </c>
      <c r="JH35" s="134">
        <f t="shared" si="373"/>
        <v>0.38964441813776185</v>
      </c>
      <c r="JI35" s="133">
        <f t="shared" si="374"/>
        <v>0.40519366812415503</v>
      </c>
      <c r="JJ35" s="133">
        <f t="shared" si="101"/>
        <v>0.41791173364809098</v>
      </c>
      <c r="JK35" s="133">
        <f t="shared" si="102"/>
        <v>0.42506939800163807</v>
      </c>
      <c r="JL35" s="133">
        <f t="shared" si="103"/>
        <v>0.43102880462185567</v>
      </c>
      <c r="JM35" s="133">
        <f t="shared" si="104"/>
        <v>0.43769420178960744</v>
      </c>
      <c r="JN35" s="81"/>
      <c r="JO35" s="81">
        <v>33</v>
      </c>
      <c r="JP35" s="133">
        <f t="shared" si="105"/>
        <v>-6.5588670202949491</v>
      </c>
      <c r="JQ35" s="133">
        <f t="shared" si="106"/>
        <v>-5.1334482050663386</v>
      </c>
      <c r="JR35" s="133">
        <f t="shared" si="107"/>
        <v>-3.8891271627050479</v>
      </c>
      <c r="JS35" s="133">
        <f t="shared" si="375"/>
        <v>-2.4345159148893991</v>
      </c>
      <c r="JT35" s="133">
        <f t="shared" si="376"/>
        <v>3.6838255869469094E-2</v>
      </c>
      <c r="JU35" s="134">
        <f t="shared" si="377"/>
        <v>2.8528099197708023</v>
      </c>
      <c r="JV35" s="133">
        <f t="shared" si="378"/>
        <v>5.7286397181666864</v>
      </c>
      <c r="JW35" s="133">
        <f t="shared" si="108"/>
        <v>8.3562283180493893</v>
      </c>
      <c r="JX35" s="133">
        <f t="shared" si="109"/>
        <v>9.9516905811683394</v>
      </c>
      <c r="JY35" s="133">
        <f t="shared" si="110"/>
        <v>11.347364763017051</v>
      </c>
      <c r="JZ35" s="133">
        <f t="shared" si="111"/>
        <v>12.983550178030693</v>
      </c>
      <c r="KA35" s="81"/>
      <c r="KB35" s="81">
        <v>33</v>
      </c>
      <c r="KC35" s="133">
        <f t="shared" si="112"/>
        <v>-4.7547718536985579</v>
      </c>
      <c r="KD35" s="133">
        <f t="shared" si="113"/>
        <v>-3.575107089804817</v>
      </c>
      <c r="KE35" s="133">
        <f t="shared" si="114"/>
        <v>-2.5163698753075376</v>
      </c>
      <c r="KF35" s="133">
        <f t="shared" si="379"/>
        <v>-1.2473892528311161</v>
      </c>
      <c r="KG35" s="133">
        <f t="shared" si="380"/>
        <v>0.97873821769914571</v>
      </c>
      <c r="KH35" s="134">
        <f t="shared" si="381"/>
        <v>3.6114152708923015</v>
      </c>
      <c r="KI35" s="133">
        <f t="shared" si="382"/>
        <v>6.3937205852803718</v>
      </c>
      <c r="KJ35" s="133">
        <f t="shared" si="115"/>
        <v>9.0101437952542103</v>
      </c>
      <c r="KK35" s="133">
        <f t="shared" si="116"/>
        <v>10.630692031623818</v>
      </c>
      <c r="KL35" s="133">
        <f t="shared" si="117"/>
        <v>12.066904717830687</v>
      </c>
      <c r="KM35" s="133">
        <f t="shared" si="118"/>
        <v>13.771715663444086</v>
      </c>
      <c r="KN35" s="81"/>
      <c r="KO35" s="81">
        <v>35</v>
      </c>
      <c r="KP35" s="133">
        <f t="shared" si="119"/>
        <v>-7.5552467936460097</v>
      </c>
      <c r="KQ35" s="133">
        <f t="shared" si="120"/>
        <v>-5.9803933382939736</v>
      </c>
      <c r="KR35" s="133">
        <f t="shared" si="121"/>
        <v>-4.6338660543205208</v>
      </c>
      <c r="KS35" s="133">
        <f t="shared" si="383"/>
        <v>-3.0895869574837782</v>
      </c>
      <c r="KT35" s="133">
        <f t="shared" si="384"/>
        <v>-0.53081412843889453</v>
      </c>
      <c r="KU35" s="134">
        <f t="shared" si="385"/>
        <v>2.2987720504944811</v>
      </c>
      <c r="KV35" s="133">
        <f t="shared" si="386"/>
        <v>5.1078349438041286</v>
      </c>
      <c r="KW35" s="133">
        <f t="shared" si="122"/>
        <v>7.6126723845610798</v>
      </c>
      <c r="KX35" s="133">
        <f t="shared" si="123"/>
        <v>9.1078514619012658</v>
      </c>
      <c r="KY35" s="133">
        <f t="shared" si="124"/>
        <v>10.401087823533068</v>
      </c>
      <c r="KZ35" s="133">
        <f t="shared" si="125"/>
        <v>11.900757334198875</v>
      </c>
      <c r="LA35" s="81"/>
      <c r="LB35" s="81">
        <v>33</v>
      </c>
      <c r="LC35" s="133">
        <f t="shared" si="126"/>
        <v>-16.861184420039052</v>
      </c>
      <c r="LD35" s="133">
        <f t="shared" si="127"/>
        <v>-13.253092402425764</v>
      </c>
      <c r="LE35" s="133">
        <f t="shared" si="128"/>
        <v>-10.052218840463404</v>
      </c>
      <c r="LF35" s="133">
        <f t="shared" si="387"/>
        <v>-6.2589229412179321</v>
      </c>
      <c r="LG35" s="133">
        <f t="shared" si="388"/>
        <v>0.29247662845308753</v>
      </c>
      <c r="LH35" s="134">
        <f t="shared" si="389"/>
        <v>7.891375200979688</v>
      </c>
      <c r="LI35" s="133">
        <f t="shared" si="390"/>
        <v>15.770969502428464</v>
      </c>
      <c r="LJ35" s="133">
        <f t="shared" si="129"/>
        <v>23.057723561947171</v>
      </c>
      <c r="LK35" s="133">
        <f t="shared" si="130"/>
        <v>27.517513856223424</v>
      </c>
      <c r="LL35" s="133">
        <f t="shared" si="131"/>
        <v>31.43858388636702</v>
      </c>
      <c r="LM35" s="133">
        <f t="shared" si="132"/>
        <v>36.057067648861143</v>
      </c>
      <c r="LN35" s="81"/>
      <c r="LO35" s="81">
        <v>33</v>
      </c>
      <c r="LP35" s="133">
        <f t="shared" si="133"/>
        <v>-13.301688923659885</v>
      </c>
      <c r="LQ35" s="133">
        <f t="shared" si="134"/>
        <v>-9.8376772530262748</v>
      </c>
      <c r="LR35" s="133">
        <f t="shared" si="135"/>
        <v>-6.7497445372272615</v>
      </c>
      <c r="LS35" s="133">
        <f t="shared" si="391"/>
        <v>-3.0746142164555792</v>
      </c>
      <c r="LT35" s="133">
        <f t="shared" si="392"/>
        <v>3.3069938997354278</v>
      </c>
      <c r="LU35" s="134">
        <f t="shared" si="393"/>
        <v>10.754678349268676</v>
      </c>
      <c r="LV35" s="133">
        <f t="shared" si="394"/>
        <v>18.520779179266928</v>
      </c>
      <c r="LW35" s="133">
        <f t="shared" si="136"/>
        <v>25.736100945283543</v>
      </c>
      <c r="LX35" s="133">
        <f t="shared" si="137"/>
        <v>30.166283523623552</v>
      </c>
      <c r="LY35" s="133">
        <f t="shared" si="138"/>
        <v>34.069451853010207</v>
      </c>
      <c r="LZ35" s="133">
        <f t="shared" si="139"/>
        <v>38.675994942478937</v>
      </c>
      <c r="MA35" s="81"/>
      <c r="MB35" s="81">
        <v>35</v>
      </c>
      <c r="MC35" s="133">
        <f t="shared" si="140"/>
        <v>-17.349980832298311</v>
      </c>
      <c r="MD35" s="133">
        <f t="shared" si="141"/>
        <v>-13.851153198408458</v>
      </c>
      <c r="ME35" s="133">
        <f t="shared" si="142"/>
        <v>-10.786024262075571</v>
      </c>
      <c r="MF35" s="133">
        <f t="shared" si="395"/>
        <v>-7.1945182289095264</v>
      </c>
      <c r="MG35" s="133">
        <f t="shared" si="396"/>
        <v>-1.0809266132023296</v>
      </c>
      <c r="MH35" s="134">
        <f t="shared" si="397"/>
        <v>5.8917335469293235</v>
      </c>
      <c r="MI35" s="133">
        <f t="shared" si="398"/>
        <v>13.010705680661005</v>
      </c>
      <c r="MJ35" s="133">
        <f t="shared" si="143"/>
        <v>19.508723017552391</v>
      </c>
      <c r="MK35" s="133">
        <f t="shared" si="144"/>
        <v>23.450128257694452</v>
      </c>
      <c r="ML35" s="133">
        <f t="shared" si="145"/>
        <v>26.895021062891075</v>
      </c>
      <c r="MM35" s="133">
        <f t="shared" si="146"/>
        <v>30.929784428870853</v>
      </c>
      <c r="MN35" s="81"/>
      <c r="MO35" s="81">
        <v>33</v>
      </c>
      <c r="MP35" s="133">
        <f t="shared" si="147"/>
        <v>-23.333005034848544</v>
      </c>
      <c r="MQ35" s="133">
        <f t="shared" si="148"/>
        <v>-19.001815155173663</v>
      </c>
      <c r="MR35" s="133">
        <f t="shared" si="149"/>
        <v>-15.249354895904116</v>
      </c>
      <c r="MS35" s="133">
        <f t="shared" si="399"/>
        <v>-10.897223868515052</v>
      </c>
      <c r="MT35" s="133">
        <f t="shared" si="400"/>
        <v>-3.5865289993022316</v>
      </c>
      <c r="MU35" s="134">
        <f t="shared" si="401"/>
        <v>4.6226904588330768</v>
      </c>
      <c r="MV35" s="133">
        <f t="shared" si="402"/>
        <v>12.884379986408376</v>
      </c>
      <c r="MW35" s="133">
        <f t="shared" si="150"/>
        <v>20.334503415751286</v>
      </c>
      <c r="MX35" s="133">
        <f t="shared" si="151"/>
        <v>24.815719350888934</v>
      </c>
      <c r="MY35" s="133">
        <f t="shared" si="152"/>
        <v>28.71097175772092</v>
      </c>
      <c r="MZ35" s="133">
        <f t="shared" si="153"/>
        <v>33.249336798644414</v>
      </c>
      <c r="NA35" s="81"/>
      <c r="NB35" s="81">
        <v>33</v>
      </c>
      <c r="NC35" s="133">
        <f t="shared" si="154"/>
        <v>-18.101621922088579</v>
      </c>
      <c r="ND35" s="133">
        <f t="shared" si="155"/>
        <v>-14.026395978447745</v>
      </c>
      <c r="NE35" s="133">
        <f t="shared" si="156"/>
        <v>-10.478031081754612</v>
      </c>
      <c r="NF35" s="133">
        <f t="shared" si="403"/>
        <v>-6.347479187881806</v>
      </c>
      <c r="NG35" s="133">
        <f t="shared" si="404"/>
        <v>0.61860482015605456</v>
      </c>
      <c r="NH35" s="134">
        <f t="shared" si="405"/>
        <v>8.471980680286709</v>
      </c>
      <c r="NI35" s="133">
        <f t="shared" si="406"/>
        <v>16.40103496913871</v>
      </c>
      <c r="NJ35" s="133">
        <f t="shared" si="157"/>
        <v>23.568901614010581</v>
      </c>
      <c r="NK35" s="133">
        <f t="shared" si="158"/>
        <v>27.88728517994868</v>
      </c>
      <c r="NL35" s="133">
        <f t="shared" si="159"/>
        <v>31.644812744514393</v>
      </c>
      <c r="NM35" s="133">
        <f t="shared" si="160"/>
        <v>36.026857234441238</v>
      </c>
      <c r="NN35" s="81"/>
      <c r="NO35" s="81">
        <v>35</v>
      </c>
      <c r="NP35" s="133">
        <f t="shared" si="161"/>
        <v>-23.894315543531299</v>
      </c>
      <c r="NQ35" s="133">
        <f t="shared" si="162"/>
        <v>-19.948965429982554</v>
      </c>
      <c r="NR35" s="133">
        <f t="shared" si="163"/>
        <v>-16.552027196163678</v>
      </c>
      <c r="NS35" s="133">
        <f t="shared" si="407"/>
        <v>-12.632077455874796</v>
      </c>
      <c r="NT35" s="133">
        <f t="shared" si="408"/>
        <v>-6.0860774631807288</v>
      </c>
      <c r="NU35" s="134">
        <f t="shared" si="409"/>
        <v>1.2182121379632633</v>
      </c>
      <c r="NV35" s="133">
        <f t="shared" si="410"/>
        <v>8.5295311552598037</v>
      </c>
      <c r="NW35" s="133">
        <f t="shared" si="164"/>
        <v>15.09422241003432</v>
      </c>
      <c r="NX35" s="133">
        <f t="shared" si="165"/>
        <v>19.031492729647702</v>
      </c>
      <c r="NY35" s="133">
        <f t="shared" si="166"/>
        <v>22.447609155216135</v>
      </c>
      <c r="NZ35" s="133">
        <f t="shared" si="167"/>
        <v>26.420819868484742</v>
      </c>
      <c r="OA35" s="81"/>
      <c r="OB35" s="81">
        <v>33</v>
      </c>
      <c r="OC35" s="133">
        <v>14.855272180471342</v>
      </c>
      <c r="OD35" s="133">
        <v>16.464142158899747</v>
      </c>
      <c r="OE35" s="133">
        <v>17.986547984109471</v>
      </c>
      <c r="OF35" s="133">
        <v>19.917308489996707</v>
      </c>
      <c r="OG35" s="133">
        <v>23.610340073472479</v>
      </c>
      <c r="OH35" s="134">
        <v>28.539005944459621</v>
      </c>
      <c r="OI35" s="133">
        <v>34.496532356728274</v>
      </c>
      <c r="OJ35" s="133">
        <v>40.892817456081701</v>
      </c>
      <c r="OK35" s="133">
        <v>45.282444470026356</v>
      </c>
      <c r="OL35" s="133">
        <v>49.469620247273824</v>
      </c>
      <c r="OM35" s="133">
        <v>54.827326648959421</v>
      </c>
      <c r="ON35" s="81"/>
      <c r="OO35" s="81">
        <v>33</v>
      </c>
      <c r="OP35" s="133">
        <v>13.398749795528433</v>
      </c>
      <c r="OQ35" s="133">
        <v>14.714750434605088</v>
      </c>
      <c r="OR35" s="133">
        <v>15.949508757278387</v>
      </c>
      <c r="OS35" s="133">
        <v>17.502241200815348</v>
      </c>
      <c r="OT35" s="133">
        <v>25.196128528729783</v>
      </c>
      <c r="OU35" s="134">
        <v>24.289349920630464</v>
      </c>
      <c r="OV35" s="133">
        <v>28.869101298857952</v>
      </c>
      <c r="OW35" s="133">
        <v>33.708398415818159</v>
      </c>
      <c r="OX35" s="133">
        <v>36.990011952412232</v>
      </c>
      <c r="OY35" s="133">
        <v>40.09395349168657</v>
      </c>
      <c r="OZ35" s="133">
        <v>44.031908093673266</v>
      </c>
      <c r="PA35" s="81"/>
      <c r="PB35" s="81">
        <v>35</v>
      </c>
      <c r="PC35" s="133">
        <v>20.246602039129911</v>
      </c>
      <c r="PD35" s="133">
        <v>21.881903424340027</v>
      </c>
      <c r="PE35" s="133">
        <v>23.393610438498186</v>
      </c>
      <c r="PF35" s="133">
        <v>25.266579018629265</v>
      </c>
      <c r="PG35" s="133">
        <v>28.730660578434676</v>
      </c>
      <c r="PH35" s="134">
        <v>33.154222768376911</v>
      </c>
      <c r="PI35" s="133">
        <v>38.258865798589639</v>
      </c>
      <c r="PJ35" s="133">
        <v>43.504207141168997</v>
      </c>
      <c r="PK35" s="133">
        <v>46.987295538025904</v>
      </c>
      <c r="PL35" s="133">
        <v>50.233403651369706</v>
      </c>
      <c r="PM35" s="133">
        <v>54.290714325829654</v>
      </c>
      <c r="PN35" s="81"/>
      <c r="PO35" s="81">
        <v>33</v>
      </c>
      <c r="PP35" s="133">
        <v>8.223715718863831</v>
      </c>
      <c r="PQ35" s="133">
        <v>8.9672313358366953</v>
      </c>
      <c r="PR35" s="133">
        <v>9.6602428878499076</v>
      </c>
      <c r="PS35" s="133">
        <v>10.525969895952343</v>
      </c>
      <c r="PT35" s="133">
        <v>12.146240564471642</v>
      </c>
      <c r="PU35" s="134">
        <v>14.24776891426637</v>
      </c>
      <c r="PV35" s="133">
        <v>16.712901243543378</v>
      </c>
      <c r="PW35" s="133">
        <v>19.285531028584494</v>
      </c>
      <c r="PX35" s="133">
        <v>21.013852487048268</v>
      </c>
      <c r="PY35" s="133">
        <v>22.637859048318408</v>
      </c>
      <c r="PZ35" s="133">
        <v>24.684573977756731</v>
      </c>
      <c r="QA35" s="81"/>
      <c r="QB35" s="81">
        <v>33</v>
      </c>
      <c r="QC35" s="133">
        <v>7.8681369334392146</v>
      </c>
      <c r="QD35" s="133">
        <v>8.5790458906511464</v>
      </c>
      <c r="QE35" s="133">
        <v>9.2416327660236277</v>
      </c>
      <c r="QF35" s="133">
        <v>10.069311503273518</v>
      </c>
      <c r="QG35" s="133">
        <v>11.618261556887102</v>
      </c>
      <c r="QH35" s="134">
        <v>13.627097198602062</v>
      </c>
      <c r="QI35" s="133">
        <v>15.983267130878955</v>
      </c>
      <c r="QJ35" s="133">
        <v>18.441953851539711</v>
      </c>
      <c r="QK35" s="133">
        <v>20.093611460396509</v>
      </c>
      <c r="QL35" s="133">
        <v>21.64550468980574</v>
      </c>
      <c r="QM35" s="133">
        <v>23.601238721576042</v>
      </c>
      <c r="QN35" s="81"/>
      <c r="QO35" s="81">
        <v>35</v>
      </c>
      <c r="QP35" s="133">
        <v>9.2504464368324921</v>
      </c>
      <c r="QQ35" s="133">
        <v>10.011412233070908</v>
      </c>
      <c r="QR35" s="133">
        <v>10.715767358562449</v>
      </c>
      <c r="QS35" s="133">
        <v>11.589564687288259</v>
      </c>
      <c r="QT35" s="133">
        <v>13.208645463193454</v>
      </c>
      <c r="QU35" s="134">
        <v>15.281190462451624</v>
      </c>
      <c r="QV35" s="133">
        <v>17.678934800727525</v>
      </c>
      <c r="QW35" s="133">
        <v>20.148710348529974</v>
      </c>
      <c r="QX35" s="133">
        <v>21.791699477605043</v>
      </c>
      <c r="QY35" s="133">
        <v>23.324859321879508</v>
      </c>
      <c r="QZ35" s="133">
        <v>25.243622947746289</v>
      </c>
      <c r="RA35" s="81"/>
      <c r="RB35" s="81">
        <v>33</v>
      </c>
      <c r="RC35" s="133">
        <f t="shared" si="168"/>
        <v>0.27537832843718063</v>
      </c>
      <c r="RD35" s="133">
        <f t="shared" si="169"/>
        <v>0.2991413820828695</v>
      </c>
      <c r="RE35" s="133">
        <f t="shared" si="170"/>
        <v>0.32148700233466931</v>
      </c>
      <c r="RF35" s="133">
        <f t="shared" si="411"/>
        <v>0.3496804916999231</v>
      </c>
      <c r="RG35" s="133">
        <f t="shared" si="412"/>
        <v>0.40331566709382427</v>
      </c>
      <c r="RH35" s="134">
        <f t="shared" si="413"/>
        <v>0.47463998661509982</v>
      </c>
      <c r="RI35" s="133">
        <f t="shared" si="414"/>
        <v>0.56092227763325186</v>
      </c>
      <c r="RJ35" s="133">
        <f t="shared" si="171"/>
        <v>0.6540491852372744</v>
      </c>
      <c r="RK35" s="133">
        <f t="shared" si="172"/>
        <v>0.71840381523788066</v>
      </c>
      <c r="RL35" s="133">
        <f t="shared" si="173"/>
        <v>0.78019595069923242</v>
      </c>
      <c r="RM35" s="133">
        <f t="shared" si="174"/>
        <v>0.85990499984280999</v>
      </c>
      <c r="RN35" s="81"/>
      <c r="RO35" s="81">
        <v>33</v>
      </c>
      <c r="RP35" s="133">
        <f t="shared" si="175"/>
        <v>0.30320851282739197</v>
      </c>
      <c r="RQ35" s="133">
        <f t="shared" si="176"/>
        <v>0.32724971302978356</v>
      </c>
      <c r="RR35" s="133">
        <f t="shared" si="177"/>
        <v>0.34980100303539147</v>
      </c>
      <c r="RS35" s="133">
        <f t="shared" si="415"/>
        <v>0.3781917184041067</v>
      </c>
      <c r="RT35" s="133">
        <f t="shared" si="416"/>
        <v>0.43206106765768593</v>
      </c>
      <c r="RU35" s="134">
        <f t="shared" si="417"/>
        <v>0.50352252698394806</v>
      </c>
      <c r="RV35" s="133">
        <f t="shared" si="418"/>
        <v>0.58986803905449126</v>
      </c>
      <c r="RW35" s="133">
        <f t="shared" si="178"/>
        <v>0.68309332733452721</v>
      </c>
      <c r="RX35" s="133">
        <f t="shared" si="179"/>
        <v>0.74759631504840041</v>
      </c>
      <c r="RY35" s="133">
        <f t="shared" si="180"/>
        <v>0.80962299792985071</v>
      </c>
      <c r="RZ35" s="133">
        <f t="shared" si="181"/>
        <v>0.88979797458870569</v>
      </c>
      <c r="SA35" s="81"/>
      <c r="SB35" s="81">
        <v>35</v>
      </c>
      <c r="SC35" s="133">
        <f t="shared" si="182"/>
        <v>0.26297491240866261</v>
      </c>
      <c r="SD35" s="133">
        <f t="shared" si="183"/>
        <v>0.28663374571670541</v>
      </c>
      <c r="SE35" s="133">
        <f t="shared" si="184"/>
        <v>0.30870102021111551</v>
      </c>
      <c r="SF35" s="133">
        <f t="shared" si="419"/>
        <v>0.33628973693074116</v>
      </c>
      <c r="SG35" s="133">
        <f t="shared" si="420"/>
        <v>0.38799061376706534</v>
      </c>
      <c r="SH35" s="134">
        <f t="shared" si="421"/>
        <v>0.45517890772844249</v>
      </c>
      <c r="SI35" s="133">
        <f t="shared" si="422"/>
        <v>0.53417966042775644</v>
      </c>
      <c r="SJ35" s="133">
        <f t="shared" si="185"/>
        <v>0.61683649606962376</v>
      </c>
      <c r="SK35" s="133">
        <f t="shared" si="186"/>
        <v>0.67248383837640557</v>
      </c>
      <c r="SL35" s="133">
        <f t="shared" si="187"/>
        <v>0.72485618478250302</v>
      </c>
      <c r="SM35" s="133">
        <f t="shared" si="188"/>
        <v>0.79097276770761926</v>
      </c>
      <c r="SN35" s="81"/>
      <c r="SO35" s="81">
        <v>33</v>
      </c>
      <c r="SP35" s="133">
        <f t="shared" si="189"/>
        <v>0.21550789969648695</v>
      </c>
      <c r="SQ35" s="133">
        <f t="shared" si="190"/>
        <v>0.23019198439064789</v>
      </c>
      <c r="SR35" s="133">
        <f t="shared" si="191"/>
        <v>0.24340796212484481</v>
      </c>
      <c r="SS35" s="133">
        <f t="shared" si="423"/>
        <v>0.25933956586237245</v>
      </c>
      <c r="ST35" s="133">
        <f t="shared" si="424"/>
        <v>0.28763365376923677</v>
      </c>
      <c r="SU35" s="134">
        <f t="shared" si="425"/>
        <v>0.32182032467518357</v>
      </c>
      <c r="SV35" s="133">
        <f t="shared" si="426"/>
        <v>0.35895467592475461</v>
      </c>
      <c r="SW35" s="133">
        <f t="shared" si="192"/>
        <v>0.39491411409069521</v>
      </c>
      <c r="SX35" s="133">
        <f t="shared" si="193"/>
        <v>0.41772086958333088</v>
      </c>
      <c r="SY35" s="133">
        <f t="shared" si="194"/>
        <v>0.43828671754794268</v>
      </c>
      <c r="SZ35" s="133">
        <f t="shared" si="195"/>
        <v>0.46313954086488596</v>
      </c>
      <c r="TA35" s="81"/>
      <c r="TB35" s="81">
        <v>33</v>
      </c>
      <c r="TC35" s="133">
        <f t="shared" si="196"/>
        <v>0.23261277327723426</v>
      </c>
      <c r="TD35" s="133">
        <f t="shared" si="197"/>
        <v>0.24672460427322551</v>
      </c>
      <c r="TE35" s="133">
        <f t="shared" si="198"/>
        <v>0.25942029495344254</v>
      </c>
      <c r="TF35" s="133">
        <f t="shared" si="427"/>
        <v>0.2747225341532763</v>
      </c>
      <c r="TG35" s="133">
        <f t="shared" si="428"/>
        <v>0.30190562472150184</v>
      </c>
      <c r="TH35" s="134">
        <f t="shared" si="429"/>
        <v>0.33478397727806142</v>
      </c>
      <c r="TI35" s="133">
        <f t="shared" si="430"/>
        <v>0.37056542225192896</v>
      </c>
      <c r="TJ35" s="133">
        <f t="shared" si="199"/>
        <v>0.40530201219731155</v>
      </c>
      <c r="TK35" s="133">
        <f t="shared" si="200"/>
        <v>0.42738411260019743</v>
      </c>
      <c r="TL35" s="133">
        <f t="shared" si="201"/>
        <v>0.44733305534488321</v>
      </c>
      <c r="TM35" s="133">
        <f t="shared" si="202"/>
        <v>0.47148888378577486</v>
      </c>
      <c r="TN35" s="81"/>
      <c r="TO35" s="81">
        <v>35</v>
      </c>
      <c r="TP35" s="133">
        <f t="shared" si="203"/>
        <v>0.20770489686960703</v>
      </c>
      <c r="TQ35" s="133">
        <f t="shared" si="204"/>
        <v>0.22265475931390663</v>
      </c>
      <c r="TR35" s="133">
        <f t="shared" si="205"/>
        <v>0.2359821729026986</v>
      </c>
      <c r="TS35" s="133">
        <f t="shared" si="431"/>
        <v>0.25189133981174155</v>
      </c>
      <c r="TT35" s="133">
        <f t="shared" si="432"/>
        <v>0.27973866672898245</v>
      </c>
      <c r="TU35" s="134">
        <f t="shared" si="433"/>
        <v>0.31272755497089888</v>
      </c>
      <c r="TV35" s="133">
        <f t="shared" si="434"/>
        <v>0.34780071273355923</v>
      </c>
      <c r="TW35" s="133">
        <f t="shared" si="206"/>
        <v>0.38106499045041453</v>
      </c>
      <c r="TX35" s="133">
        <f t="shared" si="207"/>
        <v>0.4018288519765213</v>
      </c>
      <c r="TY35" s="133">
        <f t="shared" si="208"/>
        <v>0.42034215930504543</v>
      </c>
      <c r="TZ35" s="133">
        <f t="shared" si="209"/>
        <v>0.44246001841714189</v>
      </c>
      <c r="UA35" s="81"/>
      <c r="UB35" s="81">
        <v>33</v>
      </c>
      <c r="UC35" s="133">
        <f t="shared" si="210"/>
        <v>-25.193894480828909</v>
      </c>
      <c r="UD35" s="133">
        <f t="shared" si="211"/>
        <v>-21.549585697619555</v>
      </c>
      <c r="UE35" s="133">
        <f t="shared" si="212"/>
        <v>-18.517623566166492</v>
      </c>
      <c r="UF35" s="133">
        <f t="shared" si="435"/>
        <v>-15.123973799372706</v>
      </c>
      <c r="UG35" s="133">
        <f t="shared" si="436"/>
        <v>-9.671540958412514</v>
      </c>
      <c r="UH35" s="134">
        <f t="shared" si="437"/>
        <v>-3.8532286723394336</v>
      </c>
      <c r="UI35" s="133">
        <f t="shared" si="438"/>
        <v>1.737360237976219</v>
      </c>
      <c r="UJ35" s="133">
        <f t="shared" si="213"/>
        <v>6.5879609540030941</v>
      </c>
      <c r="UK35" s="133">
        <f t="shared" si="214"/>
        <v>9.4293199714145715</v>
      </c>
      <c r="UL35" s="133">
        <f t="shared" si="215"/>
        <v>11.856848331275486</v>
      </c>
      <c r="UM35" s="133">
        <f t="shared" si="216"/>
        <v>14.639013485593708</v>
      </c>
      <c r="UN35" s="81"/>
      <c r="UO35" s="81">
        <v>33</v>
      </c>
      <c r="UP35" s="133">
        <f t="shared" si="217"/>
        <v>-20.752319987788923</v>
      </c>
      <c r="UQ35" s="133">
        <f t="shared" si="218"/>
        <v>-17.816827974520503</v>
      </c>
      <c r="UR35" s="133">
        <f t="shared" si="219"/>
        <v>-15.300751461731945</v>
      </c>
      <c r="US35" s="133">
        <f t="shared" si="439"/>
        <v>-12.408224536467312</v>
      </c>
      <c r="UT35" s="133">
        <f t="shared" si="440"/>
        <v>-7.5997499510717681</v>
      </c>
      <c r="UU35" s="134">
        <f t="shared" si="441"/>
        <v>-2.2608162500360329</v>
      </c>
      <c r="UV35" s="133">
        <f t="shared" si="442"/>
        <v>3.0601293137350609</v>
      </c>
      <c r="UW35" s="133">
        <f t="shared" si="220"/>
        <v>7.8209550039546585</v>
      </c>
      <c r="UX35" s="133">
        <f t="shared" si="221"/>
        <v>10.669588988536631</v>
      </c>
      <c r="UY35" s="133">
        <f t="shared" si="222"/>
        <v>13.137402871860019</v>
      </c>
      <c r="UZ35" s="133">
        <f t="shared" si="223"/>
        <v>16.003536315832356</v>
      </c>
      <c r="VA35" s="81"/>
      <c r="VB35" s="81">
        <v>36</v>
      </c>
      <c r="VC35" s="133">
        <f t="shared" si="224"/>
        <v>-26.177567062123103</v>
      </c>
      <c r="VD35" s="133">
        <f t="shared" si="225"/>
        <v>-22.247856031775157</v>
      </c>
      <c r="VE35" s="133">
        <f t="shared" si="226"/>
        <v>-19.048802274757769</v>
      </c>
      <c r="VF35" s="133">
        <f t="shared" si="443"/>
        <v>-15.532439726746482</v>
      </c>
      <c r="VG35" s="133">
        <f t="shared" si="444"/>
        <v>-10.003113737297909</v>
      </c>
      <c r="VH35" s="134">
        <f t="shared" si="445"/>
        <v>-4.2391467982641586</v>
      </c>
      <c r="VI35" s="133">
        <f t="shared" si="446"/>
        <v>1.1887070747293933</v>
      </c>
      <c r="VJ35" s="133">
        <f t="shared" si="227"/>
        <v>5.8228978711910457</v>
      </c>
      <c r="VK35" s="133">
        <f t="shared" si="228"/>
        <v>8.5085102776241399</v>
      </c>
      <c r="VL35" s="133">
        <f t="shared" si="229"/>
        <v>10.787311900751973</v>
      </c>
      <c r="VM35" s="133">
        <f t="shared" si="230"/>
        <v>13.382290780857389</v>
      </c>
      <c r="VN35" s="81"/>
      <c r="VO35" s="81">
        <v>33</v>
      </c>
      <c r="VP35" s="133">
        <f t="shared" si="231"/>
        <v>-41.833166491165812</v>
      </c>
      <c r="VQ35" s="133">
        <f t="shared" si="232"/>
        <v>-37.849238496989898</v>
      </c>
      <c r="VR35" s="133">
        <f t="shared" si="233"/>
        <v>-34.080508365338865</v>
      </c>
      <c r="VS35" s="133">
        <f t="shared" si="447"/>
        <v>-29.356941900585323</v>
      </c>
      <c r="VT35" s="133">
        <f t="shared" si="448"/>
        <v>-20.610413081346948</v>
      </c>
      <c r="VU35" s="134">
        <f t="shared" si="449"/>
        <v>-9.6396632656801486</v>
      </c>
      <c r="VV35" s="133">
        <f t="shared" si="450"/>
        <v>2.5619752795839545</v>
      </c>
      <c r="VW35" s="133">
        <f t="shared" si="234"/>
        <v>14.51624886932499</v>
      </c>
      <c r="VX35" s="133">
        <f t="shared" si="235"/>
        <v>22.125660550062044</v>
      </c>
      <c r="VY35" s="133">
        <f t="shared" si="236"/>
        <v>28.989178405733689</v>
      </c>
      <c r="VZ35" s="133">
        <f t="shared" si="237"/>
        <v>37.272381146360466</v>
      </c>
      <c r="WA35" s="81"/>
      <c r="WB35" s="81">
        <v>33</v>
      </c>
      <c r="WC35" s="133">
        <f t="shared" si="238"/>
        <v>-38.190441629069113</v>
      </c>
      <c r="WD35" s="133">
        <f t="shared" si="239"/>
        <v>-34.388176842216922</v>
      </c>
      <c r="WE35" s="133">
        <f t="shared" si="240"/>
        <v>-30.744638308735691</v>
      </c>
      <c r="WF35" s="133">
        <f t="shared" si="451"/>
        <v>-26.132558842177847</v>
      </c>
      <c r="WG35" s="133">
        <f t="shared" si="452"/>
        <v>-17.499720744161291</v>
      </c>
      <c r="WH35" s="134">
        <f t="shared" si="453"/>
        <v>-6.5575451642202083</v>
      </c>
      <c r="WI35" s="133">
        <f t="shared" si="454"/>
        <v>5.7112440483575924</v>
      </c>
      <c r="WJ35" s="133">
        <f t="shared" si="241"/>
        <v>17.802307291810472</v>
      </c>
      <c r="WK35" s="133">
        <f t="shared" si="242"/>
        <v>25.526930410615684</v>
      </c>
      <c r="WL35" s="133">
        <f t="shared" si="243"/>
        <v>32.509940132851391</v>
      </c>
      <c r="WM35" s="133">
        <f t="shared" si="244"/>
        <v>40.954429608912115</v>
      </c>
      <c r="WN35" s="81"/>
      <c r="WO35" s="81">
        <v>36</v>
      </c>
      <c r="WP35" s="133">
        <f t="shared" si="245"/>
        <v>-42.360780196394622</v>
      </c>
      <c r="WQ35" s="133">
        <f t="shared" si="246"/>
        <v>-38.172119302366852</v>
      </c>
      <c r="WR35" s="133">
        <f t="shared" si="247"/>
        <v>-34.261597153433286</v>
      </c>
      <c r="WS35" s="133">
        <f t="shared" si="455"/>
        <v>-29.4255643532404</v>
      </c>
      <c r="WT35" s="133">
        <f t="shared" si="456"/>
        <v>-20.637341186030753</v>
      </c>
      <c r="WU35" s="134">
        <f t="shared" si="457"/>
        <v>-9.867620687667241</v>
      </c>
      <c r="WV35" s="133">
        <f t="shared" si="458"/>
        <v>1.8436954589135368</v>
      </c>
      <c r="WW35" s="133">
        <f t="shared" si="248"/>
        <v>13.09497463708211</v>
      </c>
      <c r="WX35" s="133">
        <f t="shared" si="249"/>
        <v>20.158901239091229</v>
      </c>
      <c r="WY35" s="133">
        <f t="shared" si="250"/>
        <v>26.472180984294333</v>
      </c>
      <c r="WZ35" s="133">
        <f t="shared" si="251"/>
        <v>34.02412332637784</v>
      </c>
      <c r="XA35" s="81"/>
      <c r="XB35" s="81">
        <v>33</v>
      </c>
      <c r="XC35" s="133">
        <f t="shared" si="252"/>
        <v>-47.328998253378522</v>
      </c>
      <c r="XD35" s="133">
        <f t="shared" si="253"/>
        <v>-42.821356814663552</v>
      </c>
      <c r="XE35" s="133">
        <f t="shared" si="254"/>
        <v>-38.618763257098841</v>
      </c>
      <c r="XF35" s="133">
        <f t="shared" si="459"/>
        <v>-33.455988331629911</v>
      </c>
      <c r="XG35" s="133">
        <f t="shared" si="460"/>
        <v>-24.196198968016695</v>
      </c>
      <c r="XH35" s="134">
        <f t="shared" si="461"/>
        <v>-13.061983788446284</v>
      </c>
      <c r="XI35" s="133">
        <f t="shared" si="462"/>
        <v>-1.1923457654539149</v>
      </c>
      <c r="XJ35" s="133">
        <f t="shared" si="255"/>
        <v>10.00883892093983</v>
      </c>
      <c r="XK35" s="133">
        <f t="shared" si="256"/>
        <v>16.951933543137535</v>
      </c>
      <c r="XL35" s="133">
        <f t="shared" si="257"/>
        <v>23.104199379913716</v>
      </c>
      <c r="XM35" s="133">
        <f t="shared" si="258"/>
        <v>30.40259125086515</v>
      </c>
      <c r="XN35" s="81"/>
      <c r="XO35" s="81">
        <v>33</v>
      </c>
      <c r="XP35" s="133">
        <f t="shared" si="259"/>
        <v>-42.365154377963535</v>
      </c>
      <c r="XQ35" s="133">
        <f t="shared" si="260"/>
        <v>-37.841299561817486</v>
      </c>
      <c r="XR35" s="133">
        <f t="shared" si="261"/>
        <v>-33.674953170493112</v>
      </c>
      <c r="XS35" s="133">
        <f t="shared" si="463"/>
        <v>-28.602945611362681</v>
      </c>
      <c r="XT35" s="133">
        <f t="shared" si="464"/>
        <v>-19.595426493860813</v>
      </c>
      <c r="XU35" s="134">
        <f t="shared" si="465"/>
        <v>-8.871147332781689</v>
      </c>
      <c r="XV35" s="133">
        <f t="shared" si="466"/>
        <v>2.469799862693641</v>
      </c>
      <c r="XW35" s="133">
        <f t="shared" si="262"/>
        <v>13.105848341469262</v>
      </c>
      <c r="XX35" s="133">
        <f t="shared" si="263"/>
        <v>19.672024365974387</v>
      </c>
      <c r="XY35" s="133">
        <f t="shared" si="264"/>
        <v>25.47540584626001</v>
      </c>
      <c r="XZ35" s="133">
        <f t="shared" si="265"/>
        <v>32.34347320364342</v>
      </c>
      <c r="YA35" s="81"/>
      <c r="YB35" s="81">
        <v>36</v>
      </c>
      <c r="YC35" s="133">
        <f t="shared" si="266"/>
        <v>-48.43369015308096</v>
      </c>
      <c r="YD35" s="133">
        <f t="shared" si="267"/>
        <v>-43.827092929441541</v>
      </c>
      <c r="YE35" s="133">
        <f t="shared" si="268"/>
        <v>-39.568969111438335</v>
      </c>
      <c r="YF35" s="133">
        <f t="shared" si="467"/>
        <v>-34.383998822462317</v>
      </c>
      <c r="YG35" s="133">
        <f t="shared" si="468"/>
        <v>-25.192820399304789</v>
      </c>
      <c r="YH35" s="134">
        <f t="shared" si="469"/>
        <v>-14.290038323468679</v>
      </c>
      <c r="YI35" s="133">
        <f t="shared" si="470"/>
        <v>-2.8089194996734079</v>
      </c>
      <c r="YJ35" s="133">
        <f t="shared" si="269"/>
        <v>7.9164691329106276</v>
      </c>
      <c r="YK35" s="133">
        <f t="shared" si="270"/>
        <v>14.519084309573394</v>
      </c>
      <c r="YL35" s="133">
        <f t="shared" si="271"/>
        <v>20.343575464619498</v>
      </c>
      <c r="YM35" s="133">
        <f t="shared" si="272"/>
        <v>27.223913902331994</v>
      </c>
      <c r="YN35" s="81"/>
      <c r="YO35" s="81">
        <v>33</v>
      </c>
      <c r="YP35" s="133">
        <v>18.587054936146831</v>
      </c>
      <c r="YQ35" s="133">
        <v>20.899560784362581</v>
      </c>
      <c r="YR35" s="133">
        <v>23.117281521200361</v>
      </c>
      <c r="YS35" s="133">
        <v>25.96778742402299</v>
      </c>
      <c r="YT35" s="133">
        <v>31.52643424157019</v>
      </c>
      <c r="YU35" s="134">
        <v>39.135229011313875</v>
      </c>
      <c r="YV35" s="133">
        <v>48.580379818168218</v>
      </c>
      <c r="YW35" s="133">
        <v>58.979462699664595</v>
      </c>
      <c r="YX35" s="133">
        <v>66.252000624010122</v>
      </c>
      <c r="YY35" s="133">
        <v>73.282217055677449</v>
      </c>
      <c r="YZ35" s="133">
        <v>82.399613872636607</v>
      </c>
      <c r="ZA35" s="81"/>
      <c r="ZB35" s="81">
        <v>33</v>
      </c>
      <c r="ZC35" s="133">
        <v>15.249237697778435</v>
      </c>
      <c r="ZD35" s="133">
        <v>17.376012637843257</v>
      </c>
      <c r="ZE35" s="133">
        <v>19.440923576209215</v>
      </c>
      <c r="ZF35" s="133">
        <v>22.12798707297884</v>
      </c>
      <c r="ZG35" s="133">
        <v>27.462190874145204</v>
      </c>
      <c r="ZH35" s="134">
        <v>34.936251257284738</v>
      </c>
      <c r="ZI35" s="133">
        <v>44.444438446505401</v>
      </c>
      <c r="ZJ35" s="133">
        <v>55.158277519177012</v>
      </c>
      <c r="ZK35" s="133">
        <v>62.782081680819111</v>
      </c>
      <c r="ZL35" s="133">
        <v>70.242907699888974</v>
      </c>
      <c r="ZM35" s="133">
        <v>80.039519096088441</v>
      </c>
      <c r="ZN35" s="81"/>
      <c r="ZO35" s="81">
        <v>36</v>
      </c>
      <c r="ZP35" s="133">
        <v>21.971393170526394</v>
      </c>
      <c r="ZQ35" s="133">
        <v>24.282446365774415</v>
      </c>
      <c r="ZR35" s="133">
        <v>26.463589134925453</v>
      </c>
      <c r="ZS35" s="133">
        <v>29.222557133176217</v>
      </c>
      <c r="ZT35" s="133">
        <v>34.479877392331915</v>
      </c>
      <c r="ZU35" s="134">
        <v>41.461620607645941</v>
      </c>
      <c r="ZV35" s="133">
        <v>49.857079358254282</v>
      </c>
      <c r="ZW35" s="133">
        <v>58.826678841897902</v>
      </c>
      <c r="ZX35" s="133">
        <v>64.959668722472117</v>
      </c>
      <c r="ZY35" s="133">
        <v>70.794596125839959</v>
      </c>
      <c r="ZZ35" s="133">
        <v>78.241100601595818</v>
      </c>
      <c r="AAA35" s="81"/>
      <c r="AAB35" s="81">
        <v>33</v>
      </c>
      <c r="AAC35" s="133">
        <v>8.8670175585357995</v>
      </c>
      <c r="AAD35" s="133">
        <v>9.8485072237405369</v>
      </c>
      <c r="AAE35" s="133">
        <v>10.779105151939216</v>
      </c>
      <c r="AAF35" s="133">
        <v>11.961675696431842</v>
      </c>
      <c r="AAG35" s="133">
        <v>14.230139526232684</v>
      </c>
      <c r="AAH35" s="134">
        <v>17.269048326633307</v>
      </c>
      <c r="AAI35" s="133">
        <v>20.95692944948572</v>
      </c>
      <c r="AAJ35" s="133">
        <v>24.93129204268223</v>
      </c>
      <c r="AAK35" s="133">
        <v>27.666492339018077</v>
      </c>
      <c r="AAL35" s="133">
        <v>30.280734260793917</v>
      </c>
      <c r="AAM35" s="133">
        <v>33.632507000114856</v>
      </c>
      <c r="AAN35" s="81"/>
      <c r="AAO35" s="81">
        <v>33</v>
      </c>
      <c r="AAP35" s="133">
        <v>7.9227361738495672</v>
      </c>
      <c r="AAQ35" s="133">
        <v>8.8951614522055884</v>
      </c>
      <c r="AAR35" s="133">
        <v>9.8264393520231881</v>
      </c>
      <c r="AAS35" s="133">
        <v>11.021783555618653</v>
      </c>
      <c r="AAT35" s="133">
        <v>13.348117002892154</v>
      </c>
      <c r="AAU35" s="134">
        <v>16.524123640386673</v>
      </c>
      <c r="AAV35" s="133">
        <v>20.455818751335809</v>
      </c>
      <c r="AAW35" s="133">
        <v>24.773364556192234</v>
      </c>
      <c r="AAX35" s="133">
        <v>27.786938106585612</v>
      </c>
      <c r="AAY35" s="133">
        <v>30.696088379045943</v>
      </c>
      <c r="AAZ35" s="133">
        <v>34.463682254626356</v>
      </c>
      <c r="ABA35" s="81"/>
      <c r="ABB35" s="81">
        <v>36</v>
      </c>
      <c r="ABC35" s="133">
        <v>10.055905637501315</v>
      </c>
      <c r="ABD35" s="133">
        <v>11.032758642221252</v>
      </c>
      <c r="ABE35" s="133">
        <v>11.948473015156654</v>
      </c>
      <c r="ABF35" s="133">
        <v>13.098954869949694</v>
      </c>
      <c r="ABG35" s="133">
        <v>15.269940270332679</v>
      </c>
      <c r="ABH35" s="134">
        <v>18.116314820710944</v>
      </c>
      <c r="ABI35" s="133">
        <v>21.493264339793033</v>
      </c>
      <c r="ABJ35" s="133">
        <v>25.055499919007769</v>
      </c>
      <c r="ABK35" s="133">
        <v>27.468017232560822</v>
      </c>
      <c r="ABL35" s="133">
        <v>29.747851224363725</v>
      </c>
      <c r="ABM35" s="133">
        <v>32.637623553184241</v>
      </c>
      <c r="ABN35" s="81"/>
      <c r="ABO35" s="81">
        <v>33</v>
      </c>
      <c r="ABP35" s="133">
        <f t="shared" si="273"/>
        <v>0.20678440206006576</v>
      </c>
      <c r="ABQ35" s="133">
        <f t="shared" si="274"/>
        <v>0.23471457726662728</v>
      </c>
      <c r="ABR35" s="133">
        <f t="shared" si="275"/>
        <v>0.26085349015979642</v>
      </c>
      <c r="ABS35" s="133">
        <f t="shared" si="471"/>
        <v>0.29355368169164647</v>
      </c>
      <c r="ABT35" s="133">
        <f t="shared" si="472"/>
        <v>0.35461512425669162</v>
      </c>
      <c r="ABU35" s="134">
        <f t="shared" si="473"/>
        <v>0.43304805830454635</v>
      </c>
      <c r="ABV35" s="133">
        <f t="shared" si="474"/>
        <v>0.52342717085403134</v>
      </c>
      <c r="ABW35" s="133">
        <f t="shared" si="276"/>
        <v>0.61557085753195928</v>
      </c>
      <c r="ABX35" s="133">
        <f t="shared" si="277"/>
        <v>0.67616947050348297</v>
      </c>
      <c r="ABY35" s="133">
        <f t="shared" si="278"/>
        <v>0.73215440772811835</v>
      </c>
      <c r="ABZ35" s="133">
        <f t="shared" si="279"/>
        <v>0.80141351471072553</v>
      </c>
      <c r="ACA35" s="81"/>
      <c r="ACB35" s="81">
        <v>33</v>
      </c>
      <c r="ACC35" s="133">
        <f t="shared" si="280"/>
        <v>0.2285944381200371</v>
      </c>
      <c r="ACD35" s="133">
        <f t="shared" si="281"/>
        <v>0.25561215415077349</v>
      </c>
      <c r="ACE35" s="133">
        <f t="shared" si="282"/>
        <v>0.28099919909001331</v>
      </c>
      <c r="ACF35" s="133">
        <f t="shared" si="475"/>
        <v>0.31292943623263808</v>
      </c>
      <c r="ACG35" s="133">
        <f t="shared" si="476"/>
        <v>0.3731422893444713</v>
      </c>
      <c r="ACH35" s="134">
        <f t="shared" si="477"/>
        <v>0.45173487157411596</v>
      </c>
      <c r="ACI35" s="133">
        <f t="shared" si="478"/>
        <v>0.5441444938632044</v>
      </c>
      <c r="ACJ35" s="133">
        <f t="shared" si="283"/>
        <v>0.64043103750161612</v>
      </c>
      <c r="ACK35" s="133">
        <f t="shared" si="284"/>
        <v>0.70489176999923198</v>
      </c>
      <c r="ACL35" s="133">
        <f t="shared" si="285"/>
        <v>0.76523897409627872</v>
      </c>
      <c r="ACM35" s="133">
        <f t="shared" si="286"/>
        <v>0.84093742899243173</v>
      </c>
      <c r="ACN35" s="81"/>
      <c r="ACO35" s="81">
        <v>36</v>
      </c>
      <c r="ACP35" s="133">
        <f t="shared" si="287"/>
        <v>0.20040373460505578</v>
      </c>
      <c r="ACQ35" s="133">
        <f t="shared" si="288"/>
        <v>0.23117678828184599</v>
      </c>
      <c r="ACR35" s="133">
        <f t="shared" si="289"/>
        <v>0.2594605296101356</v>
      </c>
      <c r="ACS35" s="133">
        <f t="shared" si="479"/>
        <v>0.29416414749314124</v>
      </c>
      <c r="ACT35" s="133">
        <f t="shared" si="480"/>
        <v>0.35712565963763404</v>
      </c>
      <c r="ACU35" s="134">
        <f t="shared" si="481"/>
        <v>0.43461816405069947</v>
      </c>
      <c r="ACV35" s="133">
        <f t="shared" si="482"/>
        <v>0.51998080885051279</v>
      </c>
      <c r="ACW35" s="133">
        <f t="shared" si="290"/>
        <v>0.60343825238628901</v>
      </c>
      <c r="ACX35" s="133">
        <f t="shared" si="291"/>
        <v>0.65649957269729931</v>
      </c>
      <c r="ACY35" s="133">
        <f t="shared" si="292"/>
        <v>0.70439298033420394</v>
      </c>
      <c r="ACZ35" s="133">
        <f t="shared" si="293"/>
        <v>0.76226988832065834</v>
      </c>
      <c r="ADA35" s="81"/>
      <c r="ADB35" s="81">
        <v>33</v>
      </c>
      <c r="ADC35" s="133">
        <f t="shared" si="294"/>
        <v>0.17111678074084072</v>
      </c>
      <c r="ADD35" s="133">
        <f t="shared" si="295"/>
        <v>0.19057509850786916</v>
      </c>
      <c r="ADE35" s="133">
        <f t="shared" si="296"/>
        <v>0.20767767219601665</v>
      </c>
      <c r="ADF35" s="133">
        <f t="shared" si="483"/>
        <v>0.22779600440223474</v>
      </c>
      <c r="ADG35" s="133">
        <f t="shared" si="484"/>
        <v>0.26225605748692321</v>
      </c>
      <c r="ADH35" s="134">
        <f t="shared" si="485"/>
        <v>0.30190139408423272</v>
      </c>
      <c r="ADI35" s="133">
        <f t="shared" si="486"/>
        <v>0.34275633191488547</v>
      </c>
      <c r="ADJ35" s="133">
        <f t="shared" si="297"/>
        <v>0.38037295549526495</v>
      </c>
      <c r="ADK35" s="133">
        <f t="shared" si="298"/>
        <v>0.40333634003039459</v>
      </c>
      <c r="ADL35" s="133">
        <f t="shared" si="299"/>
        <v>0.42349536602711318</v>
      </c>
      <c r="ADM35" s="133">
        <f t="shared" si="300"/>
        <v>0.44720871800043321</v>
      </c>
      <c r="ADN35" s="81"/>
      <c r="ADO35" s="81">
        <v>33</v>
      </c>
      <c r="ADP35" s="133">
        <f t="shared" si="301"/>
        <v>0.18633761701287621</v>
      </c>
      <c r="ADQ35" s="133">
        <f t="shared" si="302"/>
        <v>0.20427337409522167</v>
      </c>
      <c r="ADR35" s="133">
        <f t="shared" si="303"/>
        <v>0.22021127417880573</v>
      </c>
      <c r="ADS35" s="133">
        <f t="shared" si="487"/>
        <v>0.23916405609369754</v>
      </c>
      <c r="ADT35" s="133">
        <f t="shared" si="488"/>
        <v>0.27212856746277031</v>
      </c>
      <c r="ADU35" s="134">
        <f t="shared" si="489"/>
        <v>0.31080775918871317</v>
      </c>
      <c r="ADV35" s="133">
        <f t="shared" si="490"/>
        <v>0.35147339638189745</v>
      </c>
      <c r="ADW35" s="133">
        <f t="shared" si="304"/>
        <v>0.38960586176808704</v>
      </c>
      <c r="ADX35" s="133">
        <f t="shared" si="305"/>
        <v>0.41319668089649891</v>
      </c>
      <c r="ADY35" s="133">
        <f t="shared" si="306"/>
        <v>0.43409589554905853</v>
      </c>
      <c r="ADZ35" s="133">
        <f t="shared" si="307"/>
        <v>0.45890104960096811</v>
      </c>
      <c r="AEA35" s="81"/>
      <c r="AEB35" s="81">
        <v>36</v>
      </c>
      <c r="AEC35" s="133">
        <f t="shared" si="308"/>
        <v>0.16693227895135568</v>
      </c>
      <c r="AED35" s="133">
        <f t="shared" si="309"/>
        <v>0.18850736712401001</v>
      </c>
      <c r="AEE35" s="133">
        <f t="shared" si="310"/>
        <v>0.20698384747853066</v>
      </c>
      <c r="AEF35" s="133">
        <f t="shared" si="491"/>
        <v>0.22820474579686184</v>
      </c>
      <c r="AEG35" s="133">
        <f t="shared" si="492"/>
        <v>0.26343330037038187</v>
      </c>
      <c r="AEH35" s="134">
        <f t="shared" si="493"/>
        <v>0.30247827295482982</v>
      </c>
      <c r="AEI35" s="133">
        <f t="shared" si="494"/>
        <v>0.34132208964847427</v>
      </c>
      <c r="AEJ35" s="133">
        <f t="shared" si="311"/>
        <v>0.3760216336016457</v>
      </c>
      <c r="AEK35" s="133">
        <f t="shared" si="312"/>
        <v>0.39676045021727463</v>
      </c>
      <c r="AEL35" s="133">
        <f t="shared" si="313"/>
        <v>0.41471311961748697</v>
      </c>
      <c r="AEM35" s="133">
        <f t="shared" si="314"/>
        <v>0.4355480731851733</v>
      </c>
      <c r="AEN35" s="81"/>
    </row>
    <row r="36" spans="1:820">
      <c r="A36" s="81"/>
      <c r="B36" s="81">
        <v>35</v>
      </c>
      <c r="C36" s="133">
        <f t="shared" si="0"/>
        <v>1.8291910025458324</v>
      </c>
      <c r="D36" s="133">
        <f t="shared" si="1"/>
        <v>2.1820671489441512</v>
      </c>
      <c r="E36" s="133">
        <f t="shared" si="2"/>
        <v>2.5515576539188687</v>
      </c>
      <c r="F36" s="133">
        <f t="shared" si="315"/>
        <v>3.0735441643321062</v>
      </c>
      <c r="G36" s="133">
        <f t="shared" si="316"/>
        <v>4.2556770780681079</v>
      </c>
      <c r="H36" s="134">
        <f t="shared" si="317"/>
        <v>6.2684050820389823</v>
      </c>
      <c r="I36" s="133">
        <f t="shared" si="318"/>
        <v>9.5116518403754817</v>
      </c>
      <c r="J36" s="133">
        <f t="shared" si="3"/>
        <v>14.238949581082693</v>
      </c>
      <c r="K36" s="133">
        <f t="shared" si="4"/>
        <v>18.412466447153367</v>
      </c>
      <c r="L36" s="133">
        <f t="shared" si="5"/>
        <v>23.24913841247584</v>
      </c>
      <c r="M36" s="133">
        <f t="shared" si="6"/>
        <v>30.89757046135146</v>
      </c>
      <c r="N36" s="81"/>
      <c r="O36" s="75">
        <v>35</v>
      </c>
      <c r="P36" s="151">
        <f t="shared" si="7"/>
        <v>2.5212849277428901</v>
      </c>
      <c r="Q36" s="151">
        <f t="shared" si="8"/>
        <v>2.8546125946503009</v>
      </c>
      <c r="R36" s="151">
        <f t="shared" si="9"/>
        <v>3.1929133688588744</v>
      </c>
      <c r="S36" s="151">
        <f t="shared" si="319"/>
        <v>3.657075588751753</v>
      </c>
      <c r="T36" s="151">
        <f t="shared" si="320"/>
        <v>4.6694467618751165</v>
      </c>
      <c r="U36" s="134">
        <f t="shared" si="321"/>
        <v>6.3292731422663007</v>
      </c>
      <c r="V36" s="151">
        <f t="shared" si="322"/>
        <v>8.952081871457132</v>
      </c>
      <c r="W36" s="151">
        <f t="shared" si="10"/>
        <v>12.812482390642575</v>
      </c>
      <c r="X36" s="151">
        <f t="shared" si="11"/>
        <v>16.332248562539963</v>
      </c>
      <c r="Y36" s="151">
        <f t="shared" si="12"/>
        <v>20.589696844534537</v>
      </c>
      <c r="Z36" s="151">
        <f t="shared" si="13"/>
        <v>27.785064740029</v>
      </c>
      <c r="AA36" s="81"/>
      <c r="AB36" s="75">
        <v>37</v>
      </c>
      <c r="AC36" s="151">
        <f t="shared" si="14"/>
        <v>1.5343836807427591</v>
      </c>
      <c r="AD36" s="151">
        <f t="shared" si="15"/>
        <v>1.8550958591594267</v>
      </c>
      <c r="AE36" s="151">
        <f t="shared" si="16"/>
        <v>2.198833392687495</v>
      </c>
      <c r="AF36" s="151">
        <f t="shared" si="323"/>
        <v>2.6975427954882307</v>
      </c>
      <c r="AG36" s="151">
        <f t="shared" si="324"/>
        <v>3.8797311538020347</v>
      </c>
      <c r="AH36" s="134">
        <f t="shared" si="325"/>
        <v>6.0452193407080586</v>
      </c>
      <c r="AI36" s="151">
        <f t="shared" si="326"/>
        <v>9.8945286735459526</v>
      </c>
      <c r="AJ36" s="151">
        <f t="shared" si="17"/>
        <v>16.214962307000317</v>
      </c>
      <c r="AK36" s="151">
        <f t="shared" si="18"/>
        <v>22.436761467859935</v>
      </c>
      <c r="AL36" s="151">
        <f t="shared" si="19"/>
        <v>30.355706009131627</v>
      </c>
      <c r="AM36" s="151">
        <f t="shared" si="20"/>
        <v>44.364056138449484</v>
      </c>
      <c r="AN36" s="81"/>
      <c r="AO36" s="81">
        <v>35</v>
      </c>
      <c r="AP36" s="133">
        <f t="shared" si="21"/>
        <v>1.0490438135342819</v>
      </c>
      <c r="AQ36" s="133">
        <f t="shared" si="22"/>
        <v>2.9955262431818541</v>
      </c>
      <c r="AR36" s="133">
        <f t="shared" si="23"/>
        <v>4.8472940140754011</v>
      </c>
      <c r="AS36" s="133">
        <f t="shared" si="327"/>
        <v>7.188129328639449</v>
      </c>
      <c r="AT36" s="133">
        <f t="shared" si="328"/>
        <v>11.588914166901109</v>
      </c>
      <c r="AU36" s="134">
        <f t="shared" si="329"/>
        <v>17.233524174552567</v>
      </c>
      <c r="AV36" s="133">
        <f t="shared" si="330"/>
        <v>23.667781684875667</v>
      </c>
      <c r="AW36" s="133">
        <f t="shared" si="24"/>
        <v>30.120299692365197</v>
      </c>
      <c r="AX36" s="133">
        <f t="shared" si="25"/>
        <v>34.299234059160824</v>
      </c>
      <c r="AY36" s="133">
        <f t="shared" si="26"/>
        <v>38.113776534557367</v>
      </c>
      <c r="AZ36" s="133">
        <f t="shared" si="27"/>
        <v>42.771953026882734</v>
      </c>
      <c r="BA36" s="81"/>
      <c r="BB36" s="81">
        <v>35</v>
      </c>
      <c r="BC36" s="133">
        <f t="shared" si="28"/>
        <v>3.9788414620383952</v>
      </c>
      <c r="BD36" s="133">
        <f t="shared" si="29"/>
        <v>6.1221135819621937</v>
      </c>
      <c r="BE36" s="133">
        <f t="shared" si="30"/>
        <v>8.0899052479671525</v>
      </c>
      <c r="BF36" s="133">
        <f t="shared" si="331"/>
        <v>10.497698319209835</v>
      </c>
      <c r="BG36" s="133">
        <f t="shared" si="332"/>
        <v>14.836018547809527</v>
      </c>
      <c r="BH36" s="134">
        <f t="shared" si="333"/>
        <v>20.129512944752577</v>
      </c>
      <c r="BI36" s="133">
        <f t="shared" si="334"/>
        <v>25.88858382401369</v>
      </c>
      <c r="BJ36" s="133">
        <f t="shared" si="31"/>
        <v>31.439120532899675</v>
      </c>
      <c r="BK36" s="133">
        <f t="shared" si="32"/>
        <v>34.936061979124993</v>
      </c>
      <c r="BL36" s="133">
        <f t="shared" si="33"/>
        <v>38.070261964523894</v>
      </c>
      <c r="BM36" s="133">
        <f t="shared" si="34"/>
        <v>41.830942701093122</v>
      </c>
      <c r="BN36" s="81"/>
      <c r="BO36" s="75">
        <v>37</v>
      </c>
      <c r="BP36" s="151">
        <f t="shared" si="35"/>
        <v>3.1691409329969487</v>
      </c>
      <c r="BQ36" s="151">
        <f t="shared" si="36"/>
        <v>4.0843066429674373</v>
      </c>
      <c r="BR36" s="151">
        <f t="shared" si="37"/>
        <v>5.0428509973802544</v>
      </c>
      <c r="BS36" s="151">
        <f t="shared" si="335"/>
        <v>6.379821667780269</v>
      </c>
      <c r="BT36" s="151">
        <f t="shared" si="336"/>
        <v>9.2821708774225549</v>
      </c>
      <c r="BU36" s="134">
        <f t="shared" si="337"/>
        <v>13.775230392238559</v>
      </c>
      <c r="BV36" s="151">
        <f t="shared" si="338"/>
        <v>20.002371557793417</v>
      </c>
      <c r="BW36" s="151">
        <f t="shared" si="38"/>
        <v>27.489802469769021</v>
      </c>
      <c r="BX36" s="151">
        <f t="shared" si="39"/>
        <v>33.032320310451489</v>
      </c>
      <c r="BY36" s="151">
        <f t="shared" si="40"/>
        <v>38.584404218977859</v>
      </c>
      <c r="BZ36" s="151">
        <f t="shared" si="41"/>
        <v>46.02155175027945</v>
      </c>
      <c r="CA36" s="81"/>
      <c r="CB36" s="81">
        <v>35</v>
      </c>
      <c r="CC36" s="133">
        <f t="shared" si="42"/>
        <v>-6.2930334502704772</v>
      </c>
      <c r="CD36" s="133">
        <f t="shared" si="43"/>
        <v>-4.5052160137530155</v>
      </c>
      <c r="CE36" s="133">
        <f t="shared" si="44"/>
        <v>-2.5460231111027687</v>
      </c>
      <c r="CF36" s="133">
        <f t="shared" si="339"/>
        <v>7.6126269614515074E-2</v>
      </c>
      <c r="CG36" s="133">
        <f t="shared" si="340"/>
        <v>5.1457440847628417</v>
      </c>
      <c r="CH36" s="134">
        <f t="shared" si="341"/>
        <v>11.636685947497988</v>
      </c>
      <c r="CI36" s="133">
        <f t="shared" si="342"/>
        <v>18.871161018961949</v>
      </c>
      <c r="CJ36" s="133">
        <f t="shared" si="45"/>
        <v>25.914621948225371</v>
      </c>
      <c r="CK36" s="133">
        <f t="shared" si="46"/>
        <v>30.364985736792757</v>
      </c>
      <c r="CL36" s="133">
        <f t="shared" si="47"/>
        <v>34.354885758521398</v>
      </c>
      <c r="CM36" s="133">
        <f t="shared" si="48"/>
        <v>39.13875332665323</v>
      </c>
      <c r="CN36" s="81"/>
      <c r="CO36" s="81">
        <v>35</v>
      </c>
      <c r="CP36" s="133">
        <f t="shared" si="49"/>
        <v>-0.94769662685625633</v>
      </c>
      <c r="CQ36" s="133">
        <f t="shared" si="50"/>
        <v>1.2386543158985264</v>
      </c>
      <c r="CR36" s="133">
        <f t="shared" si="51"/>
        <v>3.2981207483067196</v>
      </c>
      <c r="CS36" s="133">
        <f t="shared" si="343"/>
        <v>5.8566502677656738</v>
      </c>
      <c r="CT36" s="133">
        <f t="shared" si="344"/>
        <v>10.517983309926979</v>
      </c>
      <c r="CU36" s="134">
        <f t="shared" si="345"/>
        <v>16.229835401503241</v>
      </c>
      <c r="CV36" s="133">
        <f t="shared" si="346"/>
        <v>22.427658248245841</v>
      </c>
      <c r="CW36" s="133">
        <f t="shared" si="52"/>
        <v>28.364489536741718</v>
      </c>
      <c r="CX36" s="133">
        <f t="shared" si="53"/>
        <v>32.082527775778601</v>
      </c>
      <c r="CY36" s="133">
        <f t="shared" si="54"/>
        <v>35.399398700166245</v>
      </c>
      <c r="CZ36" s="133">
        <f t="shared" si="55"/>
        <v>39.359632722322509</v>
      </c>
      <c r="DA36" s="81"/>
      <c r="DB36" s="81">
        <v>37</v>
      </c>
      <c r="DC36" s="133">
        <f t="shared" si="56"/>
        <v>-6.4492474102734834</v>
      </c>
      <c r="DD36" s="133">
        <f t="shared" si="57"/>
        <v>-5.3018534705220492</v>
      </c>
      <c r="DE36" s="133">
        <f t="shared" si="58"/>
        <v>-3.9550288068833739</v>
      </c>
      <c r="DF36" s="133">
        <f t="shared" si="347"/>
        <v>-2.0448959457769229</v>
      </c>
      <c r="DG36" s="133">
        <f t="shared" si="348"/>
        <v>1.8974737688649403</v>
      </c>
      <c r="DH36" s="134">
        <f t="shared" si="349"/>
        <v>7.2884694029974311</v>
      </c>
      <c r="DI36" s="133">
        <f t="shared" si="350"/>
        <v>13.630608270634266</v>
      </c>
      <c r="DJ36" s="133">
        <f t="shared" si="59"/>
        <v>20.069494247824302</v>
      </c>
      <c r="DK36" s="133">
        <f t="shared" si="60"/>
        <v>24.250781896406352</v>
      </c>
      <c r="DL36" s="133">
        <f t="shared" si="61"/>
        <v>28.065389240011879</v>
      </c>
      <c r="DM36" s="133">
        <f t="shared" si="62"/>
        <v>32.714285885605591</v>
      </c>
      <c r="DN36" s="81"/>
      <c r="DO36" s="81">
        <v>35</v>
      </c>
      <c r="DP36" s="133">
        <v>12.915453010323821</v>
      </c>
      <c r="DQ36" s="133">
        <v>14.192690002246705</v>
      </c>
      <c r="DR36" s="133">
        <v>15.391760210102754</v>
      </c>
      <c r="DS36" s="133">
        <v>16.90047264899005</v>
      </c>
      <c r="DT36" s="133">
        <v>19.753517933305531</v>
      </c>
      <c r="DU36" s="134">
        <v>23.504611423776716</v>
      </c>
      <c r="DV36" s="133">
        <v>27.968018661184658</v>
      </c>
      <c r="DW36" s="133">
        <v>32.689426482740977</v>
      </c>
      <c r="DX36" s="133">
        <v>35.893669771447584</v>
      </c>
      <c r="DY36" s="133">
        <v>38.926148467646328</v>
      </c>
      <c r="DZ36" s="133">
        <v>42.775639208406155</v>
      </c>
      <c r="EA36" s="81"/>
      <c r="EB36" s="81">
        <v>35</v>
      </c>
      <c r="EC36" s="133">
        <v>12.986724484519566</v>
      </c>
      <c r="ED36" s="133">
        <v>13.926675777695896</v>
      </c>
      <c r="EE36" s="133">
        <v>14.789321243748546</v>
      </c>
      <c r="EF36" s="133">
        <v>15.850420797407283</v>
      </c>
      <c r="EG36" s="133">
        <v>17.792644405420383</v>
      </c>
      <c r="EH36" s="134">
        <v>20.239166706337496</v>
      </c>
      <c r="EI36" s="133">
        <v>23.022090456780642</v>
      </c>
      <c r="EJ36" s="133">
        <v>25.843091120579203</v>
      </c>
      <c r="EK36" s="133">
        <v>27.697273067218578</v>
      </c>
      <c r="EL36" s="133">
        <v>29.412896193286009</v>
      </c>
      <c r="EM36" s="133">
        <v>31.541738600460796</v>
      </c>
      <c r="EN36" s="81"/>
      <c r="EO36" s="81">
        <v>37</v>
      </c>
      <c r="EP36" s="133">
        <v>16.239447303304289</v>
      </c>
      <c r="EQ36" s="133">
        <v>17.412398686825725</v>
      </c>
      <c r="ER36" s="133">
        <v>18.488742081372074</v>
      </c>
      <c r="ES36" s="133">
        <v>19.812530442914042</v>
      </c>
      <c r="ET36" s="133">
        <v>22.235126645678079</v>
      </c>
      <c r="EU36" s="134">
        <v>25.286005584351994</v>
      </c>
      <c r="EV36" s="133">
        <v>28.755495239608148</v>
      </c>
      <c r="EW36" s="133">
        <v>32.271601058438016</v>
      </c>
      <c r="EX36" s="133">
        <v>34.582237969346522</v>
      </c>
      <c r="EY36" s="133">
        <v>36.719931005005002</v>
      </c>
      <c r="EZ36" s="133">
        <v>39.372157590719439</v>
      </c>
      <c r="FA36" s="81"/>
      <c r="FB36" s="81">
        <v>35</v>
      </c>
      <c r="FC36" s="133">
        <v>7.714076181374506</v>
      </c>
      <c r="FD36" s="133">
        <v>8.5545673842486636</v>
      </c>
      <c r="FE36" s="133">
        <v>9.3503232276703283</v>
      </c>
      <c r="FF36" s="133">
        <v>10.360075902859506</v>
      </c>
      <c r="FG36" s="133">
        <v>12.292985960461257</v>
      </c>
      <c r="FH36" s="134">
        <v>14.875285034727714</v>
      </c>
      <c r="FI36" s="133">
        <v>18.000029087814205</v>
      </c>
      <c r="FJ36" s="133">
        <v>21.35834784794578</v>
      </c>
      <c r="FK36" s="133">
        <v>23.66486157500735</v>
      </c>
      <c r="FL36" s="133">
        <v>25.866194621579766</v>
      </c>
      <c r="FM36" s="133">
        <v>28.684459378124444</v>
      </c>
      <c r="FN36" s="81"/>
      <c r="FO36" s="81">
        <v>35</v>
      </c>
      <c r="FP36" s="133">
        <v>7.5732766742247604</v>
      </c>
      <c r="FQ36" s="133">
        <v>8.2525077382263508</v>
      </c>
      <c r="FR36" s="133">
        <v>8.8852115544193406</v>
      </c>
      <c r="FS36" s="133">
        <v>9.6751143491649554</v>
      </c>
      <c r="FT36" s="133">
        <v>11.152165103804093</v>
      </c>
      <c r="FU36" s="134">
        <v>13.065705998166196</v>
      </c>
      <c r="FV36" s="133">
        <v>15.307581231225196</v>
      </c>
      <c r="FW36" s="133">
        <v>17.644512206230409</v>
      </c>
      <c r="FX36" s="133">
        <v>19.21312421037479</v>
      </c>
      <c r="FY36" s="133">
        <v>20.6861573046166</v>
      </c>
      <c r="FZ36" s="133">
        <v>22.541454719530783</v>
      </c>
      <c r="GA36" s="81"/>
      <c r="GB36" s="81">
        <v>37</v>
      </c>
      <c r="GC36" s="133">
        <v>9.7636937367395635</v>
      </c>
      <c r="GD36" s="133">
        <v>10.592910311534762</v>
      </c>
      <c r="GE36" s="133">
        <v>11.362193755771429</v>
      </c>
      <c r="GF36" s="133">
        <v>12.318718910801589</v>
      </c>
      <c r="GG36" s="133">
        <v>14.096917256074809</v>
      </c>
      <c r="GH36" s="134">
        <v>16.382985036782326</v>
      </c>
      <c r="GI36" s="133">
        <v>19.03977967947359</v>
      </c>
      <c r="GJ36" s="133">
        <v>21.788158383911739</v>
      </c>
      <c r="GK36" s="133">
        <v>23.622392337667961</v>
      </c>
      <c r="GL36" s="133">
        <v>25.337909112962752</v>
      </c>
      <c r="GM36" s="133">
        <v>27.489821572902251</v>
      </c>
      <c r="GN36" s="81"/>
      <c r="GO36" s="81">
        <v>35</v>
      </c>
      <c r="GP36" s="133">
        <f t="shared" si="63"/>
        <v>0.43864305047435681</v>
      </c>
      <c r="GQ36" s="133">
        <f t="shared" si="64"/>
        <v>0.47488558211503712</v>
      </c>
      <c r="GR36" s="133">
        <f t="shared" si="65"/>
        <v>0.50385923642580199</v>
      </c>
      <c r="GS36" s="133">
        <f t="shared" si="351"/>
        <v>0.53521189470213126</v>
      </c>
      <c r="GT36" s="133">
        <f t="shared" si="352"/>
        <v>0.58492817150281851</v>
      </c>
      <c r="GU36" s="134">
        <f t="shared" si="353"/>
        <v>0.63289660885933374</v>
      </c>
      <c r="GV36" s="133">
        <f t="shared" si="354"/>
        <v>0.67728860444438932</v>
      </c>
      <c r="GW36" s="133">
        <f t="shared" si="66"/>
        <v>0.71671727855763279</v>
      </c>
      <c r="GX36" s="133">
        <f t="shared" si="67"/>
        <v>0.73865387877976152</v>
      </c>
      <c r="GY36" s="133">
        <f t="shared" si="68"/>
        <v>0.75713606764252372</v>
      </c>
      <c r="GZ36" s="133">
        <f t="shared" si="69"/>
        <v>0.77804164837827949</v>
      </c>
      <c r="HA36" s="81"/>
      <c r="HB36" s="81">
        <v>35</v>
      </c>
      <c r="HC36" s="133">
        <f t="shared" si="70"/>
        <v>0.41616184087793734</v>
      </c>
      <c r="HD36" s="133">
        <f t="shared" si="71"/>
        <v>0.45637876178692888</v>
      </c>
      <c r="HE36" s="133">
        <f t="shared" si="72"/>
        <v>0.48822760379665914</v>
      </c>
      <c r="HF36" s="133">
        <f t="shared" si="355"/>
        <v>0.52245400100705774</v>
      </c>
      <c r="HG36" s="133">
        <f t="shared" si="356"/>
        <v>0.57486846655231283</v>
      </c>
      <c r="HH36" s="134">
        <f t="shared" si="357"/>
        <v>0.62796913579688862</v>
      </c>
      <c r="HI36" s="133">
        <f t="shared" si="358"/>
        <v>0.67676402753925258</v>
      </c>
      <c r="HJ36" s="133">
        <f t="shared" si="73"/>
        <v>0.71761907274776826</v>
      </c>
      <c r="HK36" s="133">
        <f t="shared" si="74"/>
        <v>0.74098949143132564</v>
      </c>
      <c r="HL36" s="133">
        <f t="shared" si="75"/>
        <v>0.7606560034480655</v>
      </c>
      <c r="HM36" s="133">
        <f t="shared" si="76"/>
        <v>0.78287758345238578</v>
      </c>
      <c r="HN36" s="81"/>
      <c r="HO36" s="81">
        <v>37</v>
      </c>
      <c r="HP36" s="83">
        <f t="shared" si="77"/>
        <v>0.46403205374996831</v>
      </c>
      <c r="HQ36" s="83">
        <f t="shared" si="78"/>
        <v>0.49657312449276797</v>
      </c>
      <c r="HR36" s="83">
        <f t="shared" si="79"/>
        <v>0.52282131867133774</v>
      </c>
      <c r="HS36" s="83">
        <f t="shared" si="359"/>
        <v>0.55141861618767751</v>
      </c>
      <c r="HT36" s="83">
        <f t="shared" si="360"/>
        <v>0.59585229582488997</v>
      </c>
      <c r="HU36" s="84">
        <f t="shared" si="361"/>
        <v>0.64149556265163987</v>
      </c>
      <c r="HV36" s="83">
        <f t="shared" si="362"/>
        <v>0.68387410394838555</v>
      </c>
      <c r="HW36" s="83">
        <f t="shared" si="80"/>
        <v>0.71961545343763433</v>
      </c>
      <c r="HX36" s="83">
        <f t="shared" si="81"/>
        <v>0.74015031389942532</v>
      </c>
      <c r="HY36" s="83">
        <f t="shared" si="82"/>
        <v>0.75747545633251911</v>
      </c>
      <c r="HZ36" s="83">
        <f t="shared" si="83"/>
        <v>0.77709641840030275</v>
      </c>
      <c r="IA36" s="81"/>
      <c r="IB36" s="81">
        <v>35</v>
      </c>
      <c r="IC36" s="83">
        <f t="shared" si="84"/>
        <v>0.3062541094973627</v>
      </c>
      <c r="ID36" s="83">
        <f t="shared" si="85"/>
        <v>0.32283868699228385</v>
      </c>
      <c r="IE36" s="83">
        <f t="shared" si="86"/>
        <v>0.33550951295886855</v>
      </c>
      <c r="IF36" s="83">
        <f t="shared" si="363"/>
        <v>0.34871952344864021</v>
      </c>
      <c r="IG36" s="83">
        <f t="shared" si="364"/>
        <v>0.36822230229965852</v>
      </c>
      <c r="IH36" s="84">
        <f t="shared" si="365"/>
        <v>0.3871893153549209</v>
      </c>
      <c r="II36" s="83">
        <f t="shared" si="366"/>
        <v>0.40400056548558644</v>
      </c>
      <c r="IJ36" s="83">
        <f t="shared" si="87"/>
        <v>0.41766815287761277</v>
      </c>
      <c r="IK36" s="83">
        <f t="shared" si="88"/>
        <v>0.42533217732593398</v>
      </c>
      <c r="IL36" s="83">
        <f t="shared" si="89"/>
        <v>0.43169937547716702</v>
      </c>
      <c r="IM36" s="83">
        <f t="shared" si="90"/>
        <v>0.43880718564193788</v>
      </c>
      <c r="IN36" s="81"/>
      <c r="IO36" s="81">
        <v>35</v>
      </c>
      <c r="IP36" s="133">
        <f t="shared" si="91"/>
        <v>0.29511930420627963</v>
      </c>
      <c r="IQ36" s="133">
        <f t="shared" si="92"/>
        <v>0.31418814524391081</v>
      </c>
      <c r="IR36" s="133">
        <f t="shared" si="93"/>
        <v>0.32849265766237901</v>
      </c>
      <c r="IS36" s="133">
        <f t="shared" si="367"/>
        <v>0.34321502420408739</v>
      </c>
      <c r="IT36" s="133">
        <f t="shared" si="368"/>
        <v>0.3646705943797226</v>
      </c>
      <c r="IU36" s="134">
        <f t="shared" si="369"/>
        <v>0.38528925663144775</v>
      </c>
      <c r="IV36" s="133">
        <f t="shared" si="370"/>
        <v>0.4034074940797272</v>
      </c>
      <c r="IW36" s="133">
        <f t="shared" si="94"/>
        <v>0.41805069361816516</v>
      </c>
      <c r="IX36" s="133">
        <f t="shared" si="95"/>
        <v>0.42623287049512759</v>
      </c>
      <c r="IY36" s="133">
        <f t="shared" si="96"/>
        <v>0.43301648445754354</v>
      </c>
      <c r="IZ36" s="133">
        <f t="shared" si="97"/>
        <v>0.44057532488040846</v>
      </c>
      <c r="JA36" s="81"/>
      <c r="JB36" s="81">
        <v>37</v>
      </c>
      <c r="JC36" s="133">
        <f t="shared" si="98"/>
        <v>0.31831368430018858</v>
      </c>
      <c r="JD36" s="133">
        <f t="shared" si="99"/>
        <v>0.33264724421733333</v>
      </c>
      <c r="JE36" s="133">
        <f t="shared" si="100"/>
        <v>0.34378440633182367</v>
      </c>
      <c r="JF36" s="133">
        <f t="shared" si="371"/>
        <v>0.35554069461643317</v>
      </c>
      <c r="JG36" s="133">
        <f t="shared" si="372"/>
        <v>0.37312469092392025</v>
      </c>
      <c r="JH36" s="134">
        <f t="shared" si="373"/>
        <v>0.39043934021604532</v>
      </c>
      <c r="JI36" s="133">
        <f t="shared" si="374"/>
        <v>0.40592910931396964</v>
      </c>
      <c r="JJ36" s="133">
        <f t="shared" si="101"/>
        <v>0.41860486771184713</v>
      </c>
      <c r="JK36" s="133">
        <f t="shared" si="102"/>
        <v>0.42574091656114688</v>
      </c>
      <c r="JL36" s="133">
        <f t="shared" si="103"/>
        <v>0.43168342251002584</v>
      </c>
      <c r="JM36" s="133">
        <f t="shared" si="104"/>
        <v>0.43833101571063476</v>
      </c>
      <c r="JN36" s="81"/>
      <c r="JO36" s="81">
        <v>34</v>
      </c>
      <c r="JP36" s="133">
        <f t="shared" si="105"/>
        <v>-6.3624485500247694</v>
      </c>
      <c r="JQ36" s="133">
        <f t="shared" si="106"/>
        <v>-4.9332004553861601</v>
      </c>
      <c r="JR36" s="133">
        <f t="shared" si="107"/>
        <v>-3.6857211877220415</v>
      </c>
      <c r="JS36" s="133">
        <f t="shared" si="375"/>
        <v>-2.2276053124718054</v>
      </c>
      <c r="JT36" s="133">
        <f t="shared" si="376"/>
        <v>0.24931323354507029</v>
      </c>
      <c r="JU36" s="134">
        <f t="shared" si="377"/>
        <v>3.0711364115127182</v>
      </c>
      <c r="JV36" s="133">
        <f t="shared" si="378"/>
        <v>5.9525111815952272</v>
      </c>
      <c r="JW36" s="133">
        <f t="shared" si="108"/>
        <v>8.5848548819531096</v>
      </c>
      <c r="JX36" s="133">
        <f t="shared" si="109"/>
        <v>10.183080493856441</v>
      </c>
      <c r="JY36" s="133">
        <f t="shared" si="110"/>
        <v>11.58110355831737</v>
      </c>
      <c r="JZ36" s="133">
        <f t="shared" si="111"/>
        <v>13.219968221162301</v>
      </c>
      <c r="KA36" s="81"/>
      <c r="KB36" s="81">
        <v>34</v>
      </c>
      <c r="KC36" s="133">
        <f t="shared" si="112"/>
        <v>-4.575713459990121</v>
      </c>
      <c r="KD36" s="133">
        <f t="shared" si="113"/>
        <v>-3.385820254083761</v>
      </c>
      <c r="KE36" s="133">
        <f t="shared" si="114"/>
        <v>-2.3185356200844236</v>
      </c>
      <c r="KF36" s="133">
        <f t="shared" si="379"/>
        <v>-1.0399428601927454</v>
      </c>
      <c r="KG36" s="133">
        <f t="shared" si="380"/>
        <v>1.2017405710846081</v>
      </c>
      <c r="KH36" s="134">
        <f t="shared" si="381"/>
        <v>3.8511923625057563</v>
      </c>
      <c r="KI36" s="133">
        <f t="shared" si="382"/>
        <v>6.6498097693927232</v>
      </c>
      <c r="KJ36" s="133">
        <f t="shared" si="115"/>
        <v>9.2805570463897045</v>
      </c>
      <c r="KK36" s="133">
        <f t="shared" si="116"/>
        <v>10.909575435340523</v>
      </c>
      <c r="KL36" s="133">
        <f t="shared" si="117"/>
        <v>12.35307351438381</v>
      </c>
      <c r="KM36" s="133">
        <f t="shared" si="118"/>
        <v>14.066291588247543</v>
      </c>
      <c r="KN36" s="81"/>
      <c r="KO36" s="81">
        <v>36</v>
      </c>
      <c r="KP36" s="133">
        <f t="shared" si="119"/>
        <v>-7.2940280411753733</v>
      </c>
      <c r="KQ36" s="133">
        <f t="shared" si="120"/>
        <v>-5.7278895238447944</v>
      </c>
      <c r="KR36" s="133">
        <f t="shared" si="121"/>
        <v>-4.3886398891237128</v>
      </c>
      <c r="KS36" s="133">
        <f t="shared" si="383"/>
        <v>-2.8525448622116372</v>
      </c>
      <c r="KT36" s="133">
        <f t="shared" si="384"/>
        <v>-0.30702333659073489</v>
      </c>
      <c r="KU36" s="134">
        <f t="shared" si="385"/>
        <v>2.5082618955243241</v>
      </c>
      <c r="KV36" s="133">
        <f t="shared" si="386"/>
        <v>5.303411257245223</v>
      </c>
      <c r="KW36" s="133">
        <f t="shared" si="122"/>
        <v>7.7960318838129368</v>
      </c>
      <c r="KX36" s="133">
        <f t="shared" si="123"/>
        <v>9.2839902257758382</v>
      </c>
      <c r="KY36" s="133">
        <f t="shared" si="124"/>
        <v>10.571019226970773</v>
      </c>
      <c r="KZ36" s="133">
        <f t="shared" si="125"/>
        <v>12.063530780905058</v>
      </c>
      <c r="LA36" s="81"/>
      <c r="LB36" s="81">
        <v>34</v>
      </c>
      <c r="LC36" s="133">
        <f t="shared" si="126"/>
        <v>-16.305322430643518</v>
      </c>
      <c r="LD36" s="133">
        <f t="shared" si="127"/>
        <v>-12.687743655115167</v>
      </c>
      <c r="LE36" s="133">
        <f t="shared" si="128"/>
        <v>-9.4806707295926742</v>
      </c>
      <c r="LF36" s="133">
        <f t="shared" si="387"/>
        <v>-5.6821067444679692</v>
      </c>
      <c r="LG36" s="133">
        <f t="shared" si="388"/>
        <v>0.87437698990019896</v>
      </c>
      <c r="LH36" s="134">
        <f t="shared" si="389"/>
        <v>8.4745221751260189</v>
      </c>
      <c r="LI36" s="133">
        <f t="shared" si="390"/>
        <v>16.351612926026597</v>
      </c>
      <c r="LJ36" s="133">
        <f t="shared" si="129"/>
        <v>23.633473830664933</v>
      </c>
      <c r="LK36" s="133">
        <f t="shared" si="130"/>
        <v>28.089286904188846</v>
      </c>
      <c r="LL36" s="133">
        <f t="shared" si="131"/>
        <v>32.006333166156132</v>
      </c>
      <c r="LM36" s="133">
        <f t="shared" si="132"/>
        <v>36.619515740575331</v>
      </c>
      <c r="LN36" s="81"/>
      <c r="LO36" s="81">
        <v>34</v>
      </c>
      <c r="LP36" s="133">
        <f t="shared" si="133"/>
        <v>-12.706895552360987</v>
      </c>
      <c r="LQ36" s="133">
        <f t="shared" si="134"/>
        <v>-9.2261077858374918</v>
      </c>
      <c r="LR36" s="133">
        <f t="shared" si="135"/>
        <v>-6.1258977064191207</v>
      </c>
      <c r="LS36" s="133">
        <f t="shared" si="391"/>
        <v>-2.4386756129637455</v>
      </c>
      <c r="LT36" s="133">
        <f t="shared" si="392"/>
        <v>3.9590375628547356</v>
      </c>
      <c r="LU36" s="134">
        <f t="shared" si="393"/>
        <v>11.419822016307609</v>
      </c>
      <c r="LV36" s="133">
        <f t="shared" si="394"/>
        <v>19.194910818349694</v>
      </c>
      <c r="LW36" s="133">
        <f t="shared" si="136"/>
        <v>26.415397134522618</v>
      </c>
      <c r="LX36" s="133">
        <f t="shared" si="137"/>
        <v>30.847533264290224</v>
      </c>
      <c r="LY36" s="133">
        <f t="shared" si="138"/>
        <v>34.751768296940043</v>
      </c>
      <c r="LZ36" s="133">
        <f t="shared" si="139"/>
        <v>39.358871333797268</v>
      </c>
      <c r="MA36" s="81"/>
      <c r="MB36" s="81">
        <v>36</v>
      </c>
      <c r="MC36" s="133">
        <f t="shared" si="140"/>
        <v>-16.707654694663262</v>
      </c>
      <c r="MD36" s="133">
        <f t="shared" si="141"/>
        <v>-13.220200428091157</v>
      </c>
      <c r="ME36" s="133">
        <f t="shared" si="142"/>
        <v>-10.166809484983592</v>
      </c>
      <c r="MF36" s="133">
        <f t="shared" si="395"/>
        <v>-6.5906704766358004</v>
      </c>
      <c r="MG36" s="133">
        <f t="shared" si="396"/>
        <v>-0.50625253397633685</v>
      </c>
      <c r="MH36" s="134">
        <f t="shared" si="397"/>
        <v>6.4297543719093113</v>
      </c>
      <c r="MI36" s="133">
        <f t="shared" si="398"/>
        <v>13.508629150384984</v>
      </c>
      <c r="MJ36" s="133">
        <f t="shared" si="143"/>
        <v>19.968274857033002</v>
      </c>
      <c r="MK36" s="133">
        <f t="shared" si="144"/>
        <v>23.885741643585661</v>
      </c>
      <c r="ML36" s="133">
        <f t="shared" si="145"/>
        <v>27.309359680283052</v>
      </c>
      <c r="MM36" s="133">
        <f t="shared" si="146"/>
        <v>31.318833850274522</v>
      </c>
      <c r="MN36" s="81"/>
      <c r="MO36" s="81">
        <v>34</v>
      </c>
      <c r="MP36" s="133">
        <f t="shared" si="147"/>
        <v>-22.796458398433678</v>
      </c>
      <c r="MQ36" s="133">
        <f t="shared" si="148"/>
        <v>-18.468548770486123</v>
      </c>
      <c r="MR36" s="133">
        <f t="shared" si="149"/>
        <v>-14.719766669054529</v>
      </c>
      <c r="MS36" s="133">
        <f t="shared" si="399"/>
        <v>-10.372543447653371</v>
      </c>
      <c r="MT36" s="133">
        <f t="shared" si="400"/>
        <v>-3.0711291079966685</v>
      </c>
      <c r="MU36" s="134">
        <f t="shared" si="401"/>
        <v>5.1266550567967215</v>
      </c>
      <c r="MV36" s="133">
        <f t="shared" si="402"/>
        <v>13.376124064625259</v>
      </c>
      <c r="MW36" s="133">
        <f t="shared" si="150"/>
        <v>20.81479557657341</v>
      </c>
      <c r="MX36" s="133">
        <f t="shared" si="151"/>
        <v>25.288970492066611</v>
      </c>
      <c r="MY36" s="133">
        <f t="shared" si="152"/>
        <v>29.17802460470778</v>
      </c>
      <c r="MZ36" s="133">
        <f t="shared" si="153"/>
        <v>33.709087910725835</v>
      </c>
      <c r="NA36" s="81"/>
      <c r="NB36" s="81">
        <v>34</v>
      </c>
      <c r="NC36" s="133">
        <f t="shared" si="154"/>
        <v>-17.420041876224531</v>
      </c>
      <c r="ND36" s="133">
        <f t="shared" si="155"/>
        <v>-13.356416351144663</v>
      </c>
      <c r="NE36" s="133">
        <f t="shared" si="156"/>
        <v>-9.8203550650507339</v>
      </c>
      <c r="NF36" s="133">
        <f t="shared" si="403"/>
        <v>-5.7057025539448887</v>
      </c>
      <c r="NG36" s="133">
        <f t="shared" si="404"/>
        <v>1.2311452572640427</v>
      </c>
      <c r="NH36" s="134">
        <f t="shared" si="405"/>
        <v>9.0492881858180247</v>
      </c>
      <c r="NI36" s="133">
        <f t="shared" si="406"/>
        <v>16.941226928463006</v>
      </c>
      <c r="NJ36" s="133">
        <f t="shared" si="157"/>
        <v>24.074626241068056</v>
      </c>
      <c r="NK36" s="133">
        <f t="shared" si="158"/>
        <v>28.371925413300982</v>
      </c>
      <c r="NL36" s="133">
        <f t="shared" si="159"/>
        <v>32.110945487528255</v>
      </c>
      <c r="NM36" s="133">
        <f t="shared" si="160"/>
        <v>36.471241492981662</v>
      </c>
      <c r="NN36" s="81"/>
      <c r="NO36" s="81">
        <v>36</v>
      </c>
      <c r="NP36" s="133">
        <f t="shared" si="161"/>
        <v>-23.374191521212666</v>
      </c>
      <c r="NQ36" s="133">
        <f t="shared" si="162"/>
        <v>-19.437010825879714</v>
      </c>
      <c r="NR36" s="133">
        <f t="shared" si="163"/>
        <v>-16.04722541899346</v>
      </c>
      <c r="NS36" s="133">
        <f t="shared" si="407"/>
        <v>-12.135621202492505</v>
      </c>
      <c r="NT36" s="133">
        <f t="shared" si="408"/>
        <v>-5.6037049712565121</v>
      </c>
      <c r="NU36" s="134">
        <f t="shared" si="409"/>
        <v>1.684725397738589</v>
      </c>
      <c r="NV36" s="133">
        <f t="shared" si="410"/>
        <v>8.9800689876661437</v>
      </c>
      <c r="NW36" s="133">
        <f t="shared" si="164"/>
        <v>15.530355126374943</v>
      </c>
      <c r="NX36" s="133">
        <f t="shared" si="165"/>
        <v>19.458964185608551</v>
      </c>
      <c r="NY36" s="133">
        <f t="shared" si="166"/>
        <v>22.867554790640519</v>
      </c>
      <c r="NZ36" s="133">
        <f t="shared" si="167"/>
        <v>26.83200109639715</v>
      </c>
      <c r="OA36" s="81"/>
      <c r="OB36" s="81">
        <v>34</v>
      </c>
      <c r="OC36" s="133">
        <v>14.765347513408228</v>
      </c>
      <c r="OD36" s="133">
        <v>16.357873784625237</v>
      </c>
      <c r="OE36" s="133">
        <v>17.864249959571641</v>
      </c>
      <c r="OF36" s="133">
        <v>19.773965725531074</v>
      </c>
      <c r="OG36" s="133">
        <v>23.424772143507223</v>
      </c>
      <c r="OH36" s="134">
        <v>28.293635179114609</v>
      </c>
      <c r="OI36" s="133">
        <v>34.174496415356543</v>
      </c>
      <c r="OJ36" s="133">
        <v>40.484028482725172</v>
      </c>
      <c r="OK36" s="133">
        <v>44.811833324125011</v>
      </c>
      <c r="OL36" s="133">
        <v>48.938499109905656</v>
      </c>
      <c r="OM36" s="133">
        <v>54.216793131477615</v>
      </c>
      <c r="ON36" s="81"/>
      <c r="OO36" s="81">
        <v>34</v>
      </c>
      <c r="OP36" s="133">
        <v>13.288709419036268</v>
      </c>
      <c r="OQ36" s="133">
        <v>14.585340901216382</v>
      </c>
      <c r="OR36" s="133">
        <v>15.801263494644957</v>
      </c>
      <c r="OS36" s="133">
        <v>17.329477483046318</v>
      </c>
      <c r="OT36" s="133">
        <v>25.173571136488597</v>
      </c>
      <c r="OU36" s="134">
        <v>24.000279065676899</v>
      </c>
      <c r="OV36" s="133">
        <v>28.494681689880704</v>
      </c>
      <c r="OW36" s="133">
        <v>33.238936130295393</v>
      </c>
      <c r="OX36" s="133">
        <v>36.453628877562835</v>
      </c>
      <c r="OY36" s="133">
        <v>39.492624761504935</v>
      </c>
      <c r="OZ36" s="133">
        <v>43.34607500749631</v>
      </c>
      <c r="PA36" s="81"/>
      <c r="PB36" s="81">
        <v>36</v>
      </c>
      <c r="PC36" s="133">
        <v>20.150020154548042</v>
      </c>
      <c r="PD36" s="133">
        <v>21.760200989458891</v>
      </c>
      <c r="PE36" s="133">
        <v>23.247587029250067</v>
      </c>
      <c r="PF36" s="133">
        <v>25.089063276808915</v>
      </c>
      <c r="PG36" s="133">
        <v>28.491286036230981</v>
      </c>
      <c r="PH36" s="134">
        <v>32.829799912465475</v>
      </c>
      <c r="PI36" s="133">
        <v>37.828961490960346</v>
      </c>
      <c r="PJ36" s="133">
        <v>42.958788472935112</v>
      </c>
      <c r="PK36" s="133">
        <v>46.361618560087031</v>
      </c>
      <c r="PL36" s="133">
        <v>49.53059775572045</v>
      </c>
      <c r="PM36" s="133">
        <v>53.488569938191837</v>
      </c>
      <c r="PN36" s="81"/>
      <c r="PO36" s="81">
        <v>34</v>
      </c>
      <c r="PP36" s="133">
        <v>8.2629433164580739</v>
      </c>
      <c r="PQ36" s="133">
        <v>9.0086492287265774</v>
      </c>
      <c r="PR36" s="133">
        <v>9.7036051854303267</v>
      </c>
      <c r="PS36" s="133">
        <v>10.571639968314157</v>
      </c>
      <c r="PT36" s="133">
        <v>12.195903208346609</v>
      </c>
      <c r="PU36" s="134">
        <v>14.302053894238504</v>
      </c>
      <c r="PV36" s="133">
        <v>16.771922677585216</v>
      </c>
      <c r="PW36" s="133">
        <v>19.348818745888664</v>
      </c>
      <c r="PX36" s="133">
        <v>21.079664896179683</v>
      </c>
      <c r="PY36" s="133">
        <v>22.705817531605337</v>
      </c>
      <c r="PZ36" s="133">
        <v>24.754949629907792</v>
      </c>
      <c r="QA36" s="81"/>
      <c r="QB36" s="81">
        <v>34</v>
      </c>
      <c r="QC36" s="133">
        <v>7.9084750813182145</v>
      </c>
      <c r="QD36" s="133">
        <v>8.6218872360675789</v>
      </c>
      <c r="QE36" s="133">
        <v>9.2867254659594707</v>
      </c>
      <c r="QF36" s="133">
        <v>10.1171145366741</v>
      </c>
      <c r="QG36" s="133">
        <v>11.670862092126333</v>
      </c>
      <c r="QH36" s="134">
        <v>13.685451860241923</v>
      </c>
      <c r="QI36" s="133">
        <v>16.047794168123545</v>
      </c>
      <c r="QJ36" s="133">
        <v>18.512352700967767</v>
      </c>
      <c r="QK36" s="133">
        <v>20.167667635434814</v>
      </c>
      <c r="QL36" s="133">
        <v>21.72280702483674</v>
      </c>
      <c r="QM36" s="133">
        <v>23.682390181822594</v>
      </c>
      <c r="QN36" s="81"/>
      <c r="QO36" s="81">
        <v>36</v>
      </c>
      <c r="QP36" s="133">
        <v>9.2782154221566806</v>
      </c>
      <c r="QQ36" s="133">
        <v>10.04077788478723</v>
      </c>
      <c r="QR36" s="133">
        <v>10.746566022221362</v>
      </c>
      <c r="QS36" s="133">
        <v>11.622085481980609</v>
      </c>
      <c r="QT36" s="133">
        <v>13.244208986415471</v>
      </c>
      <c r="QU36" s="134">
        <v>15.320399590264614</v>
      </c>
      <c r="QV36" s="133">
        <v>17.722058285710069</v>
      </c>
      <c r="QW36" s="133">
        <v>20.195570233009558</v>
      </c>
      <c r="QX36" s="133">
        <v>21.840897187068471</v>
      </c>
      <c r="QY36" s="133">
        <v>23.376141400458224</v>
      </c>
      <c r="QZ36" s="133">
        <v>25.297391031132328</v>
      </c>
      <c r="RA36" s="81"/>
      <c r="RB36" s="81">
        <v>34</v>
      </c>
      <c r="RC36" s="133">
        <f t="shared" si="168"/>
        <v>0.27799472885641074</v>
      </c>
      <c r="RD36" s="133">
        <f t="shared" si="169"/>
        <v>0.30204987396244426</v>
      </c>
      <c r="RE36" s="133">
        <f t="shared" si="170"/>
        <v>0.32467554593256798</v>
      </c>
      <c r="RF36" s="133">
        <f t="shared" si="411"/>
        <v>0.35322933816126689</v>
      </c>
      <c r="RG36" s="133">
        <f t="shared" si="412"/>
        <v>0.40756964772533527</v>
      </c>
      <c r="RH36" s="134">
        <f t="shared" si="413"/>
        <v>0.47986745441317868</v>
      </c>
      <c r="RI36" s="133">
        <f t="shared" si="414"/>
        <v>0.56737519306956474</v>
      </c>
      <c r="RJ36" s="133">
        <f t="shared" si="171"/>
        <v>0.66187605094394031</v>
      </c>
      <c r="RK36" s="133">
        <f t="shared" si="172"/>
        <v>0.72720787573543721</v>
      </c>
      <c r="RL36" s="133">
        <f t="shared" si="173"/>
        <v>0.78995776500363091</v>
      </c>
      <c r="RM36" s="133">
        <f t="shared" si="174"/>
        <v>0.87092836065860202</v>
      </c>
      <c r="RN36" s="81"/>
      <c r="RO36" s="81">
        <v>34</v>
      </c>
      <c r="RP36" s="133">
        <f t="shared" si="175"/>
        <v>0.30620621625441169</v>
      </c>
      <c r="RQ36" s="133">
        <f t="shared" si="176"/>
        <v>0.33061895181384732</v>
      </c>
      <c r="RR36" s="133">
        <f t="shared" si="177"/>
        <v>0.35352937136423951</v>
      </c>
      <c r="RS36" s="133">
        <f t="shared" si="415"/>
        <v>0.38238601278041839</v>
      </c>
      <c r="RT36" s="133">
        <f t="shared" si="416"/>
        <v>0.43717874444138427</v>
      </c>
      <c r="RU36" s="134">
        <f t="shared" si="417"/>
        <v>0.5099373597818242</v>
      </c>
      <c r="RV36" s="133">
        <f t="shared" si="418"/>
        <v>0.59794808429966506</v>
      </c>
      <c r="RW36" s="133">
        <f t="shared" si="178"/>
        <v>0.69307809321309777</v>
      </c>
      <c r="RX36" s="133">
        <f t="shared" si="179"/>
        <v>0.75895765459040765</v>
      </c>
      <c r="RY36" s="133">
        <f t="shared" si="180"/>
        <v>0.82234981844670008</v>
      </c>
      <c r="RZ36" s="133">
        <f t="shared" si="181"/>
        <v>0.90434644562224642</v>
      </c>
      <c r="SA36" s="81"/>
      <c r="SB36" s="81">
        <v>36</v>
      </c>
      <c r="SC36" s="133">
        <f t="shared" si="182"/>
        <v>0.26609355012190372</v>
      </c>
      <c r="SD36" s="133">
        <f t="shared" si="183"/>
        <v>0.28996963883577248</v>
      </c>
      <c r="SE36" s="133">
        <f t="shared" si="184"/>
        <v>0.31223497796549243</v>
      </c>
      <c r="SF36" s="133">
        <f t="shared" si="419"/>
        <v>0.34006558870093745</v>
      </c>
      <c r="SG36" s="133">
        <f t="shared" si="420"/>
        <v>0.39220427781521738</v>
      </c>
      <c r="SH36" s="134">
        <f t="shared" si="421"/>
        <v>0.45993501510648527</v>
      </c>
      <c r="SI36" s="133">
        <f t="shared" si="422"/>
        <v>0.5395406794903308</v>
      </c>
      <c r="SJ36" s="133">
        <f t="shared" si="185"/>
        <v>0.62279774228869833</v>
      </c>
      <c r="SK36" s="133">
        <f t="shared" si="186"/>
        <v>0.67883260254849398</v>
      </c>
      <c r="SL36" s="133">
        <f t="shared" si="187"/>
        <v>0.73155863103337415</v>
      </c>
      <c r="SM36" s="133">
        <f t="shared" si="188"/>
        <v>0.7981076435537513</v>
      </c>
      <c r="SN36" s="81"/>
      <c r="SO36" s="81">
        <v>34</v>
      </c>
      <c r="SP36" s="133">
        <f t="shared" si="189"/>
        <v>0.21717734766279767</v>
      </c>
      <c r="SQ36" s="133">
        <f t="shared" si="190"/>
        <v>0.23195978585653848</v>
      </c>
      <c r="SR36" s="133">
        <f t="shared" si="191"/>
        <v>0.24526368015983591</v>
      </c>
      <c r="SS36" s="133">
        <f t="shared" si="423"/>
        <v>0.2613005620133183</v>
      </c>
      <c r="ST36" s="133">
        <f t="shared" si="424"/>
        <v>0.28977989460613174</v>
      </c>
      <c r="SU36" s="134">
        <f t="shared" si="425"/>
        <v>0.32418776947973565</v>
      </c>
      <c r="SV36" s="133">
        <f t="shared" si="426"/>
        <v>0.36155956173586895</v>
      </c>
      <c r="SW36" s="133">
        <f t="shared" si="192"/>
        <v>0.39774646231257443</v>
      </c>
      <c r="SX36" s="133">
        <f t="shared" si="193"/>
        <v>0.42069635395436655</v>
      </c>
      <c r="SY36" s="133">
        <f t="shared" si="194"/>
        <v>0.44139058263534064</v>
      </c>
      <c r="SZ36" s="133">
        <f t="shared" si="195"/>
        <v>0.46639772918853578</v>
      </c>
      <c r="TA36" s="81"/>
      <c r="TB36" s="81">
        <v>34</v>
      </c>
      <c r="TC36" s="133">
        <f t="shared" si="196"/>
        <v>0.2344285667623856</v>
      </c>
      <c r="TD36" s="133">
        <f t="shared" si="197"/>
        <v>0.24867235107459176</v>
      </c>
      <c r="TE36" s="133">
        <f t="shared" si="198"/>
        <v>0.26148760724025688</v>
      </c>
      <c r="TF36" s="133">
        <f t="shared" si="427"/>
        <v>0.27693496705104259</v>
      </c>
      <c r="TG36" s="133">
        <f t="shared" si="428"/>
        <v>0.30437835927263612</v>
      </c>
      <c r="TH36" s="134">
        <f t="shared" si="429"/>
        <v>0.33757542855578138</v>
      </c>
      <c r="TI36" s="133">
        <f t="shared" si="430"/>
        <v>0.37370802356886784</v>
      </c>
      <c r="TJ36" s="133">
        <f t="shared" si="199"/>
        <v>0.40878932379468075</v>
      </c>
      <c r="TK36" s="133">
        <f t="shared" si="200"/>
        <v>0.43109233399547292</v>
      </c>
      <c r="TL36" s="133">
        <f t="shared" si="201"/>
        <v>0.45124195015678659</v>
      </c>
      <c r="TM36" s="133">
        <f t="shared" si="202"/>
        <v>0.47564209248966011</v>
      </c>
      <c r="TN36" s="81"/>
      <c r="TO36" s="81">
        <v>36</v>
      </c>
      <c r="TP36" s="133">
        <f t="shared" si="203"/>
        <v>0.20973953100660456</v>
      </c>
      <c r="TQ36" s="133">
        <f t="shared" si="204"/>
        <v>0.22472499542581115</v>
      </c>
      <c r="TR36" s="133">
        <f t="shared" si="205"/>
        <v>0.23808079438818969</v>
      </c>
      <c r="TS36" s="133">
        <f t="shared" si="431"/>
        <v>0.25402007247419844</v>
      </c>
      <c r="TT36" s="133">
        <f t="shared" si="432"/>
        <v>0.28191125190886868</v>
      </c>
      <c r="TU36" s="134">
        <f t="shared" si="433"/>
        <v>0.31493935783988464</v>
      </c>
      <c r="TV36" s="133">
        <f t="shared" si="434"/>
        <v>0.35004123739158638</v>
      </c>
      <c r="TW36" s="133">
        <f t="shared" si="206"/>
        <v>0.3833220981605131</v>
      </c>
      <c r="TX36" s="133">
        <f t="shared" si="207"/>
        <v>0.40409164300649991</v>
      </c>
      <c r="TY36" s="133">
        <f t="shared" si="208"/>
        <v>0.42260725303915331</v>
      </c>
      <c r="TZ36" s="133">
        <f t="shared" si="209"/>
        <v>0.44472468244113827</v>
      </c>
      <c r="UA36" s="81"/>
      <c r="UB36" s="81">
        <v>34</v>
      </c>
      <c r="UC36" s="133">
        <f t="shared" si="210"/>
        <v>-24.755351006097889</v>
      </c>
      <c r="UD36" s="133">
        <f t="shared" si="211"/>
        <v>-21.125574597448242</v>
      </c>
      <c r="UE36" s="133">
        <f t="shared" si="212"/>
        <v>-18.104326828893747</v>
      </c>
      <c r="UF36" s="133">
        <f t="shared" si="435"/>
        <v>-14.721436325717896</v>
      </c>
      <c r="UG36" s="133">
        <f t="shared" si="436"/>
        <v>-9.2840513098761761</v>
      </c>
      <c r="UH36" s="134">
        <f t="shared" si="437"/>
        <v>-3.4793638113561585</v>
      </c>
      <c r="UI36" s="133">
        <f t="shared" si="438"/>
        <v>2.1000000779936272</v>
      </c>
      <c r="UJ36" s="133">
        <f t="shared" si="213"/>
        <v>6.9420633883601397</v>
      </c>
      <c r="UK36" s="133">
        <f t="shared" si="214"/>
        <v>9.7788634976831332</v>
      </c>
      <c r="UL36" s="133">
        <f t="shared" si="215"/>
        <v>12.202727615428259</v>
      </c>
      <c r="UM36" s="133">
        <f t="shared" si="216"/>
        <v>14.980932921605955</v>
      </c>
      <c r="UN36" s="81"/>
      <c r="UO36" s="81">
        <v>34</v>
      </c>
      <c r="UP36" s="133">
        <f t="shared" si="217"/>
        <v>-20.332784569223527</v>
      </c>
      <c r="UQ36" s="133">
        <f t="shared" si="218"/>
        <v>-17.402031792027412</v>
      </c>
      <c r="UR36" s="133">
        <f t="shared" si="219"/>
        <v>-14.88978579394017</v>
      </c>
      <c r="US36" s="133">
        <f t="shared" si="439"/>
        <v>-12.001471283233272</v>
      </c>
      <c r="UT36" s="133">
        <f t="shared" si="440"/>
        <v>-7.1996731104780416</v>
      </c>
      <c r="UU36" s="134">
        <f t="shared" si="441"/>
        <v>-1.8678174123381126</v>
      </c>
      <c r="UV36" s="133">
        <f t="shared" si="442"/>
        <v>3.4463187596362346</v>
      </c>
      <c r="UW36" s="133">
        <f t="shared" si="220"/>
        <v>8.2012043693436283</v>
      </c>
      <c r="UX36" s="133">
        <f t="shared" si="221"/>
        <v>11.046338997077306</v>
      </c>
      <c r="UY36" s="133">
        <f t="shared" si="222"/>
        <v>13.511149636461184</v>
      </c>
      <c r="UZ36" s="133">
        <f t="shared" si="223"/>
        <v>16.373824352879751</v>
      </c>
      <c r="VA36" s="81"/>
      <c r="VB36" s="81">
        <v>37</v>
      </c>
      <c r="VC36" s="133">
        <f t="shared" si="224"/>
        <v>-25.664461275973402</v>
      </c>
      <c r="VD36" s="133">
        <f t="shared" si="225"/>
        <v>-21.771623709284661</v>
      </c>
      <c r="VE36" s="133">
        <f t="shared" si="226"/>
        <v>-18.599064185734996</v>
      </c>
      <c r="VF36" s="133">
        <f t="shared" si="443"/>
        <v>-15.108879807656045</v>
      </c>
      <c r="VG36" s="133">
        <f t="shared" si="444"/>
        <v>-9.6157302862540348</v>
      </c>
      <c r="VH36" s="134">
        <f t="shared" si="445"/>
        <v>-3.8844081910654467</v>
      </c>
      <c r="VI36" s="133">
        <f t="shared" si="446"/>
        <v>1.516358099156065</v>
      </c>
      <c r="VJ36" s="133">
        <f t="shared" si="227"/>
        <v>6.1296640222510916</v>
      </c>
      <c r="VK36" s="133">
        <f t="shared" si="228"/>
        <v>8.8039717955644647</v>
      </c>
      <c r="VL36" s="133">
        <f t="shared" si="229"/>
        <v>11.073588860920381</v>
      </c>
      <c r="VM36" s="133">
        <f t="shared" si="230"/>
        <v>13.658525459361485</v>
      </c>
      <c r="VN36" s="81"/>
      <c r="VO36" s="81">
        <v>34</v>
      </c>
      <c r="VP36" s="133">
        <f t="shared" si="231"/>
        <v>-41.274370603483675</v>
      </c>
      <c r="VQ36" s="133">
        <f t="shared" si="232"/>
        <v>-37.243740904202497</v>
      </c>
      <c r="VR36" s="133">
        <f t="shared" si="233"/>
        <v>-33.439642248410152</v>
      </c>
      <c r="VS36" s="133">
        <f t="shared" si="447"/>
        <v>-28.68028099904706</v>
      </c>
      <c r="VT36" s="133">
        <f t="shared" si="448"/>
        <v>-19.884771304168325</v>
      </c>
      <c r="VU36" s="134">
        <f t="shared" si="449"/>
        <v>-8.8736291327933188</v>
      </c>
      <c r="VV36" s="133">
        <f t="shared" si="450"/>
        <v>3.3549278047224647</v>
      </c>
      <c r="VW36" s="133">
        <f t="shared" si="234"/>
        <v>15.32283947222971</v>
      </c>
      <c r="VX36" s="133">
        <f t="shared" si="235"/>
        <v>22.935948965240506</v>
      </c>
      <c r="VY36" s="133">
        <f t="shared" si="236"/>
        <v>29.800071347165137</v>
      </c>
      <c r="VZ36" s="133">
        <f t="shared" si="237"/>
        <v>38.081032852278916</v>
      </c>
      <c r="WA36" s="81"/>
      <c r="WB36" s="81">
        <v>34</v>
      </c>
      <c r="WC36" s="133">
        <f t="shared" si="238"/>
        <v>-37.587042786095203</v>
      </c>
      <c r="WD36" s="133">
        <f t="shared" si="239"/>
        <v>-33.727656284794129</v>
      </c>
      <c r="WE36" s="133">
        <f t="shared" si="240"/>
        <v>-30.041790513842624</v>
      </c>
      <c r="WF36" s="133">
        <f t="shared" si="451"/>
        <v>-25.387917800418993</v>
      </c>
      <c r="WG36" s="133">
        <f t="shared" si="452"/>
        <v>-16.700365573650785</v>
      </c>
      <c r="WH36" s="134">
        <f t="shared" si="453"/>
        <v>-5.7169826654803799</v>
      </c>
      <c r="WI36" s="133">
        <f t="shared" si="454"/>
        <v>6.574290469539271</v>
      </c>
      <c r="WJ36" s="133">
        <f t="shared" si="241"/>
        <v>18.670925172768996</v>
      </c>
      <c r="WK36" s="133">
        <f t="shared" si="242"/>
        <v>26.392667879316953</v>
      </c>
      <c r="WL36" s="133">
        <f t="shared" si="243"/>
        <v>33.369561935980578</v>
      </c>
      <c r="WM36" s="133">
        <f t="shared" si="244"/>
        <v>41.802846940726333</v>
      </c>
      <c r="WN36" s="81"/>
      <c r="WO36" s="81">
        <v>37</v>
      </c>
      <c r="WP36" s="133">
        <f t="shared" si="245"/>
        <v>-41.788131051979633</v>
      </c>
      <c r="WQ36" s="133">
        <f t="shared" si="246"/>
        <v>-37.56169053346683</v>
      </c>
      <c r="WR36" s="133">
        <f t="shared" si="247"/>
        <v>-33.624943262685861</v>
      </c>
      <c r="WS36" s="133">
        <f t="shared" si="455"/>
        <v>-28.764692735232185</v>
      </c>
      <c r="WT36" s="133">
        <f t="shared" si="456"/>
        <v>-19.948073307253701</v>
      </c>
      <c r="WU36" s="134">
        <f t="shared" si="457"/>
        <v>-9.1613683121635319</v>
      </c>
      <c r="WV36" s="133">
        <f t="shared" si="458"/>
        <v>2.5540575378051784</v>
      </c>
      <c r="WW36" s="133">
        <f t="shared" si="248"/>
        <v>13.799597029253768</v>
      </c>
      <c r="WX36" s="133">
        <f t="shared" si="249"/>
        <v>20.856246923261772</v>
      </c>
      <c r="WY36" s="133">
        <f t="shared" si="250"/>
        <v>27.161054456507209</v>
      </c>
      <c r="WZ36" s="133">
        <f t="shared" si="251"/>
        <v>34.700757772609059</v>
      </c>
      <c r="XA36" s="81"/>
      <c r="XB36" s="81">
        <v>34</v>
      </c>
      <c r="XC36" s="133">
        <f t="shared" si="252"/>
        <v>-46.795352101011289</v>
      </c>
      <c r="XD36" s="133">
        <f t="shared" si="253"/>
        <v>-42.243767403652214</v>
      </c>
      <c r="XE36" s="133">
        <f t="shared" si="254"/>
        <v>-38.012301370773542</v>
      </c>
      <c r="XF36" s="133">
        <f t="shared" si="459"/>
        <v>-32.823305168408197</v>
      </c>
      <c r="XG36" s="133">
        <f t="shared" si="460"/>
        <v>-23.531712323868156</v>
      </c>
      <c r="XH36" s="134">
        <f t="shared" si="461"/>
        <v>-12.374487133070545</v>
      </c>
      <c r="XI36" s="133">
        <f t="shared" si="462"/>
        <v>-0.49127222281641991</v>
      </c>
      <c r="XJ36" s="133">
        <f t="shared" si="255"/>
        <v>10.715929662583754</v>
      </c>
      <c r="XK36" s="133">
        <f t="shared" si="256"/>
        <v>17.660314270167824</v>
      </c>
      <c r="XL36" s="133">
        <f t="shared" si="257"/>
        <v>23.812461727744569</v>
      </c>
      <c r="XM36" s="133">
        <f t="shared" si="258"/>
        <v>31.109400226964688</v>
      </c>
      <c r="XN36" s="81"/>
      <c r="XO36" s="81">
        <v>34</v>
      </c>
      <c r="XP36" s="133">
        <f t="shared" si="259"/>
        <v>-41.64714396981708</v>
      </c>
      <c r="XQ36" s="133">
        <f t="shared" si="260"/>
        <v>-37.08953385162323</v>
      </c>
      <c r="XR36" s="133">
        <f t="shared" si="261"/>
        <v>-32.905420067539829</v>
      </c>
      <c r="XS36" s="133">
        <f t="shared" si="463"/>
        <v>-27.822107798881994</v>
      </c>
      <c r="XT36" s="133">
        <f t="shared" si="464"/>
        <v>-18.811629607103804</v>
      </c>
      <c r="XU36" s="134">
        <f t="shared" si="465"/>
        <v>-8.1010394336716303</v>
      </c>
      <c r="XV36" s="133">
        <f t="shared" si="466"/>
        <v>3.213011690412344</v>
      </c>
      <c r="XW36" s="133">
        <f t="shared" si="262"/>
        <v>13.816119188973879</v>
      </c>
      <c r="XX36" s="133">
        <f t="shared" si="263"/>
        <v>20.359186019184669</v>
      </c>
      <c r="XY36" s="133">
        <f t="shared" si="264"/>
        <v>26.14070910242156</v>
      </c>
      <c r="XZ36" s="133">
        <f t="shared" si="265"/>
        <v>32.981416368520222</v>
      </c>
      <c r="YA36" s="81"/>
      <c r="YB36" s="81">
        <v>37</v>
      </c>
      <c r="YC36" s="133">
        <f t="shared" si="266"/>
        <v>-47.911692657990386</v>
      </c>
      <c r="YD36" s="133">
        <f t="shared" si="267"/>
        <v>-43.26841771343863</v>
      </c>
      <c r="YE36" s="133">
        <f t="shared" si="268"/>
        <v>-38.98861133267954</v>
      </c>
      <c r="YF36" s="133">
        <f t="shared" si="467"/>
        <v>-33.785830131296684</v>
      </c>
      <c r="YG36" s="133">
        <f t="shared" si="468"/>
        <v>-24.57635304451675</v>
      </c>
      <c r="YH36" s="134">
        <f t="shared" si="469"/>
        <v>-13.664445009050858</v>
      </c>
      <c r="YI36" s="133">
        <f t="shared" si="470"/>
        <v>-2.1823688151472709</v>
      </c>
      <c r="YJ36" s="133">
        <f t="shared" si="269"/>
        <v>8.5387125148451943</v>
      </c>
      <c r="YK36" s="133">
        <f t="shared" si="270"/>
        <v>15.136845026634198</v>
      </c>
      <c r="YL36" s="133">
        <f t="shared" si="271"/>
        <v>20.956447376231175</v>
      </c>
      <c r="YM36" s="133">
        <f t="shared" si="272"/>
        <v>27.830047679891642</v>
      </c>
      <c r="YN36" s="81"/>
      <c r="YO36" s="81">
        <v>34</v>
      </c>
      <c r="YP36" s="133">
        <v>18.465186768574704</v>
      </c>
      <c r="YQ36" s="133">
        <v>20.758694149453813</v>
      </c>
      <c r="YR36" s="133">
        <v>22.957818198100593</v>
      </c>
      <c r="YS36" s="133">
        <v>25.783936425307676</v>
      </c>
      <c r="YT36" s="133">
        <v>31.293661492007931</v>
      </c>
      <c r="YU36" s="134">
        <v>38.833045181550268</v>
      </c>
      <c r="YV36" s="133">
        <v>48.188844838672935</v>
      </c>
      <c r="YW36" s="133">
        <v>58.486236282842157</v>
      </c>
      <c r="YX36" s="133">
        <v>65.685919500707968</v>
      </c>
      <c r="YY36" s="133">
        <v>72.644521240850864</v>
      </c>
      <c r="YZ36" s="133">
        <v>81.667486875288461</v>
      </c>
      <c r="ZA36" s="81"/>
      <c r="ZB36" s="81">
        <v>34</v>
      </c>
      <c r="ZC36" s="133">
        <v>15.082916482113966</v>
      </c>
      <c r="ZD36" s="133">
        <v>17.187663963761256</v>
      </c>
      <c r="ZE36" s="133">
        <v>19.231317056085114</v>
      </c>
      <c r="ZF36" s="133">
        <v>21.890885714725336</v>
      </c>
      <c r="ZG36" s="133">
        <v>27.170990238288077</v>
      </c>
      <c r="ZH36" s="134">
        <v>34.570132716153083</v>
      </c>
      <c r="ZI36" s="133">
        <v>43.98419290322245</v>
      </c>
      <c r="ZJ36" s="133">
        <v>54.593226221474147</v>
      </c>
      <c r="ZK36" s="133">
        <v>62.143121686732783</v>
      </c>
      <c r="ZL36" s="133">
        <v>69.532082924834484</v>
      </c>
      <c r="ZM36" s="133">
        <v>79.234946200864798</v>
      </c>
      <c r="ZN36" s="81"/>
      <c r="ZO36" s="81">
        <v>37</v>
      </c>
      <c r="ZP36" s="133">
        <v>21.884457760424535</v>
      </c>
      <c r="ZQ36" s="133">
        <v>24.175590567349378</v>
      </c>
      <c r="ZR36" s="133">
        <v>26.337038788979907</v>
      </c>
      <c r="ZS36" s="133">
        <v>29.069964519113778</v>
      </c>
      <c r="ZT36" s="133">
        <v>34.274557262084528</v>
      </c>
      <c r="ZU36" s="134">
        <v>41.180876294831727</v>
      </c>
      <c r="ZV36" s="133">
        <v>49.478817755182128</v>
      </c>
      <c r="ZW36" s="133">
        <v>58.337345795354778</v>
      </c>
      <c r="ZX36" s="133">
        <v>64.390859807664782</v>
      </c>
      <c r="ZY36" s="133">
        <v>70.147803326078986</v>
      </c>
      <c r="ZZ36" s="133">
        <v>77.491733675805548</v>
      </c>
      <c r="AAA36" s="81"/>
      <c r="AAB36" s="81">
        <v>34</v>
      </c>
      <c r="AAC36" s="133">
        <v>8.9098610603625534</v>
      </c>
      <c r="AAD36" s="133">
        <v>9.8965309910049211</v>
      </c>
      <c r="AAE36" s="133">
        <v>10.832078986952602</v>
      </c>
      <c r="AAF36" s="133">
        <v>12.020988719219735</v>
      </c>
      <c r="AAG36" s="133">
        <v>14.301747738744336</v>
      </c>
      <c r="AAH36" s="134">
        <v>17.357364832282776</v>
      </c>
      <c r="AAI36" s="133">
        <v>21.06582492045958</v>
      </c>
      <c r="AAJ36" s="133">
        <v>25.062673375549302</v>
      </c>
      <c r="AAK36" s="133">
        <v>27.813507848665143</v>
      </c>
      <c r="AAL36" s="133">
        <v>30.442800027080438</v>
      </c>
      <c r="AAM36" s="133">
        <v>33.814008083837351</v>
      </c>
      <c r="AAN36" s="81"/>
      <c r="AAO36" s="81">
        <v>34</v>
      </c>
      <c r="AAP36" s="133">
        <v>7.9512500636498515</v>
      </c>
      <c r="AAQ36" s="133">
        <v>8.9298697130867364</v>
      </c>
      <c r="AAR36" s="133">
        <v>9.8673422570828109</v>
      </c>
      <c r="AAS36" s="133">
        <v>11.070974728580602</v>
      </c>
      <c r="AAT36" s="133">
        <v>13.41438584446631</v>
      </c>
      <c r="AAU36" s="134">
        <v>16.615402917520576</v>
      </c>
      <c r="AAV36" s="133">
        <v>20.58026489713923</v>
      </c>
      <c r="AAW36" s="133">
        <v>24.936522833789009</v>
      </c>
      <c r="AAX36" s="133">
        <v>27.978315428694717</v>
      </c>
      <c r="AAY36" s="133">
        <v>30.915525419925</v>
      </c>
      <c r="AAZ36" s="133">
        <v>34.720529715654131</v>
      </c>
      <c r="ABA36" s="81"/>
      <c r="ABB36" s="81">
        <v>37</v>
      </c>
      <c r="ABC36" s="133">
        <v>10.093869307375043</v>
      </c>
      <c r="ABD36" s="133">
        <v>11.073960744849378</v>
      </c>
      <c r="ABE36" s="133">
        <v>11.99267626315299</v>
      </c>
      <c r="ABF36" s="133">
        <v>13.146885228567257</v>
      </c>
      <c r="ABG36" s="133">
        <v>15.324785644652318</v>
      </c>
      <c r="ABH36" s="134">
        <v>18.180023195019661</v>
      </c>
      <c r="ABI36" s="133">
        <v>21.567234350634298</v>
      </c>
      <c r="ABJ36" s="133">
        <v>25.140041738043848</v>
      </c>
      <c r="ABK36" s="133">
        <v>27.559590213148795</v>
      </c>
      <c r="ABL36" s="133">
        <v>29.845982931190935</v>
      </c>
      <c r="ABM36" s="133">
        <v>32.743959061364599</v>
      </c>
      <c r="ABN36" s="81"/>
      <c r="ABO36" s="81">
        <v>34</v>
      </c>
      <c r="ABP36" s="133">
        <f t="shared" si="273"/>
        <v>0.2095411335205272</v>
      </c>
      <c r="ABQ36" s="133">
        <f t="shared" si="274"/>
        <v>0.23778565833705023</v>
      </c>
      <c r="ABR36" s="133">
        <f t="shared" si="275"/>
        <v>0.26421453381636684</v>
      </c>
      <c r="ABS36" s="133">
        <f t="shared" si="471"/>
        <v>0.2972725124046956</v>
      </c>
      <c r="ABT36" s="133">
        <f t="shared" si="472"/>
        <v>0.35898968886551602</v>
      </c>
      <c r="ABU36" s="134">
        <f t="shared" si="473"/>
        <v>0.43824589387356866</v>
      </c>
      <c r="ABV36" s="133">
        <f t="shared" si="474"/>
        <v>0.52955292094916795</v>
      </c>
      <c r="ABW36" s="133">
        <f t="shared" si="276"/>
        <v>0.62262451156464471</v>
      </c>
      <c r="ABX36" s="133">
        <f t="shared" si="277"/>
        <v>0.68382508300915712</v>
      </c>
      <c r="ABY36" s="133">
        <f t="shared" si="278"/>
        <v>0.74036107507734572</v>
      </c>
      <c r="ABZ36" s="133">
        <f t="shared" si="279"/>
        <v>0.81029586375817331</v>
      </c>
      <c r="ACA36" s="81"/>
      <c r="ACB36" s="81">
        <v>34</v>
      </c>
      <c r="ACC36" s="133">
        <f t="shared" si="280"/>
        <v>0.23243353801785258</v>
      </c>
      <c r="ACD36" s="133">
        <f t="shared" si="281"/>
        <v>0.25977832831087316</v>
      </c>
      <c r="ACE36" s="133">
        <f t="shared" si="282"/>
        <v>0.28546286750412753</v>
      </c>
      <c r="ACF36" s="133">
        <f t="shared" si="475"/>
        <v>0.31775526583208796</v>
      </c>
      <c r="ACG36" s="133">
        <f t="shared" si="476"/>
        <v>0.37861961250830251</v>
      </c>
      <c r="ACH36" s="134">
        <f t="shared" si="477"/>
        <v>0.45801106517702661</v>
      </c>
      <c r="ACI36" s="133">
        <f t="shared" si="478"/>
        <v>0.55129962480210737</v>
      </c>
      <c r="ACJ36" s="133">
        <f t="shared" si="283"/>
        <v>0.64844542934624805</v>
      </c>
      <c r="ACK36" s="133">
        <f t="shared" si="284"/>
        <v>0.71345412550168863</v>
      </c>
      <c r="ACL36" s="133">
        <f t="shared" si="285"/>
        <v>0.77429688257080886</v>
      </c>
      <c r="ACM36" s="133">
        <f t="shared" si="286"/>
        <v>0.85059545216606414</v>
      </c>
      <c r="ACN36" s="81"/>
      <c r="ACO36" s="81">
        <v>37</v>
      </c>
      <c r="ACP36" s="133">
        <f t="shared" si="287"/>
        <v>0.20290547718541904</v>
      </c>
      <c r="ACQ36" s="133">
        <f t="shared" si="288"/>
        <v>0.23393464646959344</v>
      </c>
      <c r="ACR36" s="133">
        <f t="shared" si="289"/>
        <v>0.26244675858818417</v>
      </c>
      <c r="ACS36" s="133">
        <f t="shared" si="479"/>
        <v>0.29742297444436699</v>
      </c>
      <c r="ACT36" s="133">
        <f t="shared" si="480"/>
        <v>0.36086182724362914</v>
      </c>
      <c r="ACU36" s="134">
        <f t="shared" si="481"/>
        <v>0.43891827228186869</v>
      </c>
      <c r="ACV36" s="133">
        <f t="shared" si="482"/>
        <v>0.52487941169281838</v>
      </c>
      <c r="ACW36" s="133">
        <f t="shared" si="290"/>
        <v>0.60890420097977815</v>
      </c>
      <c r="ACX36" s="133">
        <f t="shared" si="291"/>
        <v>0.6623187563308347</v>
      </c>
      <c r="ACY36" s="133">
        <f t="shared" si="292"/>
        <v>0.71052669436246652</v>
      </c>
      <c r="ACZ36" s="133">
        <f t="shared" si="293"/>
        <v>0.76877884563007148</v>
      </c>
      <c r="ADA36" s="81"/>
      <c r="ADB36" s="81">
        <v>34</v>
      </c>
      <c r="ADC36" s="133">
        <f t="shared" si="294"/>
        <v>0.17314925907518899</v>
      </c>
      <c r="ADD36" s="133">
        <f t="shared" si="295"/>
        <v>0.19267931965052648</v>
      </c>
      <c r="ADE36" s="133">
        <f t="shared" si="296"/>
        <v>0.20984219219810799</v>
      </c>
      <c r="ADF36" s="133">
        <f t="shared" si="483"/>
        <v>0.23002866532133959</v>
      </c>
      <c r="ADG36" s="133">
        <f t="shared" si="484"/>
        <v>0.26459963609778658</v>
      </c>
      <c r="ADH36" s="134">
        <f t="shared" si="485"/>
        <v>0.30436532586469728</v>
      </c>
      <c r="ADI36" s="133">
        <f t="shared" si="486"/>
        <v>0.34533790695316935</v>
      </c>
      <c r="ADJ36" s="133">
        <f t="shared" si="297"/>
        <v>0.3830582467729759</v>
      </c>
      <c r="ADK36" s="133">
        <f t="shared" si="298"/>
        <v>0.40608311585832851</v>
      </c>
      <c r="ADL36" s="133">
        <f t="shared" si="299"/>
        <v>0.42629510786200897</v>
      </c>
      <c r="ADM36" s="133">
        <f t="shared" si="300"/>
        <v>0.45006966613908145</v>
      </c>
      <c r="ADN36" s="81"/>
      <c r="ADO36" s="81">
        <v>34</v>
      </c>
      <c r="ADP36" s="133">
        <f t="shared" si="301"/>
        <v>0.18899460505385926</v>
      </c>
      <c r="ADQ36" s="133">
        <f t="shared" si="302"/>
        <v>0.20698033549882033</v>
      </c>
      <c r="ADR36" s="133">
        <f t="shared" si="303"/>
        <v>0.22295713856319746</v>
      </c>
      <c r="ADS36" s="133">
        <f t="shared" si="487"/>
        <v>0.2419502832106693</v>
      </c>
      <c r="ADT36" s="133">
        <f t="shared" si="488"/>
        <v>0.27497191513937852</v>
      </c>
      <c r="ADU36" s="134">
        <f t="shared" si="489"/>
        <v>0.31370053455908914</v>
      </c>
      <c r="ADV36" s="133">
        <f t="shared" si="490"/>
        <v>0.35440146411719842</v>
      </c>
      <c r="ADW36" s="133">
        <f t="shared" si="304"/>
        <v>0.39255420186196299</v>
      </c>
      <c r="ADX36" s="133">
        <f t="shared" si="305"/>
        <v>0.41615222189197021</v>
      </c>
      <c r="ADY36" s="133">
        <f t="shared" si="306"/>
        <v>0.43705476794349229</v>
      </c>
      <c r="ADZ36" s="133">
        <f t="shared" si="307"/>
        <v>0.46186047152141552</v>
      </c>
      <c r="AEA36" s="81"/>
      <c r="AEB36" s="81">
        <v>37</v>
      </c>
      <c r="AEC36" s="133">
        <f t="shared" si="308"/>
        <v>0.16881980663533933</v>
      </c>
      <c r="AED36" s="133">
        <f t="shared" si="309"/>
        <v>0.19041765935750493</v>
      </c>
      <c r="AEE36" s="133">
        <f t="shared" si="310"/>
        <v>0.20891435161454425</v>
      </c>
      <c r="AEF36" s="133">
        <f t="shared" si="491"/>
        <v>0.23015912463651617</v>
      </c>
      <c r="AEG36" s="133">
        <f t="shared" si="492"/>
        <v>0.26542855538782667</v>
      </c>
      <c r="AEH36" s="134">
        <f t="shared" si="493"/>
        <v>0.30452023195520084</v>
      </c>
      <c r="AEI36" s="133">
        <f t="shared" si="494"/>
        <v>0.34341162398211783</v>
      </c>
      <c r="AEJ36" s="133">
        <f t="shared" si="311"/>
        <v>0.37815440484129936</v>
      </c>
      <c r="AEK36" s="133">
        <f t="shared" si="312"/>
        <v>0.39891933944248731</v>
      </c>
      <c r="AEL36" s="133">
        <f t="shared" si="313"/>
        <v>0.4168947645576595</v>
      </c>
      <c r="AEM36" s="133">
        <f t="shared" si="314"/>
        <v>0.43775628156229485</v>
      </c>
      <c r="AEN36" s="81"/>
    </row>
    <row r="37" spans="1:820">
      <c r="A37" s="81"/>
      <c r="B37" s="81">
        <v>36</v>
      </c>
      <c r="C37" s="133">
        <f t="shared" si="0"/>
        <v>1.8442573215625493</v>
      </c>
      <c r="D37" s="133">
        <f t="shared" si="1"/>
        <v>2.2014233017463871</v>
      </c>
      <c r="E37" s="133">
        <f t="shared" si="2"/>
        <v>2.575671509432417</v>
      </c>
      <c r="F37" s="133">
        <f t="shared" si="315"/>
        <v>3.1047821078847049</v>
      </c>
      <c r="G37" s="133">
        <f t="shared" si="316"/>
        <v>4.3044963766021498</v>
      </c>
      <c r="H37" s="134">
        <f t="shared" si="317"/>
        <v>6.3507514257130628</v>
      </c>
      <c r="I37" s="133">
        <f t="shared" si="318"/>
        <v>9.6550070725458923</v>
      </c>
      <c r="J37" s="133">
        <f t="shared" si="3"/>
        <v>14.482363989042838</v>
      </c>
      <c r="K37" s="133">
        <f t="shared" si="4"/>
        <v>18.752496593822745</v>
      </c>
      <c r="L37" s="133">
        <f t="shared" si="5"/>
        <v>23.708824137835382</v>
      </c>
      <c r="M37" s="133">
        <f t="shared" si="6"/>
        <v>31.56012979098405</v>
      </c>
      <c r="N37" s="81"/>
      <c r="O37" s="75">
        <v>36</v>
      </c>
      <c r="P37" s="151">
        <f t="shared" si="7"/>
        <v>2.5376560683970721</v>
      </c>
      <c r="Q37" s="151">
        <f t="shared" si="8"/>
        <v>2.8755326775506398</v>
      </c>
      <c r="R37" s="151">
        <f t="shared" si="9"/>
        <v>3.2188385285711845</v>
      </c>
      <c r="S37" s="151">
        <f t="shared" si="319"/>
        <v>3.6904598300642242</v>
      </c>
      <c r="T37" s="151">
        <f t="shared" si="320"/>
        <v>4.7212528976955745</v>
      </c>
      <c r="U37" s="134">
        <f t="shared" si="321"/>
        <v>6.4168518221153752</v>
      </c>
      <c r="V37" s="151">
        <f t="shared" si="322"/>
        <v>9.1080050877242815</v>
      </c>
      <c r="W37" s="151">
        <f t="shared" si="10"/>
        <v>13.090629112473266</v>
      </c>
      <c r="X37" s="151">
        <f t="shared" si="11"/>
        <v>16.740621722688626</v>
      </c>
      <c r="Y37" s="151">
        <f t="shared" si="12"/>
        <v>21.176095864946141</v>
      </c>
      <c r="Z37" s="151">
        <f t="shared" si="13"/>
        <v>28.71631538435404</v>
      </c>
      <c r="AA37" s="81"/>
      <c r="AB37" s="75">
        <v>38</v>
      </c>
      <c r="AC37" s="151">
        <f t="shared" si="14"/>
        <v>1.5507683611228742</v>
      </c>
      <c r="AD37" s="151">
        <f t="shared" si="15"/>
        <v>1.8749385100955227</v>
      </c>
      <c r="AE37" s="151">
        <f t="shared" si="16"/>
        <v>2.2223895654480428</v>
      </c>
      <c r="AF37" s="151">
        <f t="shared" si="323"/>
        <v>2.726498291518713</v>
      </c>
      <c r="AG37" s="151">
        <f t="shared" si="324"/>
        <v>3.9215306924891347</v>
      </c>
      <c r="AH37" s="134">
        <f t="shared" si="325"/>
        <v>6.1106710191071905</v>
      </c>
      <c r="AI37" s="151">
        <f t="shared" si="326"/>
        <v>10.002306635059393</v>
      </c>
      <c r="AJ37" s="151">
        <f t="shared" si="17"/>
        <v>16.392779648586373</v>
      </c>
      <c r="AK37" s="151">
        <f t="shared" si="18"/>
        <v>22.683998332000911</v>
      </c>
      <c r="AL37" s="151">
        <f t="shared" si="19"/>
        <v>30.691811654798656</v>
      </c>
      <c r="AM37" s="151">
        <f t="shared" si="20"/>
        <v>44.858450754807528</v>
      </c>
      <c r="AN37" s="81"/>
      <c r="AO37" s="81">
        <v>36</v>
      </c>
      <c r="AP37" s="133">
        <f t="shared" si="21"/>
        <v>1.0650399077230199</v>
      </c>
      <c r="AQ37" s="133">
        <f t="shared" si="22"/>
        <v>3.0386008929142312</v>
      </c>
      <c r="AR37" s="133">
        <f t="shared" si="23"/>
        <v>4.9180603507658196</v>
      </c>
      <c r="AS37" s="133">
        <f t="shared" si="327"/>
        <v>7.2959426113994157</v>
      </c>
      <c r="AT37" s="133">
        <f t="shared" si="328"/>
        <v>11.77090813595867</v>
      </c>
      <c r="AU37" s="134">
        <f t="shared" si="329"/>
        <v>17.51673543156851</v>
      </c>
      <c r="AV37" s="133">
        <f t="shared" si="330"/>
        <v>24.072075790532942</v>
      </c>
      <c r="AW37" s="133">
        <f t="shared" si="24"/>
        <v>30.650379611971719</v>
      </c>
      <c r="AX37" s="133">
        <f t="shared" si="25"/>
        <v>34.912578334307156</v>
      </c>
      <c r="AY37" s="133">
        <f t="shared" si="26"/>
        <v>38.804149090229203</v>
      </c>
      <c r="AZ37" s="133">
        <f t="shared" si="27"/>
        <v>43.557537695344934</v>
      </c>
      <c r="BA37" s="81"/>
      <c r="BB37" s="81">
        <v>36</v>
      </c>
      <c r="BC37" s="133">
        <f t="shared" si="28"/>
        <v>3.9940687449877119</v>
      </c>
      <c r="BD37" s="133">
        <f t="shared" si="29"/>
        <v>6.1740892083673584</v>
      </c>
      <c r="BE37" s="133">
        <f t="shared" si="30"/>
        <v>8.1774160561991778</v>
      </c>
      <c r="BF37" s="133">
        <f t="shared" si="331"/>
        <v>10.630518497158047</v>
      </c>
      <c r="BG37" s="133">
        <f t="shared" si="332"/>
        <v>15.054344837725992</v>
      </c>
      <c r="BH37" s="134">
        <f t="shared" si="333"/>
        <v>20.457098593561192</v>
      </c>
      <c r="BI37" s="133">
        <f t="shared" si="334"/>
        <v>26.339447440379939</v>
      </c>
      <c r="BJ37" s="133">
        <f t="shared" si="31"/>
        <v>32.012028225159604</v>
      </c>
      <c r="BK37" s="133">
        <f t="shared" si="32"/>
        <v>35.587156090483226</v>
      </c>
      <c r="BL37" s="133">
        <f t="shared" si="33"/>
        <v>38.792154073328859</v>
      </c>
      <c r="BM37" s="133">
        <f t="shared" si="34"/>
        <v>42.638577906709415</v>
      </c>
      <c r="BN37" s="81"/>
      <c r="BO37" s="75">
        <v>38</v>
      </c>
      <c r="BP37" s="151">
        <f t="shared" si="35"/>
        <v>3.219727641560536</v>
      </c>
      <c r="BQ37" s="151">
        <f t="shared" si="36"/>
        <v>4.1504368651713888</v>
      </c>
      <c r="BR37" s="151">
        <f t="shared" si="37"/>
        <v>5.1254287490920776</v>
      </c>
      <c r="BS37" s="151">
        <f t="shared" si="335"/>
        <v>6.4855591793570504</v>
      </c>
      <c r="BT37" s="151">
        <f t="shared" si="336"/>
        <v>9.4388204313531485</v>
      </c>
      <c r="BU37" s="134">
        <f t="shared" si="337"/>
        <v>14.011854126888649</v>
      </c>
      <c r="BV37" s="151">
        <f t="shared" si="338"/>
        <v>20.35133875275373</v>
      </c>
      <c r="BW37" s="151">
        <f t="shared" si="38"/>
        <v>27.975384188549736</v>
      </c>
      <c r="BX37" s="151">
        <f t="shared" si="39"/>
        <v>33.619809732687983</v>
      </c>
      <c r="BY37" s="151">
        <f t="shared" si="40"/>
        <v>39.274497776128676</v>
      </c>
      <c r="BZ37" s="151">
        <f t="shared" si="41"/>
        <v>46.849756427734754</v>
      </c>
      <c r="CA37" s="81"/>
      <c r="CB37" s="81">
        <v>36</v>
      </c>
      <c r="CC37" s="133">
        <f t="shared" si="42"/>
        <v>-6.2487708635808348</v>
      </c>
      <c r="CD37" s="133">
        <f t="shared" si="43"/>
        <v>-4.4335180076462262</v>
      </c>
      <c r="CE37" s="133">
        <f t="shared" si="44"/>
        <v>-2.4529795919240929</v>
      </c>
      <c r="CF37" s="133">
        <f t="shared" si="339"/>
        <v>0.19342510968423632</v>
      </c>
      <c r="CG37" s="133">
        <f t="shared" si="340"/>
        <v>5.3042200607956689</v>
      </c>
      <c r="CH37" s="134">
        <f t="shared" si="341"/>
        <v>11.842994162086963</v>
      </c>
      <c r="CI37" s="133">
        <f t="shared" si="342"/>
        <v>19.127634195449225</v>
      </c>
      <c r="CJ37" s="133">
        <f t="shared" si="45"/>
        <v>26.218108018063038</v>
      </c>
      <c r="CK37" s="133">
        <f t="shared" si="46"/>
        <v>30.697545589162491</v>
      </c>
      <c r="CL37" s="133">
        <f t="shared" si="47"/>
        <v>34.713191886344006</v>
      </c>
      <c r="CM37" s="133">
        <f t="shared" si="48"/>
        <v>39.527600579222423</v>
      </c>
      <c r="CN37" s="81"/>
      <c r="CO37" s="81">
        <v>36</v>
      </c>
      <c r="CP37" s="133">
        <f t="shared" si="49"/>
        <v>-0.87595061844412481</v>
      </c>
      <c r="CQ37" s="133">
        <f t="shared" si="50"/>
        <v>1.3271987189557635</v>
      </c>
      <c r="CR37" s="133">
        <f t="shared" si="51"/>
        <v>3.40157224936367</v>
      </c>
      <c r="CS37" s="133">
        <f t="shared" si="343"/>
        <v>5.9778518627281096</v>
      </c>
      <c r="CT37" s="133">
        <f t="shared" si="344"/>
        <v>10.670154193722556</v>
      </c>
      <c r="CU37" s="134">
        <f t="shared" si="345"/>
        <v>16.418486461480114</v>
      </c>
      <c r="CV37" s="133">
        <f t="shared" si="346"/>
        <v>22.654772133689939</v>
      </c>
      <c r="CW37" s="133">
        <f t="shared" si="52"/>
        <v>28.627719941953426</v>
      </c>
      <c r="CX37" s="133">
        <f t="shared" si="53"/>
        <v>32.368108424170707</v>
      </c>
      <c r="CY37" s="133">
        <f t="shared" si="54"/>
        <v>35.704776691216537</v>
      </c>
      <c r="CZ37" s="133">
        <f t="shared" si="55"/>
        <v>39.688498825170207</v>
      </c>
      <c r="DA37" s="81"/>
      <c r="DB37" s="81">
        <v>38</v>
      </c>
      <c r="DC37" s="133">
        <f t="shared" si="56"/>
        <v>-6.4076990846746718</v>
      </c>
      <c r="DD37" s="133">
        <f t="shared" si="57"/>
        <v>-5.2318135206254599</v>
      </c>
      <c r="DE37" s="133">
        <f t="shared" si="58"/>
        <v>-3.8608084314919915</v>
      </c>
      <c r="DF37" s="133">
        <f t="shared" si="347"/>
        <v>-1.9221566493682172</v>
      </c>
      <c r="DG37" s="133">
        <f t="shared" si="348"/>
        <v>2.0702441610051165</v>
      </c>
      <c r="DH37" s="134">
        <f t="shared" si="349"/>
        <v>7.5212274980398535</v>
      </c>
      <c r="DI37" s="133">
        <f t="shared" si="350"/>
        <v>13.928019133851784</v>
      </c>
      <c r="DJ37" s="133">
        <f t="shared" si="59"/>
        <v>20.428886756496187</v>
      </c>
      <c r="DK37" s="133">
        <f t="shared" si="60"/>
        <v>24.649112235509705</v>
      </c>
      <c r="DL37" s="133">
        <f t="shared" si="61"/>
        <v>28.49856104287085</v>
      </c>
      <c r="DM37" s="133">
        <f t="shared" si="62"/>
        <v>33.189202845189612</v>
      </c>
      <c r="DN37" s="81"/>
      <c r="DO37" s="81">
        <v>36</v>
      </c>
      <c r="DP37" s="133">
        <v>12.905368873098041</v>
      </c>
      <c r="DQ37" s="133">
        <v>14.174266658895121</v>
      </c>
      <c r="DR37" s="133">
        <v>15.364935702145871</v>
      </c>
      <c r="DS37" s="133">
        <v>16.862357935959697</v>
      </c>
      <c r="DT37" s="133">
        <v>19.69209364190019</v>
      </c>
      <c r="DU37" s="134">
        <v>23.409162481493407</v>
      </c>
      <c r="DV37" s="133">
        <v>27.827863204904016</v>
      </c>
      <c r="DW37" s="133">
        <v>32.497761592188063</v>
      </c>
      <c r="DX37" s="133">
        <v>35.664899528894637</v>
      </c>
      <c r="DY37" s="133">
        <v>38.660828194668255</v>
      </c>
      <c r="DZ37" s="133">
        <v>42.46208639779929</v>
      </c>
      <c r="EA37" s="81"/>
      <c r="EB37" s="81">
        <v>36</v>
      </c>
      <c r="EC37" s="133">
        <v>12.947394583982094</v>
      </c>
      <c r="ED37" s="133">
        <v>13.885135446847723</v>
      </c>
      <c r="EE37" s="133">
        <v>14.745788892433444</v>
      </c>
      <c r="EF37" s="133">
        <v>15.804483133075497</v>
      </c>
      <c r="EG37" s="133">
        <v>17.742422450712048</v>
      </c>
      <c r="EH37" s="134">
        <v>20.183744099164244</v>
      </c>
      <c r="EI37" s="133">
        <v>22.960986696841857</v>
      </c>
      <c r="EJ37" s="133">
        <v>25.776453581577659</v>
      </c>
      <c r="EK37" s="133">
        <v>27.627109599377871</v>
      </c>
      <c r="EL37" s="133">
        <v>29.339542809647849</v>
      </c>
      <c r="EM37" s="133">
        <v>31.464517684858645</v>
      </c>
      <c r="EN37" s="81"/>
      <c r="EO37" s="81">
        <v>38</v>
      </c>
      <c r="EP37" s="133">
        <v>16.153943369452566</v>
      </c>
      <c r="EQ37" s="133">
        <v>17.309303300213124</v>
      </c>
      <c r="ER37" s="133">
        <v>18.368855309633705</v>
      </c>
      <c r="ES37" s="133">
        <v>19.671195663797349</v>
      </c>
      <c r="ET37" s="133">
        <v>22.052447333694388</v>
      </c>
      <c r="EU37" s="134">
        <v>25.047795988381594</v>
      </c>
      <c r="EV37" s="133">
        <v>28.449998060622498</v>
      </c>
      <c r="EW37" s="133">
        <v>31.89394760737553</v>
      </c>
      <c r="EX37" s="133">
        <v>34.15520854729278</v>
      </c>
      <c r="EY37" s="133">
        <v>36.245946644649791</v>
      </c>
      <c r="EZ37" s="133">
        <v>38.838323839985506</v>
      </c>
      <c r="FA37" s="81"/>
      <c r="FB37" s="81">
        <v>36</v>
      </c>
      <c r="FC37" s="133">
        <v>7.7681560395154508</v>
      </c>
      <c r="FD37" s="133">
        <v>8.6056265721786289</v>
      </c>
      <c r="FE37" s="133">
        <v>9.3977613629526893</v>
      </c>
      <c r="FF37" s="133">
        <v>10.401954160316871</v>
      </c>
      <c r="FG37" s="133">
        <v>12.321560865483592</v>
      </c>
      <c r="FH37" s="134">
        <v>14.881433356274313</v>
      </c>
      <c r="FI37" s="133">
        <v>17.97313353031447</v>
      </c>
      <c r="FJ37" s="133">
        <v>21.289947573705479</v>
      </c>
      <c r="FK37" s="133">
        <v>23.56487361024605</v>
      </c>
      <c r="FL37" s="133">
        <v>25.733984257832937</v>
      </c>
      <c r="FM37" s="133">
        <v>28.508317496548042</v>
      </c>
      <c r="FN37" s="81"/>
      <c r="FO37" s="81">
        <v>36</v>
      </c>
      <c r="FP37" s="133">
        <v>7.6329232666433189</v>
      </c>
      <c r="FQ37" s="133">
        <v>8.3110386663364615</v>
      </c>
      <c r="FR37" s="133">
        <v>8.9422474990968936</v>
      </c>
      <c r="FS37" s="133">
        <v>9.7297156873105752</v>
      </c>
      <c r="FT37" s="133">
        <v>11.200685718310078</v>
      </c>
      <c r="FU37" s="134">
        <v>13.103752071645856</v>
      </c>
      <c r="FV37" s="133">
        <v>15.330161266329132</v>
      </c>
      <c r="FW37" s="133">
        <v>17.647824856702005</v>
      </c>
      <c r="FX37" s="133">
        <v>19.201919693287888</v>
      </c>
      <c r="FY37" s="133">
        <v>20.660271868384015</v>
      </c>
      <c r="FZ37" s="133">
        <v>22.495748005950286</v>
      </c>
      <c r="GA37" s="81"/>
      <c r="GB37" s="81">
        <v>38</v>
      </c>
      <c r="GC37" s="133">
        <v>9.7817998065492304</v>
      </c>
      <c r="GD37" s="133">
        <v>10.600302950015225</v>
      </c>
      <c r="GE37" s="133">
        <v>11.358833549529914</v>
      </c>
      <c r="GF37" s="133">
        <v>12.300978797673121</v>
      </c>
      <c r="GG37" s="133">
        <v>14.049746552789294</v>
      </c>
      <c r="GH37" s="134">
        <v>16.293429402755152</v>
      </c>
      <c r="GI37" s="133">
        <v>18.895418554711323</v>
      </c>
      <c r="GJ37" s="133">
        <v>21.581684357734545</v>
      </c>
      <c r="GK37" s="133">
        <v>23.371752085719478</v>
      </c>
      <c r="GL37" s="133">
        <v>25.044174959375571</v>
      </c>
      <c r="GM37" s="133">
        <v>27.139774576537697</v>
      </c>
      <c r="GN37" s="81"/>
      <c r="GO37" s="81">
        <v>36</v>
      </c>
      <c r="GP37" s="133">
        <f t="shared" si="63"/>
        <v>0.44190560656494371</v>
      </c>
      <c r="GQ37" s="133">
        <f t="shared" si="64"/>
        <v>0.47792602571794662</v>
      </c>
      <c r="GR37" s="133">
        <f t="shared" si="65"/>
        <v>0.50674765549914647</v>
      </c>
      <c r="GS37" s="133">
        <f t="shared" si="351"/>
        <v>0.53795672519567872</v>
      </c>
      <c r="GT37" s="133">
        <f t="shared" si="352"/>
        <v>0.58748142904741418</v>
      </c>
      <c r="GU37" s="134">
        <f t="shared" si="353"/>
        <v>0.63529837267022238</v>
      </c>
      <c r="GV37" s="133">
        <f t="shared" si="354"/>
        <v>0.67957315798513052</v>
      </c>
      <c r="GW37" s="133">
        <f t="shared" si="66"/>
        <v>0.71891280811444536</v>
      </c>
      <c r="GX37" s="133">
        <f t="shared" si="67"/>
        <v>0.74080513051100694</v>
      </c>
      <c r="GY37" s="133">
        <f t="shared" si="68"/>
        <v>0.75925261680199729</v>
      </c>
      <c r="GZ37" s="133">
        <f t="shared" si="69"/>
        <v>0.78012158424208622</v>
      </c>
      <c r="HA37" s="81"/>
      <c r="HB37" s="81">
        <v>36</v>
      </c>
      <c r="HC37" s="133">
        <f t="shared" si="70"/>
        <v>0.41990727644095444</v>
      </c>
      <c r="HD37" s="133">
        <f t="shared" si="71"/>
        <v>0.45981529412849464</v>
      </c>
      <c r="HE37" s="133">
        <f t="shared" si="72"/>
        <v>0.49145779863001704</v>
      </c>
      <c r="HF37" s="133">
        <f t="shared" si="355"/>
        <v>0.52549251303026401</v>
      </c>
      <c r="HG37" s="133">
        <f t="shared" si="356"/>
        <v>0.57766133657669638</v>
      </c>
      <c r="HH37" s="134">
        <f t="shared" si="357"/>
        <v>0.63055906087675295</v>
      </c>
      <c r="HI37" s="133">
        <f t="shared" si="358"/>
        <v>0.67919887839459825</v>
      </c>
      <c r="HJ37" s="133">
        <f t="shared" si="73"/>
        <v>0.71994259639851088</v>
      </c>
      <c r="HK37" s="133">
        <f t="shared" si="74"/>
        <v>0.74325575461838977</v>
      </c>
      <c r="HL37" s="133">
        <f t="shared" si="75"/>
        <v>0.7628773004428574</v>
      </c>
      <c r="HM37" s="133">
        <f t="shared" si="76"/>
        <v>0.785051315281734</v>
      </c>
      <c r="HN37" s="81"/>
      <c r="HO37" s="81">
        <v>38</v>
      </c>
      <c r="HP37" s="83">
        <f t="shared" si="77"/>
        <v>0.46662456419902532</v>
      </c>
      <c r="HQ37" s="83">
        <f t="shared" si="78"/>
        <v>0.49904213441523038</v>
      </c>
      <c r="HR37" s="83">
        <f t="shared" si="79"/>
        <v>0.52520500592122688</v>
      </c>
      <c r="HS37" s="83">
        <f t="shared" si="359"/>
        <v>0.55372153329726737</v>
      </c>
      <c r="HT37" s="83">
        <f t="shared" si="360"/>
        <v>0.5980506576243606</v>
      </c>
      <c r="HU37" s="84">
        <f t="shared" si="361"/>
        <v>0.64360806029839435</v>
      </c>
      <c r="HV37" s="83">
        <f t="shared" si="362"/>
        <v>0.68592256379486649</v>
      </c>
      <c r="HW37" s="83">
        <f t="shared" si="80"/>
        <v>0.72161958593398079</v>
      </c>
      <c r="HX37" s="83">
        <f t="shared" si="81"/>
        <v>0.74213244020211366</v>
      </c>
      <c r="HY37" s="83">
        <f t="shared" si="82"/>
        <v>0.75944078593568398</v>
      </c>
      <c r="HZ37" s="83">
        <f t="shared" si="83"/>
        <v>0.77904453358754056</v>
      </c>
      <c r="IA37" s="81"/>
      <c r="IB37" s="81">
        <v>36</v>
      </c>
      <c r="IC37" s="83">
        <f t="shared" si="84"/>
        <v>0.30782240527320631</v>
      </c>
      <c r="ID37" s="83">
        <f t="shared" si="85"/>
        <v>0.32421678861538922</v>
      </c>
      <c r="IE37" s="83">
        <f t="shared" si="86"/>
        <v>0.33676448338841669</v>
      </c>
      <c r="IF37" s="83">
        <f t="shared" si="363"/>
        <v>0.34986293572150551</v>
      </c>
      <c r="IG37" s="83">
        <f t="shared" si="364"/>
        <v>0.3692267394902401</v>
      </c>
      <c r="IH37" s="84">
        <f t="shared" si="365"/>
        <v>0.38808228157795532</v>
      </c>
      <c r="II37" s="83">
        <f t="shared" si="366"/>
        <v>0.40481033936491023</v>
      </c>
      <c r="IJ37" s="83">
        <f t="shared" si="87"/>
        <v>0.41841921177837693</v>
      </c>
      <c r="IK37" s="83">
        <f t="shared" si="88"/>
        <v>0.42605334475410428</v>
      </c>
      <c r="IL37" s="83">
        <f t="shared" si="89"/>
        <v>0.43239720684487104</v>
      </c>
      <c r="IM37" s="83">
        <f t="shared" si="90"/>
        <v>0.43948045546676706</v>
      </c>
      <c r="IN37" s="81"/>
      <c r="IO37" s="81">
        <v>36</v>
      </c>
      <c r="IP37" s="133">
        <f t="shared" si="91"/>
        <v>0.29697929136017931</v>
      </c>
      <c r="IQ37" s="133">
        <f t="shared" si="92"/>
        <v>0.31578052693489456</v>
      </c>
      <c r="IR37" s="133">
        <f t="shared" si="93"/>
        <v>0.32991906593897885</v>
      </c>
      <c r="IS37" s="133">
        <f t="shared" si="367"/>
        <v>0.34449545606284998</v>
      </c>
      <c r="IT37" s="133">
        <f t="shared" si="368"/>
        <v>0.36577442014548545</v>
      </c>
      <c r="IU37" s="134">
        <f t="shared" si="369"/>
        <v>0.38625516752391764</v>
      </c>
      <c r="IV37" s="133">
        <f t="shared" si="370"/>
        <v>0.40427238515871972</v>
      </c>
      <c r="IW37" s="133">
        <f t="shared" si="94"/>
        <v>0.41884515657295762</v>
      </c>
      <c r="IX37" s="133">
        <f t="shared" si="95"/>
        <v>0.42699172773750593</v>
      </c>
      <c r="IY37" s="133">
        <f t="shared" si="96"/>
        <v>0.43374765188179942</v>
      </c>
      <c r="IZ37" s="133">
        <f t="shared" si="97"/>
        <v>0.44127744314529799</v>
      </c>
      <c r="JA37" s="81"/>
      <c r="JB37" s="81">
        <v>38</v>
      </c>
      <c r="JC37" s="133">
        <f t="shared" si="98"/>
        <v>0.31952260118796433</v>
      </c>
      <c r="JD37" s="133">
        <f t="shared" si="99"/>
        <v>0.33374182699148169</v>
      </c>
      <c r="JE37" s="133">
        <f t="shared" si="100"/>
        <v>0.34480224378926538</v>
      </c>
      <c r="JF37" s="133">
        <f t="shared" si="371"/>
        <v>0.35648720622447588</v>
      </c>
      <c r="JG37" s="133">
        <f t="shared" si="372"/>
        <v>0.37398009772592838</v>
      </c>
      <c r="JH37" s="134">
        <f t="shared" si="373"/>
        <v>0.39122005195757914</v>
      </c>
      <c r="JI37" s="133">
        <f t="shared" si="374"/>
        <v>0.40665329566952768</v>
      </c>
      <c r="JJ37" s="133">
        <f t="shared" si="101"/>
        <v>0.41928885726306053</v>
      </c>
      <c r="JK37" s="133">
        <f t="shared" si="102"/>
        <v>0.42640437598096814</v>
      </c>
      <c r="JL37" s="133">
        <f t="shared" si="103"/>
        <v>0.43233083509929615</v>
      </c>
      <c r="JM37" s="133">
        <f t="shared" si="104"/>
        <v>0.43896153025297868</v>
      </c>
      <c r="JN37" s="81"/>
      <c r="JO37" s="81">
        <v>35</v>
      </c>
      <c r="JP37" s="133">
        <f t="shared" si="105"/>
        <v>-6.1608809893389438</v>
      </c>
      <c r="JQ37" s="133">
        <f t="shared" si="106"/>
        <v>-4.7281462290832899</v>
      </c>
      <c r="JR37" s="133">
        <f t="shared" si="107"/>
        <v>-3.4778139672224668</v>
      </c>
      <c r="JS37" s="133">
        <f t="shared" si="375"/>
        <v>-2.0165567234748316</v>
      </c>
      <c r="JT37" s="133">
        <f t="shared" si="376"/>
        <v>0.46529517374268181</v>
      </c>
      <c r="JU37" s="134">
        <f t="shared" si="377"/>
        <v>3.2922328773408971</v>
      </c>
      <c r="JV37" s="133">
        <f t="shared" si="378"/>
        <v>6.1783835850695468</v>
      </c>
      <c r="JW37" s="133">
        <f t="shared" si="108"/>
        <v>8.8147675817841638</v>
      </c>
      <c r="JX37" s="133">
        <f t="shared" si="109"/>
        <v>10.415317583579743</v>
      </c>
      <c r="JY37" s="133">
        <f t="shared" si="110"/>
        <v>11.815302780400824</v>
      </c>
      <c r="JZ37" s="133">
        <f t="shared" si="111"/>
        <v>13.456390265637612</v>
      </c>
      <c r="KA37" s="81"/>
      <c r="KB37" s="81">
        <v>35</v>
      </c>
      <c r="KC37" s="133">
        <f t="shared" si="112"/>
        <v>-4.3917543279626301</v>
      </c>
      <c r="KD37" s="133">
        <f t="shared" si="113"/>
        <v>-3.1918000331861602</v>
      </c>
      <c r="KE37" s="133">
        <f t="shared" si="114"/>
        <v>-2.1161316386889002</v>
      </c>
      <c r="KF37" s="133">
        <f t="shared" si="379"/>
        <v>-0.82813718718895757</v>
      </c>
      <c r="KG37" s="133">
        <f t="shared" si="380"/>
        <v>1.4287018371653737</v>
      </c>
      <c r="KH37" s="134">
        <f t="shared" si="381"/>
        <v>4.0944139597503781</v>
      </c>
      <c r="KI37" s="133">
        <f t="shared" si="382"/>
        <v>6.9087622424674198</v>
      </c>
      <c r="KJ37" s="133">
        <f t="shared" si="115"/>
        <v>9.553259010090839</v>
      </c>
      <c r="KK37" s="133">
        <f t="shared" si="116"/>
        <v>11.190380292002024</v>
      </c>
      <c r="KL37" s="133">
        <f t="shared" si="117"/>
        <v>12.640831901816574</v>
      </c>
      <c r="KM37" s="133">
        <f t="shared" si="118"/>
        <v>14.362056152486533</v>
      </c>
      <c r="KN37" s="81"/>
      <c r="KO37" s="81">
        <v>37</v>
      </c>
      <c r="KP37" s="133">
        <f t="shared" si="119"/>
        <v>-7.0279039430649064</v>
      </c>
      <c r="KQ37" s="133">
        <f t="shared" si="120"/>
        <v>-5.4709091256898237</v>
      </c>
      <c r="KR37" s="133">
        <f t="shared" si="121"/>
        <v>-4.1393071815771876</v>
      </c>
      <c r="KS37" s="133">
        <f t="shared" si="383"/>
        <v>-2.611823103158784</v>
      </c>
      <c r="KT37" s="133">
        <f t="shared" si="384"/>
        <v>-8.0263602787496779E-2</v>
      </c>
      <c r="KU37" s="134">
        <f t="shared" si="385"/>
        <v>2.7199324104983837</v>
      </c>
      <c r="KV37" s="133">
        <f t="shared" si="386"/>
        <v>5.5003850144873709</v>
      </c>
      <c r="KW37" s="133">
        <f t="shared" si="122"/>
        <v>7.9800906120535657</v>
      </c>
      <c r="KX37" s="133">
        <f t="shared" si="123"/>
        <v>9.4604116802699139</v>
      </c>
      <c r="KY37" s="133">
        <f t="shared" si="124"/>
        <v>10.740873227014841</v>
      </c>
      <c r="KZ37" s="133">
        <f t="shared" si="125"/>
        <v>12.225809490524124</v>
      </c>
      <c r="LA37" s="81"/>
      <c r="LB37" s="81">
        <v>35</v>
      </c>
      <c r="LC37" s="133">
        <f t="shared" si="126"/>
        <v>-15.73596027620054</v>
      </c>
      <c r="LD37" s="133">
        <f t="shared" si="127"/>
        <v>-12.109350897463159</v>
      </c>
      <c r="LE37" s="133">
        <f t="shared" si="128"/>
        <v>-8.896450605349095</v>
      </c>
      <c r="LF37" s="133">
        <f t="shared" si="387"/>
        <v>-5.0930362042867721</v>
      </c>
      <c r="LG37" s="133">
        <f t="shared" si="388"/>
        <v>1.4678415803226272</v>
      </c>
      <c r="LH37" s="134">
        <f t="shared" si="389"/>
        <v>9.0684534968799824</v>
      </c>
      <c r="LI37" s="133">
        <f t="shared" si="390"/>
        <v>16.942236938223466</v>
      </c>
      <c r="LJ37" s="133">
        <f t="shared" si="129"/>
        <v>24.218458529207183</v>
      </c>
      <c r="LK37" s="133">
        <f t="shared" si="130"/>
        <v>28.66983498890756</v>
      </c>
      <c r="LL37" s="133">
        <f t="shared" si="131"/>
        <v>32.582451555192868</v>
      </c>
      <c r="LM37" s="133">
        <f t="shared" si="132"/>
        <v>37.189852225336516</v>
      </c>
      <c r="LN37" s="81"/>
      <c r="LO37" s="81">
        <v>35</v>
      </c>
      <c r="LP37" s="133">
        <f t="shared" si="133"/>
        <v>-12.098503337910508</v>
      </c>
      <c r="LQ37" s="133">
        <f t="shared" si="134"/>
        <v>-8.6013406969024189</v>
      </c>
      <c r="LR37" s="133">
        <f t="shared" si="135"/>
        <v>-5.4891600605542124</v>
      </c>
      <c r="LS37" s="133">
        <f t="shared" si="391"/>
        <v>-1.790172671532261</v>
      </c>
      <c r="LT37" s="133">
        <f t="shared" si="392"/>
        <v>4.6231369735929171</v>
      </c>
      <c r="LU37" s="134">
        <f t="shared" si="393"/>
        <v>12.096476335546992</v>
      </c>
      <c r="LV37" s="133">
        <f t="shared" si="394"/>
        <v>19.880009621954859</v>
      </c>
      <c r="LW37" s="133">
        <f t="shared" si="136"/>
        <v>27.105164723323437</v>
      </c>
      <c r="LX37" s="133">
        <f t="shared" si="137"/>
        <v>31.538951475947112</v>
      </c>
      <c r="LY37" s="133">
        <f t="shared" si="138"/>
        <v>35.443986388905699</v>
      </c>
      <c r="LZ37" s="133">
        <f t="shared" si="139"/>
        <v>40.051333999193488</v>
      </c>
      <c r="MA37" s="81"/>
      <c r="MB37" s="81">
        <v>37</v>
      </c>
      <c r="MC37" s="133">
        <f t="shared" si="140"/>
        <v>-16.053158191583925</v>
      </c>
      <c r="MD37" s="133">
        <f t="shared" si="141"/>
        <v>-12.577727212306975</v>
      </c>
      <c r="ME37" s="133">
        <f t="shared" si="142"/>
        <v>-9.5365689727748517</v>
      </c>
      <c r="MF37" s="133">
        <f t="shared" si="395"/>
        <v>-5.9763187976049927</v>
      </c>
      <c r="MG37" s="133">
        <f t="shared" si="396"/>
        <v>7.8128148501036776E-2</v>
      </c>
      <c r="MH37" s="134">
        <f t="shared" si="397"/>
        <v>6.976655344865847</v>
      </c>
      <c r="MI37" s="133">
        <f t="shared" si="398"/>
        <v>14.014640731693461</v>
      </c>
      <c r="MJ37" s="133">
        <f t="shared" si="143"/>
        <v>20.435219138762562</v>
      </c>
      <c r="MK37" s="133">
        <f t="shared" si="144"/>
        <v>24.328333955657946</v>
      </c>
      <c r="ML37" s="133">
        <f t="shared" si="145"/>
        <v>27.730319660562877</v>
      </c>
      <c r="MM37" s="133">
        <f t="shared" si="146"/>
        <v>31.714089466158264</v>
      </c>
      <c r="MN37" s="81"/>
      <c r="MO37" s="81">
        <v>35</v>
      </c>
      <c r="MP37" s="133">
        <f t="shared" si="147"/>
        <v>-22.241019636243294</v>
      </c>
      <c r="MQ37" s="133">
        <f t="shared" si="148"/>
        <v>-17.916892638163745</v>
      </c>
      <c r="MR37" s="133">
        <f t="shared" si="149"/>
        <v>-14.172202439933468</v>
      </c>
      <c r="MS37" s="133">
        <f t="shared" si="399"/>
        <v>-9.8303574573142356</v>
      </c>
      <c r="MT37" s="133">
        <f t="shared" si="400"/>
        <v>-2.5390075358058013</v>
      </c>
      <c r="MU37" s="134">
        <f t="shared" si="401"/>
        <v>5.6464597151603257</v>
      </c>
      <c r="MV37" s="133">
        <f t="shared" si="402"/>
        <v>13.882815527658998</v>
      </c>
      <c r="MW37" s="133">
        <f t="shared" si="150"/>
        <v>21.309224974089197</v>
      </c>
      <c r="MX37" s="133">
        <f t="shared" si="151"/>
        <v>25.775869322202901</v>
      </c>
      <c r="MY37" s="133">
        <f t="shared" si="152"/>
        <v>29.658298324903804</v>
      </c>
      <c r="MZ37" s="133">
        <f t="shared" si="153"/>
        <v>34.181561202608357</v>
      </c>
      <c r="NA37" s="81"/>
      <c r="NB37" s="81">
        <v>35</v>
      </c>
      <c r="NC37" s="133">
        <f t="shared" si="154"/>
        <v>-16.718952908332227</v>
      </c>
      <c r="ND37" s="133">
        <f t="shared" si="155"/>
        <v>-12.66778254853326</v>
      </c>
      <c r="NE37" s="133">
        <f t="shared" si="156"/>
        <v>-9.1446097436829277</v>
      </c>
      <c r="NF37" s="133">
        <f t="shared" si="403"/>
        <v>-5.0464550615719368</v>
      </c>
      <c r="NG37" s="133">
        <f t="shared" si="404"/>
        <v>1.8602382806396669</v>
      </c>
      <c r="NH37" s="134">
        <f t="shared" si="405"/>
        <v>9.642170430562981</v>
      </c>
      <c r="NI37" s="133">
        <f t="shared" si="406"/>
        <v>17.496029953572954</v>
      </c>
      <c r="NJ37" s="133">
        <f t="shared" si="157"/>
        <v>24.594098597692142</v>
      </c>
      <c r="NK37" s="133">
        <f t="shared" si="158"/>
        <v>28.869794634327167</v>
      </c>
      <c r="NL37" s="133">
        <f t="shared" si="159"/>
        <v>32.589856132066259</v>
      </c>
      <c r="NM37" s="133">
        <f t="shared" si="160"/>
        <v>36.927877597146065</v>
      </c>
      <c r="NN37" s="81"/>
      <c r="NO37" s="81">
        <v>37</v>
      </c>
      <c r="NP37" s="133">
        <f t="shared" si="161"/>
        <v>-22.83871233201598</v>
      </c>
      <c r="NQ37" s="133">
        <f t="shared" si="162"/>
        <v>-18.909912825424215</v>
      </c>
      <c r="NR37" s="133">
        <f t="shared" si="163"/>
        <v>-15.527458280665854</v>
      </c>
      <c r="NS37" s="133">
        <f t="shared" si="407"/>
        <v>-11.624402792484023</v>
      </c>
      <c r="NT37" s="133">
        <f t="shared" si="408"/>
        <v>-5.1069073826646978</v>
      </c>
      <c r="NU37" s="134">
        <f t="shared" si="409"/>
        <v>2.165288722752706</v>
      </c>
      <c r="NV37" s="133">
        <f t="shared" si="410"/>
        <v>9.4442815711951695</v>
      </c>
      <c r="NW37" s="133">
        <f t="shared" si="164"/>
        <v>15.979825369044534</v>
      </c>
      <c r="NX37" s="133">
        <f t="shared" si="165"/>
        <v>19.899570764364462</v>
      </c>
      <c r="NY37" s="133">
        <f t="shared" si="166"/>
        <v>23.300459840445122</v>
      </c>
      <c r="NZ37" s="133">
        <f t="shared" si="167"/>
        <v>27.255937263471814</v>
      </c>
      <c r="OA37" s="81"/>
      <c r="OB37" s="81">
        <v>35</v>
      </c>
      <c r="OC37" s="133">
        <v>14.679994922038491</v>
      </c>
      <c r="OD37" s="133">
        <v>16.256520637295043</v>
      </c>
      <c r="OE37" s="133">
        <v>17.747183759617865</v>
      </c>
      <c r="OF37" s="133">
        <v>19.636246591477246</v>
      </c>
      <c r="OG37" s="133">
        <v>23.245552442680573</v>
      </c>
      <c r="OH37" s="134">
        <v>28.05554063526672</v>
      </c>
      <c r="OI37" s="133">
        <v>33.860815408796377</v>
      </c>
      <c r="OJ37" s="133">
        <v>40.08471561356</v>
      </c>
      <c r="OK37" s="133">
        <v>44.351451531600667</v>
      </c>
      <c r="OL37" s="133">
        <v>48.41831643428911</v>
      </c>
      <c r="OM37" s="133">
        <v>53.618094864286384</v>
      </c>
      <c r="ON37" s="81"/>
      <c r="OO37" s="81">
        <v>35</v>
      </c>
      <c r="OP37" s="133">
        <v>13.189659672406902</v>
      </c>
      <c r="OQ37" s="133">
        <v>14.467809414938323</v>
      </c>
      <c r="OR37" s="133">
        <v>15.665723192203865</v>
      </c>
      <c r="OS37" s="133">
        <v>17.170452365234624</v>
      </c>
      <c r="OT37" s="133">
        <v>25.151580683615254</v>
      </c>
      <c r="OU37" s="134">
        <v>23.72941695589823</v>
      </c>
      <c r="OV37" s="133">
        <v>28.141468921210475</v>
      </c>
      <c r="OW37" s="133">
        <v>32.793849404163701</v>
      </c>
      <c r="OX37" s="133">
        <v>35.943774963871007</v>
      </c>
      <c r="OY37" s="133">
        <v>38.919867750363984</v>
      </c>
      <c r="OZ37" s="133">
        <v>42.691414566583454</v>
      </c>
      <c r="PA37" s="81"/>
      <c r="PB37" s="81">
        <v>37</v>
      </c>
      <c r="PC37" s="133">
        <v>20.042665367608219</v>
      </c>
      <c r="PD37" s="133">
        <v>21.628336390711457</v>
      </c>
      <c r="PE37" s="133">
        <v>23.092080858458708</v>
      </c>
      <c r="PF37" s="133">
        <v>24.903050349495938</v>
      </c>
      <c r="PG37" s="133">
        <v>28.245625363846102</v>
      </c>
      <c r="PH37" s="134">
        <v>32.502577743125485</v>
      </c>
      <c r="PI37" s="133">
        <v>37.401103581162403</v>
      </c>
      <c r="PJ37" s="133">
        <v>42.421211262149605</v>
      </c>
      <c r="PK37" s="133">
        <v>45.74804524647012</v>
      </c>
      <c r="PL37" s="133">
        <v>48.844143204726862</v>
      </c>
      <c r="PM37" s="133">
        <v>52.708436755883568</v>
      </c>
      <c r="PN37" s="81"/>
      <c r="PO37" s="81">
        <v>35</v>
      </c>
      <c r="PP37" s="133">
        <v>8.3032851763938851</v>
      </c>
      <c r="PQ37" s="133">
        <v>9.0512467004430981</v>
      </c>
      <c r="PR37" s="133">
        <v>9.748205767449063</v>
      </c>
      <c r="PS37" s="133">
        <v>10.618618983276201</v>
      </c>
      <c r="PT37" s="133">
        <v>12.246999939562247</v>
      </c>
      <c r="PU37" s="134">
        <v>14.357923451334502</v>
      </c>
      <c r="PV37" s="133">
        <v>16.832691014265627</v>
      </c>
      <c r="PW37" s="133">
        <v>19.41400912482661</v>
      </c>
      <c r="PX37" s="133">
        <v>21.147477879750085</v>
      </c>
      <c r="PY37" s="133">
        <v>22.775864215952616</v>
      </c>
      <c r="PZ37" s="133">
        <v>24.827518440588115</v>
      </c>
      <c r="QA37" s="81"/>
      <c r="QB37" s="81">
        <v>35</v>
      </c>
      <c r="QC37" s="133">
        <v>7.9510011866291199</v>
      </c>
      <c r="QD37" s="133">
        <v>8.6670273218782228</v>
      </c>
      <c r="QE37" s="133">
        <v>9.3342142271622635</v>
      </c>
      <c r="QF37" s="133">
        <v>10.16742782484488</v>
      </c>
      <c r="QG37" s="133">
        <v>11.726166811269074</v>
      </c>
      <c r="QH37" s="134">
        <v>13.746728744697768</v>
      </c>
      <c r="QI37" s="133">
        <v>16.115458207424918</v>
      </c>
      <c r="QJ37" s="133">
        <v>18.586072548115968</v>
      </c>
      <c r="QK37" s="133">
        <v>20.245148287940061</v>
      </c>
      <c r="QL37" s="133">
        <v>21.803617799066526</v>
      </c>
      <c r="QM37" s="133">
        <v>23.767139099172496</v>
      </c>
      <c r="QN37" s="81"/>
      <c r="QO37" s="81">
        <v>37</v>
      </c>
      <c r="QP37" s="133">
        <v>9.3034436737254982</v>
      </c>
      <c r="QQ37" s="133">
        <v>10.067742548514971</v>
      </c>
      <c r="QR37" s="133">
        <v>10.775115834134725</v>
      </c>
      <c r="QS37" s="133">
        <v>11.65257440163564</v>
      </c>
      <c r="QT37" s="133">
        <v>13.278217973393582</v>
      </c>
      <c r="QU37" s="134">
        <v>15.358791859021393</v>
      </c>
      <c r="QV37" s="133">
        <v>17.765372419809246</v>
      </c>
      <c r="QW37" s="133">
        <v>20.243808727419953</v>
      </c>
      <c r="QX37" s="133">
        <v>21.892338885253821</v>
      </c>
      <c r="QY37" s="133">
        <v>23.430524393329542</v>
      </c>
      <c r="QZ37" s="133">
        <v>25.355394802350688</v>
      </c>
      <c r="RA37" s="81"/>
      <c r="RB37" s="81">
        <v>35</v>
      </c>
      <c r="RC37" s="133">
        <f t="shared" si="168"/>
        <v>0.2807117982362331</v>
      </c>
      <c r="RD37" s="133">
        <f t="shared" si="169"/>
        <v>0.30506619663027434</v>
      </c>
      <c r="RE37" s="133">
        <f t="shared" si="170"/>
        <v>0.32797855948453447</v>
      </c>
      <c r="RF37" s="133">
        <f t="shared" si="411"/>
        <v>0.35690091145649422</v>
      </c>
      <c r="RG37" s="133">
        <f t="shared" si="412"/>
        <v>0.41196173759127819</v>
      </c>
      <c r="RH37" s="134">
        <f t="shared" si="413"/>
        <v>0.48525292787232016</v>
      </c>
      <c r="RI37" s="133">
        <f t="shared" si="414"/>
        <v>0.57400948975330413</v>
      </c>
      <c r="RJ37" s="133">
        <f t="shared" si="171"/>
        <v>0.66990884346910662</v>
      </c>
      <c r="RK37" s="133">
        <f t="shared" si="172"/>
        <v>0.73623448310594253</v>
      </c>
      <c r="RL37" s="133">
        <f t="shared" si="173"/>
        <v>0.79995786044091355</v>
      </c>
      <c r="RM37" s="133">
        <f t="shared" si="174"/>
        <v>0.88221001719035608</v>
      </c>
      <c r="RN37" s="81"/>
      <c r="RO37" s="81">
        <v>35</v>
      </c>
      <c r="RP37" s="133">
        <f t="shared" si="175"/>
        <v>0.30930323867118992</v>
      </c>
      <c r="RQ37" s="133">
        <f t="shared" si="176"/>
        <v>0.33409754795970859</v>
      </c>
      <c r="RR37" s="133">
        <f t="shared" si="177"/>
        <v>0.35737680327837945</v>
      </c>
      <c r="RS37" s="133">
        <f t="shared" si="415"/>
        <v>0.38671198302764281</v>
      </c>
      <c r="RT37" s="133">
        <f t="shared" si="416"/>
        <v>0.44245320505810576</v>
      </c>
      <c r="RU37" s="134">
        <f t="shared" si="417"/>
        <v>0.51654458993309027</v>
      </c>
      <c r="RV37" s="133">
        <f t="shared" si="418"/>
        <v>0.60626692733664844</v>
      </c>
      <c r="RW37" s="133">
        <f t="shared" si="178"/>
        <v>0.70335571430921418</v>
      </c>
      <c r="RX37" s="133">
        <f t="shared" si="179"/>
        <v>0.77065156461977258</v>
      </c>
      <c r="RY37" s="133">
        <f t="shared" si="180"/>
        <v>0.83544912576130848</v>
      </c>
      <c r="RZ37" s="133">
        <f t="shared" si="181"/>
        <v>0.91932143394068488</v>
      </c>
      <c r="SA37" s="81"/>
      <c r="SB37" s="81">
        <v>37</v>
      </c>
      <c r="SC37" s="133">
        <f t="shared" si="182"/>
        <v>0.26932104363483444</v>
      </c>
      <c r="SD37" s="133">
        <f t="shared" si="183"/>
        <v>0.29341859856884955</v>
      </c>
      <c r="SE37" s="133">
        <f t="shared" si="184"/>
        <v>0.31588555330583024</v>
      </c>
      <c r="SF37" s="133">
        <f t="shared" si="419"/>
        <v>0.34396202879358689</v>
      </c>
      <c r="SG37" s="133">
        <f t="shared" si="420"/>
        <v>0.39654471256864543</v>
      </c>
      <c r="SH37" s="134">
        <f t="shared" si="421"/>
        <v>0.46482379307670957</v>
      </c>
      <c r="SI37" s="133">
        <f t="shared" si="422"/>
        <v>0.54503868768959507</v>
      </c>
      <c r="SJ37" s="133">
        <f t="shared" si="185"/>
        <v>0.62889792416463641</v>
      </c>
      <c r="SK37" s="133">
        <f t="shared" si="186"/>
        <v>0.68532032080479011</v>
      </c>
      <c r="SL37" s="133">
        <f t="shared" si="187"/>
        <v>0.73839919543978927</v>
      </c>
      <c r="SM37" s="133">
        <f t="shared" si="188"/>
        <v>0.80537850050066573</v>
      </c>
      <c r="SN37" s="81"/>
      <c r="SO37" s="81">
        <v>35</v>
      </c>
      <c r="SP37" s="133">
        <f t="shared" si="189"/>
        <v>0.21890150785157547</v>
      </c>
      <c r="SQ37" s="133">
        <f t="shared" si="190"/>
        <v>0.2337826310255573</v>
      </c>
      <c r="SR37" s="133">
        <f t="shared" si="191"/>
        <v>0.24717460874500244</v>
      </c>
      <c r="SS37" s="133">
        <f t="shared" si="423"/>
        <v>0.26331681662598228</v>
      </c>
      <c r="ST37" s="133">
        <f t="shared" si="424"/>
        <v>0.29198110322116855</v>
      </c>
      <c r="SU37" s="134">
        <f t="shared" si="425"/>
        <v>0.32660926081905933</v>
      </c>
      <c r="SV37" s="133">
        <f t="shared" si="426"/>
        <v>0.36421687683394932</v>
      </c>
      <c r="SW37" s="133">
        <f t="shared" si="192"/>
        <v>0.40062913787802895</v>
      </c>
      <c r="SX37" s="133">
        <f t="shared" si="193"/>
        <v>0.42372058741584073</v>
      </c>
      <c r="SY37" s="133">
        <f t="shared" si="194"/>
        <v>0.44454162351771753</v>
      </c>
      <c r="SZ37" s="133">
        <f t="shared" si="195"/>
        <v>0.46970101437482903</v>
      </c>
      <c r="TA37" s="81"/>
      <c r="TB37" s="81">
        <v>35</v>
      </c>
      <c r="TC37" s="133">
        <f t="shared" si="196"/>
        <v>0.23629353144408194</v>
      </c>
      <c r="TD37" s="133">
        <f t="shared" si="197"/>
        <v>0.25067081872576796</v>
      </c>
      <c r="TE37" s="133">
        <f t="shared" si="198"/>
        <v>0.26360698065998672</v>
      </c>
      <c r="TF37" s="133">
        <f t="shared" si="427"/>
        <v>0.27920101310189505</v>
      </c>
      <c r="TG37" s="133">
        <f t="shared" si="428"/>
        <v>0.30690730635318675</v>
      </c>
      <c r="TH37" s="134">
        <f t="shared" si="429"/>
        <v>0.34042599308751259</v>
      </c>
      <c r="TI37" s="133">
        <f t="shared" si="430"/>
        <v>0.3769126265133676</v>
      </c>
      <c r="TJ37" s="133">
        <f t="shared" si="199"/>
        <v>0.41234120302333394</v>
      </c>
      <c r="TK37" s="133">
        <f t="shared" si="200"/>
        <v>0.43486664357078653</v>
      </c>
      <c r="TL37" s="133">
        <f t="shared" si="201"/>
        <v>0.45521823818028123</v>
      </c>
      <c r="TM37" s="133">
        <f t="shared" si="202"/>
        <v>0.47986419255359514</v>
      </c>
      <c r="TN37" s="81"/>
      <c r="TO37" s="81">
        <v>37</v>
      </c>
      <c r="TP37" s="133">
        <f t="shared" si="203"/>
        <v>0.21183113903752837</v>
      </c>
      <c r="TQ37" s="133">
        <f t="shared" si="204"/>
        <v>0.22685108645037885</v>
      </c>
      <c r="TR37" s="133">
        <f t="shared" si="205"/>
        <v>0.24023416593855046</v>
      </c>
      <c r="TS37" s="133">
        <f t="shared" si="431"/>
        <v>0.25620211601674003</v>
      </c>
      <c r="TT37" s="133">
        <f t="shared" si="432"/>
        <v>0.28413434768527129</v>
      </c>
      <c r="TU37" s="134">
        <f t="shared" si="433"/>
        <v>0.31719795175654319</v>
      </c>
      <c r="TV37" s="133">
        <f t="shared" si="434"/>
        <v>0.35232419092441924</v>
      </c>
      <c r="TW37" s="133">
        <f t="shared" si="206"/>
        <v>0.38561716441446581</v>
      </c>
      <c r="TX37" s="133">
        <f t="shared" si="207"/>
        <v>0.4063894568296485</v>
      </c>
      <c r="TY37" s="133">
        <f t="shared" si="208"/>
        <v>0.42490466619726458</v>
      </c>
      <c r="TZ37" s="133">
        <f t="shared" si="209"/>
        <v>0.44701833765973081</v>
      </c>
      <c r="UA37" s="81"/>
      <c r="UB37" s="81">
        <v>35</v>
      </c>
      <c r="UC37" s="133">
        <f t="shared" si="210"/>
        <v>-24.307648690814851</v>
      </c>
      <c r="UD37" s="133">
        <f t="shared" si="211"/>
        <v>-20.693553441302363</v>
      </c>
      <c r="UE37" s="133">
        <f t="shared" si="212"/>
        <v>-17.683965211396732</v>
      </c>
      <c r="UF37" s="133">
        <f t="shared" si="435"/>
        <v>-14.312877748959188</v>
      </c>
      <c r="UG37" s="133">
        <f t="shared" si="436"/>
        <v>-8.8921838339801127</v>
      </c>
      <c r="UH37" s="134">
        <f t="shared" si="437"/>
        <v>-3.1028292231591479</v>
      </c>
      <c r="UI37" s="133">
        <f t="shared" si="438"/>
        <v>2.4637096332728845</v>
      </c>
      <c r="UJ37" s="133">
        <f t="shared" si="213"/>
        <v>7.2958770575392577</v>
      </c>
      <c r="UK37" s="133">
        <f t="shared" si="214"/>
        <v>10.127334247930037</v>
      </c>
      <c r="UL37" s="133">
        <f t="shared" si="215"/>
        <v>12.546870711894258</v>
      </c>
      <c r="UM37" s="133">
        <f t="shared" si="216"/>
        <v>15.320362707539886</v>
      </c>
      <c r="UN37" s="81"/>
      <c r="UO37" s="81">
        <v>35</v>
      </c>
      <c r="UP37" s="133">
        <f t="shared" si="217"/>
        <v>-19.905163481361761</v>
      </c>
      <c r="UQ37" s="133">
        <f t="shared" si="218"/>
        <v>-16.979922091994514</v>
      </c>
      <c r="UR37" s="133">
        <f t="shared" si="219"/>
        <v>-14.472175096561539</v>
      </c>
      <c r="US37" s="133">
        <f t="shared" si="439"/>
        <v>-11.588845423609001</v>
      </c>
      <c r="UT37" s="133">
        <f t="shared" si="440"/>
        <v>-6.7950121240969175</v>
      </c>
      <c r="UU37" s="134">
        <f t="shared" si="441"/>
        <v>-1.471667379769336</v>
      </c>
      <c r="UV37" s="133">
        <f t="shared" si="442"/>
        <v>3.8342309444912672</v>
      </c>
      <c r="UW37" s="133">
        <f t="shared" si="220"/>
        <v>8.5818988060877004</v>
      </c>
      <c r="UX37" s="133">
        <f t="shared" si="221"/>
        <v>11.422769884470519</v>
      </c>
      <c r="UY37" s="133">
        <f t="shared" si="222"/>
        <v>13.883915450859185</v>
      </c>
      <c r="UZ37" s="133">
        <f t="shared" si="223"/>
        <v>16.742363031056335</v>
      </c>
      <c r="VA37" s="81"/>
      <c r="VB37" s="81">
        <v>38</v>
      </c>
      <c r="VC37" s="133">
        <f t="shared" si="224"/>
        <v>-25.145853899874972</v>
      </c>
      <c r="VD37" s="133">
        <f t="shared" si="225"/>
        <v>-21.290463249897606</v>
      </c>
      <c r="VE37" s="133">
        <f t="shared" si="226"/>
        <v>-18.144961567426442</v>
      </c>
      <c r="VF37" s="133">
        <f t="shared" si="443"/>
        <v>-14.681634939294931</v>
      </c>
      <c r="VG37" s="133">
        <f t="shared" si="444"/>
        <v>-9.2258006538394284</v>
      </c>
      <c r="VH37" s="134">
        <f t="shared" si="445"/>
        <v>-3.5283506858090021</v>
      </c>
      <c r="VI37" s="133">
        <f t="shared" si="446"/>
        <v>1.8441637176160697</v>
      </c>
      <c r="VJ37" s="133">
        <f t="shared" si="227"/>
        <v>6.4355948621097809</v>
      </c>
      <c r="VK37" s="133">
        <f t="shared" si="228"/>
        <v>9.0980280630553381</v>
      </c>
      <c r="VL37" s="133">
        <f t="shared" si="229"/>
        <v>11.357979614934607</v>
      </c>
      <c r="VM37" s="133">
        <f t="shared" si="230"/>
        <v>13.932329482166736</v>
      </c>
      <c r="VN37" s="81"/>
      <c r="VO37" s="81">
        <v>35</v>
      </c>
      <c r="VP37" s="133">
        <f t="shared" si="231"/>
        <v>-40.697623754157448</v>
      </c>
      <c r="VQ37" s="133">
        <f t="shared" si="232"/>
        <v>-36.621287727158943</v>
      </c>
      <c r="VR37" s="133">
        <f t="shared" si="233"/>
        <v>-32.782761275808298</v>
      </c>
      <c r="VS37" s="133">
        <f t="shared" si="447"/>
        <v>-27.988798031708583</v>
      </c>
      <c r="VT37" s="133">
        <f t="shared" si="448"/>
        <v>-19.14657094613213</v>
      </c>
      <c r="VU37" s="134">
        <f t="shared" si="449"/>
        <v>-8.0979742253268867</v>
      </c>
      <c r="VV37" s="133">
        <f t="shared" si="450"/>
        <v>4.1541242805789054</v>
      </c>
      <c r="VW37" s="133">
        <f t="shared" si="234"/>
        <v>16.132274933832967</v>
      </c>
      <c r="VX37" s="133">
        <f t="shared" si="235"/>
        <v>23.746879549230833</v>
      </c>
      <c r="VY37" s="133">
        <f t="shared" si="236"/>
        <v>30.609597041905211</v>
      </c>
      <c r="VZ37" s="133">
        <f t="shared" si="237"/>
        <v>38.885866673173403</v>
      </c>
      <c r="WA37" s="81"/>
      <c r="WB37" s="81">
        <v>35</v>
      </c>
      <c r="WC37" s="133">
        <f t="shared" si="238"/>
        <v>-36.96204219588482</v>
      </c>
      <c r="WD37" s="133">
        <f t="shared" si="239"/>
        <v>-33.046950004432581</v>
      </c>
      <c r="WE37" s="133">
        <f t="shared" si="240"/>
        <v>-29.319997945049806</v>
      </c>
      <c r="WF37" s="133">
        <f t="shared" si="451"/>
        <v>-24.625820303237163</v>
      </c>
      <c r="WG37" s="133">
        <f t="shared" si="452"/>
        <v>-15.88622407169207</v>
      </c>
      <c r="WH37" s="134">
        <f t="shared" si="453"/>
        <v>-4.8649355668557916</v>
      </c>
      <c r="WI37" s="133">
        <f t="shared" si="454"/>
        <v>7.4451471872253734</v>
      </c>
      <c r="WJ37" s="133">
        <f t="shared" si="241"/>
        <v>19.543729860356969</v>
      </c>
      <c r="WK37" s="133">
        <f t="shared" si="242"/>
        <v>27.260270654377713</v>
      </c>
      <c r="WL37" s="133">
        <f t="shared" si="243"/>
        <v>34.22894486736147</v>
      </c>
      <c r="WM37" s="133">
        <f t="shared" si="244"/>
        <v>42.648473318049987</v>
      </c>
      <c r="WN37" s="81"/>
      <c r="WO37" s="81">
        <v>38</v>
      </c>
      <c r="WP37" s="133">
        <f t="shared" si="245"/>
        <v>-41.200787462603927</v>
      </c>
      <c r="WQ37" s="133">
        <f t="shared" si="246"/>
        <v>-36.938026991920239</v>
      </c>
      <c r="WR37" s="133">
        <f t="shared" si="247"/>
        <v>-32.976256300422321</v>
      </c>
      <c r="WS37" s="133">
        <f t="shared" si="455"/>
        <v>-28.093160126067779</v>
      </c>
      <c r="WT37" s="133">
        <f t="shared" si="456"/>
        <v>-19.250474125694438</v>
      </c>
      <c r="WU37" s="134">
        <f t="shared" si="457"/>
        <v>-8.4495095318233311</v>
      </c>
      <c r="WV37" s="133">
        <f t="shared" si="458"/>
        <v>3.2671274800196883</v>
      </c>
      <c r="WW37" s="133">
        <f t="shared" si="248"/>
        <v>14.504166261985354</v>
      </c>
      <c r="WX37" s="133">
        <f t="shared" si="249"/>
        <v>21.551809984917405</v>
      </c>
      <c r="WY37" s="133">
        <f t="shared" si="250"/>
        <v>27.846600059154433</v>
      </c>
      <c r="WZ37" s="133">
        <f t="shared" si="251"/>
        <v>35.372215128452105</v>
      </c>
      <c r="XA37" s="81"/>
      <c r="XB37" s="81">
        <v>35</v>
      </c>
      <c r="XC37" s="133">
        <f t="shared" si="252"/>
        <v>-46.238772975757037</v>
      </c>
      <c r="XD37" s="133">
        <f t="shared" si="253"/>
        <v>-41.644695166367576</v>
      </c>
      <c r="XE37" s="133">
        <f t="shared" si="254"/>
        <v>-37.385473880102438</v>
      </c>
      <c r="XF37" s="133">
        <f t="shared" si="459"/>
        <v>-32.171546184572797</v>
      </c>
      <c r="XG37" s="133">
        <f t="shared" si="460"/>
        <v>-22.850443571691386</v>
      </c>
      <c r="XH37" s="134">
        <f t="shared" si="461"/>
        <v>-11.67304442275141</v>
      </c>
      <c r="XI37" s="133">
        <f t="shared" si="462"/>
        <v>0.22061136494847489</v>
      </c>
      <c r="XJ37" s="133">
        <f t="shared" si="255"/>
        <v>11.430777468522699</v>
      </c>
      <c r="XK37" s="133">
        <f t="shared" si="256"/>
        <v>18.374520755389419</v>
      </c>
      <c r="XL37" s="133">
        <f t="shared" si="257"/>
        <v>24.52481669944671</v>
      </c>
      <c r="XM37" s="133">
        <f t="shared" si="258"/>
        <v>31.818221940955915</v>
      </c>
      <c r="XN37" s="81"/>
      <c r="XO37" s="81">
        <v>35</v>
      </c>
      <c r="XP37" s="133">
        <f t="shared" si="259"/>
        <v>-40.902393309896866</v>
      </c>
      <c r="XQ37" s="133">
        <f t="shared" si="260"/>
        <v>-36.313702637358411</v>
      </c>
      <c r="XR37" s="133">
        <f t="shared" si="261"/>
        <v>-32.113645515443444</v>
      </c>
      <c r="XS37" s="133">
        <f t="shared" si="463"/>
        <v>-27.020890678987307</v>
      </c>
      <c r="XT37" s="133">
        <f t="shared" si="464"/>
        <v>-18.010337569820308</v>
      </c>
      <c r="XU37" s="134">
        <f t="shared" si="465"/>
        <v>-7.3165922023432515</v>
      </c>
      <c r="XV37" s="133">
        <f t="shared" si="466"/>
        <v>3.9673393360448586</v>
      </c>
      <c r="XW37" s="133">
        <f t="shared" si="262"/>
        <v>14.534516419366177</v>
      </c>
      <c r="XX37" s="133">
        <f t="shared" si="263"/>
        <v>21.052632289981112</v>
      </c>
      <c r="XY37" s="133">
        <f t="shared" si="264"/>
        <v>26.81066843707189</v>
      </c>
      <c r="XZ37" s="133">
        <f t="shared" si="265"/>
        <v>33.622085660638497</v>
      </c>
      <c r="YA37" s="81"/>
      <c r="YB37" s="81">
        <v>38</v>
      </c>
      <c r="YC37" s="133">
        <f t="shared" si="266"/>
        <v>-47.370596392664822</v>
      </c>
      <c r="YD37" s="133">
        <f t="shared" si="267"/>
        <v>-42.692527583012897</v>
      </c>
      <c r="YE37" s="133">
        <f t="shared" si="268"/>
        <v>-38.392334091665546</v>
      </c>
      <c r="YF37" s="133">
        <f t="shared" si="467"/>
        <v>-33.173131979905001</v>
      </c>
      <c r="YG37" s="133">
        <f t="shared" si="468"/>
        <v>-23.94766285578639</v>
      </c>
      <c r="YH37" s="134">
        <f t="shared" si="469"/>
        <v>-13.029316388963096</v>
      </c>
      <c r="YI37" s="133">
        <f t="shared" si="470"/>
        <v>-1.5491333521273702</v>
      </c>
      <c r="YJ37" s="133">
        <f t="shared" si="269"/>
        <v>9.1649441955873741</v>
      </c>
      <c r="YK37" s="133">
        <f t="shared" si="270"/>
        <v>15.756917659624186</v>
      </c>
      <c r="YL37" s="133">
        <f t="shared" si="271"/>
        <v>21.570142580015947</v>
      </c>
      <c r="YM37" s="133">
        <f t="shared" si="272"/>
        <v>28.435235187346457</v>
      </c>
      <c r="YN37" s="81"/>
      <c r="YO37" s="81">
        <v>35</v>
      </c>
      <c r="YP37" s="133">
        <v>18.350689865481641</v>
      </c>
      <c r="YQ37" s="133">
        <v>20.62539336067795</v>
      </c>
      <c r="YR37" s="133">
        <v>22.806037986411873</v>
      </c>
      <c r="YS37" s="133">
        <v>25.607830307172353</v>
      </c>
      <c r="YT37" s="133">
        <v>31.068504485253612</v>
      </c>
      <c r="YU37" s="134">
        <v>38.537854683045985</v>
      </c>
      <c r="YV37" s="133">
        <v>47.802952481233547</v>
      </c>
      <c r="YW37" s="133">
        <v>57.996566899914093</v>
      </c>
      <c r="YX37" s="133">
        <v>65.121624565233617</v>
      </c>
      <c r="YY37" s="133">
        <v>72.006686980478165</v>
      </c>
      <c r="YZ37" s="133">
        <v>80.932447469739273</v>
      </c>
      <c r="ZA37" s="81"/>
      <c r="ZB37" s="81">
        <v>35</v>
      </c>
      <c r="ZC37" s="133">
        <v>14.933421803348542</v>
      </c>
      <c r="ZD37" s="133">
        <v>17.016737454487146</v>
      </c>
      <c r="ZE37" s="133">
        <v>19.039517930415162</v>
      </c>
      <c r="ZF37" s="133">
        <v>21.671841440496152</v>
      </c>
      <c r="ZG37" s="133">
        <v>26.897620390277329</v>
      </c>
      <c r="ZH37" s="134">
        <v>34.220203899493384</v>
      </c>
      <c r="ZI37" s="133">
        <v>43.536280828254675</v>
      </c>
      <c r="ZJ37" s="133">
        <v>54.034280295846138</v>
      </c>
      <c r="ZK37" s="133">
        <v>61.504832170788532</v>
      </c>
      <c r="ZL37" s="133">
        <v>68.815914804756886</v>
      </c>
      <c r="ZM37" s="133">
        <v>78.416210989253855</v>
      </c>
      <c r="ZN37" s="81"/>
      <c r="ZO37" s="81">
        <v>38</v>
      </c>
      <c r="ZP37" s="133">
        <v>21.796669015030961</v>
      </c>
      <c r="ZQ37" s="133">
        <v>24.068345956648404</v>
      </c>
      <c r="ZR37" s="133">
        <v>26.210591822700355</v>
      </c>
      <c r="ZS37" s="133">
        <v>28.9181667550626</v>
      </c>
      <c r="ZT37" s="133">
        <v>34.071541741624245</v>
      </c>
      <c r="ZU37" s="134">
        <v>40.904782766127042</v>
      </c>
      <c r="ZV37" s="133">
        <v>49.108469051165358</v>
      </c>
      <c r="ZW37" s="133">
        <v>57.859865990679452</v>
      </c>
      <c r="ZX37" s="133">
        <v>63.836836057052516</v>
      </c>
      <c r="ZY37" s="133">
        <v>69.518746994820148</v>
      </c>
      <c r="ZZ37" s="133">
        <v>76.76408041936152</v>
      </c>
      <c r="AAA37" s="81"/>
      <c r="AAB37" s="81">
        <v>35</v>
      </c>
      <c r="AAC37" s="133">
        <v>8.9534534015500959</v>
      </c>
      <c r="AAD37" s="133">
        <v>9.9452073607008558</v>
      </c>
      <c r="AAE37" s="133">
        <v>10.885598483352043</v>
      </c>
      <c r="AAF37" s="133">
        <v>12.08069155973218</v>
      </c>
      <c r="AAG37" s="133">
        <v>14.373391647125761</v>
      </c>
      <c r="AAH37" s="134">
        <v>17.445145728093696</v>
      </c>
      <c r="AAI37" s="133">
        <v>21.173367911065235</v>
      </c>
      <c r="AAJ37" s="133">
        <v>25.191696019194829</v>
      </c>
      <c r="AAK37" s="133">
        <v>27.957407205479747</v>
      </c>
      <c r="AAL37" s="133">
        <v>30.600981803257131</v>
      </c>
      <c r="AAM37" s="133">
        <v>33.990583948506071</v>
      </c>
      <c r="AAN37" s="81"/>
      <c r="AAO37" s="81">
        <v>35</v>
      </c>
      <c r="AAP37" s="133">
        <v>7.9833395630152264</v>
      </c>
      <c r="AAQ37" s="133">
        <v>8.9681304352277724</v>
      </c>
      <c r="AAR37" s="133">
        <v>9.911731546115206</v>
      </c>
      <c r="AAS37" s="133">
        <v>11.123511202625734</v>
      </c>
      <c r="AAT37" s="133">
        <v>13.483567797066915</v>
      </c>
      <c r="AAU37" s="134">
        <v>16.708724363295723</v>
      </c>
      <c r="AAV37" s="133">
        <v>20.705311387192513</v>
      </c>
      <c r="AAW37" s="133">
        <v>25.098322351910831</v>
      </c>
      <c r="AAX37" s="133">
        <v>28.166770715053712</v>
      </c>
      <c r="AAY37" s="133">
        <v>31.130398009370762</v>
      </c>
      <c r="AAZ37" s="133">
        <v>34.970511731953422</v>
      </c>
      <c r="ABA37" s="81"/>
      <c r="ABB37" s="81">
        <v>38</v>
      </c>
      <c r="ABC37" s="133">
        <v>10.1289137571273</v>
      </c>
      <c r="ABD37" s="133">
        <v>11.112259164548718</v>
      </c>
      <c r="ABE37" s="133">
        <v>12.034013428878756</v>
      </c>
      <c r="ABF37" s="133">
        <v>13.19202567706831</v>
      </c>
      <c r="ABG37" s="133">
        <v>15.377063492363213</v>
      </c>
      <c r="ABH37" s="134">
        <v>18.241590940671152</v>
      </c>
      <c r="ABI37" s="133">
        <v>21.639738966548066</v>
      </c>
      <c r="ABJ37" s="133">
        <v>25.223998815072413</v>
      </c>
      <c r="ABK37" s="133">
        <v>27.651260488727896</v>
      </c>
      <c r="ABL37" s="133">
        <v>29.944913551725076</v>
      </c>
      <c r="ABM37" s="133">
        <v>32.85205581029156</v>
      </c>
      <c r="ABN37" s="81"/>
      <c r="ABO37" s="81">
        <v>35</v>
      </c>
      <c r="ABP37" s="133">
        <f t="shared" si="273"/>
        <v>0.21234978246524569</v>
      </c>
      <c r="ABQ37" s="133">
        <f t="shared" si="274"/>
        <v>0.24091140594411345</v>
      </c>
      <c r="ABR37" s="133">
        <f t="shared" si="275"/>
        <v>0.26763252421029038</v>
      </c>
      <c r="ABS37" s="133">
        <f t="shared" si="471"/>
        <v>0.30105080014238617</v>
      </c>
      <c r="ABT37" s="133">
        <f t="shared" si="472"/>
        <v>0.36342754780179576</v>
      </c>
      <c r="ABU37" s="134">
        <f t="shared" si="473"/>
        <v>0.44351065102454862</v>
      </c>
      <c r="ABV37" s="133">
        <f t="shared" si="474"/>
        <v>0.53574835834169621</v>
      </c>
      <c r="ABW37" s="133">
        <f t="shared" si="276"/>
        <v>0.62974944245966546</v>
      </c>
      <c r="ABX37" s="133">
        <f t="shared" si="277"/>
        <v>0.69155245763807427</v>
      </c>
      <c r="ABY37" s="133">
        <f t="shared" si="278"/>
        <v>0.74863961049728112</v>
      </c>
      <c r="ABZ37" s="133">
        <f t="shared" si="279"/>
        <v>0.81924980579522921</v>
      </c>
      <c r="ACA37" s="81"/>
      <c r="ACB37" s="81">
        <v>35</v>
      </c>
      <c r="ACC37" s="133">
        <f t="shared" si="280"/>
        <v>0.23636507971929704</v>
      </c>
      <c r="ACD37" s="133">
        <f t="shared" si="281"/>
        <v>0.26404009485013813</v>
      </c>
      <c r="ACE37" s="133">
        <f t="shared" si="282"/>
        <v>0.29002457942947923</v>
      </c>
      <c r="ACF37" s="133">
        <f t="shared" si="475"/>
        <v>0.32268160843528154</v>
      </c>
      <c r="ACG37" s="133">
        <f t="shared" si="476"/>
        <v>0.38420052426761303</v>
      </c>
      <c r="ACH37" s="134">
        <f t="shared" si="477"/>
        <v>0.46439232483122933</v>
      </c>
      <c r="ACI37" s="133">
        <f t="shared" si="478"/>
        <v>0.55855865223423506</v>
      </c>
      <c r="ACJ37" s="133">
        <f t="shared" si="283"/>
        <v>0.65655983728476219</v>
      </c>
      <c r="ACK37" s="133">
        <f t="shared" si="284"/>
        <v>0.72211263858291064</v>
      </c>
      <c r="ACL37" s="133">
        <f t="shared" si="285"/>
        <v>0.78344654165929073</v>
      </c>
      <c r="ACM37" s="133">
        <f t="shared" si="286"/>
        <v>0.86033872950272205</v>
      </c>
      <c r="ACN37" s="81"/>
      <c r="ACO37" s="81">
        <v>38</v>
      </c>
      <c r="ACP37" s="133">
        <f t="shared" si="287"/>
        <v>0.20543509757246245</v>
      </c>
      <c r="ACQ37" s="133">
        <f t="shared" si="288"/>
        <v>0.23672045054977028</v>
      </c>
      <c r="ACR37" s="133">
        <f t="shared" si="289"/>
        <v>0.26546082036368923</v>
      </c>
      <c r="ACS37" s="133">
        <f t="shared" si="479"/>
        <v>0.30070930544104751</v>
      </c>
      <c r="ACT37" s="133">
        <f t="shared" si="480"/>
        <v>0.36462447292535377</v>
      </c>
      <c r="ACU37" s="134">
        <f t="shared" si="481"/>
        <v>0.44324300897041874</v>
      </c>
      <c r="ACV37" s="133">
        <f t="shared" si="482"/>
        <v>0.52980004055242502</v>
      </c>
      <c r="ACW37" s="133">
        <f t="shared" si="290"/>
        <v>0.61438918935818254</v>
      </c>
      <c r="ACX37" s="133">
        <f t="shared" si="291"/>
        <v>0.66815489559186647</v>
      </c>
      <c r="ACY37" s="133">
        <f t="shared" si="292"/>
        <v>0.71667537617738486</v>
      </c>
      <c r="ACZ37" s="133">
        <f t="shared" si="293"/>
        <v>0.77530024824766219</v>
      </c>
      <c r="ADA37" s="81"/>
      <c r="ADB37" s="81">
        <v>35</v>
      </c>
      <c r="ADC37" s="133">
        <f t="shared" si="294"/>
        <v>0.17520535158369341</v>
      </c>
      <c r="ADD37" s="133">
        <f t="shared" si="295"/>
        <v>0.19480586918154252</v>
      </c>
      <c r="ADE37" s="133">
        <f t="shared" si="296"/>
        <v>0.21202788398723021</v>
      </c>
      <c r="ADF37" s="133">
        <f t="shared" si="483"/>
        <v>0.23228110857539994</v>
      </c>
      <c r="ADG37" s="133">
        <f t="shared" si="484"/>
        <v>0.26696055253290707</v>
      </c>
      <c r="ADH37" s="134">
        <f t="shared" si="485"/>
        <v>0.3068436962976363</v>
      </c>
      <c r="ADI37" s="133">
        <f t="shared" si="486"/>
        <v>0.34793085132180812</v>
      </c>
      <c r="ADJ37" s="133">
        <f t="shared" si="297"/>
        <v>0.38575201926945057</v>
      </c>
      <c r="ADK37" s="133">
        <f t="shared" si="298"/>
        <v>0.40883658424731251</v>
      </c>
      <c r="ADL37" s="133">
        <f t="shared" si="299"/>
        <v>0.42909995757570796</v>
      </c>
      <c r="ADM37" s="133">
        <f t="shared" si="300"/>
        <v>0.45293384207466375</v>
      </c>
      <c r="ADN37" s="81"/>
      <c r="ADO37" s="81">
        <v>35</v>
      </c>
      <c r="ADP37" s="133">
        <f t="shared" si="301"/>
        <v>0.19169128581480177</v>
      </c>
      <c r="ADQ37" s="133">
        <f t="shared" si="302"/>
        <v>0.20972484742653363</v>
      </c>
      <c r="ADR37" s="133">
        <f t="shared" si="303"/>
        <v>0.22573861164418765</v>
      </c>
      <c r="ADS37" s="133">
        <f t="shared" si="487"/>
        <v>0.24476976667676534</v>
      </c>
      <c r="ADT37" s="133">
        <f t="shared" si="488"/>
        <v>0.27784432665410752</v>
      </c>
      <c r="ADU37" s="134">
        <f t="shared" si="489"/>
        <v>0.31661731045719832</v>
      </c>
      <c r="ADV37" s="133">
        <f t="shared" si="490"/>
        <v>0.35734806462765895</v>
      </c>
      <c r="ADW37" s="133">
        <f t="shared" si="304"/>
        <v>0.39551583122963668</v>
      </c>
      <c r="ADX37" s="133">
        <f t="shared" si="305"/>
        <v>0.4191177581322183</v>
      </c>
      <c r="ADY37" s="133">
        <f t="shared" si="306"/>
        <v>0.44002068812375594</v>
      </c>
      <c r="ADZ37" s="133">
        <f t="shared" si="307"/>
        <v>0.46482340966690633</v>
      </c>
      <c r="AEA37" s="81"/>
      <c r="AEB37" s="81">
        <v>38</v>
      </c>
      <c r="AEC37" s="133">
        <f t="shared" si="308"/>
        <v>0.17071532323105873</v>
      </c>
      <c r="AED37" s="133">
        <f t="shared" si="309"/>
        <v>0.19233478203565912</v>
      </c>
      <c r="AEE37" s="133">
        <f t="shared" si="310"/>
        <v>0.21085068818177038</v>
      </c>
      <c r="AEF37" s="133">
        <f t="shared" si="491"/>
        <v>0.2321181854598714</v>
      </c>
      <c r="AEG37" s="133">
        <f t="shared" si="492"/>
        <v>0.26742657692061395</v>
      </c>
      <c r="AEH37" s="134">
        <f t="shared" si="493"/>
        <v>0.30656283072283558</v>
      </c>
      <c r="AEI37" s="133">
        <f t="shared" si="494"/>
        <v>0.34549968121331703</v>
      </c>
      <c r="AEJ37" s="133">
        <f t="shared" si="311"/>
        <v>0.3802838082348361</v>
      </c>
      <c r="AEK37" s="133">
        <f t="shared" si="312"/>
        <v>0.40107373114320061</v>
      </c>
      <c r="AEL37" s="133">
        <f t="shared" si="313"/>
        <v>0.41907093434079701</v>
      </c>
      <c r="AEM37" s="133">
        <f t="shared" si="314"/>
        <v>0.43995788055289725</v>
      </c>
      <c r="AEN37" s="81"/>
    </row>
    <row r="38" spans="1:820">
      <c r="A38" s="81"/>
      <c r="B38" s="81">
        <v>37</v>
      </c>
      <c r="C38" s="133">
        <f t="shared" si="0"/>
        <v>1.8596044601229489</v>
      </c>
      <c r="D38" s="133">
        <f t="shared" si="1"/>
        <v>2.2211027018431508</v>
      </c>
      <c r="E38" s="133">
        <f t="shared" si="2"/>
        <v>2.6001528270860081</v>
      </c>
      <c r="F38" s="133">
        <f t="shared" si="315"/>
        <v>3.1364503421883634</v>
      </c>
      <c r="G38" s="133">
        <f t="shared" si="316"/>
        <v>4.3538929233529746</v>
      </c>
      <c r="H38" s="134">
        <f t="shared" si="317"/>
        <v>6.4339486735863014</v>
      </c>
      <c r="I38" s="133">
        <f t="shared" si="318"/>
        <v>9.7997302510928943</v>
      </c>
      <c r="J38" s="133">
        <f t="shared" si="3"/>
        <v>14.728076776629914</v>
      </c>
      <c r="K38" s="133">
        <f t="shared" si="4"/>
        <v>19.0958167168416</v>
      </c>
      <c r="L38" s="133">
        <f t="shared" si="5"/>
        <v>24.173138704595633</v>
      </c>
      <c r="M38" s="133">
        <f t="shared" si="6"/>
        <v>32.229824983836245</v>
      </c>
      <c r="N38" s="81"/>
      <c r="O38" s="75">
        <v>37</v>
      </c>
      <c r="P38" s="151">
        <f t="shared" si="7"/>
        <v>2.554270607682239</v>
      </c>
      <c r="Q38" s="151">
        <f t="shared" si="8"/>
        <v>2.8967655541106634</v>
      </c>
      <c r="R38" s="151">
        <f t="shared" si="9"/>
        <v>3.2451587531411592</v>
      </c>
      <c r="S38" s="151">
        <f t="shared" si="319"/>
        <v>3.7243719668715345</v>
      </c>
      <c r="T38" s="151">
        <f t="shared" si="320"/>
        <v>4.773959168586952</v>
      </c>
      <c r="U38" s="134">
        <f t="shared" si="321"/>
        <v>6.5061936718443008</v>
      </c>
      <c r="V38" s="151">
        <f t="shared" si="322"/>
        <v>9.267712514653228</v>
      </c>
      <c r="W38" s="151">
        <f t="shared" si="10"/>
        <v>13.377022286501361</v>
      </c>
      <c r="X38" s="151">
        <f t="shared" si="11"/>
        <v>17.162861322035614</v>
      </c>
      <c r="Y38" s="151">
        <f t="shared" si="12"/>
        <v>21.785134164142555</v>
      </c>
      <c r="Z38" s="151">
        <f t="shared" si="13"/>
        <v>29.689921909014785</v>
      </c>
      <c r="AA38" s="81"/>
      <c r="AB38" s="75">
        <v>39</v>
      </c>
      <c r="AC38" s="151">
        <f t="shared" si="14"/>
        <v>1.5674842759442651</v>
      </c>
      <c r="AD38" s="151">
        <f t="shared" si="15"/>
        <v>1.8951332012545561</v>
      </c>
      <c r="AE38" s="151">
        <f t="shared" si="16"/>
        <v>2.2463094770123844</v>
      </c>
      <c r="AF38" s="151">
        <f t="shared" si="323"/>
        <v>2.7558176498636024</v>
      </c>
      <c r="AG38" s="151">
        <f t="shared" si="324"/>
        <v>3.9636289725816631</v>
      </c>
      <c r="AH38" s="134">
        <f t="shared" si="325"/>
        <v>6.1761204692297218</v>
      </c>
      <c r="AI38" s="151">
        <f t="shared" si="326"/>
        <v>10.109135837786113</v>
      </c>
      <c r="AJ38" s="151">
        <f t="shared" si="17"/>
        <v>16.56730700147158</v>
      </c>
      <c r="AK38" s="151">
        <f t="shared" si="18"/>
        <v>22.924952248901416</v>
      </c>
      <c r="AL38" s="151">
        <f t="shared" si="19"/>
        <v>31.017078150869359</v>
      </c>
      <c r="AM38" s="151">
        <f t="shared" si="20"/>
        <v>45.332370967391135</v>
      </c>
      <c r="AN38" s="81"/>
      <c r="AO38" s="81">
        <v>37</v>
      </c>
      <c r="AP38" s="133">
        <f t="shared" si="21"/>
        <v>1.0835535944888646</v>
      </c>
      <c r="AQ38" s="133">
        <f t="shared" si="22"/>
        <v>3.0845869229773504</v>
      </c>
      <c r="AR38" s="133">
        <f t="shared" si="23"/>
        <v>4.9921350284132666</v>
      </c>
      <c r="AS38" s="133">
        <f t="shared" si="327"/>
        <v>7.407590026434888</v>
      </c>
      <c r="AT38" s="133">
        <f t="shared" si="328"/>
        <v>11.957778801708031</v>
      </c>
      <c r="AU38" s="134">
        <f t="shared" si="329"/>
        <v>17.806234179421367</v>
      </c>
      <c r="AV38" s="133">
        <f t="shared" si="330"/>
        <v>24.484335712815039</v>
      </c>
      <c r="AW38" s="133">
        <f t="shared" si="24"/>
        <v>31.190162672582414</v>
      </c>
      <c r="AX38" s="133">
        <f t="shared" si="25"/>
        <v>35.536773491991873</v>
      </c>
      <c r="AY38" s="133">
        <f t="shared" si="26"/>
        <v>39.506433105903717</v>
      </c>
      <c r="AZ38" s="133">
        <f t="shared" si="27"/>
        <v>44.35634349244188</v>
      </c>
      <c r="BA38" s="81"/>
      <c r="BB38" s="81">
        <v>37</v>
      </c>
      <c r="BC38" s="133">
        <f t="shared" si="28"/>
        <v>4.0115600057282395</v>
      </c>
      <c r="BD38" s="133">
        <f t="shared" si="29"/>
        <v>6.2287467432852912</v>
      </c>
      <c r="BE38" s="133">
        <f t="shared" si="30"/>
        <v>8.2680411916752696</v>
      </c>
      <c r="BF38" s="133">
        <f t="shared" si="331"/>
        <v>10.767030400135919</v>
      </c>
      <c r="BG38" s="133">
        <f t="shared" si="332"/>
        <v>15.277502646317242</v>
      </c>
      <c r="BH38" s="134">
        <f t="shared" si="333"/>
        <v>20.791029597346427</v>
      </c>
      <c r="BI38" s="133">
        <f t="shared" si="334"/>
        <v>26.798410476824419</v>
      </c>
      <c r="BJ38" s="133">
        <f t="shared" si="31"/>
        <v>32.594802551607465</v>
      </c>
      <c r="BK38" s="133">
        <f t="shared" si="32"/>
        <v>36.249260483389619</v>
      </c>
      <c r="BL38" s="133">
        <f t="shared" si="33"/>
        <v>39.526098149610696</v>
      </c>
      <c r="BM38" s="133">
        <f t="shared" si="34"/>
        <v>43.45953316242089</v>
      </c>
      <c r="BN38" s="81"/>
      <c r="BO38" s="75">
        <v>39</v>
      </c>
      <c r="BP38" s="151">
        <f t="shared" si="35"/>
        <v>3.2725864583475035</v>
      </c>
      <c r="BQ38" s="151">
        <f t="shared" si="36"/>
        <v>4.2193474011516887</v>
      </c>
      <c r="BR38" s="151">
        <f t="shared" si="37"/>
        <v>5.2112928992958283</v>
      </c>
      <c r="BS38" s="151">
        <f t="shared" si="335"/>
        <v>6.5952547218925277</v>
      </c>
      <c r="BT38" s="151">
        <f t="shared" si="336"/>
        <v>9.6007866600062055</v>
      </c>
      <c r="BU38" s="134">
        <f t="shared" si="337"/>
        <v>14.255717139752107</v>
      </c>
      <c r="BV38" s="151">
        <f t="shared" si="338"/>
        <v>20.709975800660022</v>
      </c>
      <c r="BW38" s="151">
        <f t="shared" si="38"/>
        <v>28.473319826073823</v>
      </c>
      <c r="BX38" s="151">
        <f t="shared" si="39"/>
        <v>34.22151891846439</v>
      </c>
      <c r="BY38" s="151">
        <f t="shared" si="40"/>
        <v>39.980599453653831</v>
      </c>
      <c r="BZ38" s="151">
        <f t="shared" si="41"/>
        <v>47.696260896740213</v>
      </c>
      <c r="CA38" s="81"/>
      <c r="CB38" s="81">
        <v>37</v>
      </c>
      <c r="CC38" s="133">
        <f t="shared" si="42"/>
        <v>-6.1981823996720662</v>
      </c>
      <c r="CD38" s="133">
        <f t="shared" si="43"/>
        <v>-4.3535396714491501</v>
      </c>
      <c r="CE38" s="133">
        <f t="shared" si="44"/>
        <v>-2.3504886046270599</v>
      </c>
      <c r="CF38" s="133">
        <f t="shared" si="339"/>
        <v>0.3212000969852804</v>
      </c>
      <c r="CG38" s="133">
        <f t="shared" si="340"/>
        <v>5.4744261422578413</v>
      </c>
      <c r="CH38" s="134">
        <f t="shared" si="341"/>
        <v>12.061994394800017</v>
      </c>
      <c r="CI38" s="133">
        <f t="shared" si="342"/>
        <v>19.397450778310436</v>
      </c>
      <c r="CJ38" s="133">
        <f t="shared" si="45"/>
        <v>26.535325104692557</v>
      </c>
      <c r="CK38" s="133">
        <f t="shared" si="46"/>
        <v>31.043995793738272</v>
      </c>
      <c r="CL38" s="133">
        <f t="shared" si="47"/>
        <v>35.085487778897516</v>
      </c>
      <c r="CM38" s="133">
        <f t="shared" si="48"/>
        <v>39.930512021280386</v>
      </c>
      <c r="CN38" s="81"/>
      <c r="CO38" s="81">
        <v>37</v>
      </c>
      <c r="CP38" s="133">
        <f t="shared" si="49"/>
        <v>-0.79686281298314299</v>
      </c>
      <c r="CQ38" s="133">
        <f t="shared" si="50"/>
        <v>1.4239080180028232</v>
      </c>
      <c r="CR38" s="133">
        <f t="shared" si="51"/>
        <v>3.5138241824281691</v>
      </c>
      <c r="CS38" s="133">
        <f t="shared" si="343"/>
        <v>6.1085251174380195</v>
      </c>
      <c r="CT38" s="133">
        <f t="shared" si="344"/>
        <v>10.832807749780429</v>
      </c>
      <c r="CU38" s="134">
        <f t="shared" si="345"/>
        <v>16.618630556175059</v>
      </c>
      <c r="CV38" s="133">
        <f t="shared" si="346"/>
        <v>22.894300159413127</v>
      </c>
      <c r="CW38" s="133">
        <f t="shared" si="52"/>
        <v>28.904132886423472</v>
      </c>
      <c r="CX38" s="133">
        <f t="shared" si="53"/>
        <v>32.667310684530733</v>
      </c>
      <c r="CY38" s="133">
        <f t="shared" si="54"/>
        <v>36.02414575830737</v>
      </c>
      <c r="CZ38" s="133">
        <f t="shared" si="55"/>
        <v>40.031773636622532</v>
      </c>
      <c r="DA38" s="81"/>
      <c r="DB38" s="81">
        <v>39</v>
      </c>
      <c r="DC38" s="133">
        <f t="shared" si="56"/>
        <v>-6.3613708051523004</v>
      </c>
      <c r="DD38" s="133">
        <f t="shared" si="57"/>
        <v>-5.1553201755452749</v>
      </c>
      <c r="DE38" s="133">
        <f t="shared" si="58"/>
        <v>-3.7589207992837625</v>
      </c>
      <c r="DF38" s="133">
        <f t="shared" si="347"/>
        <v>-1.7905344356756938</v>
      </c>
      <c r="DG38" s="133">
        <f t="shared" si="348"/>
        <v>2.2536040285779491</v>
      </c>
      <c r="DH38" s="134">
        <f t="shared" si="349"/>
        <v>7.7661238741119822</v>
      </c>
      <c r="DI38" s="133">
        <f t="shared" si="350"/>
        <v>14.238829902342861</v>
      </c>
      <c r="DJ38" s="133">
        <f t="shared" si="59"/>
        <v>20.802610279798284</v>
      </c>
      <c r="DK38" s="133">
        <f t="shared" si="60"/>
        <v>25.062252061996023</v>
      </c>
      <c r="DL38" s="133">
        <f t="shared" si="61"/>
        <v>28.946913061585423</v>
      </c>
      <c r="DM38" s="133">
        <f t="shared" si="62"/>
        <v>33.679682540987351</v>
      </c>
      <c r="DN38" s="81"/>
      <c r="DO38" s="81">
        <v>37</v>
      </c>
      <c r="DP38" s="133">
        <v>12.897610488509947</v>
      </c>
      <c r="DQ38" s="133">
        <v>14.158433162250025</v>
      </c>
      <c r="DR38" s="133">
        <v>15.340958187102306</v>
      </c>
      <c r="DS38" s="133">
        <v>16.827426052099728</v>
      </c>
      <c r="DT38" s="133">
        <v>19.634523072008395</v>
      </c>
      <c r="DU38" s="134">
        <v>23.318516273373959</v>
      </c>
      <c r="DV38" s="133">
        <v>27.693731046963808</v>
      </c>
      <c r="DW38" s="133">
        <v>32.313510070291272</v>
      </c>
      <c r="DX38" s="133">
        <v>35.444539679976373</v>
      </c>
      <c r="DY38" s="133">
        <v>38.404899395322239</v>
      </c>
      <c r="DZ38" s="133">
        <v>42.159220242851809</v>
      </c>
      <c r="EA38" s="81"/>
      <c r="EB38" s="81">
        <v>37</v>
      </c>
      <c r="EC38" s="133">
        <v>12.910663141875355</v>
      </c>
      <c r="ED38" s="133">
        <v>13.846956404932545</v>
      </c>
      <c r="EE38" s="133">
        <v>14.706351138354334</v>
      </c>
      <c r="EF38" s="133">
        <v>15.763582888607946</v>
      </c>
      <c r="EG38" s="133">
        <v>17.699071092002743</v>
      </c>
      <c r="EH38" s="134">
        <v>20.137679291115045</v>
      </c>
      <c r="EI38" s="133">
        <v>22.91228308671176</v>
      </c>
      <c r="EJ38" s="133">
        <v>25.725504797825494</v>
      </c>
      <c r="EK38" s="133">
        <v>27.574897635497546</v>
      </c>
      <c r="EL38" s="133">
        <v>29.286300568357937</v>
      </c>
      <c r="EM38" s="133">
        <v>31.410170242649386</v>
      </c>
      <c r="EN38" s="81"/>
      <c r="EO38" s="81">
        <v>39</v>
      </c>
      <c r="EP38" s="133">
        <v>16.06005055791454</v>
      </c>
      <c r="EQ38" s="133">
        <v>17.199583751560422</v>
      </c>
      <c r="ER38" s="133">
        <v>18.24410767694761</v>
      </c>
      <c r="ES38" s="133">
        <v>19.52734607789214</v>
      </c>
      <c r="ET38" s="133">
        <v>21.872015243972509</v>
      </c>
      <c r="EU38" s="134">
        <v>24.818610764972878</v>
      </c>
      <c r="EV38" s="133">
        <v>28.16217131491689</v>
      </c>
      <c r="EW38" s="133">
        <v>31.543633110522364</v>
      </c>
      <c r="EX38" s="133">
        <v>33.762322126695722</v>
      </c>
      <c r="EY38" s="133">
        <v>35.812694609388124</v>
      </c>
      <c r="EZ38" s="133">
        <v>38.353767199050012</v>
      </c>
      <c r="FA38" s="81"/>
      <c r="FB38" s="81">
        <v>37</v>
      </c>
      <c r="FC38" s="133">
        <v>7.8227831106134014</v>
      </c>
      <c r="FD38" s="133">
        <v>8.6571932675288359</v>
      </c>
      <c r="FE38" s="133">
        <v>9.4456771009007134</v>
      </c>
      <c r="FF38" s="133">
        <v>10.444283705170273</v>
      </c>
      <c r="FG38" s="133">
        <v>12.350575173554187</v>
      </c>
      <c r="FH38" s="134">
        <v>14.888086910794087</v>
      </c>
      <c r="FI38" s="133">
        <v>17.946948117686027</v>
      </c>
      <c r="FJ38" s="133">
        <v>21.222626474004276</v>
      </c>
      <c r="FK38" s="133">
        <v>23.466304161744183</v>
      </c>
      <c r="FL38" s="133">
        <v>25.60357901385154</v>
      </c>
      <c r="FM38" s="133">
        <v>28.334561847002004</v>
      </c>
      <c r="FN38" s="81"/>
      <c r="FO38" s="81">
        <v>37</v>
      </c>
      <c r="FP38" s="133">
        <v>7.6930190402982817</v>
      </c>
      <c r="FQ38" s="133">
        <v>8.3701875044304952</v>
      </c>
      <c r="FR38" s="133">
        <v>9.0000758466071336</v>
      </c>
      <c r="FS38" s="133">
        <v>9.7853496658489618</v>
      </c>
      <c r="FT38" s="133">
        <v>11.250751062291569</v>
      </c>
      <c r="FU38" s="134">
        <v>13.144118865076965</v>
      </c>
      <c r="FV38" s="133">
        <v>15.356117985609625</v>
      </c>
      <c r="FW38" s="133">
        <v>17.655767717962586</v>
      </c>
      <c r="FX38" s="133">
        <v>19.196267196392846</v>
      </c>
      <c r="FY38" s="133">
        <v>20.640859078464235</v>
      </c>
      <c r="FZ38" s="133">
        <v>22.457745110763867</v>
      </c>
      <c r="GA38" s="81"/>
      <c r="GB38" s="81">
        <v>39</v>
      </c>
      <c r="GC38" s="133">
        <v>9.7934664529000752</v>
      </c>
      <c r="GD38" s="133">
        <v>10.601954139108983</v>
      </c>
      <c r="GE38" s="133">
        <v>11.350482752498509</v>
      </c>
      <c r="GF38" s="133">
        <v>12.279311804716988</v>
      </c>
      <c r="GG38" s="133">
        <v>14.000980153318078</v>
      </c>
      <c r="GH38" s="134">
        <v>16.205884656169946</v>
      </c>
      <c r="GI38" s="133">
        <v>18.758022267951276</v>
      </c>
      <c r="GJ38" s="133">
        <v>21.388063245384583</v>
      </c>
      <c r="GK38" s="133">
        <v>23.1382843545816</v>
      </c>
      <c r="GL38" s="133">
        <v>24.771914124800826</v>
      </c>
      <c r="GM38" s="133">
        <v>26.816929302015776</v>
      </c>
      <c r="GN38" s="81"/>
      <c r="GO38" s="81">
        <v>37</v>
      </c>
      <c r="GP38" s="133">
        <f t="shared" si="63"/>
        <v>0.44511176376495737</v>
      </c>
      <c r="GQ38" s="133">
        <f t="shared" si="64"/>
        <v>0.4809173949732668</v>
      </c>
      <c r="GR38" s="133">
        <f t="shared" si="65"/>
        <v>0.50959165582505817</v>
      </c>
      <c r="GS38" s="133">
        <f t="shared" si="351"/>
        <v>0.54066128558994642</v>
      </c>
      <c r="GT38" s="133">
        <f t="shared" si="352"/>
        <v>0.58999960491179826</v>
      </c>
      <c r="GU38" s="134">
        <f t="shared" si="353"/>
        <v>0.63766890511666885</v>
      </c>
      <c r="GV38" s="133">
        <f t="shared" si="354"/>
        <v>0.68182932594882417</v>
      </c>
      <c r="GW38" s="133">
        <f t="shared" si="66"/>
        <v>0.72108204778639018</v>
      </c>
      <c r="GX38" s="133">
        <f t="shared" si="67"/>
        <v>0.74293111706789883</v>
      </c>
      <c r="GY38" s="133">
        <f t="shared" si="68"/>
        <v>0.76134469711093622</v>
      </c>
      <c r="GZ38" s="133">
        <f t="shared" si="69"/>
        <v>0.78217788608333183</v>
      </c>
      <c r="HA38" s="81"/>
      <c r="HB38" s="81">
        <v>37</v>
      </c>
      <c r="HC38" s="133">
        <f t="shared" si="70"/>
        <v>0.4236150998566281</v>
      </c>
      <c r="HD38" s="133">
        <f t="shared" si="71"/>
        <v>0.46321946703092343</v>
      </c>
      <c r="HE38" s="133">
        <f t="shared" si="72"/>
        <v>0.49465822512705915</v>
      </c>
      <c r="HF38" s="133">
        <f t="shared" si="355"/>
        <v>0.52850299470244766</v>
      </c>
      <c r="HG38" s="133">
        <f t="shared" si="356"/>
        <v>0.58042742253706425</v>
      </c>
      <c r="HH38" s="134">
        <f t="shared" si="357"/>
        <v>0.63312233478598179</v>
      </c>
      <c r="HI38" s="133">
        <f t="shared" si="358"/>
        <v>0.68160656469391945</v>
      </c>
      <c r="HJ38" s="133">
        <f t="shared" si="73"/>
        <v>0.72223821054053505</v>
      </c>
      <c r="HK38" s="133">
        <f t="shared" si="74"/>
        <v>0.74549358642849695</v>
      </c>
      <c r="HL38" s="133">
        <f t="shared" si="75"/>
        <v>0.76506968326763825</v>
      </c>
      <c r="HM38" s="133">
        <f t="shared" si="76"/>
        <v>0.78719554647957746</v>
      </c>
      <c r="HN38" s="81"/>
      <c r="HO38" s="81">
        <v>39</v>
      </c>
      <c r="HP38" s="83">
        <f t="shared" si="77"/>
        <v>0.46915029722717172</v>
      </c>
      <c r="HQ38" s="83">
        <f t="shared" si="78"/>
        <v>0.50145255480510287</v>
      </c>
      <c r="HR38" s="83">
        <f t="shared" si="79"/>
        <v>0.52753588407431151</v>
      </c>
      <c r="HS38" s="83">
        <f t="shared" si="359"/>
        <v>0.55597726952315907</v>
      </c>
      <c r="HT38" s="83">
        <f t="shared" si="360"/>
        <v>0.60020948546337505</v>
      </c>
      <c r="HU38" s="84">
        <f t="shared" si="361"/>
        <v>0.64568780317700181</v>
      </c>
      <c r="HV38" s="83">
        <f t="shared" si="362"/>
        <v>0.68794381562787499</v>
      </c>
      <c r="HW38" s="83">
        <f t="shared" si="80"/>
        <v>0.72360074408135977</v>
      </c>
      <c r="HX38" s="83">
        <f t="shared" si="81"/>
        <v>0.74409386981162784</v>
      </c>
      <c r="HY38" s="83">
        <f t="shared" si="82"/>
        <v>0.76138726275491708</v>
      </c>
      <c r="HZ38" s="83">
        <f t="shared" si="83"/>
        <v>0.78097580581538228</v>
      </c>
      <c r="IA38" s="81"/>
      <c r="IB38" s="81">
        <v>37</v>
      </c>
      <c r="IC38" s="83">
        <f t="shared" si="84"/>
        <v>0.3093549868452935</v>
      </c>
      <c r="ID38" s="83">
        <f t="shared" si="85"/>
        <v>0.3255665408813691</v>
      </c>
      <c r="IE38" s="83">
        <f t="shared" si="86"/>
        <v>0.337995381575184</v>
      </c>
      <c r="IF38" s="83">
        <f t="shared" si="363"/>
        <v>0.35098583018139978</v>
      </c>
      <c r="IG38" s="83">
        <f t="shared" si="364"/>
        <v>0.37021467686823939</v>
      </c>
      <c r="IH38" s="84">
        <f t="shared" si="365"/>
        <v>0.38896165661970761</v>
      </c>
      <c r="II38" s="83">
        <f t="shared" si="366"/>
        <v>0.40560851952108107</v>
      </c>
      <c r="IJ38" s="83">
        <f t="shared" si="87"/>
        <v>0.41916000162908812</v>
      </c>
      <c r="IK38" s="83">
        <f t="shared" si="88"/>
        <v>0.42676489147954444</v>
      </c>
      <c r="IL38" s="83">
        <f t="shared" si="89"/>
        <v>0.43308591180502037</v>
      </c>
      <c r="IM38" s="83">
        <f t="shared" si="90"/>
        <v>0.44014510814902907</v>
      </c>
      <c r="IN38" s="81"/>
      <c r="IO38" s="81">
        <v>37</v>
      </c>
      <c r="IP38" s="133">
        <f t="shared" si="91"/>
        <v>0.29880768883132031</v>
      </c>
      <c r="IQ38" s="133">
        <f t="shared" si="92"/>
        <v>0.31734941564755581</v>
      </c>
      <c r="IR38" s="133">
        <f t="shared" si="93"/>
        <v>0.33132600539179952</v>
      </c>
      <c r="IS38" s="133">
        <f t="shared" si="367"/>
        <v>0.34575933889592597</v>
      </c>
      <c r="IT38" s="133">
        <f t="shared" si="368"/>
        <v>0.36686446214603757</v>
      </c>
      <c r="IU38" s="134">
        <f t="shared" si="369"/>
        <v>0.38720886940648247</v>
      </c>
      <c r="IV38" s="133">
        <f t="shared" si="370"/>
        <v>0.40512588948672018</v>
      </c>
      <c r="IW38" s="133">
        <f t="shared" si="94"/>
        <v>0.41962863475329965</v>
      </c>
      <c r="IX38" s="133">
        <f t="shared" si="95"/>
        <v>0.42773974782819529</v>
      </c>
      <c r="IY38" s="133">
        <f t="shared" si="96"/>
        <v>0.43446807025617823</v>
      </c>
      <c r="IZ38" s="133">
        <f t="shared" si="97"/>
        <v>0.44196887892484721</v>
      </c>
      <c r="JA38" s="81"/>
      <c r="JB38" s="81">
        <v>39</v>
      </c>
      <c r="JC38" s="133">
        <f t="shared" si="98"/>
        <v>0.32069589130991982</v>
      </c>
      <c r="JD38" s="133">
        <f t="shared" si="99"/>
        <v>0.33480694233477765</v>
      </c>
      <c r="JE38" s="133">
        <f t="shared" si="100"/>
        <v>0.34579461087479813</v>
      </c>
      <c r="JF38" s="133">
        <f t="shared" si="371"/>
        <v>0.35741187704745281</v>
      </c>
      <c r="JG38" s="133">
        <f t="shared" si="372"/>
        <v>0.37481820458251441</v>
      </c>
      <c r="JH38" s="134">
        <f t="shared" si="373"/>
        <v>0.39198713543945918</v>
      </c>
      <c r="JI38" s="133">
        <f t="shared" si="374"/>
        <v>0.40736662517360595</v>
      </c>
      <c r="JJ38" s="133">
        <f t="shared" si="101"/>
        <v>0.41996397134626356</v>
      </c>
      <c r="JK38" s="133">
        <f t="shared" si="102"/>
        <v>0.42705997971866977</v>
      </c>
      <c r="JL38" s="133">
        <f t="shared" si="103"/>
        <v>0.43297119456645822</v>
      </c>
      <c r="JM38" s="133">
        <f t="shared" si="104"/>
        <v>0.43958584346348178</v>
      </c>
      <c r="JN38" s="81"/>
      <c r="JO38" s="81">
        <v>36</v>
      </c>
      <c r="JP38" s="133">
        <f t="shared" si="105"/>
        <v>-5.9545452752246479</v>
      </c>
      <c r="JQ38" s="133">
        <f t="shared" si="106"/>
        <v>-4.5186495617145042</v>
      </c>
      <c r="JR38" s="133">
        <f t="shared" si="107"/>
        <v>-3.2657536987152689</v>
      </c>
      <c r="JS38" s="133">
        <f t="shared" si="375"/>
        <v>-1.8016987467057675</v>
      </c>
      <c r="JT38" s="133">
        <f t="shared" si="376"/>
        <v>0.6844909946289448</v>
      </c>
      <c r="JU38" s="134">
        <f t="shared" si="377"/>
        <v>3.5158494340115745</v>
      </c>
      <c r="JV38" s="133">
        <f t="shared" si="378"/>
        <v>6.4060535188713779</v>
      </c>
      <c r="JW38" s="133">
        <f t="shared" si="108"/>
        <v>9.0458071408498668</v>
      </c>
      <c r="JX38" s="133">
        <f t="shared" si="109"/>
        <v>10.648270027252703</v>
      </c>
      <c r="JY38" s="133">
        <f t="shared" si="110"/>
        <v>12.049854980723506</v>
      </c>
      <c r="JZ38" s="133">
        <f t="shared" si="111"/>
        <v>13.692737825015254</v>
      </c>
      <c r="KA38" s="81"/>
      <c r="KB38" s="81">
        <v>36</v>
      </c>
      <c r="KC38" s="133">
        <f t="shared" si="112"/>
        <v>-4.2031487827180758</v>
      </c>
      <c r="KD38" s="133">
        <f t="shared" si="113"/>
        <v>-2.9933046524845235</v>
      </c>
      <c r="KE38" s="133">
        <f t="shared" si="114"/>
        <v>-1.9094170224180296</v>
      </c>
      <c r="KF38" s="133">
        <f t="shared" si="379"/>
        <v>-0.6122297541598325</v>
      </c>
      <c r="KG38" s="133">
        <f t="shared" si="380"/>
        <v>1.6593725746210204</v>
      </c>
      <c r="KH38" s="134">
        <f t="shared" si="381"/>
        <v>4.3408466911792285</v>
      </c>
      <c r="KI38" s="133">
        <f t="shared" si="382"/>
        <v>7.1703672132393717</v>
      </c>
      <c r="KJ38" s="133">
        <f t="shared" si="115"/>
        <v>9.8280640851526595</v>
      </c>
      <c r="KK38" s="133">
        <f t="shared" si="116"/>
        <v>11.472938150705348</v>
      </c>
      <c r="KL38" s="133">
        <f t="shared" si="117"/>
        <v>12.930027474629201</v>
      </c>
      <c r="KM38" s="133">
        <f t="shared" si="118"/>
        <v>14.658876911850404</v>
      </c>
      <c r="KN38" s="81"/>
      <c r="KO38" s="81">
        <v>38</v>
      </c>
      <c r="KP38" s="133">
        <f t="shared" si="119"/>
        <v>-6.7573265682890078</v>
      </c>
      <c r="KQ38" s="133">
        <f t="shared" si="120"/>
        <v>-5.209867408465561</v>
      </c>
      <c r="KR38" s="133">
        <f t="shared" si="121"/>
        <v>-3.8862522742194834</v>
      </c>
      <c r="KS38" s="133">
        <f t="shared" si="383"/>
        <v>-2.3677711014316429</v>
      </c>
      <c r="KT38" s="133">
        <f t="shared" si="384"/>
        <v>0.14917244244327676</v>
      </c>
      <c r="KU38" s="134">
        <f t="shared" si="385"/>
        <v>2.9335525151825514</v>
      </c>
      <c r="KV38" s="133">
        <f t="shared" si="386"/>
        <v>5.6985852269313746</v>
      </c>
      <c r="KW38" s="133">
        <f t="shared" si="122"/>
        <v>8.1647304904739428</v>
      </c>
      <c r="KX38" s="133">
        <f t="shared" si="123"/>
        <v>9.6370290772353542</v>
      </c>
      <c r="KY38" s="133">
        <f t="shared" si="124"/>
        <v>10.910590041698534</v>
      </c>
      <c r="KZ38" s="133">
        <f t="shared" si="125"/>
        <v>12.38756481251929</v>
      </c>
      <c r="LA38" s="81"/>
      <c r="LB38" s="81">
        <v>36</v>
      </c>
      <c r="LC38" s="133">
        <f t="shared" si="126"/>
        <v>-15.153929490884266</v>
      </c>
      <c r="LD38" s="133">
        <f t="shared" si="127"/>
        <v>-11.518757107196429</v>
      </c>
      <c r="LE38" s="133">
        <f t="shared" si="128"/>
        <v>-8.3004070032510278</v>
      </c>
      <c r="LF38" s="133">
        <f t="shared" si="387"/>
        <v>-4.4925617612882434</v>
      </c>
      <c r="LG38" s="133">
        <f t="shared" si="388"/>
        <v>2.0720262148804096</v>
      </c>
      <c r="LH38" s="134">
        <f t="shared" si="389"/>
        <v>9.6723437010994004</v>
      </c>
      <c r="LI38" s="133">
        <f t="shared" si="390"/>
        <v>17.542045022301544</v>
      </c>
      <c r="LJ38" s="133">
        <f t="shared" si="129"/>
        <v>24.811914421694439</v>
      </c>
      <c r="LK38" s="133">
        <f t="shared" si="130"/>
        <v>29.258417721995976</v>
      </c>
      <c r="LL38" s="133">
        <f t="shared" si="131"/>
        <v>33.166220078294977</v>
      </c>
      <c r="LM38" s="133">
        <f t="shared" si="132"/>
        <v>37.767384758436087</v>
      </c>
      <c r="LN38" s="81"/>
      <c r="LO38" s="81">
        <v>36</v>
      </c>
      <c r="LP38" s="133">
        <f t="shared" si="133"/>
        <v>-11.477281720591545</v>
      </c>
      <c r="LQ38" s="133">
        <f t="shared" si="134"/>
        <v>-7.9641651490722793</v>
      </c>
      <c r="LR38" s="133">
        <f t="shared" si="135"/>
        <v>-4.8403349815967474</v>
      </c>
      <c r="LS38" s="133">
        <f t="shared" si="391"/>
        <v>-1.1299219157646263</v>
      </c>
      <c r="LT38" s="133">
        <f t="shared" si="392"/>
        <v>5.2984610310054769</v>
      </c>
      <c r="LU38" s="134">
        <f t="shared" si="393"/>
        <v>12.78380360789134</v>
      </c>
      <c r="LV38" s="133">
        <f t="shared" si="394"/>
        <v>20.575240011125654</v>
      </c>
      <c r="LW38" s="133">
        <f t="shared" si="136"/>
        <v>27.804576402209729</v>
      </c>
      <c r="LX38" s="133">
        <f t="shared" si="137"/>
        <v>32.239718361132375</v>
      </c>
      <c r="LY38" s="133">
        <f t="shared" si="138"/>
        <v>36.145294264474785</v>
      </c>
      <c r="LZ38" s="133">
        <f t="shared" si="139"/>
        <v>40.752581843406091</v>
      </c>
      <c r="MA38" s="81"/>
      <c r="MB38" s="81">
        <v>38</v>
      </c>
      <c r="MC38" s="133">
        <f t="shared" si="140"/>
        <v>-15.387314475641642</v>
      </c>
      <c r="MD38" s="133">
        <f t="shared" si="141"/>
        <v>-11.924540336352646</v>
      </c>
      <c r="ME38" s="133">
        <f t="shared" si="142"/>
        <v>-8.8960955497906298</v>
      </c>
      <c r="MF38" s="133">
        <f t="shared" si="395"/>
        <v>-5.3522389209665207</v>
      </c>
      <c r="MG38" s="133">
        <f t="shared" si="396"/>
        <v>0.67147170413684165</v>
      </c>
      <c r="MH38" s="134">
        <f t="shared" si="397"/>
        <v>7.5317338270489742</v>
      </c>
      <c r="MI38" s="133">
        <f t="shared" si="398"/>
        <v>14.528084130052406</v>
      </c>
      <c r="MJ38" s="133">
        <f t="shared" si="143"/>
        <v>20.908945057118636</v>
      </c>
      <c r="MK38" s="133">
        <f t="shared" si="144"/>
        <v>24.777323226042924</v>
      </c>
      <c r="ML38" s="133">
        <f t="shared" si="145"/>
        <v>28.157344914824627</v>
      </c>
      <c r="MM38" s="133">
        <f t="shared" si="146"/>
        <v>32.11502621697651</v>
      </c>
      <c r="MN38" s="81"/>
      <c r="MO38" s="81">
        <v>36</v>
      </c>
      <c r="MP38" s="133">
        <f t="shared" si="147"/>
        <v>-21.668149087564871</v>
      </c>
      <c r="MQ38" s="133">
        <f t="shared" si="148"/>
        <v>-17.348287492876764</v>
      </c>
      <c r="MR38" s="133">
        <f t="shared" si="149"/>
        <v>-13.608083142753625</v>
      </c>
      <c r="MS38" s="133">
        <f t="shared" si="399"/>
        <v>-9.2720612156194413</v>
      </c>
      <c r="MT38" s="133">
        <f t="shared" si="400"/>
        <v>-1.9915119499248917</v>
      </c>
      <c r="MU38" s="134">
        <f t="shared" si="401"/>
        <v>6.1808149046556764</v>
      </c>
      <c r="MV38" s="133">
        <f t="shared" si="402"/>
        <v>14.40322658116407</v>
      </c>
      <c r="MW38" s="133">
        <f t="shared" si="150"/>
        <v>21.816621398455823</v>
      </c>
      <c r="MX38" s="133">
        <f t="shared" si="151"/>
        <v>26.275280931117564</v>
      </c>
      <c r="MY38" s="133">
        <f t="shared" si="152"/>
        <v>30.150689024844844</v>
      </c>
      <c r="MZ38" s="133">
        <f t="shared" si="153"/>
        <v>34.665689256142805</v>
      </c>
      <c r="NA38" s="81"/>
      <c r="NB38" s="81">
        <v>36</v>
      </c>
      <c r="NC38" s="133">
        <f t="shared" si="154"/>
        <v>-15.999839845383423</v>
      </c>
      <c r="ND38" s="133">
        <f t="shared" si="155"/>
        <v>-11.961940591654823</v>
      </c>
      <c r="NE38" s="133">
        <f t="shared" si="156"/>
        <v>-8.4522162003761672</v>
      </c>
      <c r="NF38" s="133">
        <f t="shared" si="403"/>
        <v>-4.3711293658877644</v>
      </c>
      <c r="NG38" s="133">
        <f t="shared" si="404"/>
        <v>2.504542786106871</v>
      </c>
      <c r="NH38" s="134">
        <f t="shared" si="405"/>
        <v>10.249350289050913</v>
      </c>
      <c r="NI38" s="133">
        <f t="shared" si="406"/>
        <v>18.064236359227859</v>
      </c>
      <c r="NJ38" s="133">
        <f t="shared" si="157"/>
        <v>25.126176833831185</v>
      </c>
      <c r="NK38" s="133">
        <f t="shared" si="158"/>
        <v>29.379791742210937</v>
      </c>
      <c r="NL38" s="133">
        <f t="shared" si="159"/>
        <v>33.080479584844213</v>
      </c>
      <c r="NM38" s="133">
        <f t="shared" si="160"/>
        <v>37.395743007110852</v>
      </c>
      <c r="NN38" s="81"/>
      <c r="NO38" s="81">
        <v>38</v>
      </c>
      <c r="NP38" s="133">
        <f t="shared" si="161"/>
        <v>-22.289078071368188</v>
      </c>
      <c r="NQ38" s="133">
        <f t="shared" si="162"/>
        <v>-18.368856511824593</v>
      </c>
      <c r="NR38" s="133">
        <f t="shared" si="163"/>
        <v>-14.993897762482817</v>
      </c>
      <c r="NS38" s="133">
        <f t="shared" si="407"/>
        <v>-11.09957885360015</v>
      </c>
      <c r="NT38" s="133">
        <f t="shared" si="408"/>
        <v>-4.5968152259305555</v>
      </c>
      <c r="NU38" s="134">
        <f t="shared" si="409"/>
        <v>2.658801198250444</v>
      </c>
      <c r="NV38" s="133">
        <f t="shared" si="410"/>
        <v>9.9210979879820158</v>
      </c>
      <c r="NW38" s="133">
        <f t="shared" si="164"/>
        <v>16.441589367888866</v>
      </c>
      <c r="NX38" s="133">
        <f t="shared" si="165"/>
        <v>20.352285052753729</v>
      </c>
      <c r="NY38" s="133">
        <f t="shared" si="166"/>
        <v>23.745311121055423</v>
      </c>
      <c r="NZ38" s="133">
        <f t="shared" si="167"/>
        <v>27.691631774545165</v>
      </c>
      <c r="OA38" s="81"/>
      <c r="OB38" s="81">
        <v>36</v>
      </c>
      <c r="OC38" s="133">
        <v>14.599479241108551</v>
      </c>
      <c r="OD38" s="133">
        <v>16.160386851818956</v>
      </c>
      <c r="OE38" s="133">
        <v>17.635692007311132</v>
      </c>
      <c r="OF38" s="133">
        <v>19.504544209361512</v>
      </c>
      <c r="OG38" s="133">
        <v>23.073175459564329</v>
      </c>
      <c r="OH38" s="134">
        <v>27.825360718501909</v>
      </c>
      <c r="OI38" s="133">
        <v>33.556313064563689</v>
      </c>
      <c r="OJ38" s="133">
        <v>39.69591346529058</v>
      </c>
      <c r="OK38" s="133">
        <v>43.902484733446911</v>
      </c>
      <c r="OL38" s="133">
        <v>47.910406243004125</v>
      </c>
      <c r="OM38" s="133">
        <v>53.032761397040026</v>
      </c>
      <c r="ON38" s="81"/>
      <c r="OO38" s="81">
        <v>36</v>
      </c>
      <c r="OP38" s="133">
        <v>13.101669657168665</v>
      </c>
      <c r="OQ38" s="133">
        <v>14.362219882606581</v>
      </c>
      <c r="OR38" s="133">
        <v>15.542946771432611</v>
      </c>
      <c r="OS38" s="133">
        <v>17.02521842480839</v>
      </c>
      <c r="OT38" s="133">
        <v>25.13067474407227</v>
      </c>
      <c r="OU38" s="134">
        <v>23.476788918359855</v>
      </c>
      <c r="OV38" s="133">
        <v>27.80947137371156</v>
      </c>
      <c r="OW38" s="133">
        <v>32.373130503518169</v>
      </c>
      <c r="OX38" s="133">
        <v>35.460432698015531</v>
      </c>
      <c r="OY38" s="133">
        <v>38.375656578319621</v>
      </c>
      <c r="OZ38" s="133">
        <v>42.067891523707701</v>
      </c>
      <c r="PA38" s="81"/>
      <c r="PB38" s="81">
        <v>38</v>
      </c>
      <c r="PC38" s="133">
        <v>19.925331073689048</v>
      </c>
      <c r="PD38" s="133">
        <v>21.487219059441824</v>
      </c>
      <c r="PE38" s="133">
        <v>22.928106540828466</v>
      </c>
      <c r="PF38" s="133">
        <v>24.709682084869858</v>
      </c>
      <c r="PG38" s="133">
        <v>27.995045838457962</v>
      </c>
      <c r="PH38" s="134">
        <v>32.174191178440921</v>
      </c>
      <c r="PI38" s="133">
        <v>36.977206037105212</v>
      </c>
      <c r="PJ38" s="133">
        <v>41.89364211289152</v>
      </c>
      <c r="PK38" s="133">
        <v>45.148890779249697</v>
      </c>
      <c r="PL38" s="133">
        <v>48.176479940152667</v>
      </c>
      <c r="PM38" s="133">
        <v>51.952892233434206</v>
      </c>
      <c r="PN38" s="81"/>
      <c r="PO38" s="81">
        <v>36</v>
      </c>
      <c r="PP38" s="133">
        <v>8.344836478914651</v>
      </c>
      <c r="PQ38" s="133">
        <v>9.0951298960668971</v>
      </c>
      <c r="PR38" s="133">
        <v>9.794161188871497</v>
      </c>
      <c r="PS38" s="133">
        <v>10.667036738919537</v>
      </c>
      <c r="PT38" s="133">
        <v>12.299685991212408</v>
      </c>
      <c r="PU38" s="134">
        <v>14.415566927671518</v>
      </c>
      <c r="PV38" s="133">
        <v>16.895437005029809</v>
      </c>
      <c r="PW38" s="133">
        <v>19.481377530834845</v>
      </c>
      <c r="PX38" s="133">
        <v>21.21759748882803</v>
      </c>
      <c r="PY38" s="133">
        <v>22.848334462605273</v>
      </c>
      <c r="PZ38" s="133">
        <v>24.902653319961139</v>
      </c>
      <c r="QA38" s="81"/>
      <c r="QB38" s="81">
        <v>36</v>
      </c>
      <c r="QC38" s="133">
        <v>7.9957800353795729</v>
      </c>
      <c r="QD38" s="133">
        <v>8.7145412714146104</v>
      </c>
      <c r="QE38" s="133">
        <v>9.3841841839816453</v>
      </c>
      <c r="QF38" s="133">
        <v>10.220349482583819</v>
      </c>
      <c r="QG38" s="133">
        <v>11.784299418622984</v>
      </c>
      <c r="QH38" s="134">
        <v>13.811086990598037</v>
      </c>
      <c r="QI38" s="133">
        <v>16.186462774395071</v>
      </c>
      <c r="QJ38" s="133">
        <v>18.663366080280422</v>
      </c>
      <c r="QK38" s="133">
        <v>20.326340587758384</v>
      </c>
      <c r="QL38" s="133">
        <v>21.888257559528775</v>
      </c>
      <c r="QM38" s="133">
        <v>23.85584933775775</v>
      </c>
      <c r="QN38" s="81"/>
      <c r="QO38" s="81">
        <v>38</v>
      </c>
      <c r="QP38" s="133">
        <v>9.3262720732180533</v>
      </c>
      <c r="QQ38" s="133">
        <v>10.092456148610406</v>
      </c>
      <c r="QR38" s="133">
        <v>10.801574862546154</v>
      </c>
      <c r="QS38" s="133">
        <v>11.681199331955687</v>
      </c>
      <c r="QT38" s="133">
        <v>13.310857721900119</v>
      </c>
      <c r="QU38" s="134">
        <v>15.396573507131825</v>
      </c>
      <c r="QV38" s="133">
        <v>17.809105972975132</v>
      </c>
      <c r="QW38" s="133">
        <v>20.293676104988226</v>
      </c>
      <c r="QX38" s="133">
        <v>21.946288275285344</v>
      </c>
      <c r="QY38" s="133">
        <v>23.488283948912947</v>
      </c>
      <c r="QZ38" s="133">
        <v>25.417924107238417</v>
      </c>
      <c r="RA38" s="81"/>
      <c r="RB38" s="81">
        <v>36</v>
      </c>
      <c r="RC38" s="133">
        <f t="shared" si="168"/>
        <v>0.28352612343510436</v>
      </c>
      <c r="RD38" s="133">
        <f t="shared" si="169"/>
        <v>0.30818680796259773</v>
      </c>
      <c r="RE38" s="133">
        <f t="shared" si="170"/>
        <v>0.3313923903687726</v>
      </c>
      <c r="RF38" s="133">
        <f t="shared" si="411"/>
        <v>0.36069143318485708</v>
      </c>
      <c r="RG38" s="133">
        <f t="shared" si="412"/>
        <v>0.41648795645430881</v>
      </c>
      <c r="RH38" s="134">
        <f t="shared" si="413"/>
        <v>0.49079222370157477</v>
      </c>
      <c r="RI38" s="133">
        <f t="shared" si="414"/>
        <v>0.58082082165277382</v>
      </c>
      <c r="RJ38" s="133">
        <f t="shared" si="171"/>
        <v>0.67814312527714093</v>
      </c>
      <c r="RK38" s="133">
        <f t="shared" si="172"/>
        <v>0.74547917987318757</v>
      </c>
      <c r="RL38" s="133">
        <f t="shared" si="173"/>
        <v>0.81019178953817383</v>
      </c>
      <c r="RM38" s="133">
        <f t="shared" si="174"/>
        <v>0.89374557254029441</v>
      </c>
      <c r="RN38" s="81"/>
      <c r="RO38" s="81">
        <v>36</v>
      </c>
      <c r="RP38" s="133">
        <f t="shared" si="175"/>
        <v>0.31249667345543397</v>
      </c>
      <c r="RQ38" s="133">
        <f t="shared" si="176"/>
        <v>0.33768251502107555</v>
      </c>
      <c r="RR38" s="133">
        <f t="shared" si="177"/>
        <v>0.36134025173772433</v>
      </c>
      <c r="RS38" s="133">
        <f t="shared" si="415"/>
        <v>0.39116652496639409</v>
      </c>
      <c r="RT38" s="133">
        <f t="shared" si="416"/>
        <v>0.44788129371786162</v>
      </c>
      <c r="RU38" s="134">
        <f t="shared" si="417"/>
        <v>0.52334110357161501</v>
      </c>
      <c r="RV38" s="133">
        <f t="shared" si="418"/>
        <v>0.61482166571656582</v>
      </c>
      <c r="RW38" s="133">
        <f t="shared" si="178"/>
        <v>0.71392370604223176</v>
      </c>
      <c r="RX38" s="133">
        <f t="shared" si="179"/>
        <v>0.78267596127956662</v>
      </c>
      <c r="RY38" s="133">
        <f t="shared" si="180"/>
        <v>0.84891930540135108</v>
      </c>
      <c r="RZ38" s="133">
        <f t="shared" si="181"/>
        <v>0.93472205155122856</v>
      </c>
      <c r="SA38" s="81"/>
      <c r="SB38" s="81">
        <v>38</v>
      </c>
      <c r="SC38" s="133">
        <f t="shared" si="182"/>
        <v>0.27265449980707196</v>
      </c>
      <c r="SD38" s="133">
        <f t="shared" si="183"/>
        <v>0.29697754182025454</v>
      </c>
      <c r="SE38" s="133">
        <f t="shared" si="184"/>
        <v>0.31964949672975285</v>
      </c>
      <c r="SF38" s="133">
        <f t="shared" si="419"/>
        <v>0.34797561369297403</v>
      </c>
      <c r="SG38" s="133">
        <f t="shared" si="420"/>
        <v>0.40100815070706614</v>
      </c>
      <c r="SH38" s="134">
        <f t="shared" si="421"/>
        <v>0.46984112558558311</v>
      </c>
      <c r="SI38" s="133">
        <f t="shared" si="422"/>
        <v>0.55066925418038681</v>
      </c>
      <c r="SJ38" s="133">
        <f t="shared" si="185"/>
        <v>0.63513238187490273</v>
      </c>
      <c r="SK38" s="133">
        <f t="shared" si="186"/>
        <v>0.69194223251905806</v>
      </c>
      <c r="SL38" s="133">
        <f t="shared" si="187"/>
        <v>0.74537305926887198</v>
      </c>
      <c r="SM38" s="133">
        <f t="shared" si="188"/>
        <v>0.81278049467628743</v>
      </c>
      <c r="SN38" s="81"/>
      <c r="SO38" s="81">
        <v>36</v>
      </c>
      <c r="SP38" s="133">
        <f t="shared" si="189"/>
        <v>0.22067733973251519</v>
      </c>
      <c r="SQ38" s="133">
        <f t="shared" si="190"/>
        <v>0.2356574405543321</v>
      </c>
      <c r="SR38" s="133">
        <f t="shared" si="191"/>
        <v>0.24913764110051179</v>
      </c>
      <c r="SS38" s="133">
        <f t="shared" si="423"/>
        <v>0.26538519861491716</v>
      </c>
      <c r="ST38" s="133">
        <f t="shared" si="424"/>
        <v>0.29423412696591966</v>
      </c>
      <c r="SU38" s="134">
        <f t="shared" si="425"/>
        <v>0.32908165294440694</v>
      </c>
      <c r="SV38" s="133">
        <f t="shared" si="426"/>
        <v>0.36692351883400748</v>
      </c>
      <c r="SW38" s="133">
        <f t="shared" si="192"/>
        <v>0.40355911175322046</v>
      </c>
      <c r="SX38" s="133">
        <f t="shared" si="193"/>
        <v>0.42679060186898177</v>
      </c>
      <c r="SY38" s="133">
        <f t="shared" si="194"/>
        <v>0.4477369359021105</v>
      </c>
      <c r="SZ38" s="133">
        <f t="shared" si="195"/>
        <v>0.4730465797508181</v>
      </c>
      <c r="TA38" s="81"/>
      <c r="TB38" s="81">
        <v>36</v>
      </c>
      <c r="TC38" s="133">
        <f t="shared" si="196"/>
        <v>0.23820506144349474</v>
      </c>
      <c r="TD38" s="133">
        <f t="shared" si="197"/>
        <v>0.25271733149342701</v>
      </c>
      <c r="TE38" s="133">
        <f t="shared" si="198"/>
        <v>0.26577567959277154</v>
      </c>
      <c r="TF38" s="133">
        <f t="shared" si="427"/>
        <v>0.28151786797282496</v>
      </c>
      <c r="TG38" s="133">
        <f t="shared" si="428"/>
        <v>0.30948954814211888</v>
      </c>
      <c r="TH38" s="134">
        <f t="shared" si="429"/>
        <v>0.3433326289301169</v>
      </c>
      <c r="TI38" s="133">
        <f t="shared" si="430"/>
        <v>0.38017606845419594</v>
      </c>
      <c r="TJ38" s="133">
        <f t="shared" si="199"/>
        <v>0.41595438275269364</v>
      </c>
      <c r="TK38" s="133">
        <f t="shared" si="200"/>
        <v>0.43870371361645205</v>
      </c>
      <c r="TL38" s="133">
        <f t="shared" si="201"/>
        <v>0.4592585405899815</v>
      </c>
      <c r="TM38" s="133">
        <f t="shared" si="202"/>
        <v>0.48415174756019025</v>
      </c>
      <c r="TN38" s="81"/>
      <c r="TO38" s="81">
        <v>38</v>
      </c>
      <c r="TP38" s="133">
        <f t="shared" si="203"/>
        <v>0.21397668471211845</v>
      </c>
      <c r="TQ38" s="133">
        <f t="shared" si="204"/>
        <v>0.22902998202527222</v>
      </c>
      <c r="TR38" s="133">
        <f t="shared" si="205"/>
        <v>0.24243923600627926</v>
      </c>
      <c r="TS38" s="133">
        <f t="shared" si="431"/>
        <v>0.25843443033551267</v>
      </c>
      <c r="TT38" s="133">
        <f t="shared" si="432"/>
        <v>0.28640496425553114</v>
      </c>
      <c r="TU38" s="134">
        <f t="shared" si="433"/>
        <v>0.31950045019839862</v>
      </c>
      <c r="TV38" s="133">
        <f t="shared" si="434"/>
        <v>0.35464684132372043</v>
      </c>
      <c r="TW38" s="133">
        <f t="shared" si="206"/>
        <v>0.38794764061640197</v>
      </c>
      <c r="TX38" s="133">
        <f t="shared" si="207"/>
        <v>0.40871987553416478</v>
      </c>
      <c r="TY38" s="133">
        <f t="shared" si="208"/>
        <v>0.42723210700046182</v>
      </c>
      <c r="TZ38" s="133">
        <f t="shared" si="209"/>
        <v>0.4493388540642182</v>
      </c>
      <c r="UA38" s="81"/>
      <c r="UB38" s="81">
        <v>36</v>
      </c>
      <c r="UC38" s="133">
        <f t="shared" si="210"/>
        <v>-23.851863788454011</v>
      </c>
      <c r="UD38" s="133">
        <f t="shared" si="211"/>
        <v>-20.25446624792292</v>
      </c>
      <c r="UE38" s="133">
        <f t="shared" si="212"/>
        <v>-17.257381055339643</v>
      </c>
      <c r="UF38" s="133">
        <f t="shared" si="435"/>
        <v>-13.899033954034103</v>
      </c>
      <c r="UG38" s="133">
        <f t="shared" si="436"/>
        <v>-8.4965164215076783</v>
      </c>
      <c r="UH38" s="134">
        <f t="shared" si="437"/>
        <v>-2.7240479696391162</v>
      </c>
      <c r="UI38" s="133">
        <f t="shared" si="438"/>
        <v>2.8282044031736433</v>
      </c>
      <c r="UJ38" s="133">
        <f t="shared" si="213"/>
        <v>7.6492313137233481</v>
      </c>
      <c r="UK38" s="133">
        <f t="shared" si="214"/>
        <v>10.474625980811012</v>
      </c>
      <c r="UL38" s="133">
        <f t="shared" si="215"/>
        <v>12.889225233446552</v>
      </c>
      <c r="UM38" s="133">
        <f t="shared" si="216"/>
        <v>15.657310976001952</v>
      </c>
      <c r="UN38" s="81"/>
      <c r="UO38" s="81">
        <v>36</v>
      </c>
      <c r="UP38" s="133">
        <f t="shared" si="217"/>
        <v>-19.470220059508094</v>
      </c>
      <c r="UQ38" s="133">
        <f t="shared" si="218"/>
        <v>-16.551201402683326</v>
      </c>
      <c r="UR38" s="133">
        <f t="shared" si="219"/>
        <v>-14.048570257543819</v>
      </c>
      <c r="US38" s="133">
        <f t="shared" si="439"/>
        <v>-11.170938993835335</v>
      </c>
      <c r="UT38" s="133">
        <f t="shared" si="440"/>
        <v>-6.3862621923018672</v>
      </c>
      <c r="UU38" s="134">
        <f t="shared" si="441"/>
        <v>-1.0727549302770285</v>
      </c>
      <c r="UV38" s="133">
        <f t="shared" si="442"/>
        <v>4.2235823312492897</v>
      </c>
      <c r="UW38" s="133">
        <f t="shared" si="220"/>
        <v>8.9628484260727461</v>
      </c>
      <c r="UX38" s="133">
        <f t="shared" si="221"/>
        <v>11.798747613819472</v>
      </c>
      <c r="UY38" s="133">
        <f t="shared" si="222"/>
        <v>14.255614569031444</v>
      </c>
      <c r="UZ38" s="133">
        <f t="shared" si="223"/>
        <v>17.109122593307781</v>
      </c>
      <c r="VA38" s="81"/>
      <c r="VB38" s="81">
        <v>39</v>
      </c>
      <c r="VC38" s="133">
        <f t="shared" si="224"/>
        <v>-24.622670628656991</v>
      </c>
      <c r="VD38" s="133">
        <f t="shared" si="225"/>
        <v>-20.805164661421919</v>
      </c>
      <c r="VE38" s="133">
        <f t="shared" si="226"/>
        <v>-17.687182994894577</v>
      </c>
      <c r="VF38" s="133">
        <f t="shared" si="443"/>
        <v>-14.251290864437181</v>
      </c>
      <c r="VG38" s="133">
        <f t="shared" si="444"/>
        <v>-8.8337646880852816</v>
      </c>
      <c r="VH38" s="134">
        <f t="shared" si="445"/>
        <v>-3.171278721131273</v>
      </c>
      <c r="VI38" s="133">
        <f t="shared" si="446"/>
        <v>2.1719348682791946</v>
      </c>
      <c r="VJ38" s="133">
        <f t="shared" si="227"/>
        <v>6.7405924568596305</v>
      </c>
      <c r="VK38" s="133">
        <f t="shared" si="228"/>
        <v>9.3906313656012799</v>
      </c>
      <c r="VL38" s="133">
        <f t="shared" si="229"/>
        <v>11.64047775478322</v>
      </c>
      <c r="VM38" s="133">
        <f t="shared" si="230"/>
        <v>14.203742158848769</v>
      </c>
      <c r="VN38" s="81"/>
      <c r="VO38" s="81">
        <v>36</v>
      </c>
      <c r="VP38" s="133">
        <f t="shared" si="231"/>
        <v>-40.103404390534635</v>
      </c>
      <c r="VQ38" s="133">
        <f t="shared" si="232"/>
        <v>-35.982423183392456</v>
      </c>
      <c r="VR38" s="133">
        <f t="shared" si="233"/>
        <v>-32.110448314444533</v>
      </c>
      <c r="VS38" s="133">
        <f t="shared" si="447"/>
        <v>-27.283101025343132</v>
      </c>
      <c r="VT38" s="133">
        <f t="shared" si="448"/>
        <v>-18.39641889663082</v>
      </c>
      <c r="VU38" s="134">
        <f t="shared" si="449"/>
        <v>-7.3132456356378128</v>
      </c>
      <c r="VV38" s="133">
        <f t="shared" si="450"/>
        <v>4.9591340791499547</v>
      </c>
      <c r="VW38" s="133">
        <f t="shared" si="234"/>
        <v>16.944273962409191</v>
      </c>
      <c r="VX38" s="133">
        <f t="shared" si="235"/>
        <v>24.558279810150047</v>
      </c>
      <c r="VY38" s="133">
        <f t="shared" si="236"/>
        <v>31.417688641002506</v>
      </c>
      <c r="VZ38" s="133">
        <f t="shared" si="237"/>
        <v>39.686951403158197</v>
      </c>
      <c r="WA38" s="81"/>
      <c r="WB38" s="81">
        <v>36</v>
      </c>
      <c r="WC38" s="133">
        <f t="shared" si="238"/>
        <v>-36.315868869093414</v>
      </c>
      <c r="WD38" s="133">
        <f t="shared" si="239"/>
        <v>-32.346569244037127</v>
      </c>
      <c r="WE38" s="133">
        <f t="shared" si="240"/>
        <v>-28.579824764707379</v>
      </c>
      <c r="WF38" s="133">
        <f t="shared" si="451"/>
        <v>-23.846871194322723</v>
      </c>
      <c r="WG38" s="133">
        <f t="shared" si="452"/>
        <v>-15.057922429311596</v>
      </c>
      <c r="WH38" s="134">
        <f t="shared" si="453"/>
        <v>-4.0019896194331324</v>
      </c>
      <c r="WI38" s="133">
        <f t="shared" si="454"/>
        <v>8.3233316162229372</v>
      </c>
      <c r="WJ38" s="133">
        <f t="shared" si="241"/>
        <v>20.420381136879804</v>
      </c>
      <c r="WK38" s="133">
        <f t="shared" si="242"/>
        <v>28.129505298709411</v>
      </c>
      <c r="WL38" s="133">
        <f t="shared" si="243"/>
        <v>35.087960648420115</v>
      </c>
      <c r="WM38" s="133">
        <f t="shared" si="244"/>
        <v>43.491316983174023</v>
      </c>
      <c r="WN38" s="81"/>
      <c r="WO38" s="81">
        <v>39</v>
      </c>
      <c r="WP38" s="133">
        <f t="shared" si="245"/>
        <v>-40.599216789222638</v>
      </c>
      <c r="WQ38" s="133">
        <f t="shared" si="246"/>
        <v>-36.301612967219526</v>
      </c>
      <c r="WR38" s="133">
        <f t="shared" si="247"/>
        <v>-32.316025040983249</v>
      </c>
      <c r="WS38" s="133">
        <f t="shared" si="455"/>
        <v>-27.411448307890037</v>
      </c>
      <c r="WT38" s="133">
        <f t="shared" si="456"/>
        <v>-18.544986057251855</v>
      </c>
      <c r="WU38" s="134">
        <f t="shared" si="457"/>
        <v>-7.7324058868895662</v>
      </c>
      <c r="WV38" s="133">
        <f t="shared" si="458"/>
        <v>3.9826590554841488</v>
      </c>
      <c r="WW38" s="133">
        <f t="shared" si="248"/>
        <v>15.208565653218848</v>
      </c>
      <c r="WX38" s="133">
        <f t="shared" si="249"/>
        <v>22.245562230332901</v>
      </c>
      <c r="WY38" s="133">
        <f t="shared" si="250"/>
        <v>28.528872522246282</v>
      </c>
      <c r="WZ38" s="133">
        <f t="shared" si="251"/>
        <v>36.038653419249307</v>
      </c>
      <c r="XA38" s="81"/>
      <c r="XB38" s="81">
        <v>36</v>
      </c>
      <c r="XC38" s="133">
        <f t="shared" si="252"/>
        <v>-45.660186730879985</v>
      </c>
      <c r="XD38" s="133">
        <f t="shared" si="253"/>
        <v>-41.025157145699851</v>
      </c>
      <c r="XE38" s="133">
        <f t="shared" si="254"/>
        <v>-36.73934574411507</v>
      </c>
      <c r="XF38" s="133">
        <f t="shared" si="459"/>
        <v>-31.501799725893029</v>
      </c>
      <c r="XG38" s="133">
        <f t="shared" si="460"/>
        <v>-22.153460042071544</v>
      </c>
      <c r="XH38" s="134">
        <f t="shared" si="461"/>
        <v>-10.958633377404155</v>
      </c>
      <c r="XI38" s="133">
        <f t="shared" si="462"/>
        <v>0.94246870614035316</v>
      </c>
      <c r="XJ38" s="133">
        <f t="shared" si="255"/>
        <v>12.152707445159997</v>
      </c>
      <c r="XK38" s="133">
        <f t="shared" si="256"/>
        <v>19.093988000773969</v>
      </c>
      <c r="XL38" s="133">
        <f t="shared" si="257"/>
        <v>25.240801700939052</v>
      </c>
      <c r="XM38" s="133">
        <f t="shared" si="258"/>
        <v>32.528720457600237</v>
      </c>
      <c r="XN38" s="81"/>
      <c r="XO38" s="81">
        <v>36</v>
      </c>
      <c r="XP38" s="133">
        <f t="shared" si="259"/>
        <v>-40.132063637288383</v>
      </c>
      <c r="XQ38" s="133">
        <f t="shared" si="260"/>
        <v>-35.514966967291954</v>
      </c>
      <c r="XR38" s="133">
        <f t="shared" si="261"/>
        <v>-31.300798516047877</v>
      </c>
      <c r="XS38" s="133">
        <f t="shared" si="463"/>
        <v>-26.200459895984515</v>
      </c>
      <c r="XT38" s="133">
        <f t="shared" si="464"/>
        <v>-17.192671426362018</v>
      </c>
      <c r="XU38" s="134">
        <f t="shared" si="465"/>
        <v>-6.5188247376661579</v>
      </c>
      <c r="XV38" s="133">
        <f t="shared" si="466"/>
        <v>4.7319103812074985</v>
      </c>
      <c r="XW38" s="133">
        <f t="shared" si="262"/>
        <v>15.260330092762111</v>
      </c>
      <c r="XX38" s="133">
        <f t="shared" si="263"/>
        <v>21.751762552984054</v>
      </c>
      <c r="XY38" s="133">
        <f t="shared" si="264"/>
        <v>27.484784491068474</v>
      </c>
      <c r="XZ38" s="133">
        <f t="shared" si="265"/>
        <v>34.265106387218459</v>
      </c>
      <c r="YA38" s="81"/>
      <c r="YB38" s="81">
        <v>39</v>
      </c>
      <c r="YC38" s="133">
        <f t="shared" si="266"/>
        <v>-46.811216415894975</v>
      </c>
      <c r="YD38" s="133">
        <f t="shared" si="267"/>
        <v>-42.10025369829053</v>
      </c>
      <c r="YE38" s="133">
        <f t="shared" si="268"/>
        <v>-37.780976487330904</v>
      </c>
      <c r="YF38" s="133">
        <f t="shared" si="467"/>
        <v>-32.546734338711545</v>
      </c>
      <c r="YG38" s="133">
        <f t="shared" si="468"/>
        <v>-23.307525797773451</v>
      </c>
      <c r="YH38" s="134">
        <f t="shared" si="469"/>
        <v>-12.385324857416784</v>
      </c>
      <c r="YI38" s="133">
        <f t="shared" si="470"/>
        <v>-0.90974857625051442</v>
      </c>
      <c r="YJ38" s="133">
        <f t="shared" si="269"/>
        <v>9.7947732601169477</v>
      </c>
      <c r="YK38" s="133">
        <f t="shared" si="270"/>
        <v>16.379006056924617</v>
      </c>
      <c r="YL38" s="133">
        <f t="shared" si="271"/>
        <v>22.184451432963051</v>
      </c>
      <c r="YM38" s="133">
        <f t="shared" si="272"/>
        <v>29.039371946070922</v>
      </c>
      <c r="YN38" s="81"/>
      <c r="YO38" s="81">
        <v>36</v>
      </c>
      <c r="YP38" s="133">
        <v>18.243724579548573</v>
      </c>
      <c r="YQ38" s="133">
        <v>20.499866351771637</v>
      </c>
      <c r="YR38" s="133">
        <v>22.662198020260764</v>
      </c>
      <c r="YS38" s="133">
        <v>25.439794147359926</v>
      </c>
      <c r="YT38" s="133">
        <v>30.851434431413924</v>
      </c>
      <c r="YU38" s="134">
        <v>38.250354112804843</v>
      </c>
      <c r="YV38" s="133">
        <v>47.423713571813749</v>
      </c>
      <c r="YW38" s="133">
        <v>57.511848613240552</v>
      </c>
      <c r="YX38" s="133">
        <v>64.560798049991277</v>
      </c>
      <c r="YY38" s="133">
        <v>71.370689186396717</v>
      </c>
      <c r="YZ38" s="133">
        <v>80.196868976804595</v>
      </c>
      <c r="ZA38" s="81"/>
      <c r="ZB38" s="81">
        <v>36</v>
      </c>
      <c r="ZC38" s="133">
        <v>14.80041839248495</v>
      </c>
      <c r="ZD38" s="133">
        <v>16.862931041323009</v>
      </c>
      <c r="ZE38" s="133">
        <v>18.865265481921437</v>
      </c>
      <c r="ZF38" s="133">
        <v>21.470659270287424</v>
      </c>
      <c r="ZG38" s="133">
        <v>26.642051233687148</v>
      </c>
      <c r="ZH38" s="134">
        <v>33.886729180710176</v>
      </c>
      <c r="ZI38" s="133">
        <v>43.101426556632028</v>
      </c>
      <c r="ZJ38" s="133">
        <v>53.482773868798041</v>
      </c>
      <c r="ZK38" s="133">
        <v>60.869030211486795</v>
      </c>
      <c r="ZL38" s="133">
        <v>68.096727179446603</v>
      </c>
      <c r="ZM38" s="133">
        <v>77.586348177147443</v>
      </c>
      <c r="ZN38" s="81"/>
      <c r="ZO38" s="81">
        <v>39</v>
      </c>
      <c r="ZP38" s="133">
        <v>21.708381552229323</v>
      </c>
      <c r="ZQ38" s="133">
        <v>23.961100295710139</v>
      </c>
      <c r="ZR38" s="133">
        <v>26.084665800043879</v>
      </c>
      <c r="ZS38" s="133">
        <v>28.767617091724102</v>
      </c>
      <c r="ZT38" s="133">
        <v>33.871346085616601</v>
      </c>
      <c r="ZU38" s="134">
        <v>40.633926095351583</v>
      </c>
      <c r="ZV38" s="133">
        <v>48.746688299572405</v>
      </c>
      <c r="ZW38" s="133">
        <v>57.394950185063792</v>
      </c>
      <c r="ZX38" s="133">
        <v>63.298336370470821</v>
      </c>
      <c r="ZY38" s="133">
        <v>68.908185748803092</v>
      </c>
      <c r="ZZ38" s="133">
        <v>76.058915122253069</v>
      </c>
      <c r="AAA38" s="81"/>
      <c r="AAB38" s="81">
        <v>36</v>
      </c>
      <c r="AAC38" s="133">
        <v>8.9979166501223133</v>
      </c>
      <c r="AAD38" s="133">
        <v>9.9946722325618396</v>
      </c>
      <c r="AAE38" s="133">
        <v>10.939812658981953</v>
      </c>
      <c r="AAF38" s="133">
        <v>12.140949907449196</v>
      </c>
      <c r="AAG38" s="133">
        <v>14.445268915501345</v>
      </c>
      <c r="AAH38" s="134">
        <v>17.53263147964465</v>
      </c>
      <c r="AAI38" s="133">
        <v>21.279850752460558</v>
      </c>
      <c r="AAJ38" s="133">
        <v>25.318708086623634</v>
      </c>
      <c r="AAK38" s="133">
        <v>28.098576838849834</v>
      </c>
      <c r="AAL38" s="133">
        <v>30.755702583178682</v>
      </c>
      <c r="AAM38" s="133">
        <v>34.162704385225418</v>
      </c>
      <c r="AAN38" s="81"/>
      <c r="AAO38" s="81">
        <v>36</v>
      </c>
      <c r="AAP38" s="133">
        <v>8.0190995639779246</v>
      </c>
      <c r="AAQ38" s="133">
        <v>9.0100524045870394</v>
      </c>
      <c r="AAR38" s="133">
        <v>9.9597289110706981</v>
      </c>
      <c r="AAS38" s="133">
        <v>11.179530638447329</v>
      </c>
      <c r="AAT38" s="133">
        <v>13.555829633966962</v>
      </c>
      <c r="AAU38" s="134">
        <v>16.804290319774474</v>
      </c>
      <c r="AAV38" s="133">
        <v>20.831198146935524</v>
      </c>
      <c r="AAW38" s="133">
        <v>25.259036562780519</v>
      </c>
      <c r="AAX38" s="133">
        <v>28.352596307855634</v>
      </c>
      <c r="AAY38" s="133">
        <v>31.34101340048851</v>
      </c>
      <c r="AAZ38" s="133">
        <v>35.213950256927326</v>
      </c>
      <c r="ABA38" s="81"/>
      <c r="ABB38" s="81">
        <v>39</v>
      </c>
      <c r="ABC38" s="133">
        <v>10.161168762677743</v>
      </c>
      <c r="ABD38" s="133">
        <v>11.147796233047172</v>
      </c>
      <c r="ABE38" s="133">
        <v>12.072638589200556</v>
      </c>
      <c r="ABF38" s="133">
        <v>13.234545015224779</v>
      </c>
      <c r="ABG38" s="133">
        <v>15.426970297421926</v>
      </c>
      <c r="ABH38" s="134">
        <v>18.301250652755332</v>
      </c>
      <c r="ABI38" s="133">
        <v>21.711053369367686</v>
      </c>
      <c r="ABJ38" s="133">
        <v>25.307690976129024</v>
      </c>
      <c r="ABK38" s="133">
        <v>27.743377968308483</v>
      </c>
      <c r="ABL38" s="133">
        <v>30.045021316596593</v>
      </c>
      <c r="ABM38" s="133">
        <v>32.962327787055955</v>
      </c>
      <c r="ABN38" s="81"/>
      <c r="ABO38" s="81">
        <v>36</v>
      </c>
      <c r="ABP38" s="133">
        <f t="shared" si="273"/>
        <v>0.21520830914943984</v>
      </c>
      <c r="ABQ38" s="133">
        <f t="shared" si="274"/>
        <v>0.24408963765356856</v>
      </c>
      <c r="ABR38" s="133">
        <f t="shared" si="275"/>
        <v>0.27110515805468699</v>
      </c>
      <c r="ABS38" s="133">
        <f t="shared" si="471"/>
        <v>0.30488610548859968</v>
      </c>
      <c r="ABT38" s="133">
        <f t="shared" si="472"/>
        <v>0.36792604547725216</v>
      </c>
      <c r="ABU38" s="134">
        <f t="shared" si="473"/>
        <v>0.4488394558389619</v>
      </c>
      <c r="ABV38" s="133">
        <f t="shared" si="474"/>
        <v>0.54201042332230753</v>
      </c>
      <c r="ABW38" s="133">
        <f t="shared" si="276"/>
        <v>0.63694245938746086</v>
      </c>
      <c r="ABX38" s="133">
        <f t="shared" si="277"/>
        <v>0.69934834424846881</v>
      </c>
      <c r="ABY38" s="133">
        <f t="shared" si="278"/>
        <v>0.75698672567131109</v>
      </c>
      <c r="ABZ38" s="133">
        <f t="shared" si="279"/>
        <v>0.82827202514992126</v>
      </c>
      <c r="ACA38" s="81"/>
      <c r="ACB38" s="81">
        <v>36</v>
      </c>
      <c r="ACC38" s="133">
        <f t="shared" si="280"/>
        <v>0.24038707346483856</v>
      </c>
      <c r="ACD38" s="133">
        <f t="shared" si="281"/>
        <v>0.26839528981955918</v>
      </c>
      <c r="ACE38" s="133">
        <f t="shared" si="282"/>
        <v>0.29468202385152825</v>
      </c>
      <c r="ACF38" s="133">
        <f t="shared" si="475"/>
        <v>0.32770598923591659</v>
      </c>
      <c r="ACG38" s="133">
        <f t="shared" si="476"/>
        <v>0.38988229921639489</v>
      </c>
      <c r="ACH38" s="134">
        <f t="shared" si="477"/>
        <v>0.4708756989908876</v>
      </c>
      <c r="ACI38" s="133">
        <f t="shared" si="478"/>
        <v>0.56591848442060855</v>
      </c>
      <c r="ACJ38" s="133">
        <f t="shared" si="283"/>
        <v>0.66477114766370737</v>
      </c>
      <c r="ACK38" s="133">
        <f t="shared" si="284"/>
        <v>0.73086424328142197</v>
      </c>
      <c r="ACL38" s="133">
        <f t="shared" si="285"/>
        <v>0.79268497109057889</v>
      </c>
      <c r="ACM38" s="133">
        <f t="shared" si="286"/>
        <v>0.87016443993763115</v>
      </c>
      <c r="ACN38" s="81"/>
      <c r="ACO38" s="81">
        <v>39</v>
      </c>
      <c r="ACP38" s="133">
        <f t="shared" si="287"/>
        <v>0.20799117982583365</v>
      </c>
      <c r="ACQ38" s="133">
        <f t="shared" si="288"/>
        <v>0.23953272314453755</v>
      </c>
      <c r="ACR38" s="133">
        <f t="shared" si="289"/>
        <v>0.26850119283145418</v>
      </c>
      <c r="ACS38" s="133">
        <f t="shared" si="479"/>
        <v>0.30402157622111686</v>
      </c>
      <c r="ACT38" s="133">
        <f t="shared" si="480"/>
        <v>0.36841198476346937</v>
      </c>
      <c r="ACU38" s="134">
        <f t="shared" si="481"/>
        <v>0.44759074302111662</v>
      </c>
      <c r="ACV38" s="133">
        <f t="shared" si="482"/>
        <v>0.53474108131191478</v>
      </c>
      <c r="ACW38" s="133">
        <f t="shared" si="290"/>
        <v>0.61989164986484668</v>
      </c>
      <c r="ACX38" s="133">
        <f t="shared" si="291"/>
        <v>0.67400646492122573</v>
      </c>
      <c r="ACY38" s="133">
        <f t="shared" si="292"/>
        <v>0.72283754544470591</v>
      </c>
      <c r="ACZ38" s="133">
        <f t="shared" si="293"/>
        <v>0.78183267864655959</v>
      </c>
      <c r="ADA38" s="81"/>
      <c r="ADB38" s="81">
        <v>36</v>
      </c>
      <c r="ADC38" s="133">
        <f t="shared" si="294"/>
        <v>0.17728305236324915</v>
      </c>
      <c r="ADD38" s="133">
        <f t="shared" si="295"/>
        <v>0.19695277472244213</v>
      </c>
      <c r="ADE38" s="133">
        <f t="shared" si="296"/>
        <v>0.2142328106920626</v>
      </c>
      <c r="ADF38" s="133">
        <f t="shared" si="483"/>
        <v>0.2345514451433392</v>
      </c>
      <c r="ADG38" s="133">
        <f t="shared" si="484"/>
        <v>0.26933701229285567</v>
      </c>
      <c r="ADH38" s="134">
        <f t="shared" si="485"/>
        <v>0.30933483522062677</v>
      </c>
      <c r="ADI38" s="133">
        <f t="shared" si="486"/>
        <v>0.35053363658406994</v>
      </c>
      <c r="ADJ38" s="133">
        <f t="shared" si="297"/>
        <v>0.38845288476242257</v>
      </c>
      <c r="ADK38" s="133">
        <f t="shared" si="298"/>
        <v>0.4115954464108697</v>
      </c>
      <c r="ADL38" s="133">
        <f t="shared" si="299"/>
        <v>0.43190869700488838</v>
      </c>
      <c r="ADM38" s="133">
        <f t="shared" si="300"/>
        <v>0.45580012476825116</v>
      </c>
      <c r="ADN38" s="81"/>
      <c r="ADO38" s="81">
        <v>36</v>
      </c>
      <c r="ADP38" s="133">
        <f t="shared" si="301"/>
        <v>0.19442516970758006</v>
      </c>
      <c r="ADQ38" s="133">
        <f t="shared" si="302"/>
        <v>0.21250445354075295</v>
      </c>
      <c r="ADR38" s="133">
        <f t="shared" si="303"/>
        <v>0.2285532789161131</v>
      </c>
      <c r="ADS38" s="133">
        <f t="shared" si="487"/>
        <v>0.24762015487877759</v>
      </c>
      <c r="ADT38" s="133">
        <f t="shared" si="488"/>
        <v>0.28074358887620265</v>
      </c>
      <c r="ADU38" s="134">
        <f t="shared" si="489"/>
        <v>0.31955607525881524</v>
      </c>
      <c r="ADV38" s="133">
        <f t="shared" si="490"/>
        <v>0.36031143498541102</v>
      </c>
      <c r="ADW38" s="133">
        <f t="shared" si="304"/>
        <v>0.39848924837516486</v>
      </c>
      <c r="ADX38" s="133">
        <f t="shared" si="305"/>
        <v>0.42209196158014889</v>
      </c>
      <c r="ADY38" s="133">
        <f t="shared" si="306"/>
        <v>0.44299248839578859</v>
      </c>
      <c r="ADZ38" s="133">
        <f t="shared" si="307"/>
        <v>0.46778889409630087</v>
      </c>
      <c r="AEA38" s="81"/>
      <c r="AEB38" s="81">
        <v>39</v>
      </c>
      <c r="AEC38" s="133">
        <f t="shared" si="308"/>
        <v>0.17261760552362676</v>
      </c>
      <c r="AED38" s="133">
        <f t="shared" si="309"/>
        <v>0.19425758495886319</v>
      </c>
      <c r="AEE38" s="133">
        <f t="shared" si="310"/>
        <v>0.21279176880155573</v>
      </c>
      <c r="AEF38" s="133">
        <f t="shared" si="491"/>
        <v>0.23408091020445226</v>
      </c>
      <c r="AEG38" s="133">
        <f t="shared" si="492"/>
        <v>0.26942646229539952</v>
      </c>
      <c r="AEH38" s="134">
        <f t="shared" si="493"/>
        <v>0.30860529291922506</v>
      </c>
      <c r="AEI38" s="133">
        <f t="shared" si="494"/>
        <v>0.34758560942989258</v>
      </c>
      <c r="AEJ38" s="133">
        <f t="shared" si="311"/>
        <v>0.38240930218013169</v>
      </c>
      <c r="AEK38" s="133">
        <f t="shared" si="312"/>
        <v>0.40322314932954256</v>
      </c>
      <c r="AEL38" s="133">
        <f t="shared" si="313"/>
        <v>0.42124120960681311</v>
      </c>
      <c r="AEM38" s="133">
        <f t="shared" si="314"/>
        <v>0.44215251634182384</v>
      </c>
      <c r="AEN38" s="81"/>
    </row>
    <row r="39" spans="1:820">
      <c r="A39" s="81"/>
      <c r="B39" s="81">
        <v>38</v>
      </c>
      <c r="C39" s="133">
        <f t="shared" si="0"/>
        <v>1.8752234464740709</v>
      </c>
      <c r="D39" s="133">
        <f t="shared" si="1"/>
        <v>2.2410963712563667</v>
      </c>
      <c r="E39" s="133">
        <f t="shared" si="2"/>
        <v>2.6249928569960899</v>
      </c>
      <c r="F39" s="133">
        <f t="shared" si="315"/>
        <v>3.1685407705131508</v>
      </c>
      <c r="G39" s="133">
        <f t="shared" si="316"/>
        <v>4.4038611817933457</v>
      </c>
      <c r="H39" s="134">
        <f t="shared" si="317"/>
        <v>6.5179980044629362</v>
      </c>
      <c r="I39" s="133">
        <f t="shared" si="318"/>
        <v>9.9458373043365267</v>
      </c>
      <c r="J39" s="133">
        <f t="shared" si="3"/>
        <v>14.976130867719856</v>
      </c>
      <c r="K39" s="133">
        <f t="shared" si="4"/>
        <v>19.442497421032723</v>
      </c>
      <c r="L39" s="133">
        <f t="shared" si="5"/>
        <v>24.64218840259019</v>
      </c>
      <c r="M39" s="133">
        <f t="shared" si="6"/>
        <v>32.906825585818467</v>
      </c>
      <c r="N39" s="81"/>
      <c r="O39" s="75">
        <v>38</v>
      </c>
      <c r="P39" s="151">
        <f t="shared" si="7"/>
        <v>2.5711205162329631</v>
      </c>
      <c r="Q39" s="151">
        <f t="shared" si="8"/>
        <v>2.9183028033135154</v>
      </c>
      <c r="R39" s="151">
        <f t="shared" si="9"/>
        <v>3.2718654958004274</v>
      </c>
      <c r="S39" s="151">
        <f t="shared" si="319"/>
        <v>3.7588037924624311</v>
      </c>
      <c r="T39" s="151">
        <f t="shared" si="320"/>
        <v>4.8275605666347978</v>
      </c>
      <c r="U39" s="134">
        <f t="shared" si="321"/>
        <v>6.5973080570520146</v>
      </c>
      <c r="V39" s="151">
        <f t="shared" si="322"/>
        <v>9.4312660754901092</v>
      </c>
      <c r="W39" s="151">
        <f t="shared" si="10"/>
        <v>13.671886616657215</v>
      </c>
      <c r="X39" s="151">
        <f t="shared" si="11"/>
        <v>17.599449002854225</v>
      </c>
      <c r="Y39" s="151">
        <f t="shared" si="12"/>
        <v>22.417767059016754</v>
      </c>
      <c r="Z39" s="151">
        <f t="shared" si="13"/>
        <v>30.708111366989048</v>
      </c>
      <c r="AA39" s="81"/>
      <c r="AB39" s="75">
        <v>40</v>
      </c>
      <c r="AC39" s="151">
        <f t="shared" si="14"/>
        <v>1.5845264046560188</v>
      </c>
      <c r="AD39" s="151">
        <f t="shared" si="15"/>
        <v>1.9156750683220907</v>
      </c>
      <c r="AE39" s="151">
        <f t="shared" si="16"/>
        <v>2.2705886973699099</v>
      </c>
      <c r="AF39" s="151">
        <f t="shared" si="323"/>
        <v>2.7854974959284884</v>
      </c>
      <c r="AG39" s="151">
        <f t="shared" si="324"/>
        <v>4.0060267789273176</v>
      </c>
      <c r="AH39" s="134">
        <f t="shared" si="325"/>
        <v>6.2415807251806799</v>
      </c>
      <c r="AI39" s="151">
        <f t="shared" si="326"/>
        <v>10.21506165997905</v>
      </c>
      <c r="AJ39" s="151">
        <f t="shared" si="17"/>
        <v>16.738663257588595</v>
      </c>
      <c r="AK39" s="151">
        <f t="shared" si="18"/>
        <v>23.159832485058079</v>
      </c>
      <c r="AL39" s="151">
        <f t="shared" si="19"/>
        <v>31.331849496432046</v>
      </c>
      <c r="AM39" s="151">
        <f t="shared" si="20"/>
        <v>45.786441034400198</v>
      </c>
      <c r="AN39" s="81"/>
      <c r="AO39" s="81">
        <v>38</v>
      </c>
      <c r="AP39" s="133">
        <f t="shared" si="21"/>
        <v>1.1044213008181361</v>
      </c>
      <c r="AQ39" s="133">
        <f t="shared" si="22"/>
        <v>3.1333009771672122</v>
      </c>
      <c r="AR39" s="133">
        <f t="shared" si="23"/>
        <v>5.069316022898092</v>
      </c>
      <c r="AS39" s="133">
        <f t="shared" si="327"/>
        <v>7.5228461092314971</v>
      </c>
      <c r="AT39" s="133">
        <f t="shared" si="328"/>
        <v>12.149256972321083</v>
      </c>
      <c r="AU39" s="134">
        <f t="shared" si="329"/>
        <v>18.101695580431233</v>
      </c>
      <c r="AV39" s="133">
        <f t="shared" si="330"/>
        <v>24.904173580989621</v>
      </c>
      <c r="AW39" s="133">
        <f t="shared" si="24"/>
        <v>31.739198083692546</v>
      </c>
      <c r="AX39" s="133">
        <f t="shared" si="25"/>
        <v>36.17132810917613</v>
      </c>
      <c r="AY39" s="133">
        <f t="shared" si="26"/>
        <v>40.220100134253286</v>
      </c>
      <c r="AZ39" s="133">
        <f t="shared" si="27"/>
        <v>45.167796830047905</v>
      </c>
      <c r="BA39" s="81"/>
      <c r="BB39" s="81">
        <v>38</v>
      </c>
      <c r="BC39" s="133">
        <f t="shared" si="28"/>
        <v>4.0311638489050976</v>
      </c>
      <c r="BD39" s="133">
        <f t="shared" si="29"/>
        <v>6.285907225324979</v>
      </c>
      <c r="BE39" s="133">
        <f t="shared" si="30"/>
        <v>8.3615758934625752</v>
      </c>
      <c r="BF39" s="133">
        <f t="shared" si="331"/>
        <v>10.906997166339668</v>
      </c>
      <c r="BG39" s="133">
        <f t="shared" si="332"/>
        <v>15.505196090776398</v>
      </c>
      <c r="BH39" s="134">
        <f t="shared" si="333"/>
        <v>21.130936494890886</v>
      </c>
      <c r="BI39" s="133">
        <f t="shared" si="334"/>
        <v>27.265021988615199</v>
      </c>
      <c r="BJ39" s="133">
        <f t="shared" si="31"/>
        <v>33.186912970630729</v>
      </c>
      <c r="BK39" s="133">
        <f t="shared" si="32"/>
        <v>36.921794039412568</v>
      </c>
      <c r="BL39" s="133">
        <f t="shared" si="33"/>
        <v>40.271467504962821</v>
      </c>
      <c r="BM39" s="133">
        <f t="shared" si="34"/>
        <v>44.293126837601797</v>
      </c>
      <c r="BN39" s="81"/>
      <c r="BO39" s="75">
        <v>40</v>
      </c>
      <c r="BP39" s="151">
        <f t="shared" si="35"/>
        <v>3.3276725323001637</v>
      </c>
      <c r="BQ39" s="151">
        <f t="shared" si="36"/>
        <v>4.2909852974193106</v>
      </c>
      <c r="BR39" s="151">
        <f t="shared" si="37"/>
        <v>5.3003827433132349</v>
      </c>
      <c r="BS39" s="151">
        <f t="shared" si="335"/>
        <v>6.7088377163273947</v>
      </c>
      <c r="BT39" s="151">
        <f t="shared" si="336"/>
        <v>9.7679801872646088</v>
      </c>
      <c r="BU39" s="134">
        <f t="shared" si="337"/>
        <v>14.50670558403624</v>
      </c>
      <c r="BV39" s="151">
        <f t="shared" si="338"/>
        <v>21.078140699741041</v>
      </c>
      <c r="BW39" s="151">
        <f t="shared" si="38"/>
        <v>28.983439179180724</v>
      </c>
      <c r="BX39" s="151">
        <f t="shared" si="39"/>
        <v>34.837259573460486</v>
      </c>
      <c r="BY39" s="151">
        <f t="shared" si="40"/>
        <v>40.702504651430985</v>
      </c>
      <c r="BZ39" s="151">
        <f t="shared" si="41"/>
        <v>48.56084101299323</v>
      </c>
      <c r="CA39" s="81"/>
      <c r="CB39" s="81">
        <v>38</v>
      </c>
      <c r="CC39" s="133">
        <f t="shared" si="42"/>
        <v>-6.1413760111263569</v>
      </c>
      <c r="CD39" s="133">
        <f t="shared" si="43"/>
        <v>-4.265629092710018</v>
      </c>
      <c r="CE39" s="133">
        <f t="shared" si="44"/>
        <v>-2.2390145567419308</v>
      </c>
      <c r="CF39" s="133">
        <f t="shared" si="339"/>
        <v>0.4588911930863171</v>
      </c>
      <c r="CG39" s="133">
        <f t="shared" si="340"/>
        <v>5.6556889338445879</v>
      </c>
      <c r="CH39" s="134">
        <f t="shared" si="341"/>
        <v>12.292924586767448</v>
      </c>
      <c r="CI39" s="133">
        <f t="shared" si="342"/>
        <v>19.679784134046404</v>
      </c>
      <c r="CJ39" s="133">
        <f t="shared" si="45"/>
        <v>26.865402866671804</v>
      </c>
      <c r="CK39" s="133">
        <f t="shared" si="46"/>
        <v>31.403444862818336</v>
      </c>
      <c r="CL39" s="133">
        <f t="shared" si="47"/>
        <v>35.470866221347919</v>
      </c>
      <c r="CM39" s="133">
        <f t="shared" si="48"/>
        <v>40.34656487622177</v>
      </c>
      <c r="CN39" s="81"/>
      <c r="CO39" s="81">
        <v>38</v>
      </c>
      <c r="CP39" s="133">
        <f t="shared" si="49"/>
        <v>-0.71083503776577484</v>
      </c>
      <c r="CQ39" s="133">
        <f t="shared" si="50"/>
        <v>1.5283166628291536</v>
      </c>
      <c r="CR39" s="133">
        <f t="shared" si="51"/>
        <v>3.6343625898938372</v>
      </c>
      <c r="CS39" s="133">
        <f t="shared" si="343"/>
        <v>6.2481053380316149</v>
      </c>
      <c r="CT39" s="133">
        <f t="shared" si="344"/>
        <v>11.005303081662834</v>
      </c>
      <c r="CU39" s="134">
        <f t="shared" si="345"/>
        <v>16.829550351264885</v>
      </c>
      <c r="CV39" s="133">
        <f t="shared" si="346"/>
        <v>23.145454677755936</v>
      </c>
      <c r="CW39" s="133">
        <f t="shared" si="52"/>
        <v>29.192881417044386</v>
      </c>
      <c r="CX39" s="133">
        <f t="shared" si="53"/>
        <v>32.979253401813985</v>
      </c>
      <c r="CY39" s="133">
        <f t="shared" si="54"/>
        <v>36.356595772479672</v>
      </c>
      <c r="CZ39" s="133">
        <f t="shared" si="55"/>
        <v>40.388514049739783</v>
      </c>
      <c r="DA39" s="81"/>
      <c r="DB39" s="81">
        <v>40</v>
      </c>
      <c r="DC39" s="133">
        <f t="shared" si="56"/>
        <v>-6.3102201490790932</v>
      </c>
      <c r="DD39" s="133">
        <f t="shared" si="57"/>
        <v>-5.0724890023730254</v>
      </c>
      <c r="DE39" s="133">
        <f t="shared" si="58"/>
        <v>-3.6495815869002937</v>
      </c>
      <c r="DF39" s="133">
        <f t="shared" si="347"/>
        <v>-1.6503395318001859</v>
      </c>
      <c r="DG39" s="133">
        <f t="shared" si="348"/>
        <v>2.4471151330016641</v>
      </c>
      <c r="DH39" s="134">
        <f t="shared" si="349"/>
        <v>8.022605471862132</v>
      </c>
      <c r="DI39" s="133">
        <f t="shared" si="350"/>
        <v>14.562392753179981</v>
      </c>
      <c r="DJ39" s="133">
        <f t="shared" si="59"/>
        <v>21.189944930740655</v>
      </c>
      <c r="DK39" s="133">
        <f t="shared" si="60"/>
        <v>25.489443189009467</v>
      </c>
      <c r="DL39" s="133">
        <f t="shared" si="61"/>
        <v>29.409656532889688</v>
      </c>
      <c r="DM39" s="133">
        <f t="shared" si="62"/>
        <v>34.184903498165767</v>
      </c>
      <c r="DN39" s="81"/>
      <c r="DO39" s="81">
        <v>38</v>
      </c>
      <c r="DP39" s="133">
        <v>12.892267551738366</v>
      </c>
      <c r="DQ39" s="133">
        <v>14.145303258447296</v>
      </c>
      <c r="DR39" s="133">
        <v>15.319965054791872</v>
      </c>
      <c r="DS39" s="133">
        <v>16.795845450410241</v>
      </c>
      <c r="DT39" s="133">
        <v>19.581036908848183</v>
      </c>
      <c r="DU39" s="134">
        <v>23.23299112007588</v>
      </c>
      <c r="DV39" s="133">
        <v>27.566051731490031</v>
      </c>
      <c r="DW39" s="133">
        <v>32.137225719253145</v>
      </c>
      <c r="DX39" s="133">
        <v>35.233231567763383</v>
      </c>
      <c r="DY39" s="133">
        <v>38.159088322350655</v>
      </c>
      <c r="DZ39" s="133">
        <v>41.867877331846344</v>
      </c>
      <c r="EA39" s="81"/>
      <c r="EB39" s="81">
        <v>38</v>
      </c>
      <c r="EC39" s="133">
        <v>12.876638170941362</v>
      </c>
      <c r="ED39" s="133">
        <v>13.81224511452616</v>
      </c>
      <c r="EE39" s="133">
        <v>14.671112736575198</v>
      </c>
      <c r="EF39" s="133">
        <v>15.727822389082128</v>
      </c>
      <c r="EG39" s="133">
        <v>17.662687404845798</v>
      </c>
      <c r="EH39" s="134">
        <v>20.101061557041525</v>
      </c>
      <c r="EI39" s="133">
        <v>22.876058804568984</v>
      </c>
      <c r="EJ39" s="133">
        <v>25.690312728890937</v>
      </c>
      <c r="EK39" s="133">
        <v>27.540697353696014</v>
      </c>
      <c r="EL39" s="133">
        <v>29.253222222000353</v>
      </c>
      <c r="EM39" s="133">
        <v>31.378739571311094</v>
      </c>
      <c r="EN39" s="81"/>
      <c r="EO39" s="81">
        <v>40</v>
      </c>
      <c r="EP39" s="133">
        <v>15.958194549210763</v>
      </c>
      <c r="EQ39" s="133">
        <v>17.083739492499742</v>
      </c>
      <c r="ER39" s="133">
        <v>18.115062457833087</v>
      </c>
      <c r="ES39" s="133">
        <v>19.381618202801544</v>
      </c>
      <c r="ET39" s="133">
        <v>21.694585501458629</v>
      </c>
      <c r="EU39" s="134">
        <v>24.599325437342578</v>
      </c>
      <c r="EV39" s="133">
        <v>27.892987949993515</v>
      </c>
      <c r="EW39" s="133">
        <v>31.221686736395448</v>
      </c>
      <c r="EX39" s="133">
        <v>33.404621893016348</v>
      </c>
      <c r="EY39" s="133">
        <v>35.421215140745844</v>
      </c>
      <c r="EZ39" s="133">
        <v>37.919503369020951</v>
      </c>
      <c r="FA39" s="81"/>
      <c r="FB39" s="81">
        <v>38</v>
      </c>
      <c r="FC39" s="133">
        <v>7.8780209421095684</v>
      </c>
      <c r="FD39" s="133">
        <v>8.7093517945988896</v>
      </c>
      <c r="FE39" s="133">
        <v>9.4941757534379292</v>
      </c>
      <c r="FF39" s="133">
        <v>10.487198105490499</v>
      </c>
      <c r="FG39" s="133">
        <v>12.380220845181624</v>
      </c>
      <c r="FH39" s="134">
        <v>14.895522746016034</v>
      </c>
      <c r="FI39" s="133">
        <v>17.921861059807767</v>
      </c>
      <c r="FJ39" s="133">
        <v>21.156899645189213</v>
      </c>
      <c r="FK39" s="133">
        <v>23.369758854183566</v>
      </c>
      <c r="FL39" s="133">
        <v>25.475672944417962</v>
      </c>
      <c r="FM39" s="133">
        <v>28.16400203902823</v>
      </c>
      <c r="FN39" s="81"/>
      <c r="FO39" s="81">
        <v>38</v>
      </c>
      <c r="FP39" s="133">
        <v>7.7536118725565872</v>
      </c>
      <c r="FQ39" s="133">
        <v>8.4300157310723112</v>
      </c>
      <c r="FR39" s="133">
        <v>9.0587706816077649</v>
      </c>
      <c r="FS39" s="133">
        <v>9.8421059386718728</v>
      </c>
      <c r="FT39" s="133">
        <v>11.302479143721474</v>
      </c>
      <c r="FU39" s="134">
        <v>13.186959150851983</v>
      </c>
      <c r="FV39" s="133">
        <v>15.385641453967018</v>
      </c>
      <c r="FW39" s="133">
        <v>17.668565318217347</v>
      </c>
      <c r="FX39" s="133">
        <v>19.196411716139771</v>
      </c>
      <c r="FY39" s="133">
        <v>20.628181155733021</v>
      </c>
      <c r="FZ39" s="133">
        <v>22.427727168254609</v>
      </c>
      <c r="GA39" s="81"/>
      <c r="GB39" s="81">
        <v>40</v>
      </c>
      <c r="GC39" s="133">
        <v>9.7987910288667521</v>
      </c>
      <c r="GD39" s="133">
        <v>10.598043970139393</v>
      </c>
      <c r="GE39" s="133">
        <v>11.337396196626123</v>
      </c>
      <c r="GF39" s="133">
        <v>12.254062505167068</v>
      </c>
      <c r="GG39" s="133">
        <v>13.95111865270975</v>
      </c>
      <c r="GH39" s="134">
        <v>16.121028784856414</v>
      </c>
      <c r="GI39" s="133">
        <v>18.628439450028658</v>
      </c>
      <c r="GJ39" s="133">
        <v>21.208278395232952</v>
      </c>
      <c r="GK39" s="133">
        <v>22.923038462703495</v>
      </c>
      <c r="GL39" s="133">
        <v>24.522220309183218</v>
      </c>
      <c r="GM39" s="133">
        <v>26.522411623694502</v>
      </c>
      <c r="GN39" s="81"/>
      <c r="GO39" s="81">
        <v>38</v>
      </c>
      <c r="GP39" s="133">
        <f t="shared" si="63"/>
        <v>0.44826368481308276</v>
      </c>
      <c r="GQ39" s="133">
        <f t="shared" si="64"/>
        <v>0.48386146059968216</v>
      </c>
      <c r="GR39" s="133">
        <f t="shared" si="65"/>
        <v>0.51239277464188093</v>
      </c>
      <c r="GS39" s="133">
        <f t="shared" si="351"/>
        <v>0.54332691508738118</v>
      </c>
      <c r="GT39" s="133">
        <f t="shared" si="352"/>
        <v>0.59248380330061445</v>
      </c>
      <c r="GU39" s="134">
        <f t="shared" si="353"/>
        <v>0.64000914436912726</v>
      </c>
      <c r="GV39" s="133">
        <f t="shared" si="354"/>
        <v>0.68405792774798202</v>
      </c>
      <c r="GW39" s="133">
        <f t="shared" si="66"/>
        <v>0.72322573128504164</v>
      </c>
      <c r="GX39" s="133">
        <f t="shared" si="67"/>
        <v>0.74503253068074182</v>
      </c>
      <c r="GY39" s="133">
        <f t="shared" si="68"/>
        <v>0.76341296870946573</v>
      </c>
      <c r="GZ39" s="133">
        <f t="shared" si="69"/>
        <v>0.78421118050127669</v>
      </c>
      <c r="HA39" s="81"/>
      <c r="HB39" s="81">
        <v>38</v>
      </c>
      <c r="HC39" s="133">
        <f t="shared" si="70"/>
        <v>0.42728519845458524</v>
      </c>
      <c r="HD39" s="133">
        <f t="shared" si="71"/>
        <v>0.466591172220228</v>
      </c>
      <c r="HE39" s="133">
        <f t="shared" si="72"/>
        <v>0.49782884008051215</v>
      </c>
      <c r="HF39" s="133">
        <f t="shared" si="355"/>
        <v>0.53148550367457525</v>
      </c>
      <c r="HG39" s="133">
        <f t="shared" si="356"/>
        <v>0.58316696573007565</v>
      </c>
      <c r="HH39" s="134">
        <f t="shared" si="357"/>
        <v>0.6356593975617445</v>
      </c>
      <c r="HI39" s="133">
        <f t="shared" si="358"/>
        <v>0.68398771001317316</v>
      </c>
      <c r="HJ39" s="133">
        <f t="shared" si="73"/>
        <v>0.724506690157389</v>
      </c>
      <c r="HK39" s="133">
        <f t="shared" si="74"/>
        <v>0.74770384711719962</v>
      </c>
      <c r="HL39" s="133">
        <f t="shared" si="75"/>
        <v>0.76723408310702712</v>
      </c>
      <c r="HM39" s="133">
        <f t="shared" si="76"/>
        <v>0.78931128744008427</v>
      </c>
      <c r="HN39" s="81"/>
      <c r="HO39" s="81">
        <v>40</v>
      </c>
      <c r="HP39" s="83">
        <f t="shared" si="77"/>
        <v>0.47161279551992702</v>
      </c>
      <c r="HQ39" s="83">
        <f t="shared" si="78"/>
        <v>0.50380735219361905</v>
      </c>
      <c r="HR39" s="83">
        <f t="shared" si="79"/>
        <v>0.52981652337744889</v>
      </c>
      <c r="HS39" s="83">
        <f t="shared" si="359"/>
        <v>0.55818801662484074</v>
      </c>
      <c r="HT39" s="83">
        <f t="shared" si="360"/>
        <v>0.60233046678679669</v>
      </c>
      <c r="HU39" s="84">
        <f t="shared" si="361"/>
        <v>0.64773603925708512</v>
      </c>
      <c r="HV39" s="83">
        <f t="shared" si="362"/>
        <v>0.68993875166851293</v>
      </c>
      <c r="HW39" s="83">
        <f t="shared" si="80"/>
        <v>0.72555955009463402</v>
      </c>
      <c r="HX39" s="83">
        <f t="shared" si="81"/>
        <v>0.74603508001698304</v>
      </c>
      <c r="HY39" s="83">
        <f t="shared" si="82"/>
        <v>0.76331524684794916</v>
      </c>
      <c r="HZ39" s="83">
        <f t="shared" si="83"/>
        <v>0.78289046740309487</v>
      </c>
      <c r="IA39" s="81"/>
      <c r="IB39" s="81">
        <v>38</v>
      </c>
      <c r="IC39" s="83">
        <f t="shared" si="84"/>
        <v>0.3108535047528625</v>
      </c>
      <c r="ID39" s="83">
        <f t="shared" si="85"/>
        <v>0.32688913967739108</v>
      </c>
      <c r="IE39" s="83">
        <f t="shared" si="86"/>
        <v>0.33920316341808404</v>
      </c>
      <c r="IF39" s="83">
        <f t="shared" si="363"/>
        <v>0.3520889773734282</v>
      </c>
      <c r="IG39" s="83">
        <f t="shared" si="364"/>
        <v>0.37118669135411664</v>
      </c>
      <c r="IH39" s="84">
        <f t="shared" si="365"/>
        <v>0.38982788797280787</v>
      </c>
      <c r="II39" s="83">
        <f t="shared" si="366"/>
        <v>0.4063954697863959</v>
      </c>
      <c r="IJ39" s="83">
        <f t="shared" si="87"/>
        <v>0.41989083307615405</v>
      </c>
      <c r="IK39" s="83">
        <f t="shared" si="88"/>
        <v>0.42746710276392391</v>
      </c>
      <c r="IL39" s="83">
        <f t="shared" si="89"/>
        <v>0.43376575654250238</v>
      </c>
      <c r="IM39" s="83">
        <f t="shared" si="90"/>
        <v>0.44080139046166483</v>
      </c>
      <c r="IN39" s="81"/>
      <c r="IO39" s="81">
        <v>38</v>
      </c>
      <c r="IP39" s="133">
        <f t="shared" si="91"/>
        <v>0.30060517559086114</v>
      </c>
      <c r="IQ39" s="133">
        <f t="shared" si="92"/>
        <v>0.31889518486204743</v>
      </c>
      <c r="IR39" s="133">
        <f t="shared" si="93"/>
        <v>0.33271374938152326</v>
      </c>
      <c r="IS39" s="133">
        <f t="shared" si="367"/>
        <v>0.34700690453136585</v>
      </c>
      <c r="IT39" s="133">
        <f t="shared" si="368"/>
        <v>0.36794095095763618</v>
      </c>
      <c r="IU39" s="134">
        <f t="shared" si="369"/>
        <v>0.38815062370176479</v>
      </c>
      <c r="IV39" s="133">
        <f t="shared" si="370"/>
        <v>0.4059683067694333</v>
      </c>
      <c r="IW39" s="133">
        <f t="shared" si="94"/>
        <v>0.42040146200595535</v>
      </c>
      <c r="IX39" s="133">
        <f t="shared" si="95"/>
        <v>0.42847728420036024</v>
      </c>
      <c r="IY39" s="133">
        <f t="shared" si="96"/>
        <v>0.43517810934740142</v>
      </c>
      <c r="IZ39" s="133">
        <f t="shared" si="97"/>
        <v>0.44265002018508476</v>
      </c>
      <c r="JA39" s="81"/>
      <c r="JB39" s="81">
        <v>40</v>
      </c>
      <c r="JC39" s="133">
        <f t="shared" si="98"/>
        <v>0.32183560426371266</v>
      </c>
      <c r="JD39" s="133">
        <f t="shared" si="99"/>
        <v>0.33584418693066675</v>
      </c>
      <c r="JE39" s="133">
        <f t="shared" si="100"/>
        <v>0.34676282385518797</v>
      </c>
      <c r="JF39" s="133">
        <f t="shared" si="371"/>
        <v>0.35831577773409939</v>
      </c>
      <c r="JG39" s="133">
        <f t="shared" si="372"/>
        <v>0.37563978651290142</v>
      </c>
      <c r="JH39" s="134">
        <f t="shared" si="373"/>
        <v>0.39274113554310147</v>
      </c>
      <c r="JI39" s="133">
        <f t="shared" si="374"/>
        <v>0.40806947379643904</v>
      </c>
      <c r="JJ39" s="133">
        <f t="shared" si="101"/>
        <v>0.42063046742603344</v>
      </c>
      <c r="JK39" s="133">
        <f t="shared" si="102"/>
        <v>0.42770792489987969</v>
      </c>
      <c r="JL39" s="133">
        <f t="shared" si="103"/>
        <v>0.43360465083398458</v>
      </c>
      <c r="JM39" s="133">
        <f t="shared" si="104"/>
        <v>0.44020405541587637</v>
      </c>
      <c r="JN39" s="81"/>
      <c r="JO39" s="81">
        <v>37</v>
      </c>
      <c r="JP39" s="133">
        <f t="shared" si="105"/>
        <v>-5.7437863232099584</v>
      </c>
      <c r="JQ39" s="133">
        <f t="shared" si="106"/>
        <v>-4.305039887585572</v>
      </c>
      <c r="JR39" s="133">
        <f t="shared" si="107"/>
        <v>-3.0498553275241882</v>
      </c>
      <c r="JS39" s="133">
        <f t="shared" si="375"/>
        <v>-1.5833284130681982</v>
      </c>
      <c r="JT39" s="133">
        <f t="shared" si="376"/>
        <v>0.90663610534792483</v>
      </c>
      <c r="JU39" s="134">
        <f t="shared" si="377"/>
        <v>3.741760923565792</v>
      </c>
      <c r="JV39" s="133">
        <f t="shared" si="378"/>
        <v>6.6353382326440773</v>
      </c>
      <c r="JW39" s="133">
        <f t="shared" si="108"/>
        <v>9.2778310729281408</v>
      </c>
      <c r="JX39" s="133">
        <f t="shared" si="109"/>
        <v>10.881820383204378</v>
      </c>
      <c r="JY39" s="133">
        <f t="shared" si="110"/>
        <v>12.284664952229253</v>
      </c>
      <c r="JZ39" s="133">
        <f t="shared" si="111"/>
        <v>13.928942110675553</v>
      </c>
      <c r="KA39" s="81"/>
      <c r="KB39" s="81">
        <v>37</v>
      </c>
      <c r="KC39" s="133">
        <f t="shared" si="112"/>
        <v>-4.010128973437693</v>
      </c>
      <c r="KD39" s="133">
        <f t="shared" si="113"/>
        <v>-2.7905694769860556</v>
      </c>
      <c r="KE39" s="133">
        <f t="shared" si="114"/>
        <v>-1.6986276781862664</v>
      </c>
      <c r="KF39" s="133">
        <f t="shared" si="379"/>
        <v>-0.39245478756559748</v>
      </c>
      <c r="KG39" s="133">
        <f t="shared" si="380"/>
        <v>1.8935262754018307</v>
      </c>
      <c r="KH39" s="134">
        <f t="shared" si="381"/>
        <v>4.5902790351406093</v>
      </c>
      <c r="KI39" s="133">
        <f t="shared" si="382"/>
        <v>7.4344340458222309</v>
      </c>
      <c r="KJ39" s="133">
        <f t="shared" si="115"/>
        <v>10.1048048519131</v>
      </c>
      <c r="KK39" s="133">
        <f t="shared" si="116"/>
        <v>11.757097372675164</v>
      </c>
      <c r="KL39" s="133">
        <f t="shared" si="117"/>
        <v>13.22052334625206</v>
      </c>
      <c r="KM39" s="133">
        <f t="shared" si="118"/>
        <v>14.956635320377002</v>
      </c>
      <c r="KN39" s="81"/>
      <c r="KO39" s="81">
        <v>39</v>
      </c>
      <c r="KP39" s="133">
        <f t="shared" si="119"/>
        <v>-6.482705190186568</v>
      </c>
      <c r="KQ39" s="133">
        <f t="shared" si="120"/>
        <v>-4.9451403608507469</v>
      </c>
      <c r="KR39" s="133">
        <f t="shared" si="121"/>
        <v>-3.6298231326421657</v>
      </c>
      <c r="KS39" s="133">
        <f t="shared" si="383"/>
        <v>-2.1207051295079786</v>
      </c>
      <c r="KT39" s="133">
        <f t="shared" si="384"/>
        <v>0.3810201380426399</v>
      </c>
      <c r="KU39" s="134">
        <f t="shared" si="385"/>
        <v>3.1489135484968251</v>
      </c>
      <c r="KV39" s="133">
        <f t="shared" si="386"/>
        <v>5.8978579439834249</v>
      </c>
      <c r="KW39" s="133">
        <f t="shared" si="122"/>
        <v>8.3498457590647064</v>
      </c>
      <c r="KX39" s="133">
        <f t="shared" si="123"/>
        <v>9.8137651983914012</v>
      </c>
      <c r="KY39" s="133">
        <f t="shared" si="124"/>
        <v>11.080117020939465</v>
      </c>
      <c r="KZ39" s="133">
        <f t="shared" si="125"/>
        <v>12.548772462068452</v>
      </c>
      <c r="LA39" s="81"/>
      <c r="LB39" s="81">
        <v>37</v>
      </c>
      <c r="LC39" s="133">
        <f t="shared" si="126"/>
        <v>-14.559990034312722</v>
      </c>
      <c r="LD39" s="133">
        <f t="shared" si="127"/>
        <v>-10.916730391398353</v>
      </c>
      <c r="LE39" s="133">
        <f t="shared" si="128"/>
        <v>-7.693311622394301</v>
      </c>
      <c r="LF39" s="133">
        <f t="shared" si="387"/>
        <v>-3.8814555486877893</v>
      </c>
      <c r="LG39" s="133">
        <f t="shared" si="388"/>
        <v>2.6861659878215605</v>
      </c>
      <c r="LH39" s="134">
        <f t="shared" si="389"/>
        <v>10.285446027902509</v>
      </c>
      <c r="LI39" s="133">
        <f t="shared" si="390"/>
        <v>18.150317478523625</v>
      </c>
      <c r="LJ39" s="133">
        <f t="shared" si="129"/>
        <v>25.413152516580027</v>
      </c>
      <c r="LK39" s="133">
        <f t="shared" si="130"/>
        <v>29.854367083540801</v>
      </c>
      <c r="LL39" s="133">
        <f t="shared" si="131"/>
        <v>33.756990322682235</v>
      </c>
      <c r="LM39" s="133">
        <f t="shared" si="132"/>
        <v>38.351489266721494</v>
      </c>
      <c r="LN39" s="81"/>
      <c r="LO39" s="81">
        <v>37</v>
      </c>
      <c r="LP39" s="133">
        <f t="shared" si="133"/>
        <v>-10.843937748506047</v>
      </c>
      <c r="LQ39" s="133">
        <f t="shared" si="134"/>
        <v>-7.3153033533661294</v>
      </c>
      <c r="LR39" s="133">
        <f t="shared" si="135"/>
        <v>-4.1801557506070104</v>
      </c>
      <c r="LS39" s="133">
        <f t="shared" si="391"/>
        <v>-0.4586668680316599</v>
      </c>
      <c r="LT39" s="133">
        <f t="shared" si="392"/>
        <v>5.9842550817844717</v>
      </c>
      <c r="LU39" s="134">
        <f t="shared" si="393"/>
        <v>13.481044841883229</v>
      </c>
      <c r="LV39" s="133">
        <f t="shared" si="394"/>
        <v>21.279846107637713</v>
      </c>
      <c r="LW39" s="133">
        <f t="shared" si="136"/>
        <v>28.512884603412711</v>
      </c>
      <c r="LX39" s="133">
        <f t="shared" si="137"/>
        <v>32.949093565568205</v>
      </c>
      <c r="LY39" s="133">
        <f t="shared" si="138"/>
        <v>36.854959070191313</v>
      </c>
      <c r="LZ39" s="133">
        <f t="shared" si="139"/>
        <v>41.461892094999939</v>
      </c>
      <c r="MA39" s="81"/>
      <c r="MB39" s="81">
        <v>39</v>
      </c>
      <c r="MC39" s="133">
        <f t="shared" si="140"/>
        <v>-14.710878750326636</v>
      </c>
      <c r="MD39" s="133">
        <f t="shared" si="141"/>
        <v>-11.26137780894231</v>
      </c>
      <c r="ME39" s="133">
        <f t="shared" si="142"/>
        <v>-8.2461130729211263</v>
      </c>
      <c r="MF39" s="133">
        <f t="shared" si="395"/>
        <v>-4.7191379175881529</v>
      </c>
      <c r="MG39" s="133">
        <f t="shared" si="396"/>
        <v>1.2731015221619515</v>
      </c>
      <c r="MH39" s="134">
        <f t="shared" si="397"/>
        <v>8.0943514415951441</v>
      </c>
      <c r="MI39" s="133">
        <f t="shared" si="398"/>
        <v>15.048363574769816</v>
      </c>
      <c r="MJ39" s="133">
        <f t="shared" si="143"/>
        <v>21.388898410250142</v>
      </c>
      <c r="MK39" s="133">
        <f t="shared" si="144"/>
        <v>25.232181532773545</v>
      </c>
      <c r="ML39" s="133">
        <f t="shared" si="145"/>
        <v>28.589931072712254</v>
      </c>
      <c r="MM39" s="133">
        <f t="shared" si="146"/>
        <v>32.52116794192208</v>
      </c>
      <c r="MN39" s="81"/>
      <c r="MO39" s="81">
        <v>37</v>
      </c>
      <c r="MP39" s="133">
        <f t="shared" si="147"/>
        <v>-21.079172121323872</v>
      </c>
      <c r="MQ39" s="133">
        <f t="shared" si="148"/>
        <v>-16.764039348357716</v>
      </c>
      <c r="MR39" s="133">
        <f t="shared" si="149"/>
        <v>-13.028696065434961</v>
      </c>
      <c r="MS39" s="133">
        <f t="shared" si="399"/>
        <v>-8.6989182344329024</v>
      </c>
      <c r="MT39" s="133">
        <f t="shared" si="400"/>
        <v>-1.4298621441804329</v>
      </c>
      <c r="MU39" s="134">
        <f t="shared" si="401"/>
        <v>6.728553841358007</v>
      </c>
      <c r="MV39" s="133">
        <f t="shared" si="402"/>
        <v>14.936246583508378</v>
      </c>
      <c r="MW39" s="133">
        <f t="shared" si="150"/>
        <v>22.335926515800679</v>
      </c>
      <c r="MX39" s="133">
        <f t="shared" si="151"/>
        <v>26.786179034276721</v>
      </c>
      <c r="MY39" s="133">
        <f t="shared" si="152"/>
        <v>30.654198574333684</v>
      </c>
      <c r="MZ39" s="133">
        <f t="shared" si="153"/>
        <v>35.160507044703785</v>
      </c>
      <c r="NA39" s="81"/>
      <c r="NB39" s="81">
        <v>37</v>
      </c>
      <c r="NC39" s="133">
        <f t="shared" si="154"/>
        <v>-15.264056743288466</v>
      </c>
      <c r="ND39" s="133">
        <f t="shared" si="155"/>
        <v>-11.240205192613058</v>
      </c>
      <c r="NE39" s="133">
        <f t="shared" si="156"/>
        <v>-7.7444641608299598</v>
      </c>
      <c r="NF39" s="133">
        <f t="shared" si="403"/>
        <v>-3.6809877070092831</v>
      </c>
      <c r="NG39" s="133">
        <f t="shared" si="404"/>
        <v>3.1628447664218591</v>
      </c>
      <c r="NH39" s="134">
        <f t="shared" si="405"/>
        <v>10.869672452864489</v>
      </c>
      <c r="NI39" s="133">
        <f t="shared" si="406"/>
        <v>18.644754021370705</v>
      </c>
      <c r="NJ39" s="133">
        <f t="shared" si="157"/>
        <v>25.66982851995208</v>
      </c>
      <c r="NK39" s="133">
        <f t="shared" si="158"/>
        <v>29.900921202766423</v>
      </c>
      <c r="NL39" s="133">
        <f t="shared" si="159"/>
        <v>33.581852892491341</v>
      </c>
      <c r="NM39" s="133">
        <f t="shared" si="160"/>
        <v>37.87391325502746</v>
      </c>
      <c r="NN39" s="81"/>
      <c r="NO39" s="81">
        <v>39</v>
      </c>
      <c r="NP39" s="133">
        <f t="shared" si="161"/>
        <v>-21.726380782880817</v>
      </c>
      <c r="NQ39" s="133">
        <f t="shared" si="162"/>
        <v>-17.814920080539096</v>
      </c>
      <c r="NR39" s="133">
        <f t="shared" si="163"/>
        <v>-14.447610051235912</v>
      </c>
      <c r="NS39" s="133">
        <f t="shared" si="407"/>
        <v>-10.562201548059637</v>
      </c>
      <c r="NT39" s="133">
        <f t="shared" si="408"/>
        <v>-4.0744568818584526</v>
      </c>
      <c r="NU39" s="134">
        <f t="shared" si="409"/>
        <v>3.164261386450022</v>
      </c>
      <c r="NV39" s="133">
        <f t="shared" si="410"/>
        <v>10.409544072462488</v>
      </c>
      <c r="NW39" s="133">
        <f t="shared" si="164"/>
        <v>16.914697630979887</v>
      </c>
      <c r="NX39" s="133">
        <f t="shared" si="165"/>
        <v>20.816172422985062</v>
      </c>
      <c r="NY39" s="133">
        <f t="shared" si="166"/>
        <v>24.201186934670154</v>
      </c>
      <c r="NZ39" s="133">
        <f t="shared" si="167"/>
        <v>28.138178004402626</v>
      </c>
      <c r="OA39" s="81"/>
      <c r="OB39" s="81">
        <v>37</v>
      </c>
      <c r="OC39" s="133">
        <v>14.524011840313065</v>
      </c>
      <c r="OD39" s="133">
        <v>16.06971509556605</v>
      </c>
      <c r="OE39" s="133">
        <v>17.530048075288875</v>
      </c>
      <c r="OF39" s="133">
        <v>19.379172309168347</v>
      </c>
      <c r="OG39" s="133">
        <v>22.908036134633559</v>
      </c>
      <c r="OH39" s="134">
        <v>27.603606026615644</v>
      </c>
      <c r="OI39" s="133">
        <v>33.261649370311666</v>
      </c>
      <c r="OJ39" s="133">
        <v>39.318452486854966</v>
      </c>
      <c r="OK39" s="133">
        <v>43.46588568383347</v>
      </c>
      <c r="OL39" s="133">
        <v>47.415841608968577</v>
      </c>
      <c r="OM39" s="133">
        <v>52.462024545980206</v>
      </c>
      <c r="ON39" s="81"/>
      <c r="OO39" s="81">
        <v>37</v>
      </c>
      <c r="OP39" s="133">
        <v>13.024767732225836</v>
      </c>
      <c r="OQ39" s="133">
        <v>14.268590167603534</v>
      </c>
      <c r="OR39" s="133">
        <v>15.432942080126782</v>
      </c>
      <c r="OS39" s="133">
        <v>16.893770769345462</v>
      </c>
      <c r="OT39" s="133">
        <v>25.111325371182708</v>
      </c>
      <c r="OU39" s="134">
        <v>23.242334080474368</v>
      </c>
      <c r="OV39" s="133">
        <v>27.498591255381097</v>
      </c>
      <c r="OW39" s="133">
        <v>31.976643988126661</v>
      </c>
      <c r="OX39" s="133">
        <v>35.003442033519406</v>
      </c>
      <c r="OY39" s="133">
        <v>37.859808654039576</v>
      </c>
      <c r="OZ39" s="133">
        <v>41.475295729980999</v>
      </c>
      <c r="PA39" s="81"/>
      <c r="PB39" s="81">
        <v>39</v>
      </c>
      <c r="PC39" s="133">
        <v>19.79876395826501</v>
      </c>
      <c r="PD39" s="133">
        <v>21.337696642060717</v>
      </c>
      <c r="PE39" s="133">
        <v>22.756602527515614</v>
      </c>
      <c r="PF39" s="133">
        <v>24.51000585318404</v>
      </c>
      <c r="PG39" s="133">
        <v>27.740785223610356</v>
      </c>
      <c r="PH39" s="134">
        <v>31.846099305862278</v>
      </c>
      <c r="PI39" s="133">
        <v>36.558952200663455</v>
      </c>
      <c r="PJ39" s="133">
        <v>41.377959967606159</v>
      </c>
      <c r="PK39" s="133">
        <v>44.566144694603558</v>
      </c>
      <c r="PL39" s="133">
        <v>47.529686920363709</v>
      </c>
      <c r="PM39" s="133">
        <v>51.224108895720946</v>
      </c>
      <c r="PN39" s="81"/>
      <c r="PO39" s="81">
        <v>37</v>
      </c>
      <c r="PP39" s="133">
        <v>8.3876823715179807</v>
      </c>
      <c r="PQ39" s="133">
        <v>9.1403936565227806</v>
      </c>
      <c r="PR39" s="133">
        <v>9.8415754870592025</v>
      </c>
      <c r="PS39" s="133">
        <v>10.717008964154751</v>
      </c>
      <c r="PT39" s="133">
        <v>12.354099526347705</v>
      </c>
      <c r="PU39" s="134">
        <v>14.475152536126584</v>
      </c>
      <c r="PV39" s="133">
        <v>16.960365302000781</v>
      </c>
      <c r="PW39" s="133">
        <v>19.551167834696084</v>
      </c>
      <c r="PX39" s="133">
        <v>21.290294548839793</v>
      </c>
      <c r="PY39" s="133">
        <v>22.923524830312616</v>
      </c>
      <c r="PZ39" s="133">
        <v>24.980683776919392</v>
      </c>
      <c r="QA39" s="81"/>
      <c r="QB39" s="81">
        <v>37</v>
      </c>
      <c r="QC39" s="133">
        <v>8.0428704651298624</v>
      </c>
      <c r="QD39" s="133">
        <v>8.7644970603007852</v>
      </c>
      <c r="QE39" s="133">
        <v>9.4367121562674985</v>
      </c>
      <c r="QF39" s="133">
        <v>10.27596779123119</v>
      </c>
      <c r="QG39" s="133">
        <v>11.845370776115725</v>
      </c>
      <c r="QH39" s="134">
        <v>13.878668707101436</v>
      </c>
      <c r="QI39" s="133">
        <v>16.260989100472784</v>
      </c>
      <c r="QJ39" s="133">
        <v>18.744457845210768</v>
      </c>
      <c r="QK39" s="133">
        <v>20.411499459962613</v>
      </c>
      <c r="QL39" s="133">
        <v>21.977010632355249</v>
      </c>
      <c r="QM39" s="133">
        <v>23.948843378315754</v>
      </c>
      <c r="QN39" s="81"/>
      <c r="QO39" s="81">
        <v>39</v>
      </c>
      <c r="QP39" s="133">
        <v>9.3468315297835431</v>
      </c>
      <c r="QQ39" s="133">
        <v>10.115057176234471</v>
      </c>
      <c r="QR39" s="133">
        <v>10.826088410445557</v>
      </c>
      <c r="QS39" s="133">
        <v>11.70811377114137</v>
      </c>
      <c r="QT39" s="133">
        <v>13.342296235205765</v>
      </c>
      <c r="QU39" s="134">
        <v>15.43392996296947</v>
      </c>
      <c r="QV39" s="133">
        <v>17.853463144769783</v>
      </c>
      <c r="QW39" s="133">
        <v>20.345394549289995</v>
      </c>
      <c r="QX39" s="133">
        <v>22.002978829547835</v>
      </c>
      <c r="QY39" s="133">
        <v>23.549663630326975</v>
      </c>
      <c r="QZ39" s="133">
        <v>25.485234578456488</v>
      </c>
      <c r="RA39" s="81"/>
      <c r="RB39" s="81">
        <v>37</v>
      </c>
      <c r="RC39" s="133">
        <f t="shared" si="168"/>
        <v>0.28643473302093092</v>
      </c>
      <c r="RD39" s="133">
        <f t="shared" si="169"/>
        <v>0.31140862821946824</v>
      </c>
      <c r="RE39" s="133">
        <f t="shared" si="170"/>
        <v>0.33491386671525059</v>
      </c>
      <c r="RF39" s="133">
        <f t="shared" si="411"/>
        <v>0.36459762752356023</v>
      </c>
      <c r="RG39" s="133">
        <f t="shared" si="412"/>
        <v>0.42114486450068234</v>
      </c>
      <c r="RH39" s="134">
        <f t="shared" si="413"/>
        <v>0.49648174300823866</v>
      </c>
      <c r="RI39" s="133">
        <f t="shared" si="414"/>
        <v>0.58780547237461567</v>
      </c>
      <c r="RJ39" s="133">
        <f t="shared" si="171"/>
        <v>0.6865751293336847</v>
      </c>
      <c r="RK39" s="133">
        <f t="shared" si="172"/>
        <v>0.75493820325304262</v>
      </c>
      <c r="RL39" s="133">
        <f t="shared" si="173"/>
        <v>0.82065582004575188</v>
      </c>
      <c r="RM39" s="133">
        <f t="shared" si="174"/>
        <v>0.90553136806565604</v>
      </c>
      <c r="RN39" s="81"/>
      <c r="RO39" s="81">
        <v>37</v>
      </c>
      <c r="RP39" s="133">
        <f t="shared" si="175"/>
        <v>0.31578401178164267</v>
      </c>
      <c r="RQ39" s="133">
        <f t="shared" si="176"/>
        <v>0.34137128972741365</v>
      </c>
      <c r="RR39" s="133">
        <f t="shared" si="177"/>
        <v>0.36541711649678738</v>
      </c>
      <c r="RS39" s="133">
        <f t="shared" si="415"/>
        <v>0.39574701074919161</v>
      </c>
      <c r="RT39" s="133">
        <f t="shared" si="416"/>
        <v>0.45346038662114391</v>
      </c>
      <c r="RU39" s="134">
        <f t="shared" si="417"/>
        <v>0.53032439240302265</v>
      </c>
      <c r="RV39" s="133">
        <f t="shared" si="418"/>
        <v>0.62361009194671269</v>
      </c>
      <c r="RW39" s="133">
        <f t="shared" si="178"/>
        <v>0.72478037684032381</v>
      </c>
      <c r="RX39" s="133">
        <f t="shared" si="179"/>
        <v>0.79502962294891311</v>
      </c>
      <c r="RY39" s="133">
        <f t="shared" si="180"/>
        <v>0.8627596730189947</v>
      </c>
      <c r="RZ39" s="133">
        <f t="shared" si="181"/>
        <v>0.95054843054086402</v>
      </c>
      <c r="SA39" s="81"/>
      <c r="SB39" s="81">
        <v>39</v>
      </c>
      <c r="SC39" s="133">
        <f t="shared" si="182"/>
        <v>0.27609140479816219</v>
      </c>
      <c r="SD39" s="133">
        <f t="shared" si="183"/>
        <v>0.30064378057321145</v>
      </c>
      <c r="SE39" s="133">
        <f t="shared" si="184"/>
        <v>0.32352396730103816</v>
      </c>
      <c r="SF39" s="133">
        <f t="shared" si="419"/>
        <v>0.35210332377139114</v>
      </c>
      <c r="SG39" s="133">
        <f t="shared" si="420"/>
        <v>0.40559127334280259</v>
      </c>
      <c r="SH39" s="134">
        <f t="shared" si="421"/>
        <v>0.47498336976084854</v>
      </c>
      <c r="SI39" s="133">
        <f t="shared" si="422"/>
        <v>0.55642844149609905</v>
      </c>
      <c r="SJ39" s="133">
        <f t="shared" si="185"/>
        <v>0.64149696121578736</v>
      </c>
      <c r="SK39" s="133">
        <f t="shared" si="186"/>
        <v>0.69869408638820363</v>
      </c>
      <c r="SL39" s="133">
        <f t="shared" si="187"/>
        <v>0.75247591356240495</v>
      </c>
      <c r="SM39" s="133">
        <f t="shared" si="188"/>
        <v>0.82030928866265485</v>
      </c>
      <c r="SN39" s="81"/>
      <c r="SO39" s="81">
        <v>37</v>
      </c>
      <c r="SP39" s="133">
        <f t="shared" si="189"/>
        <v>0.22250210904932241</v>
      </c>
      <c r="SQ39" s="133">
        <f t="shared" si="190"/>
        <v>0.23758144425680885</v>
      </c>
      <c r="SR39" s="133">
        <f t="shared" si="191"/>
        <v>0.25114998155840157</v>
      </c>
      <c r="SS39" s="133">
        <f t="shared" si="423"/>
        <v>0.26750288961809277</v>
      </c>
      <c r="ST39" s="133">
        <f t="shared" si="424"/>
        <v>0.29653612695610621</v>
      </c>
      <c r="SU39" s="134">
        <f t="shared" si="425"/>
        <v>0.33160211237489845</v>
      </c>
      <c r="SV39" s="133">
        <f t="shared" si="426"/>
        <v>0.36967669302608713</v>
      </c>
      <c r="SW39" s="133">
        <f t="shared" si="192"/>
        <v>0.40653365556185456</v>
      </c>
      <c r="SX39" s="133">
        <f t="shared" si="193"/>
        <v>0.42990372424956091</v>
      </c>
      <c r="SY39" s="133">
        <f t="shared" si="194"/>
        <v>0.45097390474323434</v>
      </c>
      <c r="SZ39" s="133">
        <f t="shared" si="195"/>
        <v>0.47643189005161291</v>
      </c>
      <c r="TA39" s="81"/>
      <c r="TB39" s="81">
        <v>37</v>
      </c>
      <c r="TC39" s="133">
        <f t="shared" si="196"/>
        <v>0.24016081524638477</v>
      </c>
      <c r="TD39" s="133">
        <f t="shared" si="197"/>
        <v>0.25480948491654193</v>
      </c>
      <c r="TE39" s="133">
        <f t="shared" si="198"/>
        <v>0.26799124562401488</v>
      </c>
      <c r="TF39" s="133">
        <f t="shared" si="427"/>
        <v>0.28388301135807076</v>
      </c>
      <c r="TG39" s="133">
        <f t="shared" si="428"/>
        <v>0.31212246215402017</v>
      </c>
      <c r="TH39" s="134">
        <f t="shared" si="429"/>
        <v>0.34629260191800476</v>
      </c>
      <c r="TI39" s="133">
        <f t="shared" si="430"/>
        <v>0.38349550673292582</v>
      </c>
      <c r="TJ39" s="133">
        <f t="shared" si="199"/>
        <v>0.41962592648740771</v>
      </c>
      <c r="TK39" s="133">
        <f t="shared" si="200"/>
        <v>0.44260055329509934</v>
      </c>
      <c r="TL39" s="133">
        <f t="shared" si="201"/>
        <v>0.46335982073473531</v>
      </c>
      <c r="TM39" s="133">
        <f t="shared" si="202"/>
        <v>0.48850166929112049</v>
      </c>
      <c r="TN39" s="81"/>
      <c r="TO39" s="81">
        <v>39</v>
      </c>
      <c r="TP39" s="133">
        <f t="shared" si="203"/>
        <v>0.21617341426025091</v>
      </c>
      <c r="TQ39" s="133">
        <f t="shared" si="204"/>
        <v>0.23125891488873718</v>
      </c>
      <c r="TR39" s="133">
        <f t="shared" si="205"/>
        <v>0.24469323577631558</v>
      </c>
      <c r="TS39" s="133">
        <f t="shared" si="431"/>
        <v>0.26071425657840724</v>
      </c>
      <c r="TT39" s="133">
        <f t="shared" si="432"/>
        <v>0.28872038802128003</v>
      </c>
      <c r="TU39" s="134">
        <f t="shared" si="433"/>
        <v>0.32184423331610668</v>
      </c>
      <c r="TV39" s="133">
        <f t="shared" si="434"/>
        <v>0.35700670947863838</v>
      </c>
      <c r="TW39" s="133">
        <f t="shared" si="206"/>
        <v>0.39031121499363047</v>
      </c>
      <c r="TX39" s="133">
        <f t="shared" si="207"/>
        <v>0.41108070667389557</v>
      </c>
      <c r="TY39" s="133">
        <f t="shared" si="208"/>
        <v>0.42958749822244557</v>
      </c>
      <c r="TZ39" s="133">
        <f t="shared" si="209"/>
        <v>0.4516843022536004</v>
      </c>
      <c r="UA39" s="81"/>
      <c r="UB39" s="81">
        <v>37</v>
      </c>
      <c r="UC39" s="133">
        <f t="shared" si="210"/>
        <v>-23.388960934093575</v>
      </c>
      <c r="UD39" s="133">
        <f t="shared" si="211"/>
        <v>-19.809159446467028</v>
      </c>
      <c r="UE39" s="133">
        <f t="shared" si="212"/>
        <v>-16.825329577313411</v>
      </c>
      <c r="UF39" s="133">
        <f t="shared" si="435"/>
        <v>-13.480564421562832</v>
      </c>
      <c r="UG39" s="133">
        <f t="shared" si="436"/>
        <v>-8.097566132755091</v>
      </c>
      <c r="UH39" s="134">
        <f t="shared" si="437"/>
        <v>-2.3433972659948168</v>
      </c>
      <c r="UI39" s="133">
        <f t="shared" si="438"/>
        <v>3.1932324810228039</v>
      </c>
      <c r="UJ39" s="133">
        <f t="shared" si="213"/>
        <v>8.0019772890539826</v>
      </c>
      <c r="UK39" s="133">
        <f t="shared" si="214"/>
        <v>10.820648139465234</v>
      </c>
      <c r="UL39" s="133">
        <f t="shared" si="215"/>
        <v>13.229749390176281</v>
      </c>
      <c r="UM39" s="133">
        <f t="shared" si="216"/>
        <v>15.991790748800156</v>
      </c>
      <c r="UN39" s="81"/>
      <c r="UO39" s="81">
        <v>37</v>
      </c>
      <c r="UP39" s="133">
        <f t="shared" si="217"/>
        <v>-19.028641838745848</v>
      </c>
      <c r="UQ39" s="133">
        <f t="shared" si="218"/>
        <v>-16.116502376031058</v>
      </c>
      <c r="UR39" s="133">
        <f t="shared" si="219"/>
        <v>-13.619557208632767</v>
      </c>
      <c r="US39" s="133">
        <f t="shared" si="439"/>
        <v>-10.748284606790758</v>
      </c>
      <c r="UT39" s="133">
        <f t="shared" si="440"/>
        <v>-5.9738680958533656</v>
      </c>
      <c r="UU39" s="134">
        <f t="shared" si="441"/>
        <v>-0.67142823981374278</v>
      </c>
      <c r="UV39" s="133">
        <f t="shared" si="442"/>
        <v>4.6141203174513592</v>
      </c>
      <c r="UW39" s="133">
        <f t="shared" si="220"/>
        <v>9.3438856924437701</v>
      </c>
      <c r="UX39" s="133">
        <f t="shared" si="221"/>
        <v>12.174155386007577</v>
      </c>
      <c r="UY39" s="133">
        <f t="shared" si="222"/>
        <v>14.626174063871758</v>
      </c>
      <c r="UZ39" s="133">
        <f t="shared" si="223"/>
        <v>17.474080980438529</v>
      </c>
      <c r="VA39" s="81"/>
      <c r="VB39" s="81">
        <v>40</v>
      </c>
      <c r="VC39" s="133">
        <f t="shared" si="224"/>
        <v>-24.095734259077538</v>
      </c>
      <c r="VD39" s="133">
        <f t="shared" si="225"/>
        <v>-20.316432975982501</v>
      </c>
      <c r="VE39" s="133">
        <f t="shared" si="226"/>
        <v>-17.226344251840302</v>
      </c>
      <c r="VF39" s="133">
        <f t="shared" si="443"/>
        <v>-13.818372079911533</v>
      </c>
      <c r="VG39" s="133">
        <f t="shared" si="444"/>
        <v>-8.4400163121369829</v>
      </c>
      <c r="VH39" s="134">
        <f t="shared" si="445"/>
        <v>-2.8134642208485303</v>
      </c>
      <c r="VI39" s="133">
        <f t="shared" si="446"/>
        <v>2.499504007046113</v>
      </c>
      <c r="VJ39" s="133">
        <f t="shared" si="227"/>
        <v>7.0445719022476823</v>
      </c>
      <c r="VK39" s="133">
        <f t="shared" si="228"/>
        <v>9.6817423968482359</v>
      </c>
      <c r="VL39" s="133">
        <f t="shared" si="229"/>
        <v>11.921081503426166</v>
      </c>
      <c r="VM39" s="133">
        <f t="shared" si="230"/>
        <v>14.47280327088022</v>
      </c>
      <c r="VN39" s="81"/>
      <c r="VO39" s="81">
        <v>37</v>
      </c>
      <c r="VP39" s="133">
        <f t="shared" si="231"/>
        <v>-39.492160459303307</v>
      </c>
      <c r="VQ39" s="133">
        <f t="shared" si="232"/>
        <v>-35.327651708991823</v>
      </c>
      <c r="VR39" s="133">
        <f t="shared" si="233"/>
        <v>-31.423240658501925</v>
      </c>
      <c r="VS39" s="133">
        <f t="shared" si="447"/>
        <v>-26.563747970692088</v>
      </c>
      <c r="VT39" s="133">
        <f t="shared" si="448"/>
        <v>-17.634869203325458</v>
      </c>
      <c r="VU39" s="134">
        <f t="shared" si="449"/>
        <v>-6.5199404740696707</v>
      </c>
      <c r="VV39" s="133">
        <f t="shared" si="450"/>
        <v>5.7695681262137413</v>
      </c>
      <c r="VW39" s="133">
        <f t="shared" si="234"/>
        <v>17.758584964852723</v>
      </c>
      <c r="VX39" s="133">
        <f t="shared" si="235"/>
        <v>25.36999803026773</v>
      </c>
      <c r="VY39" s="133">
        <f t="shared" si="236"/>
        <v>32.224291275332227</v>
      </c>
      <c r="VZ39" s="133">
        <f t="shared" si="237"/>
        <v>40.484356400636834</v>
      </c>
      <c r="WA39" s="81"/>
      <c r="WB39" s="81">
        <v>37</v>
      </c>
      <c r="WC39" s="133">
        <f t="shared" si="238"/>
        <v>-35.648936148496098</v>
      </c>
      <c r="WD39" s="133">
        <f t="shared" si="239"/>
        <v>-31.626996503033187</v>
      </c>
      <c r="WE39" s="133">
        <f t="shared" si="240"/>
        <v>-27.821797762382278</v>
      </c>
      <c r="WF39" s="133">
        <f t="shared" si="451"/>
        <v>-23.051630663451515</v>
      </c>
      <c r="WG39" s="133">
        <f t="shared" si="452"/>
        <v>-14.21603561114209</v>
      </c>
      <c r="WH39" s="134">
        <f t="shared" si="453"/>
        <v>-3.1286791483870076</v>
      </c>
      <c r="WI39" s="133">
        <f t="shared" si="454"/>
        <v>9.2084062410248464</v>
      </c>
      <c r="WJ39" s="133">
        <f t="shared" si="241"/>
        <v>21.300573141760829</v>
      </c>
      <c r="WK39" s="133">
        <f t="shared" si="242"/>
        <v>29.000164201878327</v>
      </c>
      <c r="WL39" s="133">
        <f t="shared" si="243"/>
        <v>35.946498210477664</v>
      </c>
      <c r="WM39" s="133">
        <f t="shared" si="244"/>
        <v>44.33139199714504</v>
      </c>
      <c r="WN39" s="81"/>
      <c r="WO39" s="81">
        <v>40</v>
      </c>
      <c r="WP39" s="133">
        <f t="shared" si="245"/>
        <v>-39.983862426489502</v>
      </c>
      <c r="WQ39" s="133">
        <f t="shared" si="246"/>
        <v>-35.652902614058434</v>
      </c>
      <c r="WR39" s="133">
        <f t="shared" si="247"/>
        <v>-31.64470470722387</v>
      </c>
      <c r="WS39" s="133">
        <f t="shared" si="455"/>
        <v>-26.720003409251891</v>
      </c>
      <c r="WT39" s="133">
        <f t="shared" si="456"/>
        <v>-17.832015949992694</v>
      </c>
      <c r="WU39" s="134">
        <f t="shared" si="457"/>
        <v>-7.0103876879436413</v>
      </c>
      <c r="WV39" s="133">
        <f t="shared" si="458"/>
        <v>4.7004293315925381</v>
      </c>
      <c r="WW39" s="133">
        <f t="shared" si="248"/>
        <v>15.912692137678683</v>
      </c>
      <c r="WX39" s="133">
        <f t="shared" si="249"/>
        <v>22.937482251953959</v>
      </c>
      <c r="WY39" s="133">
        <f t="shared" si="250"/>
        <v>29.207926863605472</v>
      </c>
      <c r="WZ39" s="133">
        <f t="shared" si="251"/>
        <v>36.70022277138083</v>
      </c>
      <c r="XA39" s="81"/>
      <c r="XB39" s="81">
        <v>37</v>
      </c>
      <c r="XC39" s="133">
        <f t="shared" si="252"/>
        <v>-45.060465615062448</v>
      </c>
      <c r="XD39" s="133">
        <f t="shared" si="253"/>
        <v>-40.386094452618821</v>
      </c>
      <c r="XE39" s="133">
        <f t="shared" si="254"/>
        <v>-36.074894788928219</v>
      </c>
      <c r="XF39" s="133">
        <f t="shared" si="459"/>
        <v>-30.815060010889205</v>
      </c>
      <c r="XG39" s="133">
        <f t="shared" si="460"/>
        <v>-21.441732261891786</v>
      </c>
      <c r="XH39" s="134">
        <f t="shared" si="461"/>
        <v>-10.232140312458199</v>
      </c>
      <c r="XI39" s="133">
        <f t="shared" si="462"/>
        <v>1.6735437219806428</v>
      </c>
      <c r="XJ39" s="133">
        <f t="shared" si="255"/>
        <v>12.881111294617689</v>
      </c>
      <c r="XK39" s="133">
        <f t="shared" si="256"/>
        <v>19.818208134835352</v>
      </c>
      <c r="XL39" s="133">
        <f t="shared" si="257"/>
        <v>25.960002363567561</v>
      </c>
      <c r="XM39" s="133">
        <f t="shared" si="258"/>
        <v>33.240596990910952</v>
      </c>
      <c r="XN39" s="81"/>
      <c r="XO39" s="81">
        <v>37</v>
      </c>
      <c r="XP39" s="133">
        <f t="shared" si="259"/>
        <v>-39.337256048365234</v>
      </c>
      <c r="XQ39" s="133">
        <f t="shared" si="260"/>
        <v>-34.694410036755556</v>
      </c>
      <c r="XR39" s="133">
        <f t="shared" si="261"/>
        <v>-30.4679593648906</v>
      </c>
      <c r="XS39" s="133">
        <f t="shared" si="463"/>
        <v>-25.361884959779115</v>
      </c>
      <c r="XT39" s="133">
        <f t="shared" si="464"/>
        <v>-16.359652615709983</v>
      </c>
      <c r="XU39" s="134">
        <f t="shared" si="465"/>
        <v>-5.7086614660555455</v>
      </c>
      <c r="XV39" s="133">
        <f t="shared" si="466"/>
        <v>5.5059360135740008</v>
      </c>
      <c r="XW39" s="133">
        <f t="shared" si="262"/>
        <v>15.99292021358206</v>
      </c>
      <c r="XX39" s="133">
        <f t="shared" si="263"/>
        <v>22.456036596770964</v>
      </c>
      <c r="XY39" s="133">
        <f t="shared" si="264"/>
        <v>28.162609356277649</v>
      </c>
      <c r="XZ39" s="133">
        <f t="shared" si="265"/>
        <v>34.910144156625044</v>
      </c>
      <c r="YA39" s="81"/>
      <c r="YB39" s="81">
        <v>40</v>
      </c>
      <c r="YC39" s="133">
        <f t="shared" si="266"/>
        <v>-46.234325813362631</v>
      </c>
      <c r="YD39" s="133">
        <f t="shared" si="267"/>
        <v>-41.492371296775246</v>
      </c>
      <c r="YE39" s="133">
        <f t="shared" si="268"/>
        <v>-37.155314927011489</v>
      </c>
      <c r="YF39" s="133">
        <f t="shared" si="467"/>
        <v>-31.907401067266697</v>
      </c>
      <c r="YG39" s="133">
        <f t="shared" si="468"/>
        <v>-22.656652506261985</v>
      </c>
      <c r="YH39" s="134">
        <f t="shared" si="469"/>
        <v>-11.733084068896751</v>
      </c>
      <c r="YI39" s="133">
        <f t="shared" si="470"/>
        <v>-0.26470152068634434</v>
      </c>
      <c r="YJ39" s="133">
        <f t="shared" si="269"/>
        <v>10.427845788693539</v>
      </c>
      <c r="YK39" s="133">
        <f t="shared" si="270"/>
        <v>17.002843431049392</v>
      </c>
      <c r="YL39" s="133">
        <f t="shared" si="271"/>
        <v>22.79918663718869</v>
      </c>
      <c r="YM39" s="133">
        <f t="shared" si="272"/>
        <v>29.642367244612778</v>
      </c>
      <c r="YN39" s="81"/>
      <c r="YO39" s="81">
        <v>37</v>
      </c>
      <c r="YP39" s="133">
        <v>18.144403322318524</v>
      </c>
      <c r="YQ39" s="133">
        <v>20.382264293382629</v>
      </c>
      <c r="YR39" s="133">
        <v>22.526490026835351</v>
      </c>
      <c r="YS39" s="133">
        <v>25.280076281924035</v>
      </c>
      <c r="YT39" s="133">
        <v>30.642823102697243</v>
      </c>
      <c r="YU39" s="134">
        <v>37.971108588109729</v>
      </c>
      <c r="YV39" s="133">
        <v>47.051966542962212</v>
      </c>
      <c r="YW39" s="133">
        <v>57.033256993807072</v>
      </c>
      <c r="YX39" s="133">
        <v>64.00487096269444</v>
      </c>
      <c r="YY39" s="133">
        <v>70.738219594087028</v>
      </c>
      <c r="YZ39" s="133">
        <v>79.462799729353861</v>
      </c>
      <c r="ZA39" s="81"/>
      <c r="ZB39" s="81">
        <v>37</v>
      </c>
      <c r="ZC39" s="133">
        <v>14.683570435056923</v>
      </c>
      <c r="ZD39" s="133">
        <v>16.725930530433391</v>
      </c>
      <c r="ZE39" s="133">
        <v>18.708275223684534</v>
      </c>
      <c r="ZF39" s="133">
        <v>21.287104909497454</v>
      </c>
      <c r="ZG39" s="133">
        <v>26.404181841100907</v>
      </c>
      <c r="ZH39" s="134">
        <v>33.569857834421384</v>
      </c>
      <c r="ZI39" s="133">
        <v>42.680184593679328</v>
      </c>
      <c r="ZJ39" s="133">
        <v>52.939813084703196</v>
      </c>
      <c r="ZK39" s="133">
        <v>60.237266212364197</v>
      </c>
      <c r="ZL39" s="133">
        <v>67.376541650269729</v>
      </c>
      <c r="ZM39" s="133">
        <v>76.748047078026246</v>
      </c>
      <c r="ZN39" s="81"/>
      <c r="ZO39" s="81">
        <v>40</v>
      </c>
      <c r="ZP39" s="133">
        <v>21.619908123269656</v>
      </c>
      <c r="ZQ39" s="133">
        <v>23.854193391488554</v>
      </c>
      <c r="ZR39" s="133">
        <v>25.959624507958189</v>
      </c>
      <c r="ZS39" s="133">
        <v>28.618707553233737</v>
      </c>
      <c r="ZT39" s="133">
        <v>33.674409929244121</v>
      </c>
      <c r="ZU39" s="134">
        <v>40.368797364114819</v>
      </c>
      <c r="ZV39" s="133">
        <v>48.394012071751938</v>
      </c>
      <c r="ZW39" s="133">
        <v>56.943165500876162</v>
      </c>
      <c r="ZX39" s="133">
        <v>62.77593884785896</v>
      </c>
      <c r="ZY39" s="133">
        <v>68.316701130059471</v>
      </c>
      <c r="ZZ39" s="133">
        <v>75.376814338585035</v>
      </c>
      <c r="AAA39" s="81"/>
      <c r="AAB39" s="81">
        <v>37</v>
      </c>
      <c r="AAC39" s="133">
        <v>9.0433600857497076</v>
      </c>
      <c r="AAD39" s="133">
        <v>10.045047335531263</v>
      </c>
      <c r="AAE39" s="133">
        <v>10.994855070289882</v>
      </c>
      <c r="AAF39" s="133">
        <v>12.20191237809434</v>
      </c>
      <c r="AAG39" s="133">
        <v>14.51755712510216</v>
      </c>
      <c r="AAH39" s="134">
        <v>17.620038601727</v>
      </c>
      <c r="AAI39" s="133">
        <v>21.385537363550398</v>
      </c>
      <c r="AAJ39" s="133">
        <v>25.444024732034439</v>
      </c>
      <c r="AAK39" s="133">
        <v>28.237367235997958</v>
      </c>
      <c r="AAL39" s="133">
        <v>30.90734667104778</v>
      </c>
      <c r="AAM39" s="133">
        <v>34.330797113295695</v>
      </c>
      <c r="AAN39" s="81"/>
      <c r="AAO39" s="81">
        <v>37</v>
      </c>
      <c r="AAP39" s="133">
        <v>8.058616349740964</v>
      </c>
      <c r="AAQ39" s="133">
        <v>9.0557341345090467</v>
      </c>
      <c r="AAR39" s="133">
        <v>10.011444254823095</v>
      </c>
      <c r="AAS39" s="133">
        <v>11.239157077583149</v>
      </c>
      <c r="AAT39" s="133">
        <v>13.631321335483621</v>
      </c>
      <c r="AAU39" s="134">
        <v>16.902282835569576</v>
      </c>
      <c r="AAV39" s="133">
        <v>20.958141769420347</v>
      </c>
      <c r="AAW39" s="133">
        <v>25.418913810129236</v>
      </c>
      <c r="AAX39" s="133">
        <v>28.536059112146379</v>
      </c>
      <c r="AAY39" s="133">
        <v>31.547653763918557</v>
      </c>
      <c r="AAZ39" s="133">
        <v>35.451143553045945</v>
      </c>
      <c r="ABA39" s="81"/>
      <c r="ABB39" s="81">
        <v>40</v>
      </c>
      <c r="ABC39" s="133">
        <v>10.190756203547753</v>
      </c>
      <c r="ABD39" s="133">
        <v>11.180704884855583</v>
      </c>
      <c r="ABE39" s="133">
        <v>12.10869500218001</v>
      </c>
      <c r="ABF39" s="133">
        <v>13.27459942392364</v>
      </c>
      <c r="ABG39" s="133">
        <v>15.474686504874777</v>
      </c>
      <c r="ABH39" s="134">
        <v>18.35921439634501</v>
      </c>
      <c r="ABI39" s="133">
        <v>21.781426922269617</v>
      </c>
      <c r="ABJ39" s="133">
        <v>25.391406737555258</v>
      </c>
      <c r="ABK39" s="133">
        <v>27.836257597559314</v>
      </c>
      <c r="ABL39" s="133">
        <v>30.146646094515493</v>
      </c>
      <c r="ABM39" s="133">
        <v>33.075146389393495</v>
      </c>
      <c r="ABN39" s="81"/>
      <c r="ABO39" s="81">
        <v>37</v>
      </c>
      <c r="ABP39" s="133">
        <f t="shared" si="273"/>
        <v>0.21811487993379197</v>
      </c>
      <c r="ABQ39" s="133">
        <f t="shared" si="274"/>
        <v>0.24731839063086472</v>
      </c>
      <c r="ABR39" s="133">
        <f t="shared" si="275"/>
        <v>0.27463036316051537</v>
      </c>
      <c r="ABS39" s="133">
        <f t="shared" si="471"/>
        <v>0.30877623317536851</v>
      </c>
      <c r="ABT39" s="133">
        <f t="shared" si="472"/>
        <v>0.37248279147519775</v>
      </c>
      <c r="ABU39" s="134">
        <f t="shared" si="473"/>
        <v>0.45422972139353068</v>
      </c>
      <c r="ABV39" s="133">
        <f t="shared" si="474"/>
        <v>0.54833636262720575</v>
      </c>
      <c r="ABW39" s="133">
        <f t="shared" si="276"/>
        <v>0.64420069278175374</v>
      </c>
      <c r="ABX39" s="133">
        <f t="shared" si="277"/>
        <v>0.70720982140480337</v>
      </c>
      <c r="ABY39" s="133">
        <f t="shared" si="278"/>
        <v>0.76539946644937296</v>
      </c>
      <c r="ABZ39" s="133">
        <f t="shared" si="279"/>
        <v>0.83735954538394974</v>
      </c>
      <c r="ACA39" s="81"/>
      <c r="ACB39" s="81">
        <v>37</v>
      </c>
      <c r="ACC39" s="133">
        <f t="shared" si="280"/>
        <v>0.24449778425416685</v>
      </c>
      <c r="ACD39" s="133">
        <f t="shared" si="281"/>
        <v>0.27284201770433331</v>
      </c>
      <c r="ACE39" s="133">
        <f t="shared" si="282"/>
        <v>0.29943316957183891</v>
      </c>
      <c r="ACF39" s="133">
        <f t="shared" si="475"/>
        <v>0.33282622572686965</v>
      </c>
      <c r="ACG39" s="133">
        <f t="shared" si="476"/>
        <v>0.39566252285550008</v>
      </c>
      <c r="ACH39" s="134">
        <f t="shared" si="477"/>
        <v>0.47745856295381101</v>
      </c>
      <c r="ACI39" s="133">
        <f t="shared" si="478"/>
        <v>0.57337636502758416</v>
      </c>
      <c r="ACJ39" s="133">
        <f t="shared" si="283"/>
        <v>0.67307658126785197</v>
      </c>
      <c r="ACK39" s="133">
        <f t="shared" si="284"/>
        <v>0.73970620251309116</v>
      </c>
      <c r="ACL39" s="133">
        <f t="shared" si="285"/>
        <v>0.80200951105308305</v>
      </c>
      <c r="ACM39" s="133">
        <f t="shared" si="286"/>
        <v>0.88007006827764578</v>
      </c>
      <c r="ACN39" s="81"/>
      <c r="ACO39" s="81">
        <v>40</v>
      </c>
      <c r="ACP39" s="133">
        <f t="shared" si="287"/>
        <v>0.21057243221842503</v>
      </c>
      <c r="ACQ39" s="133">
        <f t="shared" si="288"/>
        <v>0.24237011757700253</v>
      </c>
      <c r="ACR39" s="133">
        <f t="shared" si="289"/>
        <v>0.27156648958057383</v>
      </c>
      <c r="ACS39" s="133">
        <f t="shared" si="479"/>
        <v>0.30735836329235905</v>
      </c>
      <c r="ACT39" s="133">
        <f t="shared" si="480"/>
        <v>0.3722228984340632</v>
      </c>
      <c r="ACU39" s="134">
        <f t="shared" si="481"/>
        <v>0.45195999606991955</v>
      </c>
      <c r="ACV39" s="133">
        <f t="shared" si="482"/>
        <v>0.53970107508988652</v>
      </c>
      <c r="ACW39" s="133">
        <f t="shared" si="290"/>
        <v>0.62541017005633837</v>
      </c>
      <c r="ACX39" s="133">
        <f t="shared" si="291"/>
        <v>0.67987209291873951</v>
      </c>
      <c r="ACY39" s="133">
        <f t="shared" si="292"/>
        <v>0.72901187443913174</v>
      </c>
      <c r="ACZ39" s="133">
        <f t="shared" si="293"/>
        <v>0.78837486936030432</v>
      </c>
      <c r="ADA39" s="81"/>
      <c r="ADB39" s="81">
        <v>37</v>
      </c>
      <c r="ADC39" s="133">
        <f t="shared" si="294"/>
        <v>0.17938055182885831</v>
      </c>
      <c r="ADD39" s="133">
        <f t="shared" si="295"/>
        <v>0.19911825882639167</v>
      </c>
      <c r="ADE39" s="133">
        <f t="shared" si="296"/>
        <v>0.21645522846722798</v>
      </c>
      <c r="ADF39" s="133">
        <f t="shared" si="483"/>
        <v>0.2368379761089015</v>
      </c>
      <c r="ADG39" s="133">
        <f t="shared" si="484"/>
        <v>0.27172740460122602</v>
      </c>
      <c r="ADH39" s="134">
        <f t="shared" si="485"/>
        <v>0.31183724717238426</v>
      </c>
      <c r="ADI39" s="133">
        <f t="shared" si="486"/>
        <v>0.35314489826807011</v>
      </c>
      <c r="ADJ39" s="133">
        <f t="shared" si="297"/>
        <v>0.39115960809408562</v>
      </c>
      <c r="ADK39" s="133">
        <f t="shared" si="298"/>
        <v>0.41435854957554397</v>
      </c>
      <c r="ADL39" s="133">
        <f t="shared" si="299"/>
        <v>0.43472024759214567</v>
      </c>
      <c r="ADM39" s="133">
        <f t="shared" si="300"/>
        <v>0.45866752501613145</v>
      </c>
      <c r="ADN39" s="81"/>
      <c r="ADO39" s="81">
        <v>37</v>
      </c>
      <c r="ADP39" s="133">
        <f t="shared" si="301"/>
        <v>0.19719400090991548</v>
      </c>
      <c r="ADQ39" s="133">
        <f t="shared" si="302"/>
        <v>0.21531693048011735</v>
      </c>
      <c r="ADR39" s="133">
        <f t="shared" si="303"/>
        <v>0.23139895681994732</v>
      </c>
      <c r="ADS39" s="133">
        <f t="shared" si="487"/>
        <v>0.25049932332938485</v>
      </c>
      <c r="ADT39" s="133">
        <f t="shared" si="488"/>
        <v>0.2836677060736027</v>
      </c>
      <c r="ADU39" s="134">
        <f t="shared" si="489"/>
        <v>0.32251501923875464</v>
      </c>
      <c r="ADV39" s="133">
        <f t="shared" si="490"/>
        <v>0.36328999405148293</v>
      </c>
      <c r="ADW39" s="133">
        <f t="shared" si="304"/>
        <v>0.401473111839034</v>
      </c>
      <c r="ADX39" s="133">
        <f t="shared" si="305"/>
        <v>0.42507364958369714</v>
      </c>
      <c r="ADY39" s="133">
        <f t="shared" si="306"/>
        <v>0.44596913279401867</v>
      </c>
      <c r="ADZ39" s="133">
        <f t="shared" si="307"/>
        <v>0.47075606963598982</v>
      </c>
      <c r="AEA39" s="81"/>
      <c r="AEB39" s="81">
        <v>40</v>
      </c>
      <c r="AEC39" s="133">
        <f t="shared" si="308"/>
        <v>0.17452555397894629</v>
      </c>
      <c r="AED39" s="133">
        <f t="shared" si="309"/>
        <v>0.1961850354902856</v>
      </c>
      <c r="AEE39" s="133">
        <f t="shared" si="310"/>
        <v>0.21473661753652531</v>
      </c>
      <c r="AEF39" s="133">
        <f t="shared" si="491"/>
        <v>0.23604638747179418</v>
      </c>
      <c r="AEG39" s="133">
        <f t="shared" si="492"/>
        <v>0.2714274061021773</v>
      </c>
      <c r="AEH39" s="134">
        <f t="shared" si="493"/>
        <v>0.31064692925550463</v>
      </c>
      <c r="AEI39" s="133">
        <f t="shared" si="494"/>
        <v>0.34966883376448837</v>
      </c>
      <c r="AEJ39" s="133">
        <f t="shared" si="311"/>
        <v>0.38453041328240928</v>
      </c>
      <c r="AEK39" s="133">
        <f t="shared" si="312"/>
        <v>0.40536718097363122</v>
      </c>
      <c r="AEL39" s="133">
        <f t="shared" si="313"/>
        <v>0.42340522943594161</v>
      </c>
      <c r="AEM39" s="133">
        <f t="shared" si="314"/>
        <v>0.44433988832637306</v>
      </c>
      <c r="AEN39" s="81"/>
    </row>
    <row r="40" spans="1:820">
      <c r="A40" s="81"/>
      <c r="B40" s="81">
        <v>39</v>
      </c>
      <c r="C40" s="133">
        <f t="shared" si="0"/>
        <v>1.8911063070761578</v>
      </c>
      <c r="D40" s="133">
        <f t="shared" si="1"/>
        <v>2.2613963747015431</v>
      </c>
      <c r="E40" s="133">
        <f t="shared" si="2"/>
        <v>2.6501839212653606</v>
      </c>
      <c r="F40" s="133">
        <f t="shared" si="315"/>
        <v>3.2010463862230893</v>
      </c>
      <c r="G40" s="133">
        <f t="shared" si="316"/>
        <v>4.4543966760445102</v>
      </c>
      <c r="H40" s="134">
        <f t="shared" si="317"/>
        <v>6.6029014747520218</v>
      </c>
      <c r="I40" s="133">
        <f t="shared" si="318"/>
        <v>10.093344578617632</v>
      </c>
      <c r="J40" s="133">
        <f t="shared" si="3"/>
        <v>15.226568814845365</v>
      </c>
      <c r="K40" s="133">
        <f t="shared" si="4"/>
        <v>19.792608237533148</v>
      </c>
      <c r="L40" s="133">
        <f t="shared" si="5"/>
        <v>25.116077686995261</v>
      </c>
      <c r="M40" s="133">
        <f t="shared" si="6"/>
        <v>33.591298283071374</v>
      </c>
      <c r="N40" s="81"/>
      <c r="O40" s="75">
        <v>39</v>
      </c>
      <c r="P40" s="151">
        <f t="shared" si="7"/>
        <v>2.5881986652445077</v>
      </c>
      <c r="Q40" s="151">
        <f t="shared" si="8"/>
        <v>2.9401370275005365</v>
      </c>
      <c r="R40" s="151">
        <f t="shared" si="9"/>
        <v>3.2989513621164241</v>
      </c>
      <c r="S40" s="151">
        <f t="shared" si="319"/>
        <v>3.7937484393212224</v>
      </c>
      <c r="T40" s="151">
        <f t="shared" si="320"/>
        <v>4.8820538900508179</v>
      </c>
      <c r="U40" s="134">
        <f t="shared" si="321"/>
        <v>6.6902072028554898</v>
      </c>
      <c r="V40" s="151">
        <f t="shared" si="322"/>
        <v>9.5987334704340714</v>
      </c>
      <c r="W40" s="151">
        <f t="shared" si="10"/>
        <v>13.975461596067667</v>
      </c>
      <c r="X40" s="151">
        <f t="shared" si="11"/>
        <v>18.050896867692202</v>
      </c>
      <c r="Y40" s="151">
        <f t="shared" si="12"/>
        <v>23.075012656138711</v>
      </c>
      <c r="Z40" s="151">
        <f t="shared" si="13"/>
        <v>31.77327405608742</v>
      </c>
      <c r="AA40" s="81"/>
      <c r="AB40" s="75">
        <v>41</v>
      </c>
      <c r="AC40" s="151">
        <f t="shared" si="14"/>
        <v>1.6018905033305597</v>
      </c>
      <c r="AD40" s="151">
        <f t="shared" si="15"/>
        <v>1.9365600152519995</v>
      </c>
      <c r="AE40" s="151">
        <f t="shared" si="16"/>
        <v>2.2952235271618391</v>
      </c>
      <c r="AF40" s="151">
        <f t="shared" si="323"/>
        <v>2.8155350891101953</v>
      </c>
      <c r="AG40" s="151">
        <f t="shared" si="324"/>
        <v>4.0487251568133464</v>
      </c>
      <c r="AH40" s="134">
        <f t="shared" si="325"/>
        <v>6.3070640738333088</v>
      </c>
      <c r="AI40" s="151">
        <f t="shared" si="326"/>
        <v>10.320126452262651</v>
      </c>
      <c r="AJ40" s="151">
        <f t="shared" si="17"/>
        <v>16.906960162903417</v>
      </c>
      <c r="AK40" s="151">
        <f t="shared" si="18"/>
        <v>23.388837263106812</v>
      </c>
      <c r="AL40" s="151">
        <f t="shared" si="19"/>
        <v>31.63645434270375</v>
      </c>
      <c r="AM40" s="151">
        <f t="shared" si="20"/>
        <v>46.221264672327202</v>
      </c>
      <c r="AN40" s="81"/>
      <c r="AO40" s="81">
        <v>39</v>
      </c>
      <c r="AP40" s="133">
        <f t="shared" si="21"/>
        <v>1.1274946178613474</v>
      </c>
      <c r="AQ40" s="133">
        <f t="shared" si="22"/>
        <v>3.1845767466019543</v>
      </c>
      <c r="AR40" s="133">
        <f t="shared" si="23"/>
        <v>5.1494200966458719</v>
      </c>
      <c r="AS40" s="133">
        <f t="shared" si="327"/>
        <v>7.6415063251111635</v>
      </c>
      <c r="AT40" s="133">
        <f t="shared" si="328"/>
        <v>12.345098292667732</v>
      </c>
      <c r="AU40" s="134">
        <f t="shared" si="329"/>
        <v>18.40282448095239</v>
      </c>
      <c r="AV40" s="133">
        <f t="shared" si="330"/>
        <v>25.331236580374291</v>
      </c>
      <c r="AW40" s="133">
        <f t="shared" si="24"/>
        <v>32.297075381263603</v>
      </c>
      <c r="AX40" s="133">
        <f t="shared" si="25"/>
        <v>36.81579445452531</v>
      </c>
      <c r="AY40" s="133">
        <f t="shared" si="26"/>
        <v>40.944668464125385</v>
      </c>
      <c r="AZ40" s="133">
        <f t="shared" si="27"/>
        <v>45.991374543426204</v>
      </c>
      <c r="BA40" s="81"/>
      <c r="BB40" s="81">
        <v>39</v>
      </c>
      <c r="BC40" s="133">
        <f t="shared" si="28"/>
        <v>4.052742468924424</v>
      </c>
      <c r="BD40" s="133">
        <f t="shared" si="29"/>
        <v>6.3454079586980781</v>
      </c>
      <c r="BE40" s="133">
        <f t="shared" si="30"/>
        <v>8.4578340926858466</v>
      </c>
      <c r="BF40" s="133">
        <f t="shared" si="331"/>
        <v>11.050203566769262</v>
      </c>
      <c r="BG40" s="133">
        <f t="shared" si="332"/>
        <v>15.737156165351578</v>
      </c>
      <c r="BH40" s="134">
        <f t="shared" si="333"/>
        <v>21.476483038842215</v>
      </c>
      <c r="BI40" s="133">
        <f t="shared" si="334"/>
        <v>27.738871089410022</v>
      </c>
      <c r="BJ40" s="133">
        <f t="shared" si="31"/>
        <v>33.787875562626141</v>
      </c>
      <c r="BK40" s="133">
        <f t="shared" si="32"/>
        <v>37.604226384935075</v>
      </c>
      <c r="BL40" s="133">
        <f t="shared" si="33"/>
        <v>41.027689884343587</v>
      </c>
      <c r="BM40" s="133">
        <f t="shared" si="34"/>
        <v>45.138736153818208</v>
      </c>
      <c r="BN40" s="81"/>
      <c r="BO40" s="75">
        <v>41</v>
      </c>
      <c r="BP40" s="151">
        <f t="shared" si="35"/>
        <v>3.384947960935873</v>
      </c>
      <c r="BQ40" s="151">
        <f t="shared" si="36"/>
        <v>4.3653057159665902</v>
      </c>
      <c r="BR40" s="151">
        <f t="shared" si="37"/>
        <v>5.3926467976730637</v>
      </c>
      <c r="BS40" s="151">
        <f t="shared" si="335"/>
        <v>6.8262482010148551</v>
      </c>
      <c r="BT40" s="151">
        <f t="shared" si="336"/>
        <v>9.9403248821035479</v>
      </c>
      <c r="BU40" s="134">
        <f t="shared" si="337"/>
        <v>14.764722236184317</v>
      </c>
      <c r="BV40" s="151">
        <f t="shared" si="338"/>
        <v>21.455711920471099</v>
      </c>
      <c r="BW40" s="151">
        <f t="shared" si="38"/>
        <v>29.505596351809313</v>
      </c>
      <c r="BX40" s="151">
        <f t="shared" si="39"/>
        <v>35.466870168086935</v>
      </c>
      <c r="BY40" s="151">
        <f t="shared" si="40"/>
        <v>41.44003775216629</v>
      </c>
      <c r="BZ40" s="151">
        <f t="shared" si="41"/>
        <v>49.443304282731297</v>
      </c>
      <c r="CA40" s="81"/>
      <c r="CB40" s="81">
        <v>39</v>
      </c>
      <c r="CC40" s="133">
        <f t="shared" si="42"/>
        <v>-6.0784400726497223</v>
      </c>
      <c r="CD40" s="133">
        <f t="shared" si="43"/>
        <v>-4.1700942668066308</v>
      </c>
      <c r="CE40" s="133">
        <f t="shared" si="44"/>
        <v>-2.1189732894669158</v>
      </c>
      <c r="CF40" s="133">
        <f t="shared" si="339"/>
        <v>0.60599383698631915</v>
      </c>
      <c r="CG40" s="133">
        <f t="shared" si="340"/>
        <v>5.8473988647279684</v>
      </c>
      <c r="CH40" s="134">
        <f t="shared" si="341"/>
        <v>12.535093235876008</v>
      </c>
      <c r="CI40" s="133">
        <f t="shared" si="342"/>
        <v>19.973883247394706</v>
      </c>
      <c r="CJ40" s="133">
        <f t="shared" si="45"/>
        <v>27.207550115655724</v>
      </c>
      <c r="CK40" s="133">
        <f t="shared" si="46"/>
        <v>31.775082218211541</v>
      </c>
      <c r="CL40" s="133">
        <f t="shared" si="47"/>
        <v>35.868502242569967</v>
      </c>
      <c r="CM40" s="133">
        <f t="shared" si="48"/>
        <v>40.774919964005889</v>
      </c>
      <c r="CN40" s="81"/>
      <c r="CO40" s="81">
        <v>39</v>
      </c>
      <c r="CP40" s="133">
        <f t="shared" si="49"/>
        <v>-0.61822863171575815</v>
      </c>
      <c r="CQ40" s="133">
        <f t="shared" si="50"/>
        <v>1.6400045076866006</v>
      </c>
      <c r="CR40" s="133">
        <f t="shared" si="51"/>
        <v>3.7627227432219472</v>
      </c>
      <c r="CS40" s="133">
        <f t="shared" si="343"/>
        <v>6.3960811452211948</v>
      </c>
      <c r="CT40" s="133">
        <f t="shared" si="344"/>
        <v>11.187058876345112</v>
      </c>
      <c r="CU40" s="134">
        <f t="shared" si="345"/>
        <v>17.05059452429251</v>
      </c>
      <c r="CV40" s="133">
        <f t="shared" si="346"/>
        <v>23.407520073958924</v>
      </c>
      <c r="CW40" s="133">
        <f t="shared" si="52"/>
        <v>29.493195762912702</v>
      </c>
      <c r="CX40" s="133">
        <f t="shared" si="53"/>
        <v>33.303135599716846</v>
      </c>
      <c r="CY40" s="133">
        <f t="shared" si="54"/>
        <v>36.70129933642491</v>
      </c>
      <c r="CZ40" s="133">
        <f t="shared" si="55"/>
        <v>40.757862610259942</v>
      </c>
      <c r="DA40" s="81"/>
      <c r="DB40" s="81">
        <v>41</v>
      </c>
      <c r="DC40" s="133">
        <f t="shared" si="56"/>
        <v>-6.2541996826340567</v>
      </c>
      <c r="DD40" s="133">
        <f t="shared" si="57"/>
        <v>-4.983417173571234</v>
      </c>
      <c r="DE40" s="133">
        <f t="shared" si="58"/>
        <v>-3.5329805147478317</v>
      </c>
      <c r="DF40" s="133">
        <f t="shared" si="347"/>
        <v>-1.5018492482519168</v>
      </c>
      <c r="DG40" s="133">
        <f t="shared" si="348"/>
        <v>2.6503815382372613</v>
      </c>
      <c r="DH40" s="134">
        <f t="shared" si="349"/>
        <v>8.2901700264288678</v>
      </c>
      <c r="DI40" s="133">
        <f t="shared" si="350"/>
        <v>14.898117762202912</v>
      </c>
      <c r="DJ40" s="133">
        <f t="shared" si="59"/>
        <v>21.590234201582959</v>
      </c>
      <c r="DK40" s="133">
        <f t="shared" si="60"/>
        <v>25.929993755932681</v>
      </c>
      <c r="DL40" s="133">
        <f t="shared" si="61"/>
        <v>29.886071392954609</v>
      </c>
      <c r="DM40" s="133">
        <f t="shared" si="62"/>
        <v>34.704115503833364</v>
      </c>
      <c r="DN40" s="81"/>
      <c r="DO40" s="81">
        <v>39</v>
      </c>
      <c r="DP40" s="133">
        <v>12.889415189854542</v>
      </c>
      <c r="DQ40" s="133">
        <v>14.134972184231559</v>
      </c>
      <c r="DR40" s="133">
        <v>15.30207123738275</v>
      </c>
      <c r="DS40" s="133">
        <v>16.767756841233471</v>
      </c>
      <c r="DT40" s="133">
        <v>19.531827220199286</v>
      </c>
      <c r="DU40" s="134">
        <v>23.152850872061421</v>
      </c>
      <c r="DV40" s="133">
        <v>27.445179473507849</v>
      </c>
      <c r="DW40" s="133">
        <v>31.96936290164393</v>
      </c>
      <c r="DX40" s="133">
        <v>35.031499670080052</v>
      </c>
      <c r="DY40" s="133">
        <v>37.923987151663283</v>
      </c>
      <c r="DZ40" s="133">
        <v>41.588737394839448</v>
      </c>
      <c r="EA40" s="81"/>
      <c r="EB40" s="81">
        <v>39</v>
      </c>
      <c r="EC40" s="133">
        <v>12.845407798551618</v>
      </c>
      <c r="ED40" s="133">
        <v>13.781087034251131</v>
      </c>
      <c r="EE40" s="133">
        <v>14.640156543927395</v>
      </c>
      <c r="EF40" s="133">
        <v>15.697281133158969</v>
      </c>
      <c r="EG40" s="133">
        <v>17.633344421931078</v>
      </c>
      <c r="EH40" s="134">
        <v>20.073955460289934</v>
      </c>
      <c r="EI40" s="133">
        <v>22.852368681719096</v>
      </c>
      <c r="EJ40" s="133">
        <v>25.670922524951319</v>
      </c>
      <c r="EK40" s="133">
        <v>27.524547747329219</v>
      </c>
      <c r="EL40" s="133">
        <v>29.240341260467272</v>
      </c>
      <c r="EM40" s="133">
        <v>31.370252633562959</v>
      </c>
      <c r="EN40" s="81"/>
      <c r="EO40" s="81">
        <v>41</v>
      </c>
      <c r="EP40" s="133">
        <v>15.848785956663734</v>
      </c>
      <c r="EQ40" s="133">
        <v>16.962239928136835</v>
      </c>
      <c r="ER40" s="133">
        <v>17.982239839406994</v>
      </c>
      <c r="ES40" s="133">
        <v>19.234590425962875</v>
      </c>
      <c r="ET40" s="133">
        <v>21.520830620031539</v>
      </c>
      <c r="EU40" s="134">
        <v>24.39070804845662</v>
      </c>
      <c r="EV40" s="133">
        <v>27.643293588831519</v>
      </c>
      <c r="EW40" s="133">
        <v>30.928999574747433</v>
      </c>
      <c r="EX40" s="133">
        <v>33.0830110385551</v>
      </c>
      <c r="EY40" s="133">
        <v>35.072410343531338</v>
      </c>
      <c r="EZ40" s="133">
        <v>37.53641703104168</v>
      </c>
      <c r="FA40" s="81"/>
      <c r="FB40" s="81">
        <v>39</v>
      </c>
      <c r="FC40" s="133">
        <v>7.9339276969490937</v>
      </c>
      <c r="FD40" s="133">
        <v>8.762178776254844</v>
      </c>
      <c r="FE40" s="133">
        <v>9.5433524934000324</v>
      </c>
      <c r="FF40" s="133">
        <v>10.530817376751706</v>
      </c>
      <c r="FG40" s="133">
        <v>12.41066883486244</v>
      </c>
      <c r="FH40" s="134">
        <v>14.903985260702662</v>
      </c>
      <c r="FI40" s="133">
        <v>17.898211579642425</v>
      </c>
      <c r="FJ40" s="133">
        <v>21.093213252527146</v>
      </c>
      <c r="FK40" s="133">
        <v>23.275759415243378</v>
      </c>
      <c r="FL40" s="133">
        <v>25.350861049902601</v>
      </c>
      <c r="FM40" s="133">
        <v>27.997328074549937</v>
      </c>
      <c r="FN40" s="81"/>
      <c r="FO40" s="81">
        <v>39</v>
      </c>
      <c r="FP40" s="133">
        <v>7.8147458611519118</v>
      </c>
      <c r="FQ40" s="133">
        <v>8.4905796840776198</v>
      </c>
      <c r="FR40" s="133">
        <v>9.1183995959824227</v>
      </c>
      <c r="FS40" s="133">
        <v>9.900065876952084</v>
      </c>
      <c r="FT40" s="133">
        <v>11.355976077562426</v>
      </c>
      <c r="FU40" s="134">
        <v>13.23240871173393</v>
      </c>
      <c r="FV40" s="133">
        <v>15.418898306798539</v>
      </c>
      <c r="FW40" s="133">
        <v>17.686411635099006</v>
      </c>
      <c r="FX40" s="133">
        <v>19.202562738259449</v>
      </c>
      <c r="FY40" s="133">
        <v>20.622460047425342</v>
      </c>
      <c r="FZ40" s="133">
        <v>22.40592892275609</v>
      </c>
      <c r="GA40" s="81"/>
      <c r="GB40" s="81">
        <v>41</v>
      </c>
      <c r="GC40" s="133">
        <v>9.7978747010322245</v>
      </c>
      <c r="GD40" s="133">
        <v>10.588747680003555</v>
      </c>
      <c r="GE40" s="133">
        <v>11.319815687407592</v>
      </c>
      <c r="GF40" s="133">
        <v>12.22555220842804</v>
      </c>
      <c r="GG40" s="133">
        <v>13.900620442544778</v>
      </c>
      <c r="GH40" s="134">
        <v>16.039474049844568</v>
      </c>
      <c r="GI40" s="133">
        <v>18.507427697848872</v>
      </c>
      <c r="GJ40" s="133">
        <v>21.043198982724441</v>
      </c>
      <c r="GK40" s="133">
        <v>22.726936100366384</v>
      </c>
      <c r="GL40" s="133">
        <v>24.296048557420253</v>
      </c>
      <c r="GM40" s="133">
        <v>26.257197162210495</v>
      </c>
      <c r="GN40" s="81"/>
      <c r="GO40" s="81">
        <v>39</v>
      </c>
      <c r="GP40" s="133">
        <f t="shared" si="63"/>
        <v>0.45136340830522242</v>
      </c>
      <c r="GQ40" s="133">
        <f t="shared" si="64"/>
        <v>0.48675989788526036</v>
      </c>
      <c r="GR40" s="133">
        <f t="shared" si="65"/>
        <v>0.51515246988423802</v>
      </c>
      <c r="GS40" s="133">
        <f t="shared" si="351"/>
        <v>0.54595488669543368</v>
      </c>
      <c r="GT40" s="133">
        <f t="shared" si="352"/>
        <v>0.59493507713088301</v>
      </c>
      <c r="GU40" s="134">
        <f t="shared" si="353"/>
        <v>0.64231998746866736</v>
      </c>
      <c r="GV40" s="133">
        <f t="shared" si="354"/>
        <v>0.68625974878621676</v>
      </c>
      <c r="GW40" s="133">
        <f t="shared" si="66"/>
        <v>0.7253445634053548</v>
      </c>
      <c r="GX40" s="133">
        <f t="shared" si="67"/>
        <v>0.74711003712262858</v>
      </c>
      <c r="GY40" s="133">
        <f t="shared" si="68"/>
        <v>0.76545806718391252</v>
      </c>
      <c r="GZ40" s="133">
        <f t="shared" si="69"/>
        <v>0.78622207153400114</v>
      </c>
      <c r="HA40" s="81"/>
      <c r="HB40" s="81">
        <v>39</v>
      </c>
      <c r="HC40" s="133">
        <f t="shared" si="70"/>
        <v>0.4309175899038995</v>
      </c>
      <c r="HD40" s="133">
        <f t="shared" si="71"/>
        <v>0.46993040698043848</v>
      </c>
      <c r="HE40" s="133">
        <f t="shared" si="72"/>
        <v>0.50096968574862677</v>
      </c>
      <c r="HF40" s="133">
        <f t="shared" si="355"/>
        <v>0.5344401623587034</v>
      </c>
      <c r="HG40" s="133">
        <f t="shared" si="356"/>
        <v>0.58588024304113206</v>
      </c>
      <c r="HH40" s="134">
        <f t="shared" si="357"/>
        <v>0.63817069833138595</v>
      </c>
      <c r="HI40" s="133">
        <f t="shared" si="358"/>
        <v>0.68634292496489036</v>
      </c>
      <c r="HJ40" s="133">
        <f t="shared" si="73"/>
        <v>0.72674878019161271</v>
      </c>
      <c r="HK40" s="133">
        <f t="shared" si="74"/>
        <v>0.74988735761177727</v>
      </c>
      <c r="HL40" s="133">
        <f t="shared" si="75"/>
        <v>0.76937138424215423</v>
      </c>
      <c r="HM40" s="133">
        <f t="shared" si="76"/>
        <v>0.79139949333495496</v>
      </c>
      <c r="HN40" s="81"/>
      <c r="HO40" s="81">
        <v>41</v>
      </c>
      <c r="HP40" s="83">
        <f t="shared" si="77"/>
        <v>0.47401532580467987</v>
      </c>
      <c r="HQ40" s="83">
        <f t="shared" si="78"/>
        <v>0.50610926986984439</v>
      </c>
      <c r="HR40" s="83">
        <f t="shared" si="79"/>
        <v>0.53204930607414613</v>
      </c>
      <c r="HS40" s="83">
        <f t="shared" si="359"/>
        <v>0.56035581129649881</v>
      </c>
      <c r="HT40" s="83">
        <f t="shared" si="360"/>
        <v>0.60441517688084712</v>
      </c>
      <c r="HU40" s="84">
        <f t="shared" si="361"/>
        <v>0.64975394095333305</v>
      </c>
      <c r="HV40" s="83">
        <f t="shared" si="362"/>
        <v>0.69190821777571143</v>
      </c>
      <c r="HW40" s="83">
        <f t="shared" si="80"/>
        <v>0.7274966017747726</v>
      </c>
      <c r="HX40" s="83">
        <f t="shared" si="81"/>
        <v>0.74795653541380336</v>
      </c>
      <c r="HY40" s="83">
        <f t="shared" si="82"/>
        <v>0.76522509503401748</v>
      </c>
      <c r="HZ40" s="83">
        <f t="shared" si="83"/>
        <v>0.78478875771101753</v>
      </c>
      <c r="IA40" s="81"/>
      <c r="IB40" s="81">
        <v>39</v>
      </c>
      <c r="IC40" s="83">
        <f t="shared" si="84"/>
        <v>0.31231949754771166</v>
      </c>
      <c r="ID40" s="83">
        <f t="shared" si="85"/>
        <v>0.32818570674666458</v>
      </c>
      <c r="IE40" s="83">
        <f t="shared" si="86"/>
        <v>0.34038872895285394</v>
      </c>
      <c r="IF40" s="83">
        <f t="shared" si="363"/>
        <v>0.35317310519559258</v>
      </c>
      <c r="IG40" s="83">
        <f t="shared" si="364"/>
        <v>0.37214333010978456</v>
      </c>
      <c r="IH40" s="84">
        <f t="shared" si="365"/>
        <v>0.39068140143133995</v>
      </c>
      <c r="II40" s="83">
        <f t="shared" si="366"/>
        <v>0.40717153726334221</v>
      </c>
      <c r="IJ40" s="83">
        <f t="shared" si="87"/>
        <v>0.42061200309978708</v>
      </c>
      <c r="IK40" s="83">
        <f t="shared" si="88"/>
        <v>0.42816025164047505</v>
      </c>
      <c r="IL40" s="83">
        <f t="shared" si="89"/>
        <v>0.43443699608458053</v>
      </c>
      <c r="IM40" s="83">
        <f t="shared" si="90"/>
        <v>0.44144953910169382</v>
      </c>
      <c r="IN40" s="81"/>
      <c r="IO40" s="81">
        <v>39</v>
      </c>
      <c r="IP40" s="133">
        <f t="shared" si="91"/>
        <v>0.30237245429634085</v>
      </c>
      <c r="IQ40" s="133">
        <f t="shared" si="92"/>
        <v>0.32041823692483534</v>
      </c>
      <c r="IR40" s="133">
        <f t="shared" si="93"/>
        <v>0.33408259611689956</v>
      </c>
      <c r="IS40" s="133">
        <f t="shared" si="367"/>
        <v>0.34823840311165233</v>
      </c>
      <c r="IT40" s="133">
        <f t="shared" si="368"/>
        <v>0.36900412502168356</v>
      </c>
      <c r="IU40" s="134">
        <f t="shared" si="369"/>
        <v>0.38908069019606412</v>
      </c>
      <c r="IV40" s="133">
        <f t="shared" si="370"/>
        <v>0.40679992753938649</v>
      </c>
      <c r="IW40" s="133">
        <f t="shared" si="94"/>
        <v>0.42116395747543667</v>
      </c>
      <c r="IX40" s="133">
        <f t="shared" si="95"/>
        <v>0.42920467269759888</v>
      </c>
      <c r="IY40" s="133">
        <f t="shared" si="96"/>
        <v>0.4358781190402608</v>
      </c>
      <c r="IZ40" s="133">
        <f t="shared" si="97"/>
        <v>0.44332123255694689</v>
      </c>
      <c r="JA40" s="81"/>
      <c r="JB40" s="81">
        <v>41</v>
      </c>
      <c r="JC40" s="133">
        <f t="shared" si="98"/>
        <v>0.32294361938383942</v>
      </c>
      <c r="JD40" s="133">
        <f t="shared" si="99"/>
        <v>0.33685503108039966</v>
      </c>
      <c r="JE40" s="133">
        <f t="shared" si="100"/>
        <v>0.34770809856170221</v>
      </c>
      <c r="JF40" s="133">
        <f t="shared" si="371"/>
        <v>0.35919990043829941</v>
      </c>
      <c r="JG40" s="133">
        <f t="shared" si="372"/>
        <v>0.376445565472108</v>
      </c>
      <c r="JH40" s="134">
        <f t="shared" si="373"/>
        <v>0.39348256315843189</v>
      </c>
      <c r="JI40" s="133">
        <f t="shared" si="374"/>
        <v>0.40876219713266349</v>
      </c>
      <c r="JJ40" s="133">
        <f t="shared" si="101"/>
        <v>0.42128859196508539</v>
      </c>
      <c r="JK40" s="133">
        <f t="shared" si="102"/>
        <v>0.42834840236886068</v>
      </c>
      <c r="JL40" s="133">
        <f t="shared" si="103"/>
        <v>0.43423135121293172</v>
      </c>
      <c r="JM40" s="133">
        <f t="shared" si="104"/>
        <v>0.44081626742760616</v>
      </c>
      <c r="JN40" s="81"/>
      <c r="JO40" s="81">
        <v>38</v>
      </c>
      <c r="JP40" s="133">
        <f t="shared" si="105"/>
        <v>-5.5289173090507298</v>
      </c>
      <c r="JQ40" s="133">
        <f t="shared" si="106"/>
        <v>-4.0876161471101966</v>
      </c>
      <c r="JR40" s="133">
        <f t="shared" si="107"/>
        <v>-2.8304044919458562</v>
      </c>
      <c r="JS40" s="133">
        <f t="shared" si="375"/>
        <v>-1.3617149312651193</v>
      </c>
      <c r="JT40" s="133">
        <f t="shared" si="376"/>
        <v>1.1314910190255425</v>
      </c>
      <c r="JU40" s="134">
        <f t="shared" si="377"/>
        <v>3.9697639591368699</v>
      </c>
      <c r="JV40" s="133">
        <f t="shared" si="378"/>
        <v>6.8660731438010565</v>
      </c>
      <c r="JW40" s="133">
        <f t="shared" si="108"/>
        <v>9.5107116278841204</v>
      </c>
      <c r="JX40" s="133">
        <f t="shared" si="109"/>
        <v>11.115863807967362</v>
      </c>
      <c r="JY40" s="133">
        <f t="shared" si="110"/>
        <v>12.519648186470516</v>
      </c>
      <c r="JZ40" s="133">
        <f t="shared" si="111"/>
        <v>14.164942774054108</v>
      </c>
      <c r="KA40" s="81"/>
      <c r="KB40" s="81">
        <v>38</v>
      </c>
      <c r="KC40" s="133">
        <f t="shared" si="112"/>
        <v>-3.8129075944757194</v>
      </c>
      <c r="KD40" s="133">
        <f t="shared" si="113"/>
        <v>-2.5838097935093884</v>
      </c>
      <c r="KE40" s="133">
        <f t="shared" si="114"/>
        <v>-1.4839791349311469</v>
      </c>
      <c r="KF40" s="133">
        <f t="shared" si="379"/>
        <v>-0.16902602647959064</v>
      </c>
      <c r="KG40" s="133">
        <f t="shared" si="380"/>
        <v>2.1309566147933001</v>
      </c>
      <c r="KH40" s="134">
        <f t="shared" si="381"/>
        <v>4.8425187035352106</v>
      </c>
      <c r="KI40" s="133">
        <f t="shared" si="382"/>
        <v>7.7007898403111188</v>
      </c>
      <c r="KJ40" s="133">
        <f t="shared" si="115"/>
        <v>10.383329876364952</v>
      </c>
      <c r="KK40" s="133">
        <f t="shared" si="116"/>
        <v>12.042721088636798</v>
      </c>
      <c r="KL40" s="133">
        <f t="shared" si="117"/>
        <v>13.512196250281674</v>
      </c>
      <c r="KM40" s="133">
        <f t="shared" si="118"/>
        <v>15.255225011103539</v>
      </c>
      <c r="KN40" s="81"/>
      <c r="KO40" s="81">
        <v>40</v>
      </c>
      <c r="KP40" s="133">
        <f t="shared" si="119"/>
        <v>-6.2044110502220224</v>
      </c>
      <c r="KQ40" s="133">
        <f t="shared" si="120"/>
        <v>-4.6770690688757739</v>
      </c>
      <c r="KR40" s="133">
        <f t="shared" si="121"/>
        <v>-3.3703354005758506</v>
      </c>
      <c r="KS40" s="133">
        <f t="shared" si="383"/>
        <v>-1.87091201398934</v>
      </c>
      <c r="KT40" s="133">
        <f t="shared" si="384"/>
        <v>0.61503965273177741</v>
      </c>
      <c r="KU40" s="134">
        <f t="shared" si="385"/>
        <v>3.3658267312833452</v>
      </c>
      <c r="KV40" s="133">
        <f t="shared" si="386"/>
        <v>6.098064299990277</v>
      </c>
      <c r="KW40" s="133">
        <f t="shared" si="122"/>
        <v>8.5353415362000895</v>
      </c>
      <c r="KX40" s="133">
        <f t="shared" si="123"/>
        <v>9.9905512180476386</v>
      </c>
      <c r="KY40" s="133">
        <f t="shared" si="124"/>
        <v>11.249407770012223</v>
      </c>
      <c r="KZ40" s="133">
        <f t="shared" si="125"/>
        <v>12.709411944435498</v>
      </c>
      <c r="LA40" s="81"/>
      <c r="LB40" s="81">
        <v>38</v>
      </c>
      <c r="LC40" s="133">
        <f t="shared" si="126"/>
        <v>-13.954838651224129</v>
      </c>
      <c r="LD40" s="133">
        <f t="shared" si="127"/>
        <v>-10.303972817525764</v>
      </c>
      <c r="LE40" s="133">
        <f t="shared" si="128"/>
        <v>-7.0758684271054051</v>
      </c>
      <c r="LF40" s="133">
        <f t="shared" si="387"/>
        <v>-3.2604206918500722</v>
      </c>
      <c r="LG40" s="133">
        <f t="shared" si="388"/>
        <v>3.3095658417633516</v>
      </c>
      <c r="LH40" s="134">
        <f t="shared" si="389"/>
        <v>10.907083055296553</v>
      </c>
      <c r="LI40" s="133">
        <f t="shared" si="390"/>
        <v>18.766402278660394</v>
      </c>
      <c r="LJ40" s="133">
        <f t="shared" si="129"/>
        <v>26.021549223156363</v>
      </c>
      <c r="LK40" s="133">
        <f t="shared" si="130"/>
        <v>30.457078798093598</v>
      </c>
      <c r="LL40" s="133">
        <f t="shared" si="131"/>
        <v>34.354176024807863</v>
      </c>
      <c r="LM40" s="133">
        <f t="shared" si="132"/>
        <v>38.941601802288552</v>
      </c>
      <c r="LN40" s="81"/>
      <c r="LO40" s="81">
        <v>38</v>
      </c>
      <c r="LP40" s="133">
        <f t="shared" si="133"/>
        <v>-10.199123147669855</v>
      </c>
      <c r="LQ40" s="133">
        <f t="shared" si="134"/>
        <v>-6.6554183239863676</v>
      </c>
      <c r="LR40" s="133">
        <f t="shared" si="135"/>
        <v>-3.5092937542974489</v>
      </c>
      <c r="LS40" s="133">
        <f t="shared" si="391"/>
        <v>0.22291334161569765</v>
      </c>
      <c r="LT40" s="133">
        <f t="shared" si="392"/>
        <v>6.6798318477366543</v>
      </c>
      <c r="LU40" s="134">
        <f t="shared" si="393"/>
        <v>14.18751038325507</v>
      </c>
      <c r="LV40" s="133">
        <f t="shared" si="394"/>
        <v>21.9931422302943</v>
      </c>
      <c r="LW40" s="133">
        <f t="shared" si="136"/>
        <v>29.229411983572749</v>
      </c>
      <c r="LX40" s="133">
        <f t="shared" si="137"/>
        <v>33.66640669201243</v>
      </c>
      <c r="LY40" s="133">
        <f t="shared" si="138"/>
        <v>37.572317525226936</v>
      </c>
      <c r="LZ40" s="133">
        <f t="shared" si="139"/>
        <v>42.17861094554209</v>
      </c>
      <c r="MA40" s="81"/>
      <c r="MB40" s="81">
        <v>40</v>
      </c>
      <c r="MC40" s="133">
        <f t="shared" si="140"/>
        <v>-14.024545496908114</v>
      </c>
      <c r="MD40" s="133">
        <f t="shared" si="141"/>
        <v>-10.588916363206629</v>
      </c>
      <c r="ME40" s="133">
        <f t="shared" si="142"/>
        <v>-7.5872840465988887</v>
      </c>
      <c r="MF40" s="133">
        <f t="shared" si="395"/>
        <v>-4.0776618444920345</v>
      </c>
      <c r="MG40" s="133">
        <f t="shared" si="396"/>
        <v>1.8824005873654954</v>
      </c>
      <c r="MH40" s="134">
        <f t="shared" si="397"/>
        <v>8.6639268505174272</v>
      </c>
      <c r="MI40" s="133">
        <f t="shared" si="398"/>
        <v>15.574937011856612</v>
      </c>
      <c r="MJ40" s="133">
        <f t="shared" si="143"/>
        <v>21.874575235040787</v>
      </c>
      <c r="MK40" s="133">
        <f t="shared" si="144"/>
        <v>25.692428924097648</v>
      </c>
      <c r="ML40" s="133">
        <f t="shared" si="145"/>
        <v>29.027619670147082</v>
      </c>
      <c r="MM40" s="133">
        <f t="shared" si="146"/>
        <v>32.932081885773435</v>
      </c>
      <c r="MN40" s="81"/>
      <c r="MO40" s="81">
        <v>38</v>
      </c>
      <c r="MP40" s="133">
        <f t="shared" si="147"/>
        <v>-20.475294700344605</v>
      </c>
      <c r="MQ40" s="133">
        <f t="shared" si="148"/>
        <v>-16.165335141945114</v>
      </c>
      <c r="MR40" s="133">
        <f t="shared" si="149"/>
        <v>-12.435210398804092</v>
      </c>
      <c r="MS40" s="133">
        <f t="shared" si="399"/>
        <v>-8.1120755641629323</v>
      </c>
      <c r="MT40" s="133">
        <f t="shared" si="400"/>
        <v>-0.85516492566320323</v>
      </c>
      <c r="MU40" s="134">
        <f t="shared" si="401"/>
        <v>7.288618200435458</v>
      </c>
      <c r="MV40" s="133">
        <f t="shared" si="402"/>
        <v>15.48086841139289</v>
      </c>
      <c r="MW40" s="133">
        <f t="shared" si="150"/>
        <v>22.86618084624412</v>
      </c>
      <c r="MX40" s="133">
        <f t="shared" si="151"/>
        <v>27.307633327042772</v>
      </c>
      <c r="MY40" s="133">
        <f t="shared" si="152"/>
        <v>31.167922291507445</v>
      </c>
      <c r="MZ40" s="133">
        <f t="shared" si="153"/>
        <v>35.665140007435603</v>
      </c>
      <c r="NA40" s="81"/>
      <c r="NB40" s="81">
        <v>38</v>
      </c>
      <c r="NC40" s="133">
        <f t="shared" si="154"/>
        <v>-14.512840957987958</v>
      </c>
      <c r="ND40" s="133">
        <f t="shared" si="155"/>
        <v>-10.503774585919828</v>
      </c>
      <c r="NE40" s="133">
        <f t="shared" si="156"/>
        <v>-7.0225271084388226</v>
      </c>
      <c r="NF40" s="133">
        <f t="shared" si="403"/>
        <v>-2.9771770602694154</v>
      </c>
      <c r="NG40" s="133">
        <f t="shared" si="404"/>
        <v>3.8340424679694358</v>
      </c>
      <c r="NH40" s="134">
        <f t="shared" si="405"/>
        <v>11.502089190481438</v>
      </c>
      <c r="NI40" s="133">
        <f t="shared" si="406"/>
        <v>19.236592874363563</v>
      </c>
      <c r="NJ40" s="133">
        <f t="shared" si="157"/>
        <v>26.224117870962043</v>
      </c>
      <c r="NK40" s="133">
        <f t="shared" si="158"/>
        <v>30.432280728110339</v>
      </c>
      <c r="NL40" s="133">
        <f t="shared" si="159"/>
        <v>34.093103326036001</v>
      </c>
      <c r="NM40" s="133">
        <f t="shared" si="160"/>
        <v>38.361550509519176</v>
      </c>
      <c r="NN40" s="81"/>
      <c r="NO40" s="81">
        <v>40</v>
      </c>
      <c r="NP40" s="133">
        <f t="shared" si="161"/>
        <v>-21.151616328001936</v>
      </c>
      <c r="NQ40" s="133">
        <f t="shared" si="162"/>
        <v>-17.249086598708946</v>
      </c>
      <c r="NR40" s="133">
        <f t="shared" si="163"/>
        <v>-13.889567183642718</v>
      </c>
      <c r="NS40" s="133">
        <f t="shared" si="407"/>
        <v>-10.013230072422161</v>
      </c>
      <c r="NT40" s="133">
        <f t="shared" si="408"/>
        <v>-3.5407698273730759</v>
      </c>
      <c r="NU40" s="134">
        <f t="shared" si="409"/>
        <v>3.6807563792265299</v>
      </c>
      <c r="NV40" s="133">
        <f t="shared" si="410"/>
        <v>10.908731766740758</v>
      </c>
      <c r="NW40" s="133">
        <f t="shared" si="164"/>
        <v>17.398284574710026</v>
      </c>
      <c r="NX40" s="133">
        <f t="shared" si="165"/>
        <v>21.290380828429932</v>
      </c>
      <c r="NY40" s="133">
        <f t="shared" si="166"/>
        <v>24.667247009258389</v>
      </c>
      <c r="NZ40" s="133">
        <f t="shared" si="167"/>
        <v>28.594749405929043</v>
      </c>
      <c r="OA40" s="81"/>
      <c r="OB40" s="81">
        <v>38</v>
      </c>
      <c r="OC40" s="133">
        <v>14.453759748840561</v>
      </c>
      <c r="OD40" s="133">
        <v>15.984696943249473</v>
      </c>
      <c r="OE40" s="133">
        <v>17.430467669906971</v>
      </c>
      <c r="OF40" s="133">
        <v>19.260378380690366</v>
      </c>
      <c r="OG40" s="133">
        <v>22.750446103496611</v>
      </c>
      <c r="OH40" s="134">
        <v>27.390679887826476</v>
      </c>
      <c r="OI40" s="133">
        <v>32.977346523419271</v>
      </c>
      <c r="OJ40" s="133">
        <v>38.952990947963379</v>
      </c>
      <c r="OK40" s="133">
        <v>43.042410503572313</v>
      </c>
      <c r="OL40" s="133">
        <v>46.935475059739602</v>
      </c>
      <c r="OM40" s="133">
        <v>51.906864217634769</v>
      </c>
      <c r="ON40" s="81"/>
      <c r="OO40" s="81">
        <v>38</v>
      </c>
      <c r="OP40" s="133">
        <v>12.958953386838921</v>
      </c>
      <c r="OQ40" s="133">
        <v>14.186905144839166</v>
      </c>
      <c r="OR40" s="133">
        <v>15.33568006223984</v>
      </c>
      <c r="OS40" s="133">
        <v>16.776062615812325</v>
      </c>
      <c r="OT40" s="133">
        <v>25.093953115250045</v>
      </c>
      <c r="OU40" s="134">
        <v>23.025927193605099</v>
      </c>
      <c r="OV40" s="133">
        <v>27.20865070292832</v>
      </c>
      <c r="OW40" s="133">
        <v>31.604157379900776</v>
      </c>
      <c r="OX40" s="133">
        <v>34.5725341799916</v>
      </c>
      <c r="OY40" s="133">
        <v>37.372021431895853</v>
      </c>
      <c r="OZ40" s="133">
        <v>40.913282677879337</v>
      </c>
      <c r="PA40" s="81"/>
      <c r="PB40" s="81">
        <v>40</v>
      </c>
      <c r="PC40" s="133">
        <v>19.663667018218646</v>
      </c>
      <c r="PD40" s="133">
        <v>21.180559277060947</v>
      </c>
      <c r="PE40" s="133">
        <v>22.578436698162541</v>
      </c>
      <c r="PF40" s="133">
        <v>24.304981961806291</v>
      </c>
      <c r="PG40" s="133">
        <v>27.48396307912094</v>
      </c>
      <c r="PH40" s="134">
        <v>31.519602555978075</v>
      </c>
      <c r="PI40" s="133">
        <v>36.147819818661901</v>
      </c>
      <c r="PJ40" s="133">
        <v>40.87579027410996</v>
      </c>
      <c r="PK40" s="133">
        <v>44.001511644412076</v>
      </c>
      <c r="PL40" s="133">
        <v>46.905529372059029</v>
      </c>
      <c r="PM40" s="133">
        <v>50.523910131632221</v>
      </c>
      <c r="PN40" s="81"/>
      <c r="PO40" s="81">
        <v>38</v>
      </c>
      <c r="PP40" s="133">
        <v>8.4318994478363685</v>
      </c>
      <c r="PQ40" s="133">
        <v>9.187123175782947</v>
      </c>
      <c r="PR40" s="133">
        <v>9.890542008683024</v>
      </c>
      <c r="PS40" s="133">
        <v>10.768639362042837</v>
      </c>
      <c r="PT40" s="133">
        <v>12.410364098289731</v>
      </c>
      <c r="PU40" s="134">
        <v>14.53683038212764</v>
      </c>
      <c r="PV40" s="133">
        <v>17.027658164184821</v>
      </c>
      <c r="PW40" s="133">
        <v>19.623596858820008</v>
      </c>
      <c r="PX40" s="133">
        <v>21.365809616220158</v>
      </c>
      <c r="PY40" s="133">
        <v>23.001698520357564</v>
      </c>
      <c r="PZ40" s="133">
        <v>25.061901990894118</v>
      </c>
      <c r="QA40" s="81"/>
      <c r="QB40" s="81">
        <v>38</v>
      </c>
      <c r="QC40" s="133">
        <v>8.0923265520750132</v>
      </c>
      <c r="QD40" s="133">
        <v>8.816956885769871</v>
      </c>
      <c r="QE40" s="133">
        <v>9.4918681939260523</v>
      </c>
      <c r="QF40" s="133">
        <v>10.334362968860589</v>
      </c>
      <c r="QG40" s="133">
        <v>11.909481113891717</v>
      </c>
      <c r="QH40" s="134">
        <v>13.94960178656409</v>
      </c>
      <c r="QI40" s="133">
        <v>16.339199679886342</v>
      </c>
      <c r="QJ40" s="133">
        <v>18.829548622402079</v>
      </c>
      <c r="QK40" s="133">
        <v>20.50085252218663</v>
      </c>
      <c r="QL40" s="133">
        <v>22.070130604559591</v>
      </c>
      <c r="QM40" s="133">
        <v>24.046408502115558</v>
      </c>
      <c r="QN40" s="81"/>
      <c r="QO40" s="81">
        <v>40</v>
      </c>
      <c r="QP40" s="133">
        <v>9.3652438881611726</v>
      </c>
      <c r="QQ40" s="133">
        <v>10.13567377208331</v>
      </c>
      <c r="QR40" s="133">
        <v>10.848790263843</v>
      </c>
      <c r="QS40" s="133">
        <v>11.73345828816157</v>
      </c>
      <c r="QT40" s="133">
        <v>13.372686081031992</v>
      </c>
      <c r="QU40" s="134">
        <v>15.471028234546798</v>
      </c>
      <c r="QV40" s="133">
        <v>17.898626587342513</v>
      </c>
      <c r="QW40" s="133">
        <v>20.39916184605509</v>
      </c>
      <c r="QX40" s="133">
        <v>22.062617933712151</v>
      </c>
      <c r="QY40" s="133">
        <v>23.61487948570263</v>
      </c>
      <c r="QZ40" s="133">
        <v>25.557552744217979</v>
      </c>
      <c r="RA40" s="81"/>
      <c r="RB40" s="81">
        <v>38</v>
      </c>
      <c r="RC40" s="133">
        <f t="shared" si="168"/>
        <v>0.28943504219090271</v>
      </c>
      <c r="RD40" s="133">
        <f t="shared" si="169"/>
        <v>0.31472898253695064</v>
      </c>
      <c r="RE40" s="133">
        <f t="shared" si="170"/>
        <v>0.33854023775261588</v>
      </c>
      <c r="RF40" s="133">
        <f t="shared" si="411"/>
        <v>0.36861665904021645</v>
      </c>
      <c r="RG40" s="133">
        <f t="shared" si="412"/>
        <v>0.42592949579860762</v>
      </c>
      <c r="RH40" s="134">
        <f t="shared" si="413"/>
        <v>0.50231839976890624</v>
      </c>
      <c r="RI40" s="133">
        <f t="shared" si="414"/>
        <v>0.5949602785995054</v>
      </c>
      <c r="RJ40" s="133">
        <f t="shared" si="171"/>
        <v>0.69520167809745248</v>
      </c>
      <c r="RK40" s="133">
        <f t="shared" si="172"/>
        <v>0.76460840157410737</v>
      </c>
      <c r="RL40" s="133">
        <f t="shared" si="173"/>
        <v>0.83134684922010893</v>
      </c>
      <c r="RM40" s="133">
        <f t="shared" si="174"/>
        <v>0.91756439532553891</v>
      </c>
      <c r="RN40" s="81"/>
      <c r="RO40" s="81">
        <v>38</v>
      </c>
      <c r="RP40" s="133">
        <f t="shared" si="175"/>
        <v>0.31916309391393166</v>
      </c>
      <c r="RQ40" s="133">
        <f t="shared" si="176"/>
        <v>0.3451616804243785</v>
      </c>
      <c r="RR40" s="133">
        <f t="shared" si="177"/>
        <v>0.36960518993362845</v>
      </c>
      <c r="RS40" s="133">
        <f t="shared" si="415"/>
        <v>0.40045123148419687</v>
      </c>
      <c r="RT40" s="133">
        <f t="shared" si="416"/>
        <v>0.45918832873354537</v>
      </c>
      <c r="RU40" s="134">
        <f t="shared" si="417"/>
        <v>0.53749248314348042</v>
      </c>
      <c r="RV40" s="133">
        <f t="shared" si="418"/>
        <v>0.63263061463851711</v>
      </c>
      <c r="RW40" s="133">
        <f t="shared" si="178"/>
        <v>0.735924740968804</v>
      </c>
      <c r="RX40" s="133">
        <f t="shared" si="179"/>
        <v>0.80771209766889962</v>
      </c>
      <c r="RY40" s="133">
        <f t="shared" si="180"/>
        <v>0.87697037687979129</v>
      </c>
      <c r="RZ40" s="133">
        <f t="shared" si="181"/>
        <v>0.96680161954320942</v>
      </c>
      <c r="SA40" s="81"/>
      <c r="SB40" s="81">
        <v>40</v>
      </c>
      <c r="SC40" s="133">
        <f t="shared" si="182"/>
        <v>0.27962957863915067</v>
      </c>
      <c r="SD40" s="133">
        <f t="shared" si="183"/>
        <v>0.30441497460557665</v>
      </c>
      <c r="SE40" s="133">
        <f t="shared" si="184"/>
        <v>0.32750648378944974</v>
      </c>
      <c r="SF40" s="133">
        <f t="shared" si="419"/>
        <v>0.35634251265151112</v>
      </c>
      <c r="SG40" s="133">
        <f t="shared" si="420"/>
        <v>0.41029115656937193</v>
      </c>
      <c r="SH40" s="134">
        <f t="shared" si="421"/>
        <v>0.48024729967831892</v>
      </c>
      <c r="SI40" s="133">
        <f t="shared" si="422"/>
        <v>0.56231274711461066</v>
      </c>
      <c r="SJ40" s="133">
        <f t="shared" si="185"/>
        <v>0.64798795391257347</v>
      </c>
      <c r="SK40" s="133">
        <f t="shared" si="186"/>
        <v>0.70557208042090624</v>
      </c>
      <c r="SL40" s="133">
        <f t="shared" si="187"/>
        <v>0.75970389916787928</v>
      </c>
      <c r="SM40" s="133">
        <f t="shared" si="188"/>
        <v>0.82796099201630668</v>
      </c>
      <c r="SN40" s="81"/>
      <c r="SO40" s="81">
        <v>38</v>
      </c>
      <c r="SP40" s="133">
        <f t="shared" si="189"/>
        <v>0.22437334992853517</v>
      </c>
      <c r="SQ40" s="133">
        <f t="shared" si="190"/>
        <v>0.23955214295000904</v>
      </c>
      <c r="SR40" s="133">
        <f t="shared" si="191"/>
        <v>0.25320910724296392</v>
      </c>
      <c r="SS40" s="133">
        <f t="shared" si="423"/>
        <v>0.26966734556041283</v>
      </c>
      <c r="ST40" s="133">
        <f t="shared" si="424"/>
        <v>0.29888453962783301</v>
      </c>
      <c r="SU40" s="134">
        <f t="shared" si="425"/>
        <v>0.33416807974496004</v>
      </c>
      <c r="SV40" s="133">
        <f t="shared" si="426"/>
        <v>0.37247387485885447</v>
      </c>
      <c r="SW40" s="133">
        <f t="shared" si="192"/>
        <v>0.40955030495891431</v>
      </c>
      <c r="SX40" s="133">
        <f t="shared" si="193"/>
        <v>0.43305754059015861</v>
      </c>
      <c r="SY40" s="133">
        <f t="shared" si="194"/>
        <v>0.45425016900189574</v>
      </c>
      <c r="SZ40" s="133">
        <f t="shared" si="195"/>
        <v>0.47985465710853453</v>
      </c>
      <c r="TA40" s="81"/>
      <c r="TB40" s="81">
        <v>38</v>
      </c>
      <c r="TC40" s="133">
        <f t="shared" si="196"/>
        <v>0.24215868308789287</v>
      </c>
      <c r="TD40" s="133">
        <f t="shared" si="197"/>
        <v>0.25694511235918038</v>
      </c>
      <c r="TE40" s="133">
        <f t="shared" si="198"/>
        <v>0.27025146338200395</v>
      </c>
      <c r="TF40" s="133">
        <f t="shared" si="427"/>
        <v>0.28629417199359225</v>
      </c>
      <c r="TG40" s="133">
        <f t="shared" si="428"/>
        <v>0.31480368488678573</v>
      </c>
      <c r="TH40" s="134">
        <f t="shared" si="429"/>
        <v>0.34930344780275807</v>
      </c>
      <c r="TI40" s="133">
        <f t="shared" si="430"/>
        <v>0.38686837931967671</v>
      </c>
      <c r="TJ40" s="133">
        <f t="shared" si="199"/>
        <v>0.42335318771963126</v>
      </c>
      <c r="TK40" s="133">
        <f t="shared" si="200"/>
        <v>0.4465544672281766</v>
      </c>
      <c r="TL40" s="133">
        <f t="shared" si="201"/>
        <v>0.46751934207086243</v>
      </c>
      <c r="TM40" s="133">
        <f t="shared" si="202"/>
        <v>0.4929111749150159</v>
      </c>
      <c r="TN40" s="81"/>
      <c r="TO40" s="81">
        <v>40</v>
      </c>
      <c r="TP40" s="133">
        <f t="shared" si="203"/>
        <v>0.21841882318824893</v>
      </c>
      <c r="TQ40" s="133">
        <f t="shared" si="204"/>
        <v>0.23353536775496841</v>
      </c>
      <c r="TR40" s="133">
        <f t="shared" si="205"/>
        <v>0.24699364620277617</v>
      </c>
      <c r="TS40" s="133">
        <f t="shared" si="431"/>
        <v>0.26303908447698415</v>
      </c>
      <c r="TT40" s="133">
        <f t="shared" si="432"/>
        <v>0.29107814967844886</v>
      </c>
      <c r="TU40" s="134">
        <f t="shared" si="433"/>
        <v>0.32422691726981695</v>
      </c>
      <c r="TV40" s="133">
        <f t="shared" si="434"/>
        <v>0.35940154019352111</v>
      </c>
      <c r="TW40" s="133">
        <f t="shared" si="206"/>
        <v>0.39270578550261509</v>
      </c>
      <c r="TX40" s="133">
        <f t="shared" si="207"/>
        <v>0.41346995748191656</v>
      </c>
      <c r="TY40" s="133">
        <f t="shared" si="208"/>
        <v>0.43196895264548746</v>
      </c>
      <c r="TZ40" s="133">
        <f t="shared" si="209"/>
        <v>0.45405293046293621</v>
      </c>
      <c r="UA40" s="81"/>
      <c r="UB40" s="81">
        <v>38</v>
      </c>
      <c r="UC40" s="133">
        <f t="shared" si="210"/>
        <v>-22.919805960613935</v>
      </c>
      <c r="UD40" s="133">
        <f t="shared" si="211"/>
        <v>-19.358393143919542</v>
      </c>
      <c r="UE40" s="133">
        <f t="shared" si="212"/>
        <v>-16.388488983634218</v>
      </c>
      <c r="UF40" s="133">
        <f t="shared" si="435"/>
        <v>-13.058061159874271</v>
      </c>
      <c r="UG40" s="133">
        <f t="shared" si="436"/>
        <v>-7.6957964025830989</v>
      </c>
      <c r="UH40" s="134">
        <f t="shared" si="437"/>
        <v>-1.9612140110166791</v>
      </c>
      <c r="UI40" s="133">
        <f t="shared" si="438"/>
        <v>3.5585705165836998</v>
      </c>
      <c r="UJ40" s="133">
        <f t="shared" si="213"/>
        <v>8.353985083627876</v>
      </c>
      <c r="UK40" s="133">
        <f t="shared" si="214"/>
        <v>11.165323732969341</v>
      </c>
      <c r="UL40" s="133">
        <f t="shared" si="215"/>
        <v>13.568410451033699</v>
      </c>
      <c r="UM40" s="133">
        <f t="shared" si="216"/>
        <v>16.323819050716367</v>
      </c>
      <c r="UN40" s="81"/>
      <c r="UO40" s="81">
        <v>38</v>
      </c>
      <c r="UP40" s="133">
        <f t="shared" si="217"/>
        <v>-18.581049491315845</v>
      </c>
      <c r="UQ40" s="133">
        <f t="shared" si="218"/>
        <v>-15.676396026110602</v>
      </c>
      <c r="UR40" s="133">
        <f t="shared" si="219"/>
        <v>-13.185664595002628</v>
      </c>
      <c r="US40" s="133">
        <f t="shared" si="439"/>
        <v>-10.321362488096504</v>
      </c>
      <c r="UT40" s="133">
        <f t="shared" si="440"/>
        <v>-5.5582302073508956</v>
      </c>
      <c r="UU40" s="134">
        <f t="shared" si="441"/>
        <v>-0.26799977992922663</v>
      </c>
      <c r="UV40" s="133">
        <f t="shared" si="442"/>
        <v>5.005619433370363</v>
      </c>
      <c r="UW40" s="133">
        <f t="shared" si="220"/>
        <v>9.7248625903598835</v>
      </c>
      <c r="UX40" s="133">
        <f t="shared" si="221"/>
        <v>12.548891389865155</v>
      </c>
      <c r="UY40" s="133">
        <f t="shared" si="222"/>
        <v>14.995532078066972</v>
      </c>
      <c r="UZ40" s="133">
        <f t="shared" si="223"/>
        <v>17.837222662280524</v>
      </c>
      <c r="VA40" s="81"/>
      <c r="VB40" s="81">
        <v>41</v>
      </c>
      <c r="VC40" s="133">
        <f t="shared" si="224"/>
        <v>-23.565776506323736</v>
      </c>
      <c r="VD40" s="133">
        <f t="shared" si="225"/>
        <v>-19.824897834203618</v>
      </c>
      <c r="VE40" s="133">
        <f t="shared" si="226"/>
        <v>-16.762996484769637</v>
      </c>
      <c r="VF40" s="133">
        <f t="shared" si="443"/>
        <v>-13.383348684026984</v>
      </c>
      <c r="VG40" s="133">
        <f t="shared" si="444"/>
        <v>-8.0449086862461812</v>
      </c>
      <c r="VH40" s="134">
        <f t="shared" si="445"/>
        <v>-2.4551503054849917</v>
      </c>
      <c r="VI40" s="133">
        <f t="shared" si="446"/>
        <v>2.8267225795330688</v>
      </c>
      <c r="VJ40" s="133">
        <f t="shared" si="227"/>
        <v>7.3474597093520089</v>
      </c>
      <c r="VK40" s="133">
        <f t="shared" si="228"/>
        <v>9.9713291424504717</v>
      </c>
      <c r="VL40" s="133">
        <f t="shared" si="229"/>
        <v>12.1997930063403</v>
      </c>
      <c r="VM40" s="133">
        <f t="shared" si="230"/>
        <v>14.739552812663277</v>
      </c>
      <c r="VN40" s="81"/>
      <c r="VO40" s="81">
        <v>38</v>
      </c>
      <c r="VP40" s="133">
        <f t="shared" si="231"/>
        <v>-38.864313283444275</v>
      </c>
      <c r="VQ40" s="133">
        <f t="shared" si="232"/>
        <v>-34.65744290417441</v>
      </c>
      <c r="VR40" s="133">
        <f t="shared" si="233"/>
        <v>-30.721635621604975</v>
      </c>
      <c r="VS40" s="133">
        <f t="shared" si="447"/>
        <v>-25.831252898252373</v>
      </c>
      <c r="VT40" s="133">
        <f t="shared" si="448"/>
        <v>-16.862429425943432</v>
      </c>
      <c r="VU40" s="134">
        <f t="shared" si="449"/>
        <v>-5.7185118689433878</v>
      </c>
      <c r="VV40" s="133">
        <f t="shared" si="450"/>
        <v>6.5850738618477891</v>
      </c>
      <c r="VW40" s="133">
        <f t="shared" si="234"/>
        <v>18.574982332882549</v>
      </c>
      <c r="VX40" s="133">
        <f t="shared" si="235"/>
        <v>26.181900542650887</v>
      </c>
      <c r="VY40" s="133">
        <f t="shared" si="236"/>
        <v>33.02936030460085</v>
      </c>
      <c r="VZ40" s="133">
        <f t="shared" si="237"/>
        <v>41.278151095789561</v>
      </c>
      <c r="WA40" s="81"/>
      <c r="WB40" s="81">
        <v>38</v>
      </c>
      <c r="WC40" s="133">
        <f t="shared" si="238"/>
        <v>-34.961643417094535</v>
      </c>
      <c r="WD40" s="133">
        <f t="shared" si="239"/>
        <v>-30.888688916699458</v>
      </c>
      <c r="WE40" s="133">
        <f t="shared" si="240"/>
        <v>-27.046410796985924</v>
      </c>
      <c r="WF40" s="133">
        <f t="shared" si="451"/>
        <v>-22.24061956389064</v>
      </c>
      <c r="WG40" s="133">
        <f t="shared" si="452"/>
        <v>-13.361093448760187</v>
      </c>
      <c r="WH40" s="134">
        <f t="shared" si="453"/>
        <v>-2.2454931801343534</v>
      </c>
      <c r="WI40" s="133">
        <f t="shared" si="454"/>
        <v>10.099973193832589</v>
      </c>
      <c r="WJ40" s="133">
        <f t="shared" si="241"/>
        <v>22.18403013717667</v>
      </c>
      <c r="WK40" s="133">
        <f t="shared" si="242"/>
        <v>29.872062289366461</v>
      </c>
      <c r="WL40" s="133">
        <f t="shared" si="243"/>
        <v>36.804461355771345</v>
      </c>
      <c r="WM40" s="133">
        <f t="shared" si="244"/>
        <v>45.168717157320934</v>
      </c>
      <c r="WN40" s="81"/>
      <c r="WO40" s="81">
        <v>41</v>
      </c>
      <c r="WP40" s="133">
        <f t="shared" si="245"/>
        <v>-39.355145897467374</v>
      </c>
      <c r="WQ40" s="133">
        <f t="shared" si="246"/>
        <v>-34.99232294724672</v>
      </c>
      <c r="WR40" s="133">
        <f t="shared" si="247"/>
        <v>-30.962720448491307</v>
      </c>
      <c r="WS40" s="133">
        <f t="shared" si="455"/>
        <v>-26.019239690691052</v>
      </c>
      <c r="WT40" s="133">
        <f t="shared" si="456"/>
        <v>-17.111938940093211</v>
      </c>
      <c r="WU40" s="134">
        <f t="shared" si="457"/>
        <v>-6.2837574656742916</v>
      </c>
      <c r="WV40" s="133">
        <f t="shared" si="458"/>
        <v>5.4202360191469339</v>
      </c>
      <c r="WW40" s="133">
        <f t="shared" si="248"/>
        <v>16.616454596929678</v>
      </c>
      <c r="WX40" s="133">
        <f t="shared" si="249"/>
        <v>23.627554455234012</v>
      </c>
      <c r="WY40" s="133">
        <f t="shared" si="250"/>
        <v>29.883818079340124</v>
      </c>
      <c r="WZ40" s="133">
        <f t="shared" si="251"/>
        <v>37.357065939329239</v>
      </c>
      <c r="XA40" s="81"/>
      <c r="XB40" s="81">
        <v>38</v>
      </c>
      <c r="XC40" s="133">
        <f t="shared" si="252"/>
        <v>-44.440433687271188</v>
      </c>
      <c r="XD40" s="133">
        <f t="shared" si="253"/>
        <v>-39.728381256679469</v>
      </c>
      <c r="XE40" s="133">
        <f t="shared" si="254"/>
        <v>-35.39302222597577</v>
      </c>
      <c r="XF40" s="133">
        <f t="shared" si="459"/>
        <v>-30.112238502027566</v>
      </c>
      <c r="XG40" s="133">
        <f t="shared" si="460"/>
        <v>-20.716145570966845</v>
      </c>
      <c r="XH40" s="134">
        <f t="shared" si="461"/>
        <v>-9.4943710506813446</v>
      </c>
      <c r="XI40" s="133">
        <f t="shared" si="462"/>
        <v>2.4131509709653045</v>
      </c>
      <c r="XJ40" s="133">
        <f t="shared" si="255"/>
        <v>13.615439317484821</v>
      </c>
      <c r="XK40" s="133">
        <f t="shared" si="256"/>
        <v>20.546723499193853</v>
      </c>
      <c r="XL40" s="133">
        <f t="shared" si="257"/>
        <v>26.682046643141398</v>
      </c>
      <c r="XM40" s="133">
        <f t="shared" si="258"/>
        <v>33.953585256970861</v>
      </c>
      <c r="XN40" s="81"/>
      <c r="XO40" s="81">
        <v>38</v>
      </c>
      <c r="XP40" s="133">
        <f t="shared" si="259"/>
        <v>-38.519015079548687</v>
      </c>
      <c r="XQ40" s="133">
        <f t="shared" si="260"/>
        <v>-33.853044909933956</v>
      </c>
      <c r="XR40" s="133">
        <f t="shared" si="261"/>
        <v>-29.616129457543412</v>
      </c>
      <c r="XS40" s="133">
        <f t="shared" si="463"/>
        <v>-24.506150354473473</v>
      </c>
      <c r="XT40" s="133">
        <f t="shared" si="464"/>
        <v>-15.512214734132655</v>
      </c>
      <c r="XU40" s="134">
        <f t="shared" si="465"/>
        <v>-4.8869433865529928</v>
      </c>
      <c r="XV40" s="133">
        <f t="shared" si="466"/>
        <v>6.2887010614237866</v>
      </c>
      <c r="XW40" s="133">
        <f t="shared" si="262"/>
        <v>16.73170834587804</v>
      </c>
      <c r="XX40" s="133">
        <f t="shared" si="263"/>
        <v>23.164967337426937</v>
      </c>
      <c r="XY40" s="133">
        <f t="shared" si="264"/>
        <v>28.843740318884635</v>
      </c>
      <c r="XZ40" s="133">
        <f t="shared" si="265"/>
        <v>35.556899899207501</v>
      </c>
      <c r="YA40" s="81"/>
      <c r="YB40" s="81">
        <v>41</v>
      </c>
      <c r="YC40" s="133">
        <f t="shared" si="266"/>
        <v>-45.64065837001025</v>
      </c>
      <c r="YD40" s="133">
        <f t="shared" si="267"/>
        <v>-40.869605219142528</v>
      </c>
      <c r="YE40" s="133">
        <f t="shared" si="268"/>
        <v>-36.516069773575879</v>
      </c>
      <c r="YF40" s="133">
        <f t="shared" si="467"/>
        <v>-31.25583709027865</v>
      </c>
      <c r="YG40" s="133">
        <f t="shared" si="468"/>
        <v>-21.995695443661646</v>
      </c>
      <c r="YH40" s="134">
        <f t="shared" si="469"/>
        <v>-11.073155395228241</v>
      </c>
      <c r="YI40" s="133">
        <f t="shared" si="470"/>
        <v>0.38556385119837699</v>
      </c>
      <c r="YJ40" s="133">
        <f t="shared" si="269"/>
        <v>11.063840698901522</v>
      </c>
      <c r="YK40" s="133">
        <f t="shared" si="270"/>
        <v>17.6281890004608</v>
      </c>
      <c r="YL40" s="133">
        <f t="shared" si="271"/>
        <v>23.414180615286007</v>
      </c>
      <c r="YM40" s="133">
        <f t="shared" si="272"/>
        <v>30.244142408393763</v>
      </c>
      <c r="YN40" s="81"/>
      <c r="YO40" s="81">
        <v>38</v>
      </c>
      <c r="YP40" s="133">
        <v>18.052799866632398</v>
      </c>
      <c r="YQ40" s="133">
        <v>20.272692132645986</v>
      </c>
      <c r="YR40" s="133">
        <v>22.399052050634722</v>
      </c>
      <c r="YS40" s="133">
        <v>25.128861548082387</v>
      </c>
      <c r="YT40" s="133">
        <v>30.442959019509445</v>
      </c>
      <c r="YU40" s="134">
        <v>37.700571913169661</v>
      </c>
      <c r="YV40" s="133">
        <v>46.688402453559526</v>
      </c>
      <c r="YW40" s="133">
        <v>56.561779365151565</v>
      </c>
      <c r="YX40" s="133">
        <v>63.455056908973106</v>
      </c>
      <c r="YY40" s="133">
        <v>70.110723986738975</v>
      </c>
      <c r="YZ40" s="133">
        <v>78.732004624234207</v>
      </c>
      <c r="ZA40" s="81"/>
      <c r="ZB40" s="81">
        <v>38</v>
      </c>
      <c r="ZC40" s="133">
        <v>14.582550430645194</v>
      </c>
      <c r="ZD40" s="133">
        <v>16.605420137880788</v>
      </c>
      <c r="ZE40" s="133">
        <v>18.568251028457542</v>
      </c>
      <c r="ZF40" s="133">
        <v>21.12091889610824</v>
      </c>
      <c r="ZG40" s="133">
        <v>26.183858391909606</v>
      </c>
      <c r="ZH40" s="134">
        <v>33.269646765353791</v>
      </c>
      <c r="ZI40" s="133">
        <v>42.272967540697557</v>
      </c>
      <c r="ZJ40" s="133">
        <v>52.406308709199642</v>
      </c>
      <c r="ZK40" s="133">
        <v>59.610859105418029</v>
      </c>
      <c r="ZL40" s="133">
        <v>66.657114767388038</v>
      </c>
      <c r="ZM40" s="133">
        <v>75.903690589358987</v>
      </c>
      <c r="ZN40" s="81"/>
      <c r="ZO40" s="81">
        <v>41</v>
      </c>
      <c r="ZP40" s="133">
        <v>21.531524522584476</v>
      </c>
      <c r="ZQ40" s="133">
        <v>23.747922857667604</v>
      </c>
      <c r="ZR40" s="133">
        <v>25.835784553167965</v>
      </c>
      <c r="ZS40" s="133">
        <v>28.471776629074842</v>
      </c>
      <c r="ZT40" s="133">
        <v>33.481107173456884</v>
      </c>
      <c r="ZU40" s="134">
        <v>40.109805643859104</v>
      </c>
      <c r="ZV40" s="133">
        <v>48.050875392304015</v>
      </c>
      <c r="ZW40" s="133">
        <v>56.504956812048015</v>
      </c>
      <c r="ZX40" s="133">
        <v>62.270085333672746</v>
      </c>
      <c r="ZY40" s="133">
        <v>67.744725230514732</v>
      </c>
      <c r="ZZ40" s="133">
        <v>74.718188537958909</v>
      </c>
      <c r="AAA40" s="81"/>
      <c r="AAB40" s="81">
        <v>38</v>
      </c>
      <c r="AAC40" s="133">
        <v>9.0898819580825201</v>
      </c>
      <c r="AAD40" s="133">
        <v>10.096442135625054</v>
      </c>
      <c r="AAE40" s="133">
        <v>11.050845857488117</v>
      </c>
      <c r="AAF40" s="133">
        <v>12.263712727519231</v>
      </c>
      <c r="AAG40" s="133">
        <v>14.590416295684115</v>
      </c>
      <c r="AAH40" s="134">
        <v>17.707562562964842</v>
      </c>
      <c r="AAI40" s="133">
        <v>21.490666583246519</v>
      </c>
      <c r="AAJ40" s="133">
        <v>25.567931905132145</v>
      </c>
      <c r="AAK40" s="133">
        <v>28.374096966418669</v>
      </c>
      <c r="AAL40" s="133">
        <v>31.056263950142689</v>
      </c>
      <c r="AAM40" s="133">
        <v>34.495252344009316</v>
      </c>
      <c r="AAN40" s="81"/>
      <c r="AAO40" s="81">
        <v>38</v>
      </c>
      <c r="AAP40" s="133">
        <v>8.10196979833845</v>
      </c>
      <c r="AAQ40" s="133">
        <v>9.1052662068770474</v>
      </c>
      <c r="AAR40" s="133">
        <v>10.0669781475288</v>
      </c>
      <c r="AAS40" s="133">
        <v>11.302503525491634</v>
      </c>
      <c r="AAT40" s="133">
        <v>13.710178859423239</v>
      </c>
      <c r="AAU40" s="134">
        <v>17.00286658711876</v>
      </c>
      <c r="AAV40" s="133">
        <v>21.086338489352233</v>
      </c>
      <c r="AAW40" s="133">
        <v>25.578180225941086</v>
      </c>
      <c r="AAX40" s="133">
        <v>28.717403369980094</v>
      </c>
      <c r="AAY40" s="133">
        <v>31.750578798125559</v>
      </c>
      <c r="AAZ40" s="133">
        <v>35.68236853198929</v>
      </c>
      <c r="ABA40" s="81"/>
      <c r="ABB40" s="81">
        <v>41</v>
      </c>
      <c r="ABC40" s="133">
        <v>10.2177907295836</v>
      </c>
      <c r="ABD40" s="133">
        <v>11.211109480165037</v>
      </c>
      <c r="ABE40" s="133">
        <v>12.142316082370304</v>
      </c>
      <c r="ABF40" s="133">
        <v>13.312333639368946</v>
      </c>
      <c r="ABG40" s="133">
        <v>15.520378090274509</v>
      </c>
      <c r="ABH40" s="134">
        <v>18.415675827550775</v>
      </c>
      <c r="ABI40" s="133">
        <v>21.851085985975452</v>
      </c>
      <c r="ABJ40" s="133">
        <v>25.475406895038891</v>
      </c>
      <c r="ABK40" s="133">
        <v>27.93018349092711</v>
      </c>
      <c r="ABL40" s="133">
        <v>30.250094050499396</v>
      </c>
      <c r="ABM40" s="133">
        <v>33.190845767033878</v>
      </c>
      <c r="ABN40" s="81"/>
      <c r="ABO40" s="81">
        <v>38</v>
      </c>
      <c r="ABP40" s="133">
        <f t="shared" si="273"/>
        <v>0.22106784159108397</v>
      </c>
      <c r="ABQ40" s="133">
        <f t="shared" si="274"/>
        <v>0.25059589433194518</v>
      </c>
      <c r="ABR40" s="133">
        <f t="shared" si="275"/>
        <v>0.27820626974808738</v>
      </c>
      <c r="ABS40" s="133">
        <f t="shared" si="471"/>
        <v>0.31271920182479124</v>
      </c>
      <c r="ABT40" s="133">
        <f t="shared" si="472"/>
        <v>0.37709562774984995</v>
      </c>
      <c r="ABU40" s="134">
        <f t="shared" si="473"/>
        <v>0.45967911229013553</v>
      </c>
      <c r="ABV40" s="133">
        <f t="shared" si="474"/>
        <v>0.55472369154239209</v>
      </c>
      <c r="ABW40" s="133">
        <f t="shared" si="276"/>
        <v>0.65152155453852079</v>
      </c>
      <c r="ABX40" s="133">
        <f t="shared" si="277"/>
        <v>0.71513425558284249</v>
      </c>
      <c r="ABY40" s="133">
        <f t="shared" si="278"/>
        <v>0.77387517129349837</v>
      </c>
      <c r="ABZ40" s="133">
        <f t="shared" si="279"/>
        <v>0.84650968698714824</v>
      </c>
      <c r="ACA40" s="81"/>
      <c r="ACB40" s="81">
        <v>38</v>
      </c>
      <c r="ACC40" s="133">
        <f t="shared" si="280"/>
        <v>0.24869569950974629</v>
      </c>
      <c r="ACD40" s="133">
        <f t="shared" si="281"/>
        <v>0.27737861744856268</v>
      </c>
      <c r="ACE40" s="133">
        <f t="shared" si="282"/>
        <v>0.3042762298783489</v>
      </c>
      <c r="ACF40" s="133">
        <f t="shared" si="475"/>
        <v>0.33804039089511134</v>
      </c>
      <c r="ACG40" s="133">
        <f t="shared" si="476"/>
        <v>0.40153905260873629</v>
      </c>
      <c r="ACH40" s="134">
        <f t="shared" si="477"/>
        <v>0.48413857803315569</v>
      </c>
      <c r="ACI40" s="133">
        <f t="shared" si="478"/>
        <v>0.58092983131868015</v>
      </c>
      <c r="ACJ40" s="133">
        <f t="shared" si="283"/>
        <v>0.68147365162008988</v>
      </c>
      <c r="ACK40" s="133">
        <f t="shared" si="284"/>
        <v>0.74863606699445506</v>
      </c>
      <c r="ACL40" s="133">
        <f t="shared" si="285"/>
        <v>0.81141778205718029</v>
      </c>
      <c r="ACM40" s="133">
        <f t="shared" si="286"/>
        <v>0.89005336668292667</v>
      </c>
      <c r="ACN40" s="81"/>
      <c r="ACO40" s="81">
        <v>41</v>
      </c>
      <c r="ACP40" s="133">
        <f t="shared" si="287"/>
        <v>0.21317767322912437</v>
      </c>
      <c r="ACQ40" s="133">
        <f t="shared" si="288"/>
        <v>0.24523140312565889</v>
      </c>
      <c r="ACR40" s="133">
        <f t="shared" si="289"/>
        <v>0.27465544457017854</v>
      </c>
      <c r="ACS40" s="133">
        <f t="shared" si="479"/>
        <v>0.31071836800639174</v>
      </c>
      <c r="ACT40" s="133">
        <f t="shared" si="480"/>
        <v>0.37605588043629462</v>
      </c>
      <c r="ACU40" s="134">
        <f t="shared" si="481"/>
        <v>0.45634942500617676</v>
      </c>
      <c r="ACV40" s="133">
        <f t="shared" si="482"/>
        <v>0.54467870031062249</v>
      </c>
      <c r="ACW40" s="133">
        <f t="shared" si="290"/>
        <v>0.63094347458409294</v>
      </c>
      <c r="ACX40" s="133">
        <f t="shared" si="291"/>
        <v>0.68575054421234038</v>
      </c>
      <c r="ACY40" s="133">
        <f t="shared" si="292"/>
        <v>0.73519716996370055</v>
      </c>
      <c r="ACZ40" s="133">
        <f t="shared" si="293"/>
        <v>0.79492568503247762</v>
      </c>
      <c r="ADA40" s="81"/>
      <c r="ADB40" s="81">
        <v>38</v>
      </c>
      <c r="ADC40" s="133">
        <f t="shared" si="294"/>
        <v>0.18149621319571521</v>
      </c>
      <c r="ADD40" s="133">
        <f t="shared" si="295"/>
        <v>0.2013007155686336</v>
      </c>
      <c r="ADE40" s="133">
        <f t="shared" si="296"/>
        <v>0.21869356325872275</v>
      </c>
      <c r="ADF40" s="133">
        <f t="shared" si="483"/>
        <v>0.239139169710361</v>
      </c>
      <c r="ADG40" s="133">
        <f t="shared" si="484"/>
        <v>0.27413028009960128</v>
      </c>
      <c r="ADH40" s="134">
        <f t="shared" si="485"/>
        <v>0.31434959002221124</v>
      </c>
      <c r="ADI40" s="133">
        <f t="shared" si="486"/>
        <v>0.35576341562326563</v>
      </c>
      <c r="ADJ40" s="133">
        <f t="shared" si="297"/>
        <v>0.39387108808078558</v>
      </c>
      <c r="ADK40" s="133">
        <f t="shared" si="298"/>
        <v>0.41712486863971471</v>
      </c>
      <c r="ADL40" s="133">
        <f t="shared" si="299"/>
        <v>0.43753365272707273</v>
      </c>
      <c r="ADM40" s="133">
        <f t="shared" si="300"/>
        <v>0.46153516862001703</v>
      </c>
      <c r="ADN40" s="81"/>
      <c r="ADO40" s="81">
        <v>38</v>
      </c>
      <c r="ADP40" s="133">
        <f t="shared" si="301"/>
        <v>0.19999572916688022</v>
      </c>
      <c r="ADQ40" s="133">
        <f t="shared" si="302"/>
        <v>0.21816025975726638</v>
      </c>
      <c r="ADR40" s="133">
        <f t="shared" si="303"/>
        <v>0.23427366487594442</v>
      </c>
      <c r="ADS40" s="133">
        <f t="shared" si="487"/>
        <v>0.25340534723689989</v>
      </c>
      <c r="ADT40" s="133">
        <f t="shared" si="488"/>
        <v>0.28661487358744697</v>
      </c>
      <c r="ADU40" s="134">
        <f t="shared" si="489"/>
        <v>0.32549250999715179</v>
      </c>
      <c r="ADV40" s="133">
        <f t="shared" si="490"/>
        <v>0.36628232016800355</v>
      </c>
      <c r="ADW40" s="133">
        <f t="shared" si="304"/>
        <v>0.40446622033655799</v>
      </c>
      <c r="ADX40" s="133">
        <f t="shared" si="305"/>
        <v>0.42806176666002937</v>
      </c>
      <c r="ADY40" s="133">
        <f t="shared" si="306"/>
        <v>0.44894970039862869</v>
      </c>
      <c r="ADZ40" s="133">
        <f t="shared" si="307"/>
        <v>0.47372418110009729</v>
      </c>
      <c r="AEA40" s="81"/>
      <c r="AEB40" s="81">
        <v>41</v>
      </c>
      <c r="AEC40" s="133">
        <f t="shared" si="308"/>
        <v>0.17643817866769354</v>
      </c>
      <c r="AED40" s="133">
        <f t="shared" si="309"/>
        <v>0.1981162051162049</v>
      </c>
      <c r="AEE40" s="133">
        <f t="shared" si="310"/>
        <v>0.21668435798029956</v>
      </c>
      <c r="AEF40" s="133">
        <f t="shared" si="491"/>
        <v>0.23801380021178292</v>
      </c>
      <c r="AEG40" s="133">
        <f t="shared" si="492"/>
        <v>0.27342868884221022</v>
      </c>
      <c r="AEH40" s="134">
        <f t="shared" si="493"/>
        <v>0.31268712718362363</v>
      </c>
      <c r="AEI40" s="133">
        <f t="shared" si="494"/>
        <v>0.35174884710521059</v>
      </c>
      <c r="AEJ40" s="133">
        <f t="shared" si="311"/>
        <v>0.38664672796400457</v>
      </c>
      <c r="AEK40" s="133">
        <f t="shared" si="312"/>
        <v>0.40750546815252575</v>
      </c>
      <c r="AEL40" s="133">
        <f t="shared" si="313"/>
        <v>0.42556268395107494</v>
      </c>
      <c r="AEM40" s="133">
        <f t="shared" si="314"/>
        <v>0.44651974224953428</v>
      </c>
      <c r="AEN40" s="81"/>
    </row>
    <row r="41" spans="1:820">
      <c r="A41" s="81"/>
      <c r="B41" s="81">
        <v>40</v>
      </c>
      <c r="C41" s="133">
        <f t="shared" si="0"/>
        <v>1.9072459503434673</v>
      </c>
      <c r="D41" s="133">
        <f t="shared" si="1"/>
        <v>2.281995698367326</v>
      </c>
      <c r="E41" s="133">
        <f t="shared" si="2"/>
        <v>2.6757192895481743</v>
      </c>
      <c r="F41" s="133">
        <f t="shared" si="315"/>
        <v>3.2339611464659055</v>
      </c>
      <c r="G41" s="133">
        <f t="shared" si="316"/>
        <v>4.5054958684035347</v>
      </c>
      <c r="H41" s="134">
        <f t="shared" si="317"/>
        <v>6.6886619179892683</v>
      </c>
      <c r="I41" s="133">
        <f t="shared" si="318"/>
        <v>10.242268793490766</v>
      </c>
      <c r="J41" s="133">
        <f t="shared" si="3"/>
        <v>15.479432853869067</v>
      </c>
      <c r="K41" s="133">
        <f t="shared" si="4"/>
        <v>20.146217772620343</v>
      </c>
      <c r="L41" s="133">
        <f t="shared" si="5"/>
        <v>25.594909437753486</v>
      </c>
      <c r="M41" s="133">
        <f t="shared" si="6"/>
        <v>34.283407333780147</v>
      </c>
      <c r="N41" s="81"/>
      <c r="O41" s="75">
        <v>40</v>
      </c>
      <c r="P41" s="151">
        <f t="shared" si="7"/>
        <v>2.6054987221235182</v>
      </c>
      <c r="Q41" s="151">
        <f t="shared" si="8"/>
        <v>2.9622617344982798</v>
      </c>
      <c r="R41" s="151">
        <f t="shared" si="9"/>
        <v>3.3264099786312267</v>
      </c>
      <c r="S41" s="151">
        <f t="shared" si="319"/>
        <v>3.8292002297501009</v>
      </c>
      <c r="T41" s="151">
        <f t="shared" si="320"/>
        <v>4.9374375572586287</v>
      </c>
      <c r="U41" s="134">
        <f t="shared" si="321"/>
        <v>6.7849059616269569</v>
      </c>
      <c r="V41" s="151">
        <f t="shared" si="322"/>
        <v>9.7701879374033833</v>
      </c>
      <c r="W41" s="151">
        <f t="shared" si="10"/>
        <v>14.288001558560619</v>
      </c>
      <c r="X41" s="151">
        <f t="shared" si="11"/>
        <v>18.517748365171453</v>
      </c>
      <c r="Y41" s="151">
        <f t="shared" si="12"/>
        <v>23.757954947491225</v>
      </c>
      <c r="Z41" s="151">
        <f t="shared" si="13"/>
        <v>32.887975196867522</v>
      </c>
      <c r="AA41" s="81"/>
      <c r="AB41" s="75">
        <v>42</v>
      </c>
      <c r="AC41" s="151">
        <f t="shared" si="14"/>
        <v>1.619573021751501</v>
      </c>
      <c r="AD41" s="151">
        <f t="shared" si="15"/>
        <v>1.9577846322224768</v>
      </c>
      <c r="AE41" s="151">
        <f t="shared" si="16"/>
        <v>2.3202109194859903</v>
      </c>
      <c r="AF41" s="151">
        <f t="shared" si="323"/>
        <v>2.8459282543887872</v>
      </c>
      <c r="AG41" s="151">
        <f t="shared" si="324"/>
        <v>4.0917253806804279</v>
      </c>
      <c r="AH41" s="134">
        <f t="shared" si="325"/>
        <v>6.3725821202754007</v>
      </c>
      <c r="AI41" s="151">
        <f t="shared" si="326"/>
        <v>10.424369808527999</v>
      </c>
      <c r="AJ41" s="151">
        <f t="shared" si="17"/>
        <v>17.072302915420838</v>
      </c>
      <c r="AK41" s="151">
        <f t="shared" si="18"/>
        <v>23.612154607676164</v>
      </c>
      <c r="AL41" s="151">
        <f t="shared" si="19"/>
        <v>31.931207006779278</v>
      </c>
      <c r="AM41" s="151">
        <f t="shared" si="20"/>
        <v>46.637425910443184</v>
      </c>
      <c r="AN41" s="81"/>
      <c r="AO41" s="81">
        <v>40</v>
      </c>
      <c r="AP41" s="133">
        <f t="shared" si="21"/>
        <v>1.1526385559806771</v>
      </c>
      <c r="AQ41" s="133">
        <f t="shared" si="22"/>
        <v>3.2382629967358669</v>
      </c>
      <c r="AR41" s="133">
        <f t="shared" si="23"/>
        <v>5.2322806163012041</v>
      </c>
      <c r="AS41" s="133">
        <f t="shared" si="327"/>
        <v>7.7633846303026504</v>
      </c>
      <c r="AT41" s="133">
        <f t="shared" si="328"/>
        <v>12.545080340763661</v>
      </c>
      <c r="AU41" s="134">
        <f t="shared" si="329"/>
        <v>18.709351935673151</v>
      </c>
      <c r="AV41" s="133">
        <f t="shared" si="330"/>
        <v>25.765202846771789</v>
      </c>
      <c r="AW41" s="133">
        <f t="shared" si="24"/>
        <v>32.863419707530461</v>
      </c>
      <c r="AX41" s="133">
        <f t="shared" si="25"/>
        <v>37.469763377175418</v>
      </c>
      <c r="AY41" s="133">
        <f t="shared" si="26"/>
        <v>41.67969765635592</v>
      </c>
      <c r="AZ41" s="133">
        <f t="shared" si="27"/>
        <v>46.826598000497505</v>
      </c>
      <c r="BA41" s="81"/>
      <c r="BB41" s="81">
        <v>40</v>
      </c>
      <c r="BC41" s="133">
        <f t="shared" si="28"/>
        <v>4.0761701326076993</v>
      </c>
      <c r="BD41" s="133">
        <f t="shared" si="29"/>
        <v>6.4071006744077605</v>
      </c>
      <c r="BE41" s="133">
        <f t="shared" si="30"/>
        <v>8.5566462841895508</v>
      </c>
      <c r="BF41" s="133">
        <f t="shared" si="331"/>
        <v>11.196453528231462</v>
      </c>
      <c r="BG41" s="133">
        <f t="shared" si="332"/>
        <v>15.973137647699982</v>
      </c>
      <c r="BH41" s="134">
        <f t="shared" si="333"/>
        <v>21.827362363904218</v>
      </c>
      <c r="BI41" s="133">
        <f t="shared" si="334"/>
        <v>28.219582328662835</v>
      </c>
      <c r="BJ41" s="133">
        <f t="shared" si="31"/>
        <v>34.397247653980116</v>
      </c>
      <c r="BK41" s="133">
        <f t="shared" si="32"/>
        <v>38.296072043880059</v>
      </c>
      <c r="BL41" s="133">
        <f t="shared" si="33"/>
        <v>41.794241198300824</v>
      </c>
      <c r="BM41" s="133">
        <f t="shared" si="34"/>
        <v>45.995790414529949</v>
      </c>
      <c r="BN41" s="81"/>
      <c r="BO41" s="75">
        <v>42</v>
      </c>
      <c r="BP41" s="151">
        <f t="shared" si="35"/>
        <v>3.4443809508340384</v>
      </c>
      <c r="BQ41" s="151">
        <f t="shared" si="36"/>
        <v>4.4422709585207079</v>
      </c>
      <c r="BR41" s="151">
        <f t="shared" si="37"/>
        <v>5.4880416958264542</v>
      </c>
      <c r="BS41" s="151">
        <f t="shared" si="335"/>
        <v>6.9474355657919373</v>
      </c>
      <c r="BT41" s="151">
        <f t="shared" si="336"/>
        <v>10.117756290120015</v>
      </c>
      <c r="BU41" s="134">
        <f t="shared" si="337"/>
        <v>15.029684541032152</v>
      </c>
      <c r="BV41" s="151">
        <f t="shared" si="338"/>
        <v>21.842586013225194</v>
      </c>
      <c r="BW41" s="151">
        <f t="shared" si="38"/>
        <v>30.039666928975414</v>
      </c>
      <c r="BX41" s="151">
        <f t="shared" si="39"/>
        <v>36.110212834442628</v>
      </c>
      <c r="BY41" s="151">
        <f t="shared" si="40"/>
        <v>42.193048768818365</v>
      </c>
      <c r="BZ41" s="151">
        <f t="shared" si="41"/>
        <v>50.343486210530095</v>
      </c>
      <c r="CA41" s="81"/>
      <c r="CB41" s="81">
        <v>40</v>
      </c>
      <c r="CC41" s="133">
        <f t="shared" si="42"/>
        <v>-6.0094501262008704</v>
      </c>
      <c r="CD41" s="133">
        <f t="shared" si="43"/>
        <v>-4.0672099297152933</v>
      </c>
      <c r="CE41" s="133">
        <f t="shared" si="44"/>
        <v>-1.9907391404783832</v>
      </c>
      <c r="CF41" s="133">
        <f t="shared" si="339"/>
        <v>0.76205155298042815</v>
      </c>
      <c r="CG41" s="133">
        <f t="shared" si="340"/>
        <v>6.049002265364007</v>
      </c>
      <c r="CH41" s="134">
        <f t="shared" si="341"/>
        <v>12.787870968291006</v>
      </c>
      <c r="CI41" s="133">
        <f t="shared" si="342"/>
        <v>20.279063879372686</v>
      </c>
      <c r="CJ41" s="133">
        <f t="shared" si="45"/>
        <v>27.561045671390151</v>
      </c>
      <c r="CK41" s="133">
        <f t="shared" si="46"/>
        <v>32.158168891553494</v>
      </c>
      <c r="CL41" s="133">
        <f t="shared" si="47"/>
        <v>36.277643696128337</v>
      </c>
      <c r="CM41" s="133">
        <f t="shared" si="48"/>
        <v>41.214812159420411</v>
      </c>
      <c r="CN41" s="81"/>
      <c r="CO41" s="81">
        <v>40</v>
      </c>
      <c r="CP41" s="133">
        <f t="shared" si="49"/>
        <v>-0.51936981722445097</v>
      </c>
      <c r="CQ41" s="133">
        <f t="shared" si="50"/>
        <v>1.7585910470350417</v>
      </c>
      <c r="CR41" s="133">
        <f t="shared" si="51"/>
        <v>3.8984830456884518</v>
      </c>
      <c r="CS41" s="133">
        <f t="shared" si="343"/>
        <v>6.5519880020617647</v>
      </c>
      <c r="CT41" s="133">
        <f t="shared" si="344"/>
        <v>11.377546328608616</v>
      </c>
      <c r="CU41" s="134">
        <f t="shared" si="345"/>
        <v>17.281170045309853</v>
      </c>
      <c r="CV41" s="133">
        <f t="shared" si="346"/>
        <v>23.679844427494132</v>
      </c>
      <c r="CW41" s="133">
        <f t="shared" si="52"/>
        <v>29.804374457520534</v>
      </c>
      <c r="CX41" s="133">
        <f t="shared" si="53"/>
        <v>33.638227285835086</v>
      </c>
      <c r="CY41" s="133">
        <f t="shared" si="54"/>
        <v>37.057502317883795</v>
      </c>
      <c r="CZ41" s="133">
        <f t="shared" si="55"/>
        <v>41.139037737358187</v>
      </c>
      <c r="DA41" s="81"/>
      <c r="DB41" s="81">
        <v>42</v>
      </c>
      <c r="DC41" s="133">
        <f t="shared" si="56"/>
        <v>-6.1932601848921403</v>
      </c>
      <c r="DD41" s="133">
        <f t="shared" si="57"/>
        <v>-4.8881874230097271</v>
      </c>
      <c r="DE41" s="133">
        <f t="shared" si="58"/>
        <v>-3.4092857504517027</v>
      </c>
      <c r="DF41" s="133">
        <f t="shared" si="347"/>
        <v>-1.3453128485379855</v>
      </c>
      <c r="DG41" s="133">
        <f t="shared" si="348"/>
        <v>2.8630440422644936</v>
      </c>
      <c r="DH41" s="134">
        <f t="shared" si="349"/>
        <v>8.5683598148441042</v>
      </c>
      <c r="DI41" s="133">
        <f t="shared" si="350"/>
        <v>15.245466051491846</v>
      </c>
      <c r="DJ41" s="133">
        <f t="shared" si="59"/>
        <v>22.002877634742209</v>
      </c>
      <c r="DK41" s="133">
        <f t="shared" si="60"/>
        <v>26.383270638650625</v>
      </c>
      <c r="DL41" s="133">
        <f t="shared" si="61"/>
        <v>30.375498475643685</v>
      </c>
      <c r="DM41" s="133">
        <f t="shared" si="62"/>
        <v>35.236631574292687</v>
      </c>
      <c r="DN41" s="81"/>
      <c r="DO41" s="81">
        <v>40</v>
      </c>
      <c r="DP41" s="133">
        <v>12.88911626339347</v>
      </c>
      <c r="DQ41" s="133">
        <v>14.127519560375378</v>
      </c>
      <c r="DR41" s="133">
        <v>15.287372697271154</v>
      </c>
      <c r="DS41" s="133">
        <v>16.743277478261259</v>
      </c>
      <c r="DT41" s="133">
        <v>19.487053392825214</v>
      </c>
      <c r="DU41" s="134">
        <v>23.078313269435366</v>
      </c>
      <c r="DV41" s="133">
        <v>27.331404734504062</v>
      </c>
      <c r="DW41" s="133">
        <v>31.810291865120924</v>
      </c>
      <c r="DX41" s="133">
        <v>34.83976965232678</v>
      </c>
      <c r="DY41" s="133">
        <v>37.700074743201753</v>
      </c>
      <c r="DZ41" s="133">
        <v>41.322347667455233</v>
      </c>
      <c r="EA41" s="81"/>
      <c r="EB41" s="81">
        <v>40</v>
      </c>
      <c r="EC41" s="133">
        <v>12.817043416201585</v>
      </c>
      <c r="ED41" s="133">
        <v>13.753550134270011</v>
      </c>
      <c r="EE41" s="133">
        <v>14.613547373242168</v>
      </c>
      <c r="EF41" s="133">
        <v>15.672020067326571</v>
      </c>
      <c r="EG41" s="133">
        <v>17.611096184498493</v>
      </c>
      <c r="EH41" s="134">
        <v>20.056406896257041</v>
      </c>
      <c r="EI41" s="133">
        <v>22.841250389757171</v>
      </c>
      <c r="EJ41" s="133">
        <v>25.667364887240545</v>
      </c>
      <c r="EK41" s="133">
        <v>27.526475763494361</v>
      </c>
      <c r="EL41" s="133">
        <v>29.247681773879506</v>
      </c>
      <c r="EM41" s="133">
        <v>31.384730824875323</v>
      </c>
      <c r="EN41" s="81"/>
      <c r="EO41" s="81">
        <v>42</v>
      </c>
      <c r="EP41" s="133">
        <v>15.732221268627567</v>
      </c>
      <c r="EQ41" s="133">
        <v>16.835526495014545</v>
      </c>
      <c r="ER41" s="133">
        <v>17.846120242003987</v>
      </c>
      <c r="ES41" s="133">
        <v>19.086788099300975</v>
      </c>
      <c r="ET41" s="133">
        <v>21.351349485702368</v>
      </c>
      <c r="EU41" s="134">
        <v>24.193434087864507</v>
      </c>
      <c r="EV41" s="133">
        <v>27.413829432926356</v>
      </c>
      <c r="EW41" s="133">
        <v>30.666356744709752</v>
      </c>
      <c r="EX41" s="133">
        <v>32.798291450832281</v>
      </c>
      <c r="EY41" s="133">
        <v>34.767089294010162</v>
      </c>
      <c r="EZ41" s="133">
        <v>37.205315318763382</v>
      </c>
      <c r="FA41" s="81"/>
      <c r="FB41" s="81">
        <v>40</v>
      </c>
      <c r="FC41" s="133">
        <v>7.9905568365275244</v>
      </c>
      <c r="FD41" s="133">
        <v>8.8157441051346321</v>
      </c>
      <c r="FE41" s="133">
        <v>9.5932936309606518</v>
      </c>
      <c r="FF41" s="133">
        <v>10.575249688967034</v>
      </c>
      <c r="FG41" s="133">
        <v>12.442071750991969</v>
      </c>
      <c r="FH41" s="134">
        <v>14.913690381846406</v>
      </c>
      <c r="FI41" s="133">
        <v>17.876296267769504</v>
      </c>
      <c r="FJ41" s="133">
        <v>21.031953603669788</v>
      </c>
      <c r="FK41" s="133">
        <v>23.184754825784022</v>
      </c>
      <c r="FL41" s="133">
        <v>25.229652557182678</v>
      </c>
      <c r="FM41" s="133">
        <v>27.83512655699159</v>
      </c>
      <c r="FN41" s="81"/>
      <c r="FO41" s="81">
        <v>40</v>
      </c>
      <c r="FP41" s="133">
        <v>7.8764617885953374</v>
      </c>
      <c r="FQ41" s="133">
        <v>8.551931217013216</v>
      </c>
      <c r="FR41" s="133">
        <v>9.1790245433205193</v>
      </c>
      <c r="FS41" s="133">
        <v>9.9593036951713785</v>
      </c>
      <c r="FT41" s="133">
        <v>11.411337787092236</v>
      </c>
      <c r="FU41" s="134">
        <v>13.280588906136343</v>
      </c>
      <c r="FV41" s="133">
        <v>15.456035478442725</v>
      </c>
      <c r="FW41" s="133">
        <v>17.709475189445637</v>
      </c>
      <c r="FX41" s="133">
        <v>19.214900326433632</v>
      </c>
      <c r="FY41" s="133">
        <v>20.623884502592013</v>
      </c>
      <c r="FZ41" s="133">
        <v>22.392547114133297</v>
      </c>
      <c r="GA41" s="81"/>
      <c r="GB41" s="81">
        <v>42</v>
      </c>
      <c r="GC41" s="133">
        <v>9.7908226020403752</v>
      </c>
      <c r="GD41" s="133">
        <v>10.574236088629007</v>
      </c>
      <c r="GE41" s="133">
        <v>11.297970890766543</v>
      </c>
      <c r="GF41" s="133">
        <v>12.1940806383494</v>
      </c>
      <c r="GG41" s="133">
        <v>13.849905487015663</v>
      </c>
      <c r="GH41" s="134">
        <v>15.961774515066603</v>
      </c>
      <c r="GI41" s="133">
        <v>18.395666736403751</v>
      </c>
      <c r="GJ41" s="133">
        <v>20.893600200458962</v>
      </c>
      <c r="GK41" s="133">
        <v>22.550796787594098</v>
      </c>
      <c r="GL41" s="133">
        <v>24.094246008352822</v>
      </c>
      <c r="GM41" s="133">
        <v>26.022149111019012</v>
      </c>
      <c r="GN41" s="81"/>
      <c r="GO41" s="81">
        <v>40</v>
      </c>
      <c r="GP41" s="133">
        <f t="shared" si="63"/>
        <v>0.45441285788102193</v>
      </c>
      <c r="GQ41" s="133">
        <f t="shared" si="64"/>
        <v>0.48961429324056216</v>
      </c>
      <c r="GR41" s="133">
        <f t="shared" si="65"/>
        <v>0.51787212533614535</v>
      </c>
      <c r="GS41" s="133">
        <f t="shared" si="351"/>
        <v>0.54854641128440729</v>
      </c>
      <c r="GT41" s="133">
        <f t="shared" si="352"/>
        <v>0.59735443088797402</v>
      </c>
      <c r="GU41" s="134">
        <f t="shared" si="353"/>
        <v>0.64460229238544187</v>
      </c>
      <c r="GV41" s="133">
        <f t="shared" si="354"/>
        <v>0.68843554196347323</v>
      </c>
      <c r="GW41" s="133">
        <f t="shared" si="66"/>
        <v>0.72743922113530379</v>
      </c>
      <c r="GX41" s="133">
        <f t="shared" si="67"/>
        <v>0.74916427662723994</v>
      </c>
      <c r="GY41" s="133">
        <f t="shared" si="68"/>
        <v>0.76748060433550025</v>
      </c>
      <c r="GZ41" s="133">
        <f t="shared" si="69"/>
        <v>0.7882111412702123</v>
      </c>
      <c r="HA41" s="81"/>
      <c r="HB41" s="81">
        <v>40</v>
      </c>
      <c r="HC41" s="133">
        <f t="shared" si="70"/>
        <v>0.43451239975788541</v>
      </c>
      <c r="HD41" s="133">
        <f t="shared" si="71"/>
        <v>0.47323725653115745</v>
      </c>
      <c r="HE41" s="133">
        <f t="shared" si="72"/>
        <v>0.5040808755421442</v>
      </c>
      <c r="HF41" s="133">
        <f t="shared" si="355"/>
        <v>0.5373671467190112</v>
      </c>
      <c r="HG41" s="133">
        <f t="shared" si="356"/>
        <v>0.5885675597713298</v>
      </c>
      <c r="HH41" s="134">
        <f t="shared" si="357"/>
        <v>0.6406566915763996</v>
      </c>
      <c r="HI41" s="133">
        <f t="shared" si="358"/>
        <v>0.68867280620810867</v>
      </c>
      <c r="HJ41" s="133">
        <f t="shared" si="73"/>
        <v>0.72896519662790193</v>
      </c>
      <c r="HK41" s="133">
        <f t="shared" si="74"/>
        <v>0.75204490170612104</v>
      </c>
      <c r="HL41" s="133">
        <f t="shared" si="75"/>
        <v>0.77148242714520976</v>
      </c>
      <c r="HM41" s="133">
        <f t="shared" si="76"/>
        <v>0.79346106818932449</v>
      </c>
      <c r="HN41" s="81"/>
      <c r="HO41" s="81">
        <v>42</v>
      </c>
      <c r="HP41" s="83">
        <f t="shared" si="77"/>
        <v>0.47636090677184162</v>
      </c>
      <c r="HQ41" s="83">
        <f t="shared" si="78"/>
        <v>0.50836084983560015</v>
      </c>
      <c r="HR41" s="83">
        <f t="shared" si="79"/>
        <v>0.53423644448069196</v>
      </c>
      <c r="HS41" s="83">
        <f t="shared" si="359"/>
        <v>0.56248254969258438</v>
      </c>
      <c r="HT41" s="83">
        <f t="shared" si="360"/>
        <v>0.60646508887310857</v>
      </c>
      <c r="HU41" s="84">
        <f t="shared" si="361"/>
        <v>0.65174261134255573</v>
      </c>
      <c r="HV41" s="83">
        <f t="shared" si="362"/>
        <v>0.69385301668872967</v>
      </c>
      <c r="HW41" s="83">
        <f t="shared" si="80"/>
        <v>0.72941247353503613</v>
      </c>
      <c r="HX41" s="83">
        <f t="shared" si="81"/>
        <v>0.74985868775279041</v>
      </c>
      <c r="HY41" s="83">
        <f t="shared" si="82"/>
        <v>0.76711715979478767</v>
      </c>
      <c r="HZ41" s="83">
        <f t="shared" si="83"/>
        <v>0.78667092101351932</v>
      </c>
      <c r="IA41" s="81"/>
      <c r="IB41" s="81">
        <v>40</v>
      </c>
      <c r="IC41" s="83">
        <f t="shared" si="84"/>
        <v>0.3137544016284467</v>
      </c>
      <c r="ID41" s="83">
        <f t="shared" si="85"/>
        <v>0.32945729561047676</v>
      </c>
      <c r="IE41" s="83">
        <f t="shared" si="86"/>
        <v>0.34155292653880337</v>
      </c>
      <c r="IF41" s="83">
        <f t="shared" si="363"/>
        <v>0.35423890190694929</v>
      </c>
      <c r="IG41" s="83">
        <f t="shared" si="364"/>
        <v>0.3730851124679565</v>
      </c>
      <c r="IH41" s="84">
        <f t="shared" si="365"/>
        <v>0.39152260238455877</v>
      </c>
      <c r="II41" s="83">
        <f t="shared" si="366"/>
        <v>0.4079370532418235</v>
      </c>
      <c r="IJ41" s="83">
        <f t="shared" si="87"/>
        <v>0.42132379570455486</v>
      </c>
      <c r="IK41" s="83">
        <f t="shared" si="88"/>
        <v>0.42884459949942771</v>
      </c>
      <c r="IL41" s="83">
        <f t="shared" si="89"/>
        <v>0.43509987480848972</v>
      </c>
      <c r="IM41" s="83">
        <f t="shared" si="90"/>
        <v>0.44208978111950836</v>
      </c>
      <c r="IN41" s="81"/>
      <c r="IO41" s="81">
        <v>40</v>
      </c>
      <c r="IP41" s="133">
        <f t="shared" si="91"/>
        <v>0.30411024163983402</v>
      </c>
      <c r="IQ41" s="133">
        <f t="shared" si="92"/>
        <v>0.32191899528345558</v>
      </c>
      <c r="IR41" s="133">
        <f t="shared" si="93"/>
        <v>0.33543286254914317</v>
      </c>
      <c r="IS41" s="133">
        <f t="shared" si="367"/>
        <v>0.34945409856275789</v>
      </c>
      <c r="IT41" s="133">
        <f t="shared" si="368"/>
        <v>0.37005422804861327</v>
      </c>
      <c r="IU41" s="134">
        <f t="shared" si="369"/>
        <v>0.38999932593878067</v>
      </c>
      <c r="IV41" s="133">
        <f t="shared" si="370"/>
        <v>0.40762103314046094</v>
      </c>
      <c r="IW41" s="133">
        <f t="shared" si="94"/>
        <v>0.42191642634479187</v>
      </c>
      <c r="IX41" s="133">
        <f t="shared" si="95"/>
        <v>0.42992223269897833</v>
      </c>
      <c r="IY41" s="133">
        <f t="shared" si="96"/>
        <v>0.43656843076320362</v>
      </c>
      <c r="IZ41" s="133">
        <f t="shared" si="97"/>
        <v>0.44398286107947571</v>
      </c>
      <c r="JA41" s="81"/>
      <c r="JB41" s="81">
        <v>42</v>
      </c>
      <c r="JC41" s="133">
        <f t="shared" si="98"/>
        <v>0.32402166395413318</v>
      </c>
      <c r="JD41" s="133">
        <f t="shared" si="99"/>
        <v>0.33784083166241324</v>
      </c>
      <c r="JE41" s="133">
        <f t="shared" si="100"/>
        <v>0.34863156037640458</v>
      </c>
      <c r="JF41" s="133">
        <f t="shared" si="371"/>
        <v>0.36006516637325719</v>
      </c>
      <c r="JG41" s="133">
        <f t="shared" si="372"/>
        <v>0.37723621518322575</v>
      </c>
      <c r="JH41" s="134">
        <f t="shared" si="373"/>
        <v>0.39421189804348067</v>
      </c>
      <c r="JI41" s="133">
        <f t="shared" si="374"/>
        <v>0.40944513188741971</v>
      </c>
      <c r="JJ41" s="133">
        <f t="shared" si="101"/>
        <v>0.42193858098053483</v>
      </c>
      <c r="JK41" s="133">
        <f t="shared" si="102"/>
        <v>0.42898159678100423</v>
      </c>
      <c r="JL41" s="133">
        <f t="shared" si="103"/>
        <v>0.43485144013681004</v>
      </c>
      <c r="JM41" s="133">
        <f t="shared" si="104"/>
        <v>0.44142258141868784</v>
      </c>
      <c r="JN41" s="81"/>
      <c r="JO41" s="81">
        <v>39</v>
      </c>
      <c r="JP41" s="133">
        <f t="shared" si="105"/>
        <v>-5.3102233428836474</v>
      </c>
      <c r="JQ41" s="133">
        <f t="shared" si="106"/>
        <v>-3.8666503134366046</v>
      </c>
      <c r="JR41" s="133">
        <f t="shared" si="107"/>
        <v>-2.6076609118718714</v>
      </c>
      <c r="JS41" s="133">
        <f t="shared" si="375"/>
        <v>-1.1371029060723856</v>
      </c>
      <c r="JT41" s="133">
        <f t="shared" si="376"/>
        <v>1.3588384420231101</v>
      </c>
      <c r="JU41" s="134">
        <f t="shared" si="377"/>
        <v>4.1996743864859489</v>
      </c>
      <c r="JV41" s="133">
        <f t="shared" si="378"/>
        <v>7.0981096978776996</v>
      </c>
      <c r="JW41" s="133">
        <f t="shared" si="108"/>
        <v>9.7443340295020384</v>
      </c>
      <c r="JX41" s="133">
        <f t="shared" si="109"/>
        <v>11.350306528431123</v>
      </c>
      <c r="JY41" s="133">
        <f t="shared" si="110"/>
        <v>12.754729553532695</v>
      </c>
      <c r="JZ41" s="133">
        <f t="shared" si="111"/>
        <v>14.400686833151536</v>
      </c>
      <c r="KA41" s="81"/>
      <c r="KB41" s="81">
        <v>39</v>
      </c>
      <c r="KC41" s="133">
        <f t="shared" si="112"/>
        <v>-3.6116801938147702</v>
      </c>
      <c r="KD41" s="133">
        <f t="shared" si="113"/>
        <v>-2.3732231777126973</v>
      </c>
      <c r="KE41" s="133">
        <f t="shared" si="114"/>
        <v>-1.2656689357198498</v>
      </c>
      <c r="KF41" s="133">
        <f t="shared" si="379"/>
        <v>5.7860881239585993E-2</v>
      </c>
      <c r="KG41" s="133">
        <f t="shared" si="380"/>
        <v>2.3714750989499507</v>
      </c>
      <c r="KH41" s="134">
        <f t="shared" si="381"/>
        <v>5.097390400804338</v>
      </c>
      <c r="KI41" s="133">
        <f t="shared" si="382"/>
        <v>7.9692773591408166</v>
      </c>
      <c r="KJ41" s="133">
        <f t="shared" si="115"/>
        <v>10.663501828102051</v>
      </c>
      <c r="KK41" s="133">
        <f t="shared" si="116"/>
        <v>12.329685448607909</v>
      </c>
      <c r="KL41" s="133">
        <f t="shared" si="117"/>
        <v>13.804934914256497</v>
      </c>
      <c r="KM41" s="133">
        <f t="shared" si="118"/>
        <v>15.554550324685392</v>
      </c>
      <c r="KN41" s="81"/>
      <c r="KO41" s="81">
        <v>41</v>
      </c>
      <c r="KP41" s="133">
        <f t="shared" si="119"/>
        <v>-5.922781504676399</v>
      </c>
      <c r="KQ41" s="133">
        <f t="shared" si="120"/>
        <v>-4.4059635211750958</v>
      </c>
      <c r="KR41" s="133">
        <f t="shared" si="121"/>
        <v>-3.1080759269491338</v>
      </c>
      <c r="KS41" s="133">
        <f t="shared" si="383"/>
        <v>-1.6186523548137366</v>
      </c>
      <c r="KT41" s="133">
        <f t="shared" si="384"/>
        <v>0.85101325737314681</v>
      </c>
      <c r="KU41" s="134">
        <f t="shared" si="385"/>
        <v>3.5841209641624694</v>
      </c>
      <c r="KV41" s="133">
        <f t="shared" si="386"/>
        <v>6.299078821287889</v>
      </c>
      <c r="KW41" s="133">
        <f t="shared" si="122"/>
        <v>8.7211325723339428</v>
      </c>
      <c r="KX41" s="133">
        <f t="shared" si="123"/>
        <v>10.167325720842911</v>
      </c>
      <c r="KY41" s="133">
        <f t="shared" si="124"/>
        <v>11.418421394374274</v>
      </c>
      <c r="KZ41" s="133">
        <f t="shared" si="125"/>
        <v>12.869466061817921</v>
      </c>
      <c r="LA41" s="81"/>
      <c r="LB41" s="81">
        <v>39</v>
      </c>
      <c r="LC41" s="133">
        <f t="shared" si="126"/>
        <v>-13.339116005216734</v>
      </c>
      <c r="LD41" s="133">
        <f t="shared" si="127"/>
        <v>-9.6811279597654121</v>
      </c>
      <c r="LE41" s="133">
        <f t="shared" si="128"/>
        <v>-6.448721432741241</v>
      </c>
      <c r="LF41" s="133">
        <f t="shared" si="387"/>
        <v>-2.6300992714527638</v>
      </c>
      <c r="LG41" s="133">
        <f t="shared" si="388"/>
        <v>3.9415924818300212</v>
      </c>
      <c r="LH41" s="134">
        <f t="shared" si="389"/>
        <v>11.5366386597427</v>
      </c>
      <c r="LI41" s="133">
        <f t="shared" si="390"/>
        <v>19.389707211855132</v>
      </c>
      <c r="LJ41" s="133">
        <f t="shared" si="129"/>
        <v>26.636538753799627</v>
      </c>
      <c r="LK41" s="133">
        <f t="shared" si="130"/>
        <v>31.066004924274758</v>
      </c>
      <c r="LL41" s="133">
        <f t="shared" si="131"/>
        <v>34.957245840374277</v>
      </c>
      <c r="LM41" s="133">
        <f t="shared" si="132"/>
        <v>39.537211541250763</v>
      </c>
      <c r="LN41" s="81"/>
      <c r="LO41" s="81">
        <v>39</v>
      </c>
      <c r="LP41" s="133">
        <f t="shared" si="133"/>
        <v>-9.543440358505535</v>
      </c>
      <c r="LQ41" s="133">
        <f t="shared" si="134"/>
        <v>-5.9851205027627152</v>
      </c>
      <c r="LR41" s="133">
        <f t="shared" si="135"/>
        <v>-2.8283654999661678</v>
      </c>
      <c r="LS41" s="133">
        <f t="shared" si="391"/>
        <v>0.91419661066066737</v>
      </c>
      <c r="LT41" s="133">
        <f t="shared" si="392"/>
        <v>7.384563655361152</v>
      </c>
      <c r="LU41" s="134">
        <f t="shared" si="393"/>
        <v>14.902571881440881</v>
      </c>
      <c r="LV41" s="133">
        <f t="shared" si="394"/>
        <v>22.714504741372775</v>
      </c>
      <c r="LW41" s="133">
        <f t="shared" si="136"/>
        <v>29.953543254697525</v>
      </c>
      <c r="LX41" s="133">
        <f t="shared" si="137"/>
        <v>34.391049156164584</v>
      </c>
      <c r="LY41" s="133">
        <f t="shared" si="138"/>
        <v>38.296767817032588</v>
      </c>
      <c r="LZ41" s="133">
        <f t="shared" si="139"/>
        <v>42.902145510585612</v>
      </c>
      <c r="MA41" s="81"/>
      <c r="MB41" s="81">
        <v>41</v>
      </c>
      <c r="MC41" s="133">
        <f t="shared" si="140"/>
        <v>-13.328954742852929</v>
      </c>
      <c r="MD41" s="133">
        <f t="shared" si="141"/>
        <v>-9.9077779517149125</v>
      </c>
      <c r="ME41" s="133">
        <f t="shared" si="142"/>
        <v>-6.9202162139423109</v>
      </c>
      <c r="MF41" s="133">
        <f t="shared" si="395"/>
        <v>-3.4284023617355501</v>
      </c>
      <c r="MG41" s="133">
        <f t="shared" si="396"/>
        <v>2.4988049648250907</v>
      </c>
      <c r="MH41" s="134">
        <f t="shared" si="397"/>
        <v>9.23992949643862</v>
      </c>
      <c r="MI41" s="133">
        <f t="shared" si="398"/>
        <v>16.10731020331459</v>
      </c>
      <c r="MJ41" s="133">
        <f t="shared" si="143"/>
        <v>22.365516287736014</v>
      </c>
      <c r="MK41" s="133">
        <f t="shared" si="144"/>
        <v>26.157628149088382</v>
      </c>
      <c r="ML41" s="133">
        <f t="shared" si="145"/>
        <v>29.469993107705911</v>
      </c>
      <c r="MM41" s="133">
        <f t="shared" si="146"/>
        <v>33.347373933394557</v>
      </c>
      <c r="MN41" s="81"/>
      <c r="MO41" s="81">
        <v>39</v>
      </c>
      <c r="MP41" s="133">
        <f t="shared" si="147"/>
        <v>-19.857616769005944</v>
      </c>
      <c r="MQ41" s="133">
        <f t="shared" si="148"/>
        <v>-15.553256195741508</v>
      </c>
      <c r="MR41" s="133">
        <f t="shared" si="149"/>
        <v>-11.828690622207869</v>
      </c>
      <c r="MS41" s="133">
        <f t="shared" si="399"/>
        <v>-7.5125770096261881</v>
      </c>
      <c r="MT41" s="133">
        <f t="shared" si="400"/>
        <v>-0.2684269427984205</v>
      </c>
      <c r="MU41" s="134">
        <f t="shared" si="401"/>
        <v>7.8600458012402754</v>
      </c>
      <c r="MV41" s="133">
        <f t="shared" si="402"/>
        <v>16.036176704638187</v>
      </c>
      <c r="MW41" s="133">
        <f t="shared" si="150"/>
        <v>23.40651253565391</v>
      </c>
      <c r="MX41" s="133">
        <f t="shared" si="151"/>
        <v>27.838798580501766</v>
      </c>
      <c r="MY41" s="133">
        <f t="shared" si="152"/>
        <v>31.691038323770265</v>
      </c>
      <c r="MZ41" s="133">
        <f t="shared" si="153"/>
        <v>36.17879376572423</v>
      </c>
      <c r="NA41" s="81"/>
      <c r="NB41" s="81">
        <v>39</v>
      </c>
      <c r="NC41" s="133">
        <f t="shared" si="154"/>
        <v>-13.747325397105065</v>
      </c>
      <c r="ND41" s="133">
        <f t="shared" si="155"/>
        <v>-9.7537433175512724</v>
      </c>
      <c r="NE41" s="133">
        <f t="shared" si="156"/>
        <v>-6.2874752912703507</v>
      </c>
      <c r="NF41" s="133">
        <f t="shared" si="403"/>
        <v>-2.2607421693855372</v>
      </c>
      <c r="NG41" s="133">
        <f t="shared" si="404"/>
        <v>4.5171336157226314</v>
      </c>
      <c r="NH41" s="134">
        <f t="shared" si="405"/>
        <v>12.145648084081845</v>
      </c>
      <c r="NI41" s="133">
        <f t="shared" si="406"/>
        <v>19.83885327768559</v>
      </c>
      <c r="NJ41" s="133">
        <f t="shared" si="157"/>
        <v>26.788194735788228</v>
      </c>
      <c r="NK41" s="133">
        <f t="shared" si="158"/>
        <v>30.9730506575216</v>
      </c>
      <c r="NL41" s="133">
        <f t="shared" si="159"/>
        <v>34.613438109593659</v>
      </c>
      <c r="NM41" s="133">
        <f t="shared" si="160"/>
        <v>38.857893717070766</v>
      </c>
      <c r="NN41" s="81"/>
      <c r="NO41" s="81">
        <v>41</v>
      </c>
      <c r="NP41" s="133">
        <f t="shared" si="161"/>
        <v>-20.56569470551446</v>
      </c>
      <c r="NQ41" s="133">
        <f t="shared" si="162"/>
        <v>-16.672254228170399</v>
      </c>
      <c r="NR41" s="133">
        <f t="shared" si="163"/>
        <v>-13.320657169784383</v>
      </c>
      <c r="NS41" s="133">
        <f t="shared" si="407"/>
        <v>-9.4535406559509667</v>
      </c>
      <c r="NT41" s="133">
        <f t="shared" si="408"/>
        <v>-2.9966104121408108</v>
      </c>
      <c r="NU41" s="134">
        <f t="shared" si="409"/>
        <v>4.2074522786288426</v>
      </c>
      <c r="NV41" s="133">
        <f t="shared" si="410"/>
        <v>11.417849863806104</v>
      </c>
      <c r="NW41" s="133">
        <f t="shared" si="164"/>
        <v>17.891559505558291</v>
      </c>
      <c r="NX41" s="133">
        <f t="shared" si="165"/>
        <v>21.774131929301589</v>
      </c>
      <c r="NY41" s="133">
        <f t="shared" si="166"/>
        <v>25.142723749500604</v>
      </c>
      <c r="NZ41" s="133">
        <f t="shared" si="167"/>
        <v>29.06059090712656</v>
      </c>
      <c r="OA41" s="81"/>
      <c r="OB41" s="81">
        <v>39</v>
      </c>
      <c r="OC41" s="133">
        <v>14.388853335754993</v>
      </c>
      <c r="OD41" s="133">
        <v>15.905481617639571</v>
      </c>
      <c r="OE41" s="133">
        <v>17.337118598302755</v>
      </c>
      <c r="OF41" s="133">
        <v>19.14835477184403</v>
      </c>
      <c r="OG41" s="133">
        <v>22.600647424677685</v>
      </c>
      <c r="OH41" s="134">
        <v>27.186895746721625</v>
      </c>
      <c r="OI41" s="133">
        <v>32.703810933135308</v>
      </c>
      <c r="OJ41" s="133">
        <v>38.600042100219071</v>
      </c>
      <c r="OK41" s="133">
        <v>42.632649488564283</v>
      </c>
      <c r="OL41" s="133">
        <v>46.469972938348477</v>
      </c>
      <c r="OM41" s="133">
        <v>51.368047411147508</v>
      </c>
      <c r="ON41" s="81"/>
      <c r="OO41" s="81">
        <v>39</v>
      </c>
      <c r="OP41" s="133">
        <v>12.904206885743635</v>
      </c>
      <c r="OQ41" s="133">
        <v>14.117127302327935</v>
      </c>
      <c r="OR41" s="133">
        <v>15.251106262624816</v>
      </c>
      <c r="OS41" s="133">
        <v>16.672017938416015</v>
      </c>
      <c r="OT41" s="133">
        <v>25.078922614684981</v>
      </c>
      <c r="OU41" s="134">
        <v>22.827396360758659</v>
      </c>
      <c r="OV41" s="133">
        <v>26.939413001521068</v>
      </c>
      <c r="OW41" s="133">
        <v>31.255366119206908</v>
      </c>
      <c r="OX41" s="133">
        <v>34.167359117298197</v>
      </c>
      <c r="OY41" s="133">
        <v>36.911902361697138</v>
      </c>
      <c r="OZ41" s="133">
        <v>40.381406561829827</v>
      </c>
      <c r="PA41" s="81"/>
      <c r="PB41" s="81">
        <v>41</v>
      </c>
      <c r="PC41" s="133">
        <v>19.520702336170004</v>
      </c>
      <c r="PD41" s="133">
        <v>21.016543534064763</v>
      </c>
      <c r="PE41" s="133">
        <v>22.394411511455299</v>
      </c>
      <c r="PF41" s="133">
        <v>24.095490475044596</v>
      </c>
      <c r="PG41" s="133">
        <v>27.225591118820702</v>
      </c>
      <c r="PH41" s="134">
        <v>31.195858336461029</v>
      </c>
      <c r="PI41" s="133">
        <v>35.745103682094054</v>
      </c>
      <c r="PJ41" s="133">
        <v>40.388535703660267</v>
      </c>
      <c r="PK41" s="133">
        <v>43.456447911155784</v>
      </c>
      <c r="PL41" s="133">
        <v>46.305500986456636</v>
      </c>
      <c r="PM41" s="133">
        <v>49.853819836458023</v>
      </c>
      <c r="PN41" s="81"/>
      <c r="PO41" s="81">
        <v>39</v>
      </c>
      <c r="PP41" s="133">
        <v>8.4775570096999875</v>
      </c>
      <c r="PQ41" s="133">
        <v>9.2353954155578162</v>
      </c>
      <c r="PR41" s="133">
        <v>9.9411449697072172</v>
      </c>
      <c r="PS41" s="133">
        <v>10.822021355098355</v>
      </c>
      <c r="PT41" s="133">
        <v>12.468590753150021</v>
      </c>
      <c r="PU41" s="134">
        <v>14.600735047379665</v>
      </c>
      <c r="PV41" s="133">
        <v>17.097478628041696</v>
      </c>
      <c r="PW41" s="133">
        <v>19.698858182658174</v>
      </c>
      <c r="PX41" s="133">
        <v>21.444357221767717</v>
      </c>
      <c r="PY41" s="133">
        <v>23.083090039074929</v>
      </c>
      <c r="PZ41" s="133">
        <v>25.14656801244266</v>
      </c>
      <c r="QA41" s="81"/>
      <c r="QB41" s="81">
        <v>39</v>
      </c>
      <c r="QC41" s="133">
        <v>8.1441986094408829</v>
      </c>
      <c r="QD41" s="133">
        <v>8.8719783201310527</v>
      </c>
      <c r="QE41" s="133">
        <v>9.549716879642963</v>
      </c>
      <c r="QF41" s="133">
        <v>10.395608665354271</v>
      </c>
      <c r="QG41" s="133">
        <v>11.976721901304352</v>
      </c>
      <c r="QH41" s="134">
        <v>14.024002290263359</v>
      </c>
      <c r="QI41" s="133">
        <v>16.421241292735779</v>
      </c>
      <c r="QJ41" s="133">
        <v>18.918819144545932</v>
      </c>
      <c r="QK41" s="133">
        <v>20.594604292045243</v>
      </c>
      <c r="QL41" s="133">
        <v>22.167844999243272</v>
      </c>
      <c r="QM41" s="133">
        <v>24.148802069896227</v>
      </c>
      <c r="QN41" s="81"/>
      <c r="QO41" s="81">
        <v>41</v>
      </c>
      <c r="QP41" s="133">
        <v>9.3816227349417503</v>
      </c>
      <c r="QQ41" s="133">
        <v>10.154424685299151</v>
      </c>
      <c r="QR41" s="133">
        <v>10.869803794816599</v>
      </c>
      <c r="QS41" s="133">
        <v>11.757361807921697</v>
      </c>
      <c r="QT41" s="133">
        <v>13.402166022298985</v>
      </c>
      <c r="QU41" s="134">
        <v>15.508018994815977</v>
      </c>
      <c r="QV41" s="133">
        <v>17.944760029343257</v>
      </c>
      <c r="QW41" s="133">
        <v>20.45515457230665</v>
      </c>
      <c r="QX41" s="133">
        <v>22.125390456289356</v>
      </c>
      <c r="QY41" s="133">
        <v>23.684123975211492</v>
      </c>
      <c r="QZ41" s="133">
        <v>25.635080405422674</v>
      </c>
      <c r="RA41" s="81"/>
      <c r="RB41" s="81">
        <v>39</v>
      </c>
      <c r="RC41" s="133">
        <f t="shared" si="168"/>
        <v>0.29252480601524</v>
      </c>
      <c r="RD41" s="133">
        <f t="shared" si="169"/>
        <v>0.31814555209946904</v>
      </c>
      <c r="RE41" s="133">
        <f t="shared" si="170"/>
        <v>0.3422691231495909</v>
      </c>
      <c r="RF41" s="133">
        <f t="shared" si="411"/>
        <v>0.37274607987058916</v>
      </c>
      <c r="RG41" s="133">
        <f t="shared" si="412"/>
        <v>0.43083930175754226</v>
      </c>
      <c r="RH41" s="134">
        <f t="shared" si="413"/>
        <v>0.50829956002764765</v>
      </c>
      <c r="RI41" s="133">
        <f t="shared" si="414"/>
        <v>0.60228256497639121</v>
      </c>
      <c r="RJ41" s="133">
        <f t="shared" si="171"/>
        <v>0.70402011461502478</v>
      </c>
      <c r="RK41" s="133">
        <f t="shared" si="172"/>
        <v>0.77448716317409283</v>
      </c>
      <c r="RL41" s="133">
        <f t="shared" si="173"/>
        <v>0.8422623308924434</v>
      </c>
      <c r="RM41" s="133">
        <f t="shared" si="174"/>
        <v>0.92984222115270487</v>
      </c>
      <c r="RN41" s="81"/>
      <c r="RO41" s="81">
        <v>39</v>
      </c>
      <c r="RP41" s="133">
        <f t="shared" si="175"/>
        <v>0.3226320678265352</v>
      </c>
      <c r="RQ41" s="133">
        <f t="shared" si="176"/>
        <v>0.34905182328104262</v>
      </c>
      <c r="RR41" s="133">
        <f t="shared" si="177"/>
        <v>0.37390261104927919</v>
      </c>
      <c r="RS41" s="133">
        <f t="shared" si="415"/>
        <v>0.40527734852729685</v>
      </c>
      <c r="RT41" s="133">
        <f t="shared" si="416"/>
        <v>0.4650633801450767</v>
      </c>
      <c r="RU41" s="134">
        <f t="shared" si="417"/>
        <v>0.54484387770966203</v>
      </c>
      <c r="RV41" s="133">
        <f t="shared" si="418"/>
        <v>0.64188219175436156</v>
      </c>
      <c r="RW41" s="133">
        <f t="shared" si="178"/>
        <v>0.74735644485060382</v>
      </c>
      <c r="RX41" s="133">
        <f t="shared" si="179"/>
        <v>0.82072362499351836</v>
      </c>
      <c r="RY41" s="133">
        <f t="shared" si="180"/>
        <v>0.89155231565313298</v>
      </c>
      <c r="RZ41" s="133">
        <f t="shared" si="181"/>
        <v>0.98348349661411627</v>
      </c>
      <c r="SA41" s="81"/>
      <c r="SB41" s="81">
        <v>41</v>
      </c>
      <c r="SC41" s="133">
        <f t="shared" si="182"/>
        <v>0.28326713637820528</v>
      </c>
      <c r="SD41" s="133">
        <f t="shared" si="183"/>
        <v>0.30828909102502805</v>
      </c>
      <c r="SE41" s="133">
        <f t="shared" si="184"/>
        <v>0.33159488283668298</v>
      </c>
      <c r="SF41" s="133">
        <f t="shared" si="419"/>
        <v>0.36069086382608334</v>
      </c>
      <c r="SG41" s="133">
        <f t="shared" si="420"/>
        <v>0.41510522562784802</v>
      </c>
      <c r="SH41" s="134">
        <f t="shared" si="421"/>
        <v>0.48563005809340415</v>
      </c>
      <c r="SI41" s="133">
        <f t="shared" si="422"/>
        <v>0.56831905325030552</v>
      </c>
      <c r="SJ41" s="133">
        <f t="shared" si="185"/>
        <v>0.65460204628785434</v>
      </c>
      <c r="SK41" s="133">
        <f t="shared" si="186"/>
        <v>0.71257281030376995</v>
      </c>
      <c r="SL41" s="133">
        <f t="shared" si="187"/>
        <v>0.76705355511961015</v>
      </c>
      <c r="SM41" s="133">
        <f t="shared" si="188"/>
        <v>0.83573211004771297</v>
      </c>
      <c r="SN41" s="81"/>
      <c r="SO41" s="81">
        <v>39</v>
      </c>
      <c r="SP41" s="133">
        <f t="shared" si="189"/>
        <v>0.22628883251032311</v>
      </c>
      <c r="SQ41" s="133">
        <f t="shared" si="190"/>
        <v>0.2415672758482183</v>
      </c>
      <c r="SR41" s="133">
        <f t="shared" si="191"/>
        <v>0.25531273531385257</v>
      </c>
      <c r="SS41" s="133">
        <f t="shared" si="423"/>
        <v>0.2718762637862423</v>
      </c>
      <c r="ST41" s="133">
        <f t="shared" si="424"/>
        <v>0.3012770438475964</v>
      </c>
      <c r="SU41" s="134">
        <f t="shared" si="425"/>
        <v>0.33677723714788882</v>
      </c>
      <c r="SV41" s="133">
        <f t="shared" si="426"/>
        <v>0.37531277781524569</v>
      </c>
      <c r="SW41" s="133">
        <f t="shared" si="192"/>
        <v>0.41260682826046802</v>
      </c>
      <c r="SX41" s="133">
        <f t="shared" si="193"/>
        <v>0.43624986523645992</v>
      </c>
      <c r="SY41" s="133">
        <f t="shared" si="194"/>
        <v>0.45756359145588044</v>
      </c>
      <c r="SZ41" s="133">
        <f t="shared" si="195"/>
        <v>0.483312810455853</v>
      </c>
      <c r="TA41" s="81"/>
      <c r="TB41" s="81">
        <v>39</v>
      </c>
      <c r="TC41" s="133">
        <f t="shared" si="196"/>
        <v>0.24419675907786564</v>
      </c>
      <c r="TD41" s="133">
        <f t="shared" si="197"/>
        <v>0.25912225642175485</v>
      </c>
      <c r="TE41" s="133">
        <f t="shared" si="198"/>
        <v>0.27255433133536983</v>
      </c>
      <c r="TF41" s="133">
        <f t="shared" si="427"/>
        <v>0.28874929774812907</v>
      </c>
      <c r="TG41" s="133">
        <f t="shared" si="428"/>
        <v>0.31753108073986758</v>
      </c>
      <c r="TH41" s="134">
        <f t="shared" si="429"/>
        <v>0.35236293987762635</v>
      </c>
      <c r="TI41" s="133">
        <f t="shared" si="430"/>
        <v>0.39029237116499488</v>
      </c>
      <c r="TJ41" s="133">
        <f t="shared" si="199"/>
        <v>0.4271337751634719</v>
      </c>
      <c r="TK41" s="133">
        <f t="shared" si="200"/>
        <v>0.45056302007414639</v>
      </c>
      <c r="TL41" s="133">
        <f t="shared" si="201"/>
        <v>0.47173463218068801</v>
      </c>
      <c r="TM41" s="133">
        <f t="shared" si="202"/>
        <v>0.49737775036768112</v>
      </c>
      <c r="TN41" s="81"/>
      <c r="TO41" s="81">
        <v>41</v>
      </c>
      <c r="TP41" s="133">
        <f t="shared" si="203"/>
        <v>0.22071062768812108</v>
      </c>
      <c r="TQ41" s="133">
        <f t="shared" si="204"/>
        <v>0.23585704477257985</v>
      </c>
      <c r="TR41" s="133">
        <f t="shared" si="205"/>
        <v>0.24933816959152302</v>
      </c>
      <c r="TS41" s="133">
        <f t="shared" si="431"/>
        <v>0.26540662416770916</v>
      </c>
      <c r="TT41" s="133">
        <f t="shared" si="432"/>
        <v>0.29347599666944701</v>
      </c>
      <c r="TU41" s="134">
        <f t="shared" si="433"/>
        <v>0.32664632773656205</v>
      </c>
      <c r="TV41" s="133">
        <f t="shared" si="434"/>
        <v>0.36182927713215496</v>
      </c>
      <c r="TW41" s="133">
        <f t="shared" si="206"/>
        <v>0.39512943639568643</v>
      </c>
      <c r="TX41" s="133">
        <f t="shared" si="207"/>
        <v>0.41588581256410068</v>
      </c>
      <c r="TY41" s="133">
        <f t="shared" si="208"/>
        <v>0.43437475182643626</v>
      </c>
      <c r="TZ41" s="133">
        <f t="shared" si="209"/>
        <v>0.45644314468862152</v>
      </c>
      <c r="UA41" s="81"/>
      <c r="UB41" s="81">
        <v>39</v>
      </c>
      <c r="UC41" s="133">
        <f t="shared" si="210"/>
        <v>-22.445177059796663</v>
      </c>
      <c r="UD41" s="133">
        <f t="shared" si="211"/>
        <v>-18.902850914889008</v>
      </c>
      <c r="UE41" s="133">
        <f t="shared" si="212"/>
        <v>-15.9474692439873</v>
      </c>
      <c r="UF41" s="133">
        <f t="shared" si="435"/>
        <v>-12.632056439705046</v>
      </c>
      <c r="UG41" s="133">
        <f t="shared" si="436"/>
        <v>-7.2916232643903101</v>
      </c>
      <c r="UH41" s="134">
        <f t="shared" si="437"/>
        <v>-1.5777995519164278</v>
      </c>
      <c r="UI41" s="133">
        <f t="shared" si="438"/>
        <v>3.9240202479609252</v>
      </c>
      <c r="UJ41" s="133">
        <f t="shared" si="213"/>
        <v>8.7051413599114937</v>
      </c>
      <c r="UK41" s="133">
        <f t="shared" si="214"/>
        <v>11.508587531294054</v>
      </c>
      <c r="UL41" s="133">
        <f t="shared" si="215"/>
        <v>13.905183440828424</v>
      </c>
      <c r="UM41" s="133">
        <f t="shared" si="216"/>
        <v>16.653416170684508</v>
      </c>
      <c r="UN41" s="81"/>
      <c r="UO41" s="81">
        <v>39</v>
      </c>
      <c r="UP41" s="133">
        <f t="shared" si="217"/>
        <v>-18.128004532904594</v>
      </c>
      <c r="UQ41" s="133">
        <f t="shared" si="218"/>
        <v>-15.231398831775643</v>
      </c>
      <c r="UR41" s="133">
        <f t="shared" si="219"/>
        <v>-12.747370385694708</v>
      </c>
      <c r="US41" s="133">
        <f t="shared" si="439"/>
        <v>-9.8906065381343566</v>
      </c>
      <c r="UT41" s="133">
        <f t="shared" si="440"/>
        <v>-5.1397096662943689</v>
      </c>
      <c r="UU41" s="134">
        <f t="shared" si="441"/>
        <v>0.13724947108455865</v>
      </c>
      <c r="UV41" s="133">
        <f t="shared" si="442"/>
        <v>5.3978780788683167</v>
      </c>
      <c r="UW41" s="133">
        <f t="shared" si="220"/>
        <v>10.105648205203181</v>
      </c>
      <c r="UX41" s="133">
        <f t="shared" si="221"/>
        <v>12.922866881550085</v>
      </c>
      <c r="UY41" s="133">
        <f t="shared" si="222"/>
        <v>15.363636336556226</v>
      </c>
      <c r="UZ41" s="133">
        <f t="shared" si="223"/>
        <v>18.198537652044124</v>
      </c>
      <c r="VA41" s="81"/>
      <c r="VB41" s="81">
        <v>42</v>
      </c>
      <c r="VC41" s="133">
        <f t="shared" si="224"/>
        <v>-23.033448377007616</v>
      </c>
      <c r="VD41" s="133">
        <f t="shared" si="225"/>
        <v>-19.331121895646852</v>
      </c>
      <c r="VE41" s="133">
        <f t="shared" si="226"/>
        <v>-16.297633351563675</v>
      </c>
      <c r="VF41" s="133">
        <f t="shared" si="443"/>
        <v>-12.946642371310993</v>
      </c>
      <c r="VG41" s="133">
        <f t="shared" si="444"/>
        <v>-7.6487587161119066</v>
      </c>
      <c r="VH41" s="134">
        <f t="shared" si="445"/>
        <v>-2.0965545248502977</v>
      </c>
      <c r="VI41" s="133">
        <f t="shared" si="446"/>
        <v>3.1534588266735568</v>
      </c>
      <c r="VJ41" s="133">
        <f t="shared" si="227"/>
        <v>7.6491924100532884</v>
      </c>
      <c r="VK41" s="133">
        <f t="shared" si="228"/>
        <v>10.259365921138937</v>
      </c>
      <c r="VL41" s="133">
        <f t="shared" si="229"/>
        <v>12.476617728799454</v>
      </c>
      <c r="VM41" s="133">
        <f t="shared" si="230"/>
        <v>15.00403078131508</v>
      </c>
      <c r="VN41" s="81"/>
      <c r="VO41" s="81">
        <v>39</v>
      </c>
      <c r="VP41" s="133">
        <f t="shared" si="231"/>
        <v>-38.220260760277171</v>
      </c>
      <c r="VQ41" s="133">
        <f t="shared" si="232"/>
        <v>-33.972235677339967</v>
      </c>
      <c r="VR41" s="133">
        <f t="shared" si="233"/>
        <v>-30.006095257473053</v>
      </c>
      <c r="VS41" s="133">
        <f t="shared" si="447"/>
        <v>-25.08609103486749</v>
      </c>
      <c r="VT41" s="133">
        <f t="shared" si="448"/>
        <v>-16.079566056974834</v>
      </c>
      <c r="VU41" s="134">
        <f t="shared" si="449"/>
        <v>-4.9093740999235536</v>
      </c>
      <c r="VV41" s="133">
        <f t="shared" si="450"/>
        <v>7.4053309259717111</v>
      </c>
      <c r="VW41" s="133">
        <f t="shared" si="234"/>
        <v>19.39326326950728</v>
      </c>
      <c r="VX41" s="133">
        <f t="shared" si="235"/>
        <v>26.993869412856405</v>
      </c>
      <c r="VY41" s="133">
        <f t="shared" si="236"/>
        <v>33.832859839930343</v>
      </c>
      <c r="VZ41" s="133">
        <f t="shared" si="237"/>
        <v>42.068404602721451</v>
      </c>
      <c r="WA41" s="81"/>
      <c r="WB41" s="81">
        <v>39</v>
      </c>
      <c r="WC41" s="133">
        <f t="shared" si="238"/>
        <v>-34.254377435479384</v>
      </c>
      <c r="WD41" s="133">
        <f t="shared" si="239"/>
        <v>-30.132081047554642</v>
      </c>
      <c r="WE41" s="133">
        <f t="shared" si="240"/>
        <v>-26.254128519791916</v>
      </c>
      <c r="WF41" s="133">
        <f t="shared" si="451"/>
        <v>-21.414323907765002</v>
      </c>
      <c r="WG41" s="133">
        <f t="shared" si="452"/>
        <v>-12.493585830238487</v>
      </c>
      <c r="WH41" s="134">
        <f t="shared" si="453"/>
        <v>-1.3528806807954865</v>
      </c>
      <c r="WI41" s="133">
        <f t="shared" si="454"/>
        <v>10.997669612816573</v>
      </c>
      <c r="WJ41" s="133">
        <f t="shared" si="241"/>
        <v>23.070502886612509</v>
      </c>
      <c r="WK41" s="133">
        <f t="shared" si="242"/>
        <v>30.745034215177817</v>
      </c>
      <c r="WL41" s="133">
        <f t="shared" si="243"/>
        <v>37.661766772564</v>
      </c>
      <c r="WM41" s="133">
        <f t="shared" si="244"/>
        <v>46.003315099726571</v>
      </c>
      <c r="WN41" s="81"/>
      <c r="WO41" s="81">
        <v>42</v>
      </c>
      <c r="WP41" s="133">
        <f t="shared" si="245"/>
        <v>-38.713468653568185</v>
      </c>
      <c r="WQ41" s="133">
        <f t="shared" si="246"/>
        <v>-34.320276420404795</v>
      </c>
      <c r="WR41" s="133">
        <f t="shared" si="247"/>
        <v>-30.270470342129705</v>
      </c>
      <c r="WS41" s="133">
        <f t="shared" si="455"/>
        <v>-25.309542818498212</v>
      </c>
      <c r="WT41" s="133">
        <f t="shared" si="456"/>
        <v>-16.385101793492318</v>
      </c>
      <c r="WU41" s="134">
        <f t="shared" si="457"/>
        <v>-5.552792962609395</v>
      </c>
      <c r="WV41" s="133">
        <f t="shared" si="458"/>
        <v>6.141895173681398</v>
      </c>
      <c r="WW41" s="133">
        <f t="shared" si="248"/>
        <v>17.319772420698236</v>
      </c>
      <c r="WX41" s="133">
        <f t="shared" si="249"/>
        <v>24.315768229663128</v>
      </c>
      <c r="WY41" s="133">
        <f t="shared" si="250"/>
        <v>30.556600895952975</v>
      </c>
      <c r="WZ41" s="133">
        <f t="shared" si="251"/>
        <v>38.009318790660991</v>
      </c>
      <c r="XA41" s="81"/>
      <c r="XB41" s="81">
        <v>39</v>
      </c>
      <c r="XC41" s="133">
        <f t="shared" si="252"/>
        <v>-43.800871240688991</v>
      </c>
      <c r="XD41" s="133">
        <f t="shared" si="253"/>
        <v>-39.052832284451142</v>
      </c>
      <c r="XE41" s="133">
        <f t="shared" si="254"/>
        <v>-34.694561513249241</v>
      </c>
      <c r="XF41" s="133">
        <f t="shared" si="459"/>
        <v>-29.394173552690166</v>
      </c>
      <c r="XG41" s="133">
        <f t="shared" si="460"/>
        <v>-19.97751003993843</v>
      </c>
      <c r="XH41" s="134">
        <f t="shared" si="461"/>
        <v>-8.7460602704945387</v>
      </c>
      <c r="XI41" s="133">
        <f t="shared" si="462"/>
        <v>3.1606674324492445</v>
      </c>
      <c r="XJ41" s="133">
        <f t="shared" si="255"/>
        <v>14.355193548724067</v>
      </c>
      <c r="XK41" s="133">
        <f t="shared" si="256"/>
        <v>21.27912071683793</v>
      </c>
      <c r="XL41" s="133">
        <f t="shared" si="257"/>
        <v>27.406599760764472</v>
      </c>
      <c r="XM41" s="133">
        <f t="shared" si="258"/>
        <v>34.667447496740202</v>
      </c>
      <c r="XN41" s="81"/>
      <c r="XO41" s="81">
        <v>39</v>
      </c>
      <c r="XP41" s="133">
        <f t="shared" si="259"/>
        <v>-37.678331981730338</v>
      </c>
      <c r="XQ41" s="133">
        <f t="shared" si="260"/>
        <v>-32.991821101934633</v>
      </c>
      <c r="XR41" s="133">
        <f t="shared" si="261"/>
        <v>-28.746239620146635</v>
      </c>
      <c r="XS41" s="133">
        <f t="shared" si="463"/>
        <v>-23.634164994354766</v>
      </c>
      <c r="XT41" s="133">
        <f t="shared" si="464"/>
        <v>-14.651213587111023</v>
      </c>
      <c r="XU41" s="134">
        <f t="shared" si="465"/>
        <v>-4.0544377070244693</v>
      </c>
      <c r="XV41" s="133">
        <f t="shared" si="466"/>
        <v>7.0795554417881661</v>
      </c>
      <c r="XW41" s="133">
        <f t="shared" si="262"/>
        <v>17.476170415094025</v>
      </c>
      <c r="XX41" s="133">
        <f t="shared" si="263"/>
        <v>23.87811456419012</v>
      </c>
      <c r="XY41" s="133">
        <f t="shared" si="264"/>
        <v>29.527814491550153</v>
      </c>
      <c r="XZ41" s="133">
        <f t="shared" si="265"/>
        <v>36.205105600602543</v>
      </c>
      <c r="YA41" s="81"/>
      <c r="YB41" s="81">
        <v>42</v>
      </c>
      <c r="YC41" s="133">
        <f t="shared" si="266"/>
        <v>-45.030910967640779</v>
      </c>
      <c r="YD41" s="133">
        <f t="shared" si="267"/>
        <v>-40.232634652409565</v>
      </c>
      <c r="YE41" s="133">
        <f t="shared" si="268"/>
        <v>-35.863911061401993</v>
      </c>
      <c r="YF41" s="133">
        <f t="shared" si="467"/>
        <v>-30.592694590363614</v>
      </c>
      <c r="YG41" s="133">
        <f t="shared" si="468"/>
        <v>-21.325255098299031</v>
      </c>
      <c r="YH41" s="134">
        <f t="shared" si="469"/>
        <v>-10.406053531482279</v>
      </c>
      <c r="YI41" s="133">
        <f t="shared" si="470"/>
        <v>1.0406419872441717</v>
      </c>
      <c r="YJ41" s="133">
        <f t="shared" si="269"/>
        <v>11.70246613585828</v>
      </c>
      <c r="YK41" s="133">
        <f t="shared" si="270"/>
        <v>18.254825077588784</v>
      </c>
      <c r="YL41" s="133">
        <f t="shared" si="271"/>
        <v>24.029283239014042</v>
      </c>
      <c r="YM41" s="133">
        <f t="shared" si="272"/>
        <v>30.844629310111038</v>
      </c>
      <c r="YN41" s="81"/>
      <c r="YO41" s="81">
        <v>39</v>
      </c>
      <c r="YP41" s="133">
        <v>17.968957077390652</v>
      </c>
      <c r="YQ41" s="133">
        <v>20.171217382298686</v>
      </c>
      <c r="YR41" s="133">
        <v>22.279978259195452</v>
      </c>
      <c r="YS41" s="133">
        <v>24.986282397120213</v>
      </c>
      <c r="YT41" s="133">
        <v>30.252061107972107</v>
      </c>
      <c r="YU41" s="134">
        <v>37.439103697775288</v>
      </c>
      <c r="YV41" s="133">
        <v>46.33358635267976</v>
      </c>
      <c r="YW41" s="133">
        <v>56.098240763272635</v>
      </c>
      <c r="YX41" s="133">
        <v>62.912381214477314</v>
      </c>
      <c r="YY41" s="133">
        <v>69.489434332447615</v>
      </c>
      <c r="YZ41" s="133">
        <v>78.006001108235495</v>
      </c>
      <c r="ZA41" s="81"/>
      <c r="ZB41" s="81">
        <v>39</v>
      </c>
      <c r="ZC41" s="133">
        <v>14.497045958954887</v>
      </c>
      <c r="ZD41" s="133">
        <v>16.501090667070866</v>
      </c>
      <c r="ZE41" s="133">
        <v>18.444894662706197</v>
      </c>
      <c r="ZF41" s="133">
        <v>20.971827868897165</v>
      </c>
      <c r="ZG41" s="133">
        <v>25.980888744821094</v>
      </c>
      <c r="ZH41" s="134">
        <v>32.986079337801741</v>
      </c>
      <c r="ZI41" s="133">
        <v>41.880069645294306</v>
      </c>
      <c r="ZJ41" s="133">
        <v>51.883004041505551</v>
      </c>
      <c r="ZK41" s="133">
        <v>58.990926756537512</v>
      </c>
      <c r="ZL41" s="133">
        <v>65.939970395477943</v>
      </c>
      <c r="ZM41" s="133">
        <v>75.055389433158155</v>
      </c>
      <c r="ZN41" s="81"/>
      <c r="ZO41" s="81">
        <v>42</v>
      </c>
      <c r="ZP41" s="133">
        <v>21.4434738785048</v>
      </c>
      <c r="ZQ41" s="133">
        <v>23.642549140022577</v>
      </c>
      <c r="ZR41" s="133">
        <v>25.713421105923778</v>
      </c>
      <c r="ZS41" s="133">
        <v>28.327115957962381</v>
      </c>
      <c r="ZT41" s="133">
        <v>33.291754545681115</v>
      </c>
      <c r="ZU41" s="134">
        <v>39.857289195072497</v>
      </c>
      <c r="ZV41" s="133">
        <v>47.717626290913827</v>
      </c>
      <c r="ZW41" s="133">
        <v>56.080665053835332</v>
      </c>
      <c r="ZX41" s="133">
        <v>61.781102383675652</v>
      </c>
      <c r="ZY41" s="133">
        <v>67.192564243862478</v>
      </c>
      <c r="ZZ41" s="133">
        <v>74.08330902821109</v>
      </c>
      <c r="AAA41" s="81"/>
      <c r="AAB41" s="81">
        <v>39</v>
      </c>
      <c r="AAC41" s="133">
        <v>9.1375709954135065</v>
      </c>
      <c r="AAD41" s="133">
        <v>10.148955475094056</v>
      </c>
      <c r="AAE41" s="133">
        <v>11.107893503720909</v>
      </c>
      <c r="AAF41" s="133">
        <v>12.326471758562874</v>
      </c>
      <c r="AAG41" s="133">
        <v>14.663991062172119</v>
      </c>
      <c r="AAH41" s="134">
        <v>17.795380299590306</v>
      </c>
      <c r="AAI41" s="133">
        <v>21.595455061613954</v>
      </c>
      <c r="AAJ41" s="133">
        <v>25.69068961579055</v>
      </c>
      <c r="AAK41" s="133">
        <v>28.509056186122695</v>
      </c>
      <c r="AAL41" s="133">
        <v>31.202773604060166</v>
      </c>
      <c r="AAM41" s="133">
        <v>34.656426764399235</v>
      </c>
      <c r="AAN41" s="81"/>
      <c r="AAO41" s="81">
        <v>39</v>
      </c>
      <c r="AAP41" s="133">
        <v>8.1492352255526193</v>
      </c>
      <c r="AAQ41" s="133">
        <v>9.1587332365478975</v>
      </c>
      <c r="AAR41" s="133">
        <v>10.126423893788317</v>
      </c>
      <c r="AAS41" s="133">
        <v>11.369674132902539</v>
      </c>
      <c r="AAT41" s="133">
        <v>13.792526494715419</v>
      </c>
      <c r="AAU41" s="134">
        <v>17.106191377854319</v>
      </c>
      <c r="AAV41" s="133">
        <v>21.215966746041417</v>
      </c>
      <c r="AAW41" s="133">
        <v>25.73704224371421</v>
      </c>
      <c r="AAX41" s="133">
        <v>28.896853077153473</v>
      </c>
      <c r="AAY41" s="133">
        <v>31.950028011305228</v>
      </c>
      <c r="AAZ41" s="133">
        <v>35.907882808221935</v>
      </c>
      <c r="ABA41" s="81"/>
      <c r="ABB41" s="81">
        <v>42</v>
      </c>
      <c r="ABC41" s="133">
        <v>10.242380355770225</v>
      </c>
      <c r="ABD41" s="133">
        <v>11.239126537815936</v>
      </c>
      <c r="ABE41" s="133">
        <v>12.173626268193185</v>
      </c>
      <c r="ABF41" s="133">
        <v>13.347881995371024</v>
      </c>
      <c r="ABG41" s="133">
        <v>15.564197948111675</v>
      </c>
      <c r="ABH41" s="134">
        <v>18.470812062692314</v>
      </c>
      <c r="ABI41" s="133">
        <v>21.920236390767094</v>
      </c>
      <c r="ABJ41" s="133">
        <v>25.559927662951786</v>
      </c>
      <c r="ABK41" s="133">
        <v>28.025412538472537</v>
      </c>
      <c r="ABL41" s="133">
        <v>30.355641704662094</v>
      </c>
      <c r="ABM41" s="133">
        <v>33.309727466144658</v>
      </c>
      <c r="ABN41" s="81"/>
      <c r="ABO41" s="81">
        <v>39</v>
      </c>
      <c r="ABP41" s="133">
        <f t="shared" si="273"/>
        <v>0.22406569938208332</v>
      </c>
      <c r="ABQ41" s="133">
        <f t="shared" si="274"/>
        <v>0.25392054719192919</v>
      </c>
      <c r="ABR41" s="133">
        <f t="shared" si="275"/>
        <v>0.28183118595169515</v>
      </c>
      <c r="ABS41" s="133">
        <f t="shared" si="471"/>
        <v>0.3167132181064109</v>
      </c>
      <c r="ABT41" s="133">
        <f t="shared" si="472"/>
        <v>0.38176260060209055</v>
      </c>
      <c r="ABU41" s="134">
        <f t="shared" si="473"/>
        <v>0.46518551434310623</v>
      </c>
      <c r="ABV41" s="133">
        <f t="shared" si="474"/>
        <v>0.56117016151471522</v>
      </c>
      <c r="ABW41" s="133">
        <f t="shared" si="276"/>
        <v>0.65890270400025386</v>
      </c>
      <c r="ABX41" s="133">
        <f t="shared" si="277"/>
        <v>0.72311926630791934</v>
      </c>
      <c r="ABY41" s="133">
        <f t="shared" si="278"/>
        <v>0.78241143577166616</v>
      </c>
      <c r="ABZ41" s="133">
        <f t="shared" si="279"/>
        <v>0.85572003123716456</v>
      </c>
      <c r="ACA41" s="81"/>
      <c r="ACB41" s="81">
        <v>39</v>
      </c>
      <c r="ACC41" s="133">
        <f t="shared" si="280"/>
        <v>0.25297950157223908</v>
      </c>
      <c r="ACD41" s="133">
        <f t="shared" si="281"/>
        <v>0.28200363354002816</v>
      </c>
      <c r="ACE41" s="133">
        <f t="shared" si="282"/>
        <v>0.3092096324631658</v>
      </c>
      <c r="ACF41" s="133">
        <f t="shared" si="475"/>
        <v>0.34334678186700246</v>
      </c>
      <c r="ACG41" s="133">
        <f t="shared" si="476"/>
        <v>0.40750998458572374</v>
      </c>
      <c r="ACH41" s="134">
        <f t="shared" si="477"/>
        <v>0.49091365672194276</v>
      </c>
      <c r="ACI41" s="133">
        <f t="shared" si="478"/>
        <v>0.58857667846368522</v>
      </c>
      <c r="ACJ41" s="133">
        <f t="shared" si="283"/>
        <v>0.68996012937416507</v>
      </c>
      <c r="ACK41" s="133">
        <f t="shared" si="284"/>
        <v>0.75765164016824371</v>
      </c>
      <c r="ACL41" s="133">
        <f t="shared" si="285"/>
        <v>0.82090765066759153</v>
      </c>
      <c r="ACM41" s="133">
        <f t="shared" si="286"/>
        <v>0.90011232179430478</v>
      </c>
      <c r="ACN41" s="81"/>
      <c r="ACO41" s="81">
        <v>42</v>
      </c>
      <c r="ACP41" s="133">
        <f t="shared" si="287"/>
        <v>0.21580581941586283</v>
      </c>
      <c r="ACQ41" s="133">
        <f t="shared" si="288"/>
        <v>0.24811545225531714</v>
      </c>
      <c r="ACR41" s="133">
        <f t="shared" si="289"/>
        <v>0.27776689885774142</v>
      </c>
      <c r="ACS41" s="133">
        <f t="shared" si="479"/>
        <v>0.31410040276517182</v>
      </c>
      <c r="ACT41" s="133">
        <f t="shared" si="480"/>
        <v>0.37990971356734038</v>
      </c>
      <c r="ACU41" s="134">
        <f t="shared" si="481"/>
        <v>0.46075780684190082</v>
      </c>
      <c r="ACV41" s="133">
        <f t="shared" si="482"/>
        <v>0.54967275719069575</v>
      </c>
      <c r="ACW41" s="133">
        <f t="shared" si="290"/>
        <v>0.63649040952994629</v>
      </c>
      <c r="ACX41" s="133">
        <f t="shared" si="291"/>
        <v>0.69164070379135911</v>
      </c>
      <c r="ACY41" s="133">
        <f t="shared" si="292"/>
        <v>0.74139235773505929</v>
      </c>
      <c r="ACZ41" s="133">
        <f t="shared" si="293"/>
        <v>0.80148410692571925</v>
      </c>
      <c r="ADA41" s="81"/>
      <c r="ADB41" s="81">
        <v>39</v>
      </c>
      <c r="ADC41" s="133">
        <f t="shared" si="294"/>
        <v>0.18362855229384847</v>
      </c>
      <c r="ADD41" s="133">
        <f t="shared" si="295"/>
        <v>0.20349869045353397</v>
      </c>
      <c r="ADE41" s="133">
        <f t="shared" si="296"/>
        <v>0.22094639086181664</v>
      </c>
      <c r="ADF41" s="133">
        <f t="shared" si="483"/>
        <v>0.24145364164431179</v>
      </c>
      <c r="ADG41" s="133">
        <f t="shared" si="484"/>
        <v>0.2765443317106217</v>
      </c>
      <c r="ADH41" s="134">
        <f t="shared" si="485"/>
        <v>0.31687065664397362</v>
      </c>
      <c r="ADI41" s="133">
        <f t="shared" si="486"/>
        <v>0.35838809427298629</v>
      </c>
      <c r="ADJ41" s="133">
        <f t="shared" si="297"/>
        <v>0.39658634116707164</v>
      </c>
      <c r="ADK41" s="133">
        <f t="shared" si="298"/>
        <v>0.41989349047831287</v>
      </c>
      <c r="ADL41" s="133">
        <f t="shared" si="299"/>
        <v>0.44034806264360271</v>
      </c>
      <c r="ADM41" s="133">
        <f t="shared" si="300"/>
        <v>0.46440228200460354</v>
      </c>
      <c r="ADN41" s="81"/>
      <c r="ADO41" s="81">
        <v>39</v>
      </c>
      <c r="ADP41" s="133">
        <f t="shared" si="301"/>
        <v>0.20282848565516012</v>
      </c>
      <c r="ADQ41" s="133">
        <f t="shared" si="302"/>
        <v>0.2210326036937523</v>
      </c>
      <c r="ADR41" s="133">
        <f t="shared" si="303"/>
        <v>0.23717560181192818</v>
      </c>
      <c r="ADS41" s="133">
        <f t="shared" si="487"/>
        <v>0.25633647800144543</v>
      </c>
      <c r="ADT41" s="133">
        <f t="shared" si="488"/>
        <v>0.28958345526920831</v>
      </c>
      <c r="ADU41" s="134">
        <f t="shared" si="489"/>
        <v>0.32848707139863476</v>
      </c>
      <c r="ADV41" s="133">
        <f t="shared" si="490"/>
        <v>0.36928713204701863</v>
      </c>
      <c r="ADW41" s="133">
        <f t="shared" si="304"/>
        <v>0.40746749575550567</v>
      </c>
      <c r="ADX41" s="133">
        <f t="shared" si="305"/>
        <v>0.43105536891340623</v>
      </c>
      <c r="ADY41" s="133">
        <f t="shared" si="306"/>
        <v>0.45193337107708492</v>
      </c>
      <c r="ADZ41" s="133">
        <f t="shared" si="307"/>
        <v>0.47669256067579241</v>
      </c>
      <c r="AEA41" s="81"/>
      <c r="AEB41" s="81">
        <v>42</v>
      </c>
      <c r="AEC41" s="133">
        <f t="shared" si="308"/>
        <v>0.17835458703728435</v>
      </c>
      <c r="AED41" s="133">
        <f t="shared" si="309"/>
        <v>0.20005025777571769</v>
      </c>
      <c r="AEE41" s="133">
        <f t="shared" si="310"/>
        <v>0.21863420205133499</v>
      </c>
      <c r="AEF41" s="133">
        <f t="shared" si="491"/>
        <v>0.23998241503792669</v>
      </c>
      <c r="AEG41" s="133">
        <f t="shared" si="492"/>
        <v>0.27542966708842226</v>
      </c>
      <c r="AEH41" s="134">
        <f t="shared" si="493"/>
        <v>0.31472534197183355</v>
      </c>
      <c r="AEI41" s="133">
        <f t="shared" si="494"/>
        <v>0.35382520206544049</v>
      </c>
      <c r="AEJ41" s="133">
        <f t="shared" si="311"/>
        <v>0.38875788522297167</v>
      </c>
      <c r="AEK41" s="133">
        <f t="shared" si="312"/>
        <v>0.40963770127461013</v>
      </c>
      <c r="AEL41" s="133">
        <f t="shared" si="313"/>
        <v>0.42771330794718798</v>
      </c>
      <c r="AEM41" s="133">
        <f t="shared" si="314"/>
        <v>0.44869186429519731</v>
      </c>
      <c r="AEN41" s="81"/>
    </row>
    <row r="42" spans="1:820">
      <c r="A42" s="81"/>
      <c r="B42" s="81">
        <v>41</v>
      </c>
      <c r="C42" s="133">
        <f t="shared" si="0"/>
        <v>1.9236360665337029</v>
      </c>
      <c r="D42" s="133">
        <f t="shared" si="1"/>
        <v>2.3028881455411687</v>
      </c>
      <c r="E42" s="133">
        <f t="shared" si="2"/>
        <v>2.7015930719295285</v>
      </c>
      <c r="F42" s="133">
        <f t="shared" si="315"/>
        <v>3.2672798634859022</v>
      </c>
      <c r="G42" s="133">
        <f t="shared" si="316"/>
        <v>4.5571560541420713</v>
      </c>
      <c r="H42" s="134">
        <f t="shared" si="317"/>
        <v>6.7752828590545908</v>
      </c>
      <c r="I42" s="133">
        <f t="shared" si="318"/>
        <v>10.392627004955246</v>
      </c>
      <c r="J42" s="133">
        <f t="shared" si="3"/>
        <v>15.734764954858981</v>
      </c>
      <c r="K42" s="133">
        <f t="shared" si="4"/>
        <v>20.503393841677262</v>
      </c>
      <c r="L42" s="133">
        <f t="shared" si="5"/>
        <v>26.078785191331164</v>
      </c>
      <c r="M42" s="133">
        <f t="shared" si="6"/>
        <v>34.983314952808705</v>
      </c>
      <c r="N42" s="81"/>
      <c r="O42" s="75">
        <v>41</v>
      </c>
      <c r="P42" s="151">
        <f t="shared" si="7"/>
        <v>2.6230150605597276</v>
      </c>
      <c r="Q42" s="151">
        <f t="shared" si="8"/>
        <v>2.9846712361083294</v>
      </c>
      <c r="R42" s="151">
        <f t="shared" si="9"/>
        <v>3.3542358798234644</v>
      </c>
      <c r="S42" s="151">
        <f t="shared" si="319"/>
        <v>3.8651545474881157</v>
      </c>
      <c r="T42" s="151">
        <f t="shared" si="320"/>
        <v>4.9937114477685798</v>
      </c>
      <c r="U42" s="134">
        <f t="shared" si="321"/>
        <v>6.8814216171572387</v>
      </c>
      <c r="V42" s="151">
        <f t="shared" si="322"/>
        <v>9.9457080668318198</v>
      </c>
      <c r="W42" s="151">
        <f t="shared" si="10"/>
        <v>14.609775827852484</v>
      </c>
      <c r="X42" s="151">
        <f t="shared" si="11"/>
        <v>19.000579357370501</v>
      </c>
      <c r="Y42" s="151">
        <f t="shared" si="12"/>
        <v>24.46774730265216</v>
      </c>
      <c r="Z42" s="151">
        <f t="shared" si="13"/>
        <v>34.05496792056914</v>
      </c>
      <c r="AA42" s="81"/>
      <c r="AB42" s="75">
        <v>43</v>
      </c>
      <c r="AC42" s="151">
        <f t="shared" si="14"/>
        <v>1.6375710316988306</v>
      </c>
      <c r="AD42" s="151">
        <f t="shared" si="15"/>
        <v>1.979346124620422</v>
      </c>
      <c r="AE42" s="151">
        <f t="shared" si="16"/>
        <v>2.345548412185857</v>
      </c>
      <c r="AF42" s="151">
        <f t="shared" si="323"/>
        <v>2.8766753231069373</v>
      </c>
      <c r="AG42" s="151">
        <f t="shared" si="324"/>
        <v>4.1350289273470207</v>
      </c>
      <c r="AH42" s="134">
        <f t="shared" si="325"/>
        <v>6.4381458462030521</v>
      </c>
      <c r="AI42" s="151">
        <f t="shared" si="326"/>
        <v>10.52782880675213</v>
      </c>
      <c r="AJ42" s="151">
        <f t="shared" si="17"/>
        <v>17.234790699851448</v>
      </c>
      <c r="AK42" s="151">
        <f t="shared" si="18"/>
        <v>23.829963106476974</v>
      </c>
      <c r="AL42" s="151">
        <f t="shared" si="19"/>
        <v>32.21640839242275</v>
      </c>
      <c r="AM42" s="151">
        <f t="shared" si="20"/>
        <v>47.035489891131711</v>
      </c>
      <c r="AN42" s="81"/>
      <c r="AO42" s="81">
        <v>41</v>
      </c>
      <c r="AP42" s="133">
        <f t="shared" si="21"/>
        <v>1.1797300372390405</v>
      </c>
      <c r="AQ42" s="133">
        <f t="shared" si="22"/>
        <v>3.2942218642578771</v>
      </c>
      <c r="AR42" s="133">
        <f t="shared" si="23"/>
        <v>5.3177456700226431</v>
      </c>
      <c r="AS42" s="133">
        <f t="shared" si="327"/>
        <v>7.8883113690332687</v>
      </c>
      <c r="AT42" s="133">
        <f t="shared" si="328"/>
        <v>12.749000126035774</v>
      </c>
      <c r="AU42" s="134">
        <f t="shared" si="329"/>
        <v>19.021032214602485</v>
      </c>
      <c r="AV42" s="133">
        <f t="shared" si="330"/>
        <v>26.205777932469399</v>
      </c>
      <c r="AW42" s="133">
        <f t="shared" si="24"/>
        <v>33.437887748983108</v>
      </c>
      <c r="AX42" s="133">
        <f t="shared" si="25"/>
        <v>38.132859908727148</v>
      </c>
      <c r="AY42" s="133">
        <f t="shared" si="26"/>
        <v>42.424783842472394</v>
      </c>
      <c r="AZ42" s="133">
        <f t="shared" si="27"/>
        <v>47.673028033982689</v>
      </c>
      <c r="BA42" s="81"/>
      <c r="BB42" s="81">
        <v>41</v>
      </c>
      <c r="BC42" s="133">
        <f t="shared" si="28"/>
        <v>4.1013318631930806</v>
      </c>
      <c r="BD42" s="133">
        <f t="shared" si="29"/>
        <v>6.4708499379804474</v>
      </c>
      <c r="BE42" s="133">
        <f t="shared" si="30"/>
        <v>8.6578576854756264</v>
      </c>
      <c r="BF42" s="133">
        <f t="shared" si="331"/>
        <v>11.345567992683687</v>
      </c>
      <c r="BG42" s="133">
        <f t="shared" si="332"/>
        <v>16.212916428356792</v>
      </c>
      <c r="BH42" s="134">
        <f t="shared" si="333"/>
        <v>22.183293681967243</v>
      </c>
      <c r="BI42" s="133">
        <f t="shared" si="334"/>
        <v>28.706811707115062</v>
      </c>
      <c r="BJ42" s="133">
        <f t="shared" si="31"/>
        <v>35.014623184950104</v>
      </c>
      <c r="BK42" s="133">
        <f t="shared" si="32"/>
        <v>38.996885400485731</v>
      </c>
      <c r="BL42" s="133">
        <f t="shared" si="33"/>
        <v>42.570640124249003</v>
      </c>
      <c r="BM42" s="133">
        <f t="shared" si="34"/>
        <v>46.863765174331427</v>
      </c>
      <c r="BN42" s="81"/>
      <c r="BO42" s="75">
        <v>43</v>
      </c>
      <c r="BP42" s="151">
        <f t="shared" si="35"/>
        <v>3.5059450991805701</v>
      </c>
      <c r="BQ42" s="151">
        <f t="shared" si="36"/>
        <v>4.5218496306454776</v>
      </c>
      <c r="BR42" s="151">
        <f t="shared" si="37"/>
        <v>5.5865312413524242</v>
      </c>
      <c r="BS42" s="151">
        <f t="shared" si="335"/>
        <v>7.0723574656229857</v>
      </c>
      <c r="BT42" s="151">
        <f t="shared" si="336"/>
        <v>10.300220285707152</v>
      </c>
      <c r="BU42" s="134">
        <f t="shared" si="337"/>
        <v>15.301522929674359</v>
      </c>
      <c r="BV42" s="151">
        <f t="shared" si="338"/>
        <v>22.238675547191743</v>
      </c>
      <c r="BW42" s="151">
        <f t="shared" si="38"/>
        <v>30.585545539711493</v>
      </c>
      <c r="BX42" s="151">
        <f t="shared" si="39"/>
        <v>36.767170688956021</v>
      </c>
      <c r="BY42" s="151">
        <f t="shared" si="40"/>
        <v>42.961410450708421</v>
      </c>
      <c r="BZ42" s="151">
        <f t="shared" si="41"/>
        <v>51.261247145333357</v>
      </c>
      <c r="CA42" s="81"/>
      <c r="CB42" s="81">
        <v>41</v>
      </c>
      <c r="CC42" s="133">
        <f t="shared" si="42"/>
        <v>-5.9344738039096292</v>
      </c>
      <c r="CD42" s="133">
        <f t="shared" si="43"/>
        <v>-3.9572231505243454</v>
      </c>
      <c r="CE42" s="133">
        <f t="shared" si="44"/>
        <v>-1.8546508540286997</v>
      </c>
      <c r="CF42" s="133">
        <f t="shared" si="339"/>
        <v>0.92664969269718078</v>
      </c>
      <c r="CG42" s="133">
        <f t="shared" si="340"/>
        <v>6.259994597331981</v>
      </c>
      <c r="CH42" s="134">
        <f t="shared" si="341"/>
        <v>13.050683299642717</v>
      </c>
      <c r="CI42" s="133">
        <f t="shared" si="342"/>
        <v>20.594700951189726</v>
      </c>
      <c r="CJ42" s="133">
        <f t="shared" si="45"/>
        <v>27.92523047131213</v>
      </c>
      <c r="CK42" s="133">
        <f t="shared" si="46"/>
        <v>32.552029494436717</v>
      </c>
      <c r="CL42" s="133">
        <f t="shared" si="47"/>
        <v>36.697603123014297</v>
      </c>
      <c r="CM42" s="133">
        <f t="shared" si="48"/>
        <v>41.665542144548354</v>
      </c>
      <c r="CN42" s="81"/>
      <c r="CO42" s="81">
        <v>41</v>
      </c>
      <c r="CP42" s="133">
        <f t="shared" si="49"/>
        <v>-0.41455425701079118</v>
      </c>
      <c r="CQ42" s="133">
        <f t="shared" si="50"/>
        <v>1.8837304995637449</v>
      </c>
      <c r="CR42" s="133">
        <f t="shared" si="51"/>
        <v>4.0412598166064546</v>
      </c>
      <c r="CS42" s="133">
        <f t="shared" si="343"/>
        <v>6.7154026635812949</v>
      </c>
      <c r="CT42" s="133">
        <f t="shared" si="344"/>
        <v>11.576283056279781</v>
      </c>
      <c r="CU42" s="134">
        <f t="shared" si="345"/>
        <v>17.520735525264115</v>
      </c>
      <c r="CV42" s="133">
        <f t="shared" si="346"/>
        <v>23.961832317137169</v>
      </c>
      <c r="CW42" s="133">
        <f t="shared" si="52"/>
        <v>30.125776671965145</v>
      </c>
      <c r="CX42" s="133">
        <f t="shared" si="53"/>
        <v>33.983861507776709</v>
      </c>
      <c r="CY42" s="133">
        <f t="shared" si="54"/>
        <v>37.42451566841865</v>
      </c>
      <c r="CZ42" s="133">
        <f t="shared" si="55"/>
        <v>41.531325269563141</v>
      </c>
      <c r="DA42" s="81"/>
      <c r="DB42" s="81">
        <v>43</v>
      </c>
      <c r="DC42" s="133">
        <f t="shared" si="56"/>
        <v>-6.1273530053456371</v>
      </c>
      <c r="DD42" s="133">
        <f t="shared" si="57"/>
        <v>-4.7868712265118738</v>
      </c>
      <c r="DE42" s="133">
        <f t="shared" si="58"/>
        <v>-3.2786475425238444</v>
      </c>
      <c r="DF42" s="133">
        <f t="shared" si="347"/>
        <v>-1.1809556302488744</v>
      </c>
      <c r="DG42" s="133">
        <f t="shared" si="348"/>
        <v>3.0847754464422961</v>
      </c>
      <c r="DH42" s="134">
        <f t="shared" si="349"/>
        <v>8.8567563013448947</v>
      </c>
      <c r="DI42" s="133">
        <f t="shared" si="350"/>
        <v>15.603943892389079</v>
      </c>
      <c r="DJ42" s="133">
        <f t="shared" si="59"/>
        <v>22.427324497168136</v>
      </c>
      <c r="DK42" s="133">
        <f t="shared" si="60"/>
        <v>26.848692890096626</v>
      </c>
      <c r="DL42" s="133">
        <f t="shared" si="61"/>
        <v>30.877332763131154</v>
      </c>
      <c r="DM42" s="133">
        <f t="shared" si="62"/>
        <v>35.781820998962772</v>
      </c>
      <c r="DN42" s="81"/>
      <c r="DO42" s="81">
        <v>41</v>
      </c>
      <c r="DP42" s="133">
        <v>12.891423321846688</v>
      </c>
      <c r="DQ42" s="133">
        <v>14.123011852557969</v>
      </c>
      <c r="DR42" s="133">
        <v>15.275949395662169</v>
      </c>
      <c r="DS42" s="133">
        <v>16.722504808836469</v>
      </c>
      <c r="DT42" s="133">
        <v>19.446847192571074</v>
      </c>
      <c r="DU42" s="134">
        <v>23.009557072044533</v>
      </c>
      <c r="DV42" s="133">
        <v>27.224964098752576</v>
      </c>
      <c r="DW42" s="133">
        <v>31.660311819549257</v>
      </c>
      <c r="DX42" s="133">
        <v>34.65838377299265</v>
      </c>
      <c r="DY42" s="133">
        <v>37.48773435715713</v>
      </c>
      <c r="DZ42" s="133">
        <v>41.06914368054688</v>
      </c>
      <c r="EA42" s="81"/>
      <c r="EB42" s="81">
        <v>41</v>
      </c>
      <c r="EC42" s="133">
        <v>12.791602354312484</v>
      </c>
      <c r="ED42" s="133">
        <v>13.729687870432302</v>
      </c>
      <c r="EE42" s="133">
        <v>14.591335243464869</v>
      </c>
      <c r="EF42" s="133">
        <v>15.652085176935552</v>
      </c>
      <c r="EG42" s="133">
        <v>17.595981961147025</v>
      </c>
      <c r="EH42" s="134">
        <v>20.048448108188111</v>
      </c>
      <c r="EI42" s="133">
        <v>22.842730370730067</v>
      </c>
      <c r="EJ42" s="133">
        <v>25.679662933281175</v>
      </c>
      <c r="EK42" s="133">
        <v>27.546503787357736</v>
      </c>
      <c r="EL42" s="133">
        <v>29.275266512963768</v>
      </c>
      <c r="EM42" s="133">
        <v>31.422198753012662</v>
      </c>
      <c r="EN42" s="81"/>
      <c r="EO42" s="81">
        <v>43</v>
      </c>
      <c r="EP42" s="133">
        <v>15.608883679613145</v>
      </c>
      <c r="EQ42" s="133">
        <v>16.704014554871279</v>
      </c>
      <c r="ER42" s="133">
        <v>17.707147353885954</v>
      </c>
      <c r="ES42" s="133">
        <v>18.938688181304883</v>
      </c>
      <c r="ET42" s="133">
        <v>21.186675476828515</v>
      </c>
      <c r="EU42" s="134">
        <v>24.008099874932849</v>
      </c>
      <c r="EV42" s="133">
        <v>27.20525267095995</v>
      </c>
      <c r="EW42" s="133">
        <v>30.434465897892892</v>
      </c>
      <c r="EX42" s="133">
        <v>32.551198004135777</v>
      </c>
      <c r="EY42" s="133">
        <v>34.506007984569329</v>
      </c>
      <c r="EZ42" s="133">
        <v>36.926975140289855</v>
      </c>
      <c r="FA42" s="81"/>
      <c r="FB42" s="81">
        <v>41</v>
      </c>
      <c r="FC42" s="133">
        <v>8.0479577122238766</v>
      </c>
      <c r="FD42" s="133">
        <v>8.870111785331888</v>
      </c>
      <c r="FE42" s="133">
        <v>9.6440777202733816</v>
      </c>
      <c r="FF42" s="133">
        <v>10.62059284728706</v>
      </c>
      <c r="FG42" s="133">
        <v>12.474566163673247</v>
      </c>
      <c r="FH42" s="134">
        <v>14.92482918925514</v>
      </c>
      <c r="FI42" s="133">
        <v>17.856374594982427</v>
      </c>
      <c r="FJ42" s="133">
        <v>20.973455016246291</v>
      </c>
      <c r="FK42" s="133">
        <v>23.09713098435379</v>
      </c>
      <c r="FL42" s="133">
        <v>25.112482426297603</v>
      </c>
      <c r="FM42" s="133">
        <v>27.677894727268647</v>
      </c>
      <c r="FN42" s="81"/>
      <c r="FO42" s="81">
        <v>41</v>
      </c>
      <c r="FP42" s="133">
        <v>7.9387975248763061</v>
      </c>
      <c r="FQ42" s="133">
        <v>8.6141182673394709</v>
      </c>
      <c r="FR42" s="133">
        <v>9.2407025772506213</v>
      </c>
      <c r="FS42" s="133">
        <v>10.01988742240661</v>
      </c>
      <c r="FT42" s="133">
        <v>11.468651467148632</v>
      </c>
      <c r="FU42" s="134">
        <v>13.331608866889615</v>
      </c>
      <c r="FV42" s="133">
        <v>15.49718338627985</v>
      </c>
      <c r="FW42" s="133">
        <v>17.737903380259894</v>
      </c>
      <c r="FX42" s="133">
        <v>19.23358029261561</v>
      </c>
      <c r="FY42" s="133">
        <v>20.632616068623289</v>
      </c>
      <c r="FZ42" s="133">
        <v>22.387747567916342</v>
      </c>
      <c r="GA42" s="81"/>
      <c r="GB42" s="81">
        <v>43</v>
      </c>
      <c r="GC42" s="133">
        <v>9.7777439331627996</v>
      </c>
      <c r="GD42" s="133">
        <v>10.554675979227058</v>
      </c>
      <c r="GE42" s="133">
        <v>11.272080137547402</v>
      </c>
      <c r="GF42" s="133">
        <v>12.159927473072672</v>
      </c>
      <c r="GG42" s="133">
        <v>13.799358784959482</v>
      </c>
      <c r="GH42" s="134">
        <v>15.888432906331722</v>
      </c>
      <c r="GI42" s="133">
        <v>18.293770323165479</v>
      </c>
      <c r="GJ42" s="133">
        <v>20.760181405524083</v>
      </c>
      <c r="GK42" s="133">
        <v>22.395360673325694</v>
      </c>
      <c r="GL42" s="133">
        <v>23.91757934737581</v>
      </c>
      <c r="GM42" s="133">
        <v>25.818051888514471</v>
      </c>
      <c r="GN42" s="81"/>
      <c r="GO42" s="81">
        <v>41</v>
      </c>
      <c r="GP42" s="133">
        <f t="shared" si="63"/>
        <v>0.45741385060850942</v>
      </c>
      <c r="GQ42" s="133">
        <f t="shared" si="64"/>
        <v>0.49242615023648201</v>
      </c>
      <c r="GR42" s="133">
        <f t="shared" si="65"/>
        <v>0.5205530554132568</v>
      </c>
      <c r="GS42" s="133">
        <f t="shared" si="351"/>
        <v>0.55110264138341247</v>
      </c>
      <c r="GT42" s="133">
        <f t="shared" si="352"/>
        <v>0.5997428233355957</v>
      </c>
      <c r="GU42" s="134">
        <f t="shared" si="353"/>
        <v>0.646856880006627</v>
      </c>
      <c r="GV42" s="133">
        <f t="shared" si="354"/>
        <v>0.69058602916297551</v>
      </c>
      <c r="GW42" s="133">
        <f t="shared" si="66"/>
        <v>0.72951035478487947</v>
      </c>
      <c r="GX42" s="133">
        <f t="shared" si="67"/>
        <v>0.75119586484443324</v>
      </c>
      <c r="GY42" s="133">
        <f t="shared" si="68"/>
        <v>0.76948116900126895</v>
      </c>
      <c r="GZ42" s="133">
        <f t="shared" si="69"/>
        <v>0.79017895052858289</v>
      </c>
      <c r="HA42" s="81"/>
      <c r="HB42" s="81">
        <v>41</v>
      </c>
      <c r="HC42" s="133">
        <f t="shared" si="70"/>
        <v>0.43806984261654525</v>
      </c>
      <c r="HD42" s="133">
        <f t="shared" si="71"/>
        <v>0.4765118791841077</v>
      </c>
      <c r="HE42" s="133">
        <f t="shared" si="72"/>
        <v>0.50716258196113151</v>
      </c>
      <c r="HF42" s="133">
        <f t="shared" si="355"/>
        <v>0.54026667683985152</v>
      </c>
      <c r="HG42" s="133">
        <f t="shared" si="356"/>
        <v>0.59122924365146867</v>
      </c>
      <c r="HH42" s="134">
        <f t="shared" si="357"/>
        <v>0.64311783409695489</v>
      </c>
      <c r="HI42" s="133">
        <f t="shared" si="358"/>
        <v>0.69097793577766531</v>
      </c>
      <c r="HJ42" s="133">
        <f t="shared" si="73"/>
        <v>0.73115662761115541</v>
      </c>
      <c r="HK42" s="133">
        <f t="shared" si="74"/>
        <v>0.75417722813892474</v>
      </c>
      <c r="HL42" s="133">
        <f t="shared" si="75"/>
        <v>0.77356801133506703</v>
      </c>
      <c r="HM42" s="133">
        <f t="shared" si="76"/>
        <v>0.79549686858581148</v>
      </c>
      <c r="HN42" s="81"/>
      <c r="HO42" s="81">
        <v>43</v>
      </c>
      <c r="HP42" s="83">
        <f t="shared" si="77"/>
        <v>0.47865233355643966</v>
      </c>
      <c r="HQ42" s="83">
        <f t="shared" si="78"/>
        <v>0.51056445212187207</v>
      </c>
      <c r="HR42" s="83">
        <f t="shared" si="79"/>
        <v>0.53637999693086713</v>
      </c>
      <c r="HS42" s="83">
        <f t="shared" si="359"/>
        <v>0.56457000027705206</v>
      </c>
      <c r="HT42" s="83">
        <f t="shared" si="360"/>
        <v>0.60848158262459939</v>
      </c>
      <c r="HU42" s="84">
        <f t="shared" si="361"/>
        <v>0.65370308973914126</v>
      </c>
      <c r="HV42" s="83">
        <f t="shared" si="362"/>
        <v>0.69577391099008123</v>
      </c>
      <c r="HW42" s="83">
        <f t="shared" si="80"/>
        <v>0.73130771741519474</v>
      </c>
      <c r="HX42" s="83">
        <f t="shared" si="81"/>
        <v>0.75174197591782355</v>
      </c>
      <c r="HY42" s="83">
        <f t="shared" si="82"/>
        <v>0.76899178841857041</v>
      </c>
      <c r="HZ42" s="83">
        <f t="shared" si="83"/>
        <v>0.78853720473833655</v>
      </c>
      <c r="IA42" s="81"/>
      <c r="IB42" s="81">
        <v>41</v>
      </c>
      <c r="IC42" s="83">
        <f t="shared" si="84"/>
        <v>0.315159560031119</v>
      </c>
      <c r="ID42" s="83">
        <f t="shared" si="85"/>
        <v>0.33070489692491395</v>
      </c>
      <c r="IE42" s="83">
        <f t="shared" si="86"/>
        <v>0.34269655667519949</v>
      </c>
      <c r="IF42" s="83">
        <f t="shared" si="363"/>
        <v>0.35528701888991043</v>
      </c>
      <c r="IG42" s="83">
        <f t="shared" si="364"/>
        <v>0.37401253172276433</v>
      </c>
      <c r="IH42" s="84">
        <f t="shared" si="365"/>
        <v>0.3923518770314694</v>
      </c>
      <c r="II42" s="83">
        <f t="shared" si="366"/>
        <v>0.40869233407125782</v>
      </c>
      <c r="IJ42" s="83">
        <f t="shared" si="87"/>
        <v>0.42202648258486808</v>
      </c>
      <c r="IK42" s="83">
        <f t="shared" si="88"/>
        <v>0.4295203966576005</v>
      </c>
      <c r="IL42" s="83">
        <f t="shared" si="89"/>
        <v>0.43575462693999023</v>
      </c>
      <c r="IM42" s="83">
        <f t="shared" si="90"/>
        <v>0.44272233434595398</v>
      </c>
      <c r="IN42" s="81"/>
      <c r="IO42" s="81">
        <v>41</v>
      </c>
      <c r="IP42" s="133">
        <f t="shared" si="91"/>
        <v>0.30581926068753662</v>
      </c>
      <c r="IQ42" s="133">
        <f t="shared" si="92"/>
        <v>0.32339789815664866</v>
      </c>
      <c r="IR42" s="133">
        <f t="shared" si="93"/>
        <v>0.33676487935372068</v>
      </c>
      <c r="IS42" s="133">
        <f t="shared" si="367"/>
        <v>0.35065426486202095</v>
      </c>
      <c r="IT42" s="133">
        <f t="shared" si="368"/>
        <v>0.37109150689901677</v>
      </c>
      <c r="IU42" s="134">
        <f t="shared" si="369"/>
        <v>0.39090678438731308</v>
      </c>
      <c r="IV42" s="133">
        <f t="shared" si="370"/>
        <v>0.40843189579624822</v>
      </c>
      <c r="IW42" s="133">
        <f t="shared" si="94"/>
        <v>0.42265916055005603</v>
      </c>
      <c r="IX42" s="133">
        <f t="shared" si="95"/>
        <v>0.43063026816241512</v>
      </c>
      <c r="IY42" s="133">
        <f t="shared" si="96"/>
        <v>0.43724935878926757</v>
      </c>
      <c r="IZ42" s="133">
        <f t="shared" si="97"/>
        <v>0.44463523177317305</v>
      </c>
      <c r="JA42" s="81"/>
      <c r="JB42" s="81">
        <v>43</v>
      </c>
      <c r="JC42" s="133">
        <f t="shared" si="98"/>
        <v>0.3250713290614004</v>
      </c>
      <c r="JD42" s="133">
        <f t="shared" si="99"/>
        <v>0.33880284347661999</v>
      </c>
      <c r="JE42" s="133">
        <f t="shared" si="100"/>
        <v>0.34953425300714513</v>
      </c>
      <c r="JF42" s="133">
        <f t="shared" si="371"/>
        <v>0.36091243247456412</v>
      </c>
      <c r="JG42" s="133">
        <f t="shared" si="372"/>
        <v>0.37801236542551564</v>
      </c>
      <c r="JH42" s="134">
        <f t="shared" si="373"/>
        <v>0.3949295913835183</v>
      </c>
      <c r="JI42" s="133">
        <f t="shared" si="374"/>
        <v>0.41011859722796012</v>
      </c>
      <c r="JJ42" s="133">
        <f t="shared" si="101"/>
        <v>0.42258066057640109</v>
      </c>
      <c r="JK42" s="133">
        <f t="shared" si="102"/>
        <v>0.42960768672634847</v>
      </c>
      <c r="JL42" s="133">
        <f t="shared" si="103"/>
        <v>0.43546505896865301</v>
      </c>
      <c r="JM42" s="133">
        <f t="shared" si="104"/>
        <v>0.44202309938770701</v>
      </c>
      <c r="JN42" s="81"/>
      <c r="JO42" s="81">
        <v>40</v>
      </c>
      <c r="JP42" s="133">
        <f t="shared" si="105"/>
        <v>-5.0879646350388921</v>
      </c>
      <c r="JQ42" s="133">
        <f t="shared" si="106"/>
        <v>-3.6423904328037899</v>
      </c>
      <c r="JR42" s="133">
        <f t="shared" si="107"/>
        <v>-2.3818613111748839</v>
      </c>
      <c r="JS42" s="133">
        <f t="shared" si="375"/>
        <v>-0.90971511457182075</v>
      </c>
      <c r="JT42" s="133">
        <f t="shared" si="376"/>
        <v>1.5884807625104749</v>
      </c>
      <c r="JU42" s="134">
        <f t="shared" si="377"/>
        <v>4.4313250941543636</v>
      </c>
      <c r="JV42" s="133">
        <f t="shared" si="378"/>
        <v>7.3313135239257043</v>
      </c>
      <c r="JW42" s="133">
        <f t="shared" si="108"/>
        <v>9.9785949581068394</v>
      </c>
      <c r="JX42" s="133">
        <f t="shared" si="109"/>
        <v>11.585064527750621</v>
      </c>
      <c r="JY42" s="133">
        <f t="shared" si="110"/>
        <v>12.989842168276301</v>
      </c>
      <c r="JZ42" s="133">
        <f t="shared" si="111"/>
        <v>14.63612775288065</v>
      </c>
      <c r="KA42" s="81"/>
      <c r="KB42" s="81">
        <v>40</v>
      </c>
      <c r="KC42" s="133">
        <f t="shared" si="112"/>
        <v>-3.4066271410463731</v>
      </c>
      <c r="KD42" s="133">
        <f t="shared" si="113"/>
        <v>-2.1589915174227681</v>
      </c>
      <c r="KE42" s="133">
        <f t="shared" si="114"/>
        <v>-1.0438786860988731</v>
      </c>
      <c r="KF42" s="133">
        <f t="shared" si="379"/>
        <v>0.28802632391476735</v>
      </c>
      <c r="KG42" s="133">
        <f t="shared" si="380"/>
        <v>2.6149090436818376</v>
      </c>
      <c r="KH42" s="134">
        <f t="shared" si="381"/>
        <v>5.3547338961819388</v>
      </c>
      <c r="KI42" s="133">
        <f t="shared" si="382"/>
        <v>8.2397532423927071</v>
      </c>
      <c r="KJ42" s="133">
        <f t="shared" si="115"/>
        <v>10.945195860637456</v>
      </c>
      <c r="KK42" s="133">
        <f t="shared" si="116"/>
        <v>12.617878116154616</v>
      </c>
      <c r="KL42" s="133">
        <f t="shared" si="117"/>
        <v>14.098638661237414</v>
      </c>
      <c r="KM42" s="133">
        <f t="shared" si="118"/>
        <v>15.854525045192149</v>
      </c>
      <c r="KN42" s="81"/>
      <c r="KO42" s="81">
        <v>42</v>
      </c>
      <c r="KP42" s="133">
        <f t="shared" si="119"/>
        <v>-5.6381236455366697</v>
      </c>
      <c r="KQ42" s="133">
        <f t="shared" si="120"/>
        <v>-4.132105930630452</v>
      </c>
      <c r="KR42" s="133">
        <f t="shared" si="121"/>
        <v>-2.8433058437011418</v>
      </c>
      <c r="KS42" s="133">
        <f t="shared" si="383"/>
        <v>-1.3641633333279906</v>
      </c>
      <c r="KT42" s="133">
        <f t="shared" si="384"/>
        <v>1.0887429473721753</v>
      </c>
      <c r="KU42" s="134">
        <f t="shared" si="385"/>
        <v>3.8036409097793111</v>
      </c>
      <c r="KV42" s="133">
        <f t="shared" si="386"/>
        <v>6.5007879537619431</v>
      </c>
      <c r="KW42" s="133">
        <f t="shared" si="122"/>
        <v>8.9071421680147402</v>
      </c>
      <c r="KX42" s="133">
        <f t="shared" si="123"/>
        <v>10.344033850529307</v>
      </c>
      <c r="KY42" s="133">
        <f t="shared" si="124"/>
        <v>11.587121846894352</v>
      </c>
      <c r="KZ42" s="133">
        <f t="shared" si="125"/>
        <v>13.028920489521514</v>
      </c>
      <c r="LA42" s="81"/>
      <c r="LB42" s="81">
        <v>40</v>
      </c>
      <c r="LC42" s="133">
        <f t="shared" si="126"/>
        <v>-12.713412798421615</v>
      </c>
      <c r="LD42" s="133">
        <f t="shared" si="127"/>
        <v>-9.0487873788100615</v>
      </c>
      <c r="LE42" s="133">
        <f t="shared" si="128"/>
        <v>-5.8124613965201064</v>
      </c>
      <c r="LF42" s="133">
        <f t="shared" si="387"/>
        <v>-1.9910791724388019</v>
      </c>
      <c r="LG42" s="133">
        <f t="shared" si="388"/>
        <v>4.5816674135354987</v>
      </c>
      <c r="LH42" s="134">
        <f t="shared" si="389"/>
        <v>12.173551088045606</v>
      </c>
      <c r="LI42" s="133">
        <f t="shared" si="390"/>
        <v>20.019693112264356</v>
      </c>
      <c r="LJ42" s="133">
        <f t="shared" si="129"/>
        <v>27.257606570419412</v>
      </c>
      <c r="LK42" s="133">
        <f t="shared" si="130"/>
        <v>31.68064746192497</v>
      </c>
      <c r="LL42" s="133">
        <f t="shared" si="131"/>
        <v>35.565717106567597</v>
      </c>
      <c r="LM42" s="133">
        <f t="shared" si="132"/>
        <v>40.137854742932298</v>
      </c>
      <c r="LN42" s="81"/>
      <c r="LO42" s="81">
        <v>40</v>
      </c>
      <c r="LP42" s="133">
        <f t="shared" si="133"/>
        <v>-8.8774477199830741</v>
      </c>
      <c r="LQ42" s="133">
        <f t="shared" si="134"/>
        <v>-5.3049734475808599</v>
      </c>
      <c r="LR42" s="133">
        <f t="shared" si="135"/>
        <v>-2.1379386413723225</v>
      </c>
      <c r="LS42" s="133">
        <f t="shared" si="391"/>
        <v>1.6146115342505887</v>
      </c>
      <c r="LT42" s="133">
        <f t="shared" si="392"/>
        <v>8.0978757513374156</v>
      </c>
      <c r="LU42" s="134">
        <f t="shared" si="393"/>
        <v>15.625655373128271</v>
      </c>
      <c r="LV42" s="133">
        <f t="shared" si="394"/>
        <v>23.443365022515255</v>
      </c>
      <c r="LW42" s="133">
        <f t="shared" si="136"/>
        <v>30.684718143849434</v>
      </c>
      <c r="LX42" s="133">
        <f t="shared" si="137"/>
        <v>35.122467166514625</v>
      </c>
      <c r="LY42" s="133">
        <f t="shared" si="138"/>
        <v>39.027762614480906</v>
      </c>
      <c r="LZ42" s="133">
        <f t="shared" si="139"/>
        <v>43.631956898217908</v>
      </c>
      <c r="MA42" s="81"/>
      <c r="MB42" s="81">
        <v>42</v>
      </c>
      <c r="MC42" s="133">
        <f t="shared" si="140"/>
        <v>-12.624697524250763</v>
      </c>
      <c r="MD42" s="133">
        <f t="shared" si="141"/>
        <v>-9.2185353947403073</v>
      </c>
      <c r="ME42" s="133">
        <f t="shared" si="142"/>
        <v>-6.245468285092258</v>
      </c>
      <c r="MF42" s="133">
        <f t="shared" si="395"/>
        <v>-2.7719024822891996</v>
      </c>
      <c r="MG42" s="133">
        <f t="shared" si="396"/>
        <v>3.1217981369121688</v>
      </c>
      <c r="MH42" s="134">
        <f t="shared" si="397"/>
        <v>9.8218741605965576</v>
      </c>
      <c r="MI42" s="133">
        <f t="shared" si="398"/>
        <v>16.645031593969229</v>
      </c>
      <c r="MJ42" s="133">
        <f t="shared" si="143"/>
        <v>22.861302241029279</v>
      </c>
      <c r="MK42" s="133">
        <f t="shared" si="144"/>
        <v>26.627380071526261</v>
      </c>
      <c r="ML42" s="133">
        <f t="shared" si="145"/>
        <v>29.916670262180737</v>
      </c>
      <c r="MM42" s="133">
        <f t="shared" si="146"/>
        <v>33.766684461086236</v>
      </c>
      <c r="MN42" s="81"/>
      <c r="MO42" s="81">
        <v>40</v>
      </c>
      <c r="MP42" s="133">
        <f t="shared" si="147"/>
        <v>-19.227143822118968</v>
      </c>
      <c r="MQ42" s="133">
        <f t="shared" si="148"/>
        <v>-14.928789848600815</v>
      </c>
      <c r="MR42" s="133">
        <f t="shared" si="149"/>
        <v>-11.210108073959237</v>
      </c>
      <c r="MS42" s="133">
        <f t="shared" si="399"/>
        <v>-6.90137455797122</v>
      </c>
      <c r="MT42" s="133">
        <f t="shared" si="400"/>
        <v>0.32943421706067255</v>
      </c>
      <c r="MU42" s="134">
        <f t="shared" si="401"/>
        <v>8.441959950431702</v>
      </c>
      <c r="MV42" s="133">
        <f t="shared" si="402"/>
        <v>16.601337691917749</v>
      </c>
      <c r="MW42" s="133">
        <f t="shared" si="150"/>
        <v>23.956127636682723</v>
      </c>
      <c r="MX42" s="133">
        <f t="shared" si="151"/>
        <v>28.378905202767491</v>
      </c>
      <c r="MY42" s="133">
        <f t="shared" si="152"/>
        <v>32.222798455781721</v>
      </c>
      <c r="MZ42" s="133">
        <f t="shared" si="153"/>
        <v>36.700745221615996</v>
      </c>
      <c r="NA42" s="81"/>
      <c r="NB42" s="81">
        <v>40</v>
      </c>
      <c r="NC42" s="133">
        <f t="shared" si="154"/>
        <v>-12.968549232895526</v>
      </c>
      <c r="ND42" s="133">
        <f t="shared" si="155"/>
        <v>-8.991113326778251</v>
      </c>
      <c r="NE42" s="133">
        <f t="shared" si="156"/>
        <v>-5.5402869668353318</v>
      </c>
      <c r="NF42" s="133">
        <f t="shared" si="403"/>
        <v>-1.5326368069810918</v>
      </c>
      <c r="NG42" s="133">
        <f t="shared" si="404"/>
        <v>5.2112043734152245</v>
      </c>
      <c r="NH42" s="134">
        <f t="shared" si="405"/>
        <v>12.799481427037005</v>
      </c>
      <c r="NI42" s="133">
        <f t="shared" si="406"/>
        <v>20.450715954111498</v>
      </c>
      <c r="NJ42" s="133">
        <f t="shared" si="157"/>
        <v>27.361285071768041</v>
      </c>
      <c r="NK42" s="133">
        <f t="shared" si="158"/>
        <v>31.522484769148232</v>
      </c>
      <c r="NL42" s="133">
        <f t="shared" si="159"/>
        <v>35.142135532151499</v>
      </c>
      <c r="NM42" s="133">
        <f t="shared" si="160"/>
        <v>39.362250070060838</v>
      </c>
      <c r="NN42" s="81"/>
      <c r="NO42" s="81">
        <v>42</v>
      </c>
      <c r="NP42" s="133">
        <f t="shared" si="161"/>
        <v>-19.969449055224324</v>
      </c>
      <c r="NQ42" s="133">
        <f t="shared" si="162"/>
        <v>-16.085245143984693</v>
      </c>
      <c r="NR42" s="133">
        <f t="shared" si="163"/>
        <v>-12.741692824900287</v>
      </c>
      <c r="NS42" s="133">
        <f t="shared" si="407"/>
        <v>-8.8839352836756227</v>
      </c>
      <c r="NT42" s="133">
        <f t="shared" si="408"/>
        <v>-2.4427623888090437</v>
      </c>
      <c r="NU42" s="134">
        <f t="shared" si="409"/>
        <v>4.7435858904492321</v>
      </c>
      <c r="NV42" s="133">
        <f t="shared" si="410"/>
        <v>11.936155929912353</v>
      </c>
      <c r="NW42" s="133">
        <f t="shared" si="164"/>
        <v>18.393798750331754</v>
      </c>
      <c r="NX42" s="133">
        <f t="shared" si="165"/>
        <v>22.266713348323627</v>
      </c>
      <c r="NY42" s="133">
        <f t="shared" si="166"/>
        <v>25.626914601640856</v>
      </c>
      <c r="NZ42" s="133">
        <f t="shared" si="167"/>
        <v>29.535011403307529</v>
      </c>
      <c r="OA42" s="81"/>
      <c r="OB42" s="81">
        <v>40</v>
      </c>
      <c r="OC42" s="133">
        <v>14.329392782205435</v>
      </c>
      <c r="OD42" s="133">
        <v>15.832183361674383</v>
      </c>
      <c r="OE42" s="133">
        <v>17.250129012275242</v>
      </c>
      <c r="OF42" s="133">
        <v>19.043248064210054</v>
      </c>
      <c r="OG42" s="133">
        <v>22.458824192948157</v>
      </c>
      <c r="OH42" s="134">
        <v>26.992491895409021</v>
      </c>
      <c r="OI42" s="133">
        <v>32.441351891987878</v>
      </c>
      <c r="OJ42" s="133">
        <v>38.259997258190673</v>
      </c>
      <c r="OK42" s="133">
        <v>42.237053311615902</v>
      </c>
      <c r="OL42" s="133">
        <v>46.019844646788293</v>
      </c>
      <c r="OM42" s="133">
        <v>50.84616143878106</v>
      </c>
      <c r="ON42" s="81"/>
      <c r="OO42" s="81">
        <v>40</v>
      </c>
      <c r="OP42" s="133">
        <v>12.860497107193039</v>
      </c>
      <c r="OQ42" s="133">
        <v>14.059205350733077</v>
      </c>
      <c r="OR42" s="133">
        <v>15.17915016605021</v>
      </c>
      <c r="OS42" s="133">
        <v>16.581541732120506</v>
      </c>
      <c r="OT42" s="133">
        <v>25.066539498542173</v>
      </c>
      <c r="OU42" s="134">
        <v>22.646537422477643</v>
      </c>
      <c r="OV42" s="133">
        <v>26.690599815370522</v>
      </c>
      <c r="OW42" s="133">
        <v>30.929913847166311</v>
      </c>
      <c r="OX42" s="133">
        <v>33.787507970950763</v>
      </c>
      <c r="OY42" s="133">
        <v>36.478993259810245</v>
      </c>
      <c r="OZ42" s="133">
        <v>39.879147201924866</v>
      </c>
      <c r="PA42" s="81"/>
      <c r="PB42" s="81">
        <v>42</v>
      </c>
      <c r="PC42" s="133">
        <v>19.370493634230719</v>
      </c>
      <c r="PD42" s="133">
        <v>20.846336047623105</v>
      </c>
      <c r="PE42" s="133">
        <v>22.205268754337517</v>
      </c>
      <c r="PF42" s="133">
        <v>23.882337490396594</v>
      </c>
      <c r="PG42" s="133">
        <v>26.966582696477339</v>
      </c>
      <c r="PH42" s="134">
        <v>30.875895258491582</v>
      </c>
      <c r="PI42" s="133">
        <v>35.351936088582548</v>
      </c>
      <c r="PJ42" s="133">
        <v>39.917403746458504</v>
      </c>
      <c r="PK42" s="133">
        <v>42.932194091419127</v>
      </c>
      <c r="PL42" s="133">
        <v>45.730861568934571</v>
      </c>
      <c r="PM42" s="133">
        <v>49.215106543731792</v>
      </c>
      <c r="PN42" s="81"/>
      <c r="PO42" s="81">
        <v>40</v>
      </c>
      <c r="PP42" s="133">
        <v>8.5247181474120044</v>
      </c>
      <c r="PQ42" s="133">
        <v>9.2852803165646165</v>
      </c>
      <c r="PR42" s="133">
        <v>9.9934607913848783</v>
      </c>
      <c r="PS42" s="133">
        <v>10.877239580407851</v>
      </c>
      <c r="PT42" s="133">
        <v>12.528879831767917</v>
      </c>
      <c r="PU42" s="134">
        <v>14.666987805290283</v>
      </c>
      <c r="PV42" s="133">
        <v>17.169973227381401</v>
      </c>
      <c r="PW42" s="133">
        <v>19.777125408546688</v>
      </c>
      <c r="PX42" s="133">
        <v>21.526129513209685</v>
      </c>
      <c r="PY42" s="133">
        <v>23.167909201057334</v>
      </c>
      <c r="PZ42" s="133">
        <v>25.234914229491761</v>
      </c>
      <c r="QA42" s="81"/>
      <c r="QB42" s="81">
        <v>40</v>
      </c>
      <c r="QC42" s="133">
        <v>8.1985340299640281</v>
      </c>
      <c r="QD42" s="133">
        <v>8.9296152855726341</v>
      </c>
      <c r="QE42" s="133">
        <v>9.6103184311603762</v>
      </c>
      <c r="QF42" s="133">
        <v>10.459773229102591</v>
      </c>
      <c r="QG42" s="133">
        <v>12.047177435336568</v>
      </c>
      <c r="QH42" s="134">
        <v>14.101976478013952</v>
      </c>
      <c r="QI42" s="133">
        <v>16.507247581757145</v>
      </c>
      <c r="QJ42" s="133">
        <v>19.012433274666773</v>
      </c>
      <c r="QK42" s="133">
        <v>20.692939782479954</v>
      </c>
      <c r="QL42" s="133">
        <v>22.270359273793286</v>
      </c>
      <c r="QM42" s="133">
        <v>24.25625604036572</v>
      </c>
      <c r="QN42" s="81"/>
      <c r="QO42" s="81">
        <v>42</v>
      </c>
      <c r="QP42" s="133">
        <v>9.3960741165117199</v>
      </c>
      <c r="QQ42" s="133">
        <v>10.171420125169098</v>
      </c>
      <c r="QR42" s="133">
        <v>10.88924293898287</v>
      </c>
      <c r="QS42" s="133">
        <v>11.779942747005391</v>
      </c>
      <c r="QT42" s="133">
        <v>13.430862451491612</v>
      </c>
      <c r="QU42" s="134">
        <v>15.545038406019263</v>
      </c>
      <c r="QV42" s="133">
        <v>17.992010559067026</v>
      </c>
      <c r="QW42" s="133">
        <v>20.513530857868037</v>
      </c>
      <c r="QX42" s="133">
        <v>22.19146183060413</v>
      </c>
      <c r="QY42" s="133">
        <v>23.75756935323685</v>
      </c>
      <c r="QZ42" s="133">
        <v>25.717998394666289</v>
      </c>
      <c r="RA42" s="81"/>
      <c r="RB42" s="81">
        <v>40</v>
      </c>
      <c r="RC42" s="133">
        <f t="shared" si="168"/>
        <v>0.29570207957395572</v>
      </c>
      <c r="RD42" s="133">
        <f t="shared" si="169"/>
        <v>0.321656332502125</v>
      </c>
      <c r="RE42" s="133">
        <f t="shared" si="170"/>
        <v>0.34609846980845094</v>
      </c>
      <c r="RF42" s="133">
        <f t="shared" si="411"/>
        <v>0.37698378465772364</v>
      </c>
      <c r="RG42" s="133">
        <f t="shared" si="412"/>
        <v>0.43587210287949391</v>
      </c>
      <c r="RH42" s="134">
        <f t="shared" si="413"/>
        <v>0.5144229899928926</v>
      </c>
      <c r="RI42" s="133">
        <f t="shared" si="414"/>
        <v>0.60977008852712977</v>
      </c>
      <c r="RJ42" s="133">
        <f t="shared" si="171"/>
        <v>0.71302824366561479</v>
      </c>
      <c r="RK42" s="133">
        <f t="shared" si="172"/>
        <v>0.78457235565846883</v>
      </c>
      <c r="RL42" s="133">
        <f t="shared" si="173"/>
        <v>0.85340021315955328</v>
      </c>
      <c r="RM42" s="133">
        <f t="shared" si="174"/>
        <v>0.94236292363237861</v>
      </c>
      <c r="RN42" s="81"/>
      <c r="RO42" s="81">
        <v>40</v>
      </c>
      <c r="RP42" s="133">
        <f t="shared" si="175"/>
        <v>0.326189353900388</v>
      </c>
      <c r="RQ42" s="133">
        <f t="shared" si="176"/>
        <v>0.35304014493719726</v>
      </c>
      <c r="RR42" s="133">
        <f t="shared" si="177"/>
        <v>0.3783078262419044</v>
      </c>
      <c r="RS42" s="133">
        <f t="shared" si="415"/>
        <v>0.41022385196169098</v>
      </c>
      <c r="RT42" s="133">
        <f t="shared" si="416"/>
        <v>0.47108417037689304</v>
      </c>
      <c r="RU42" s="134">
        <f t="shared" si="417"/>
        <v>0.55237750232388361</v>
      </c>
      <c r="RV42" s="133">
        <f t="shared" si="418"/>
        <v>0.65136427388852969</v>
      </c>
      <c r="RW42" s="133">
        <f t="shared" si="178"/>
        <v>0.75907570457898721</v>
      </c>
      <c r="RX42" s="133">
        <f t="shared" si="179"/>
        <v>0.83406506980916018</v>
      </c>
      <c r="RY42" s="133">
        <f t="shared" si="180"/>
        <v>0.90650706890154942</v>
      </c>
      <c r="RZ42" s="133">
        <f t="shared" si="181"/>
        <v>1.0005966957298758</v>
      </c>
      <c r="SA42" s="81"/>
      <c r="SB42" s="81">
        <v>42</v>
      </c>
      <c r="SC42" s="133">
        <f t="shared" si="182"/>
        <v>0.28700245471673108</v>
      </c>
      <c r="SD42" s="133">
        <f t="shared" si="183"/>
        <v>0.31226436950265885</v>
      </c>
      <c r="SE42" s="133">
        <f t="shared" si="184"/>
        <v>0.33578728299629568</v>
      </c>
      <c r="SF42" s="133">
        <f t="shared" si="419"/>
        <v>0.36514635334810253</v>
      </c>
      <c r="SG42" s="133">
        <f t="shared" si="420"/>
        <v>0.42003121545120198</v>
      </c>
      <c r="SH42" s="134">
        <f t="shared" si="421"/>
        <v>0.49112911484807653</v>
      </c>
      <c r="SI42" s="133">
        <f t="shared" si="422"/>
        <v>0.5744445835478138</v>
      </c>
      <c r="SJ42" s="133">
        <f t="shared" si="185"/>
        <v>0.66133627494904135</v>
      </c>
      <c r="SK42" s="133">
        <f t="shared" si="186"/>
        <v>0.7196932248064859</v>
      </c>
      <c r="SL42" s="133">
        <f t="shared" si="187"/>
        <v>0.77452177403931322</v>
      </c>
      <c r="SM42" s="133">
        <f t="shared" si="188"/>
        <v>0.84361949954683257</v>
      </c>
      <c r="SN42" s="81"/>
      <c r="SO42" s="81">
        <v>40</v>
      </c>
      <c r="SP42" s="133">
        <f t="shared" si="189"/>
        <v>0.22824653518041346</v>
      </c>
      <c r="SQ42" s="133">
        <f t="shared" si="190"/>
        <v>0.24362479258208597</v>
      </c>
      <c r="SR42" s="133">
        <f t="shared" si="191"/>
        <v>0.25745879484745127</v>
      </c>
      <c r="SS42" s="133">
        <f t="shared" si="423"/>
        <v>0.27412755483702433</v>
      </c>
      <c r="ST42" s="133">
        <f t="shared" si="424"/>
        <v>0.30371153265713169</v>
      </c>
      <c r="SU42" s="134">
        <f t="shared" si="425"/>
        <v>0.33942748006856072</v>
      </c>
      <c r="SV42" s="133">
        <f t="shared" si="426"/>
        <v>0.37819132579238984</v>
      </c>
      <c r="SW42" s="133">
        <f t="shared" si="192"/>
        <v>0.41570119946560402</v>
      </c>
      <c r="SX42" s="133">
        <f t="shared" si="193"/>
        <v>0.43947871437108005</v>
      </c>
      <c r="SY42" s="133">
        <f t="shared" si="194"/>
        <v>0.4609122327339466</v>
      </c>
      <c r="SZ42" s="133">
        <f t="shared" si="195"/>
        <v>0.48680447204909044</v>
      </c>
      <c r="TA42" s="81"/>
      <c r="TB42" s="81">
        <v>40</v>
      </c>
      <c r="TC42" s="133">
        <f t="shared" si="196"/>
        <v>0.24627331727796187</v>
      </c>
      <c r="TD42" s="133">
        <f t="shared" si="197"/>
        <v>0.26133914440283201</v>
      </c>
      <c r="TE42" s="133">
        <f t="shared" si="198"/>
        <v>0.27489803672604296</v>
      </c>
      <c r="TF42" s="133">
        <f t="shared" si="427"/>
        <v>0.29124652994754208</v>
      </c>
      <c r="TG42" s="133">
        <f t="shared" si="428"/>
        <v>0.32030271532828997</v>
      </c>
      <c r="TH42" s="134">
        <f t="shared" si="429"/>
        <v>0.35546906117728255</v>
      </c>
      <c r="TI42" s="133">
        <f t="shared" si="430"/>
        <v>0.39376538530391281</v>
      </c>
      <c r="TJ42" s="133">
        <f t="shared" si="199"/>
        <v>0.43096552289734419</v>
      </c>
      <c r="TK42" s="133">
        <f t="shared" si="200"/>
        <v>0.45462400610626791</v>
      </c>
      <c r="TL42" s="133">
        <f t="shared" si="201"/>
        <v>0.476003451869005</v>
      </c>
      <c r="TM42" s="133">
        <f t="shared" si="202"/>
        <v>0.50189911889978711</v>
      </c>
      <c r="TN42" s="81"/>
      <c r="TO42" s="81">
        <v>42</v>
      </c>
      <c r="TP42" s="133">
        <f t="shared" si="203"/>
        <v>0.22304673992615043</v>
      </c>
      <c r="TQ42" s="133">
        <f t="shared" si="204"/>
        <v>0.238221846839858</v>
      </c>
      <c r="TR42" s="133">
        <f t="shared" si="205"/>
        <v>0.25172470501015493</v>
      </c>
      <c r="TS42" s="133">
        <f t="shared" si="431"/>
        <v>0.26781478179517226</v>
      </c>
      <c r="TT42" s="133">
        <f t="shared" si="432"/>
        <v>0.29591186931338309</v>
      </c>
      <c r="TU42" s="134">
        <f t="shared" si="433"/>
        <v>0.32910047693745298</v>
      </c>
      <c r="TV42" s="133">
        <f t="shared" si="434"/>
        <v>0.3642880410778086</v>
      </c>
      <c r="TW42" s="133">
        <f t="shared" si="206"/>
        <v>0.39758041788069309</v>
      </c>
      <c r="TX42" s="133">
        <f t="shared" si="207"/>
        <v>0.41832661453363945</v>
      </c>
      <c r="TY42" s="133">
        <f t="shared" si="208"/>
        <v>0.43680332766053365</v>
      </c>
      <c r="TZ42" s="133">
        <f t="shared" si="209"/>
        <v>0.45885349143169679</v>
      </c>
      <c r="UA42" s="81"/>
      <c r="UB42" s="81">
        <v>40</v>
      </c>
      <c r="UC42" s="133">
        <f t="shared" si="210"/>
        <v>-21.965774528025506</v>
      </c>
      <c r="UD42" s="133">
        <f t="shared" si="211"/>
        <v>-18.443148332850335</v>
      </c>
      <c r="UE42" s="133">
        <f t="shared" si="212"/>
        <v>-15.502819725714581</v>
      </c>
      <c r="UF42" s="133">
        <f t="shared" si="435"/>
        <v>-12.20302951413769</v>
      </c>
      <c r="UG42" s="133">
        <f t="shared" si="436"/>
        <v>-6.8854207451437546</v>
      </c>
      <c r="UH42" s="134">
        <f t="shared" si="437"/>
        <v>-1.193423804212685</v>
      </c>
      <c r="UI42" s="133">
        <f t="shared" si="438"/>
        <v>4.289405511933353</v>
      </c>
      <c r="UJ42" s="133">
        <f t="shared" si="213"/>
        <v>9.0553472774921318</v>
      </c>
      <c r="UK42" s="133">
        <f t="shared" si="214"/>
        <v>11.85038452200854</v>
      </c>
      <c r="UL42" s="133">
        <f t="shared" si="215"/>
        <v>14.2400500330249</v>
      </c>
      <c r="UM42" s="133">
        <f t="shared" si="216"/>
        <v>16.98060504440113</v>
      </c>
      <c r="UN42" s="81"/>
      <c r="UO42" s="81">
        <v>40</v>
      </c>
      <c r="UP42" s="133">
        <f t="shared" si="217"/>
        <v>-17.670015991441939</v>
      </c>
      <c r="UQ42" s="133">
        <f t="shared" si="218"/>
        <v>-14.781978882625669</v>
      </c>
      <c r="UR42" s="133">
        <f t="shared" si="219"/>
        <v>-12.305107592329982</v>
      </c>
      <c r="US42" s="133">
        <f t="shared" si="439"/>
        <v>-9.4564095743986343</v>
      </c>
      <c r="UT42" s="133">
        <f t="shared" si="440"/>
        <v>-4.7186328509196791</v>
      </c>
      <c r="UU42" s="134">
        <f t="shared" si="441"/>
        <v>0.54406639360852438</v>
      </c>
      <c r="UV42" s="133">
        <f t="shared" si="442"/>
        <v>5.7907157120895008</v>
      </c>
      <c r="UW42" s="133">
        <f t="shared" si="220"/>
        <v>10.486126641836918</v>
      </c>
      <c r="UX42" s="133">
        <f t="shared" si="221"/>
        <v>13.296004538953582</v>
      </c>
      <c r="UY42" s="133">
        <f t="shared" si="222"/>
        <v>15.730442876946071</v>
      </c>
      <c r="UZ42" s="133">
        <f t="shared" si="223"/>
        <v>18.558020672473944</v>
      </c>
      <c r="VA42" s="81"/>
      <c r="VB42" s="81">
        <v>43</v>
      </c>
      <c r="VC42" s="133">
        <f t="shared" si="224"/>
        <v>-22.499329284237938</v>
      </c>
      <c r="VD42" s="133">
        <f t="shared" si="225"/>
        <v>-18.83560823130582</v>
      </c>
      <c r="VE42" s="133">
        <f t="shared" si="226"/>
        <v>-15.830697301097644</v>
      </c>
      <c r="VF42" s="133">
        <f t="shared" si="443"/>
        <v>-12.508631692969367</v>
      </c>
      <c r="VG42" s="133">
        <f t="shared" si="444"/>
        <v>-7.2518510008054093</v>
      </c>
      <c r="VH42" s="134">
        <f t="shared" si="445"/>
        <v>-1.7378716815144415</v>
      </c>
      <c r="VI42" s="133">
        <f t="shared" si="446"/>
        <v>3.479595874296237</v>
      </c>
      <c r="VJ42" s="133">
        <f t="shared" si="227"/>
        <v>7.9497153488452739</v>
      </c>
      <c r="VK42" s="133">
        <f t="shared" si="228"/>
        <v>10.545832558546238</v>
      </c>
      <c r="VL42" s="133">
        <f t="shared" si="229"/>
        <v>12.75156394189564</v>
      </c>
      <c r="VM42" s="133">
        <f t="shared" si="230"/>
        <v>15.266277006508986</v>
      </c>
      <c r="VN42" s="81"/>
      <c r="VO42" s="81">
        <v>40</v>
      </c>
      <c r="VP42" s="133">
        <f t="shared" si="231"/>
        <v>-37.560380016772385</v>
      </c>
      <c r="VQ42" s="133">
        <f t="shared" si="232"/>
        <v>-33.272441737482048</v>
      </c>
      <c r="VR42" s="133">
        <f t="shared" si="233"/>
        <v>-29.27705036599966</v>
      </c>
      <c r="VS42" s="133">
        <f t="shared" si="447"/>
        <v>-24.328703201832724</v>
      </c>
      <c r="VT42" s="133">
        <f t="shared" si="448"/>
        <v>-15.286709167458056</v>
      </c>
      <c r="VU42" s="134">
        <f t="shared" si="449"/>
        <v>-4.0929070089252875</v>
      </c>
      <c r="VV42" s="133">
        <f t="shared" si="450"/>
        <v>8.2300474492686035</v>
      </c>
      <c r="VW42" s="133">
        <f t="shared" si="234"/>
        <v>20.21324506628418</v>
      </c>
      <c r="VX42" s="133">
        <f t="shared" si="235"/>
        <v>27.805800457791001</v>
      </c>
      <c r="VY42" s="133">
        <f t="shared" si="236"/>
        <v>34.634761492898498</v>
      </c>
      <c r="VZ42" s="133">
        <f t="shared" si="237"/>
        <v>42.855185415604915</v>
      </c>
      <c r="WA42" s="81"/>
      <c r="WB42" s="81">
        <v>40</v>
      </c>
      <c r="WC42" s="133">
        <f t="shared" si="238"/>
        <v>-33.527513399615188</v>
      </c>
      <c r="WD42" s="133">
        <f t="shared" si="239"/>
        <v>-29.357587208823663</v>
      </c>
      <c r="WE42" s="133">
        <f t="shared" si="240"/>
        <v>-25.445389514718933</v>
      </c>
      <c r="WF42" s="133">
        <f t="shared" si="451"/>
        <v>-20.573198687686507</v>
      </c>
      <c r="WG42" s="133">
        <f t="shared" si="452"/>
        <v>-11.613967141539469</v>
      </c>
      <c r="WH42" s="134">
        <f t="shared" si="453"/>
        <v>-0.45125505493368223</v>
      </c>
      <c r="WI42" s="133">
        <f t="shared" si="454"/>
        <v>11.901163651469439</v>
      </c>
      <c r="WJ42" s="133">
        <f t="shared" si="241"/>
        <v>23.959765544974708</v>
      </c>
      <c r="WK42" s="133">
        <f t="shared" si="242"/>
        <v>31.618931957292581</v>
      </c>
      <c r="WL42" s="133">
        <f t="shared" si="243"/>
        <v>38.518342344382084</v>
      </c>
      <c r="WM42" s="133">
        <f t="shared" si="244"/>
        <v>46.835211552885603</v>
      </c>
      <c r="WN42" s="81"/>
      <c r="WO42" s="81">
        <v>43</v>
      </c>
      <c r="WP42" s="133">
        <f t="shared" si="245"/>
        <v>-38.059213634994677</v>
      </c>
      <c r="WQ42" s="133">
        <f t="shared" si="246"/>
        <v>-33.637143159714071</v>
      </c>
      <c r="WR42" s="133">
        <f t="shared" si="247"/>
        <v>-29.568327996846978</v>
      </c>
      <c r="WS42" s="133">
        <f t="shared" si="455"/>
        <v>-24.591272708417534</v>
      </c>
      <c r="WT42" s="133">
        <f t="shared" si="456"/>
        <v>-15.651825813210181</v>
      </c>
      <c r="WU42" s="134">
        <f t="shared" si="457"/>
        <v>-4.8177497370830267</v>
      </c>
      <c r="WV42" s="133">
        <f t="shared" si="458"/>
        <v>6.865239197670185</v>
      </c>
      <c r="WW42" s="133">
        <f t="shared" si="248"/>
        <v>18.022574263372981</v>
      </c>
      <c r="WX42" s="133">
        <f t="shared" si="249"/>
        <v>25.002117240648751</v>
      </c>
      <c r="WY42" s="133">
        <f t="shared" si="250"/>
        <v>31.226329572744355</v>
      </c>
      <c r="WZ42" s="133">
        <f t="shared" si="251"/>
        <v>38.657110752591073</v>
      </c>
      <c r="XA42" s="81"/>
      <c r="XB42" s="81">
        <v>40</v>
      </c>
      <c r="XC42" s="133">
        <f t="shared" si="252"/>
        <v>-43.142518482602583</v>
      </c>
      <c r="XD42" s="133">
        <f t="shared" si="253"/>
        <v>-38.360209126370393</v>
      </c>
      <c r="XE42" s="133">
        <f t="shared" si="254"/>
        <v>-33.980285867681054</v>
      </c>
      <c r="XF42" s="133">
        <f t="shared" si="459"/>
        <v>-28.66163863455246</v>
      </c>
      <c r="XG42" s="133">
        <f t="shared" si="460"/>
        <v>-19.226568976608846</v>
      </c>
      <c r="XH42" s="134">
        <f t="shared" si="461"/>
        <v>-7.987879548938345</v>
      </c>
      <c r="XI42" s="133">
        <f t="shared" si="462"/>
        <v>3.9155254276072995</v>
      </c>
      <c r="XJ42" s="133">
        <f t="shared" si="255"/>
        <v>15.099921842549584</v>
      </c>
      <c r="XK42" s="133">
        <f t="shared" si="256"/>
        <v>22.015025582508763</v>
      </c>
      <c r="XL42" s="133">
        <f t="shared" si="257"/>
        <v>28.133359848350231</v>
      </c>
      <c r="XM42" s="133">
        <f t="shared" si="258"/>
        <v>35.381971059099065</v>
      </c>
      <c r="XN42" s="81"/>
      <c r="XO42" s="81">
        <v>40</v>
      </c>
      <c r="XP42" s="133">
        <f t="shared" si="259"/>
        <v>-36.816147753997498</v>
      </c>
      <c r="XQ42" s="133">
        <f t="shared" si="260"/>
        <v>-32.111630248806378</v>
      </c>
      <c r="XR42" s="133">
        <f t="shared" si="261"/>
        <v>-27.859157239554271</v>
      </c>
      <c r="XS42" s="133">
        <f t="shared" si="463"/>
        <v>-22.746770320642192</v>
      </c>
      <c r="XT42" s="133">
        <f t="shared" si="464"/>
        <v>-13.777435820520161</v>
      </c>
      <c r="XU42" s="134">
        <f t="shared" si="465"/>
        <v>-3.2118461373981333</v>
      </c>
      <c r="XV42" s="133">
        <f t="shared" si="466"/>
        <v>7.8779067914743806</v>
      </c>
      <c r="XW42" s="133">
        <f t="shared" si="262"/>
        <v>18.22583050361316</v>
      </c>
      <c r="XX42" s="133">
        <f t="shared" si="263"/>
        <v>24.595079549747219</v>
      </c>
      <c r="XY42" s="133">
        <f t="shared" si="264"/>
        <v>30.214504190082856</v>
      </c>
      <c r="XZ42" s="133">
        <f t="shared" si="265"/>
        <v>36.854520631394429</v>
      </c>
      <c r="YA42" s="81"/>
      <c r="YB42" s="81">
        <v>43</v>
      </c>
      <c r="YC42" s="133">
        <f t="shared" si="266"/>
        <v>-44.405745768192531</v>
      </c>
      <c r="YD42" s="133">
        <f t="shared" si="267"/>
        <v>-39.582097234670464</v>
      </c>
      <c r="YE42" s="133">
        <f t="shared" si="268"/>
        <v>-35.199463439834375</v>
      </c>
      <c r="YF42" s="133">
        <f t="shared" si="467"/>
        <v>-29.918578376802714</v>
      </c>
      <c r="YG42" s="133">
        <f t="shared" si="468"/>
        <v>-20.645885376114315</v>
      </c>
      <c r="YH42" s="134">
        <f t="shared" si="469"/>
        <v>-9.7322513803738389</v>
      </c>
      <c r="YI42" s="133">
        <f t="shared" si="470"/>
        <v>1.7001616855744999</v>
      </c>
      <c r="YJ42" s="133">
        <f t="shared" si="269"/>
        <v>12.343456327757373</v>
      </c>
      <c r="YK42" s="133">
        <f t="shared" si="270"/>
        <v>18.882554535374233</v>
      </c>
      <c r="YL42" s="133">
        <f t="shared" si="271"/>
        <v>24.644359857330052</v>
      </c>
      <c r="YM42" s="133">
        <f t="shared" si="272"/>
        <v>31.443769083350681</v>
      </c>
      <c r="YN42" s="81"/>
      <c r="YO42" s="81">
        <v>40</v>
      </c>
      <c r="YP42" s="133">
        <v>17.89289334217473</v>
      </c>
      <c r="YQ42" s="133">
        <v>20.077877457669096</v>
      </c>
      <c r="YR42" s="133">
        <v>22.169327153474157</v>
      </c>
      <c r="YS42" s="133">
        <v>24.852428231326211</v>
      </c>
      <c r="YT42" s="133">
        <v>30.07029023968262</v>
      </c>
      <c r="YU42" s="134">
        <v>37.186983910659436</v>
      </c>
      <c r="YV42" s="133">
        <v>45.987975551586828</v>
      </c>
      <c r="YW42" s="133">
        <v>55.643326257695406</v>
      </c>
      <c r="YX42" s="133">
        <v>62.377706043953388</v>
      </c>
      <c r="YY42" s="133">
        <v>68.875396579504084</v>
      </c>
      <c r="YZ42" s="133">
        <v>77.286090400601879</v>
      </c>
      <c r="ZA42" s="81"/>
      <c r="ZB42" s="81">
        <v>40</v>
      </c>
      <c r="ZC42" s="133">
        <v>14.426764812162236</v>
      </c>
      <c r="ZD42" s="133">
        <v>16.412645825376156</v>
      </c>
      <c r="ZE42" s="133">
        <v>18.337913253998657</v>
      </c>
      <c r="ZF42" s="133">
        <v>20.839553521400024</v>
      </c>
      <c r="ZG42" s="133">
        <v>25.795054266307126</v>
      </c>
      <c r="ZH42" s="134">
        <v>32.719080979148814</v>
      </c>
      <c r="ZI42" s="133">
        <v>41.501686682567218</v>
      </c>
      <c r="ZJ42" s="133">
        <v>51.370498845897409</v>
      </c>
      <c r="ZK42" s="133">
        <v>58.378412270363548</v>
      </c>
      <c r="ZL42" s="133">
        <v>65.226427933082036</v>
      </c>
      <c r="ZM42" s="133">
        <v>74.205012285054949</v>
      </c>
      <c r="ZN42" s="81"/>
      <c r="ZO42" s="81">
        <v>43</v>
      </c>
      <c r="ZP42" s="133">
        <v>21.355970410510935</v>
      </c>
      <c r="ZQ42" s="133">
        <v>23.538299907957931</v>
      </c>
      <c r="ZR42" s="133">
        <v>25.592772910369966</v>
      </c>
      <c r="ZS42" s="133">
        <v>28.184976146180944</v>
      </c>
      <c r="ZT42" s="133">
        <v>33.106619025664003</v>
      </c>
      <c r="ZU42" s="134">
        <v>39.611525142791635</v>
      </c>
      <c r="ZV42" s="133">
        <v>47.394538322432751</v>
      </c>
      <c r="ZW42" s="133">
        <v>55.670542916199061</v>
      </c>
      <c r="ZX42" s="133">
        <v>61.309219193760718</v>
      </c>
      <c r="ZY42" s="133">
        <v>66.660418563514639</v>
      </c>
      <c r="ZZ42" s="133">
        <v>73.472330874074956</v>
      </c>
      <c r="AAA42" s="81"/>
      <c r="AAB42" s="81">
        <v>40</v>
      </c>
      <c r="AAC42" s="133">
        <v>9.1865077029064022</v>
      </c>
      <c r="AAD42" s="133">
        <v>10.202676984860398</v>
      </c>
      <c r="AAE42" s="133">
        <v>11.166096352685015</v>
      </c>
      <c r="AAF42" s="133">
        <v>12.390298968323487</v>
      </c>
      <c r="AAG42" s="133">
        <v>14.738412559289552</v>
      </c>
      <c r="AAH42" s="134">
        <v>17.883652397556219</v>
      </c>
      <c r="AAI42" s="133">
        <v>21.700099776012443</v>
      </c>
      <c r="AAJ42" s="133">
        <v>25.81253478178931</v>
      </c>
      <c r="AAK42" s="133">
        <v>28.642509698540497</v>
      </c>
      <c r="AAL42" s="133">
        <v>31.347167370995066</v>
      </c>
      <c r="AAM42" s="133">
        <v>34.814647025815134</v>
      </c>
      <c r="AAN42" s="81"/>
      <c r="AAO42" s="81">
        <v>40</v>
      </c>
      <c r="AAP42" s="133">
        <v>8.2004849319487825</v>
      </c>
      <c r="AAQ42" s="133">
        <v>9.2162155254947109</v>
      </c>
      <c r="AAR42" s="133">
        <v>10.189869278119721</v>
      </c>
      <c r="AAS42" s="133">
        <v>11.44076604384688</v>
      </c>
      <c r="AAT42" s="133">
        <v>13.878478867116522</v>
      </c>
      <c r="AAU42" s="134">
        <v>17.212394282824647</v>
      </c>
      <c r="AAV42" s="133">
        <v>21.347189399076331</v>
      </c>
      <c r="AAW42" s="133">
        <v>25.895688786220219</v>
      </c>
      <c r="AAX42" s="133">
        <v>29.074614095744611</v>
      </c>
      <c r="AAY42" s="133">
        <v>32.14622272318352</v>
      </c>
      <c r="AAZ42" s="133">
        <v>36.127926507513166</v>
      </c>
      <c r="ABA42" s="81"/>
      <c r="ABB42" s="81">
        <v>43</v>
      </c>
      <c r="ABC42" s="133">
        <v>10.264626994463299</v>
      </c>
      <c r="ABD42" s="133">
        <v>11.26486539005017</v>
      </c>
      <c r="ABE42" s="133">
        <v>12.202741795517197</v>
      </c>
      <c r="ABF42" s="133">
        <v>13.38136935109525</v>
      </c>
      <c r="ABG42" s="133">
        <v>15.606287123395745</v>
      </c>
      <c r="ABH42" s="134">
        <v>18.524785329701103</v>
      </c>
      <c r="ABI42" s="133">
        <v>21.989065611708405</v>
      </c>
      <c r="ABJ42" s="133">
        <v>25.64518342686813</v>
      </c>
      <c r="ABK42" s="133">
        <v>28.122177561568602</v>
      </c>
      <c r="ABL42" s="133">
        <v>30.463539476877909</v>
      </c>
      <c r="ABM42" s="133">
        <v>33.432064477025065</v>
      </c>
      <c r="ABN42" s="81"/>
      <c r="ABO42" s="81">
        <v>40</v>
      </c>
      <c r="ABP42" s="133">
        <f t="shared" si="273"/>
        <v>0.22710709826866787</v>
      </c>
      <c r="ABQ42" s="133">
        <f t="shared" si="274"/>
        <v>0.25729089664260724</v>
      </c>
      <c r="ABR42" s="133">
        <f t="shared" si="275"/>
        <v>0.28550357681664046</v>
      </c>
      <c r="ABS42" s="133">
        <f t="shared" si="471"/>
        <v>0.32075665457330604</v>
      </c>
      <c r="ABT42" s="133">
        <f t="shared" si="472"/>
        <v>0.38648193663637137</v>
      </c>
      <c r="ABU42" s="134">
        <f t="shared" si="473"/>
        <v>0.47074700856665758</v>
      </c>
      <c r="ABV42" s="133">
        <f t="shared" si="474"/>
        <v>0.56767373235536311</v>
      </c>
      <c r="ABW42" s="133">
        <f t="shared" si="276"/>
        <v>0.66634201876532539</v>
      </c>
      <c r="ABX42" s="133">
        <f t="shared" si="277"/>
        <v>0.73116269624160368</v>
      </c>
      <c r="ABY42" s="133">
        <f t="shared" si="278"/>
        <v>0.79100608209583934</v>
      </c>
      <c r="ABZ42" s="133">
        <f t="shared" si="279"/>
        <v>0.86498838920033561</v>
      </c>
      <c r="ACA42" s="81"/>
      <c r="ACB42" s="81">
        <v>40</v>
      </c>
      <c r="ACC42" s="133">
        <f t="shared" si="280"/>
        <v>0.25734804420395435</v>
      </c>
      <c r="ACD42" s="133">
        <f t="shared" si="281"/>
        <v>0.28671579129485808</v>
      </c>
      <c r="ACE42" s="133">
        <f t="shared" si="282"/>
        <v>0.314231993698046</v>
      </c>
      <c r="ACF42" s="133">
        <f t="shared" si="475"/>
        <v>0.34874389308224762</v>
      </c>
      <c r="ACG42" s="133">
        <f t="shared" si="476"/>
        <v>0.41357362512382245</v>
      </c>
      <c r="ACH42" s="134">
        <f t="shared" si="477"/>
        <v>0.49778193284547789</v>
      </c>
      <c r="ACI42" s="133">
        <f t="shared" si="478"/>
        <v>0.59631492894271843</v>
      </c>
      <c r="ACJ42" s="133">
        <f t="shared" si="283"/>
        <v>0.69853401178410246</v>
      </c>
      <c r="ACK42" s="133">
        <f t="shared" si="284"/>
        <v>0.76675094813072142</v>
      </c>
      <c r="ACL42" s="133">
        <f t="shared" si="285"/>
        <v>0.83047720012738291</v>
      </c>
      <c r="ACM42" s="133">
        <f t="shared" si="286"/>
        <v>0.91024512656466072</v>
      </c>
      <c r="ACN42" s="81"/>
      <c r="ACO42" s="81">
        <v>43</v>
      </c>
      <c r="ACP42" s="133">
        <f t="shared" si="287"/>
        <v>0.21845587487907672</v>
      </c>
      <c r="ACQ42" s="133">
        <f t="shared" si="288"/>
        <v>0.25102122952038569</v>
      </c>
      <c r="ACR42" s="133">
        <f t="shared" si="289"/>
        <v>0.28089978906447166</v>
      </c>
      <c r="ACS42" s="133">
        <f t="shared" si="479"/>
        <v>0.31750337903256515</v>
      </c>
      <c r="ACT42" s="133">
        <f t="shared" si="480"/>
        <v>0.3837832842997691</v>
      </c>
      <c r="ACU42" s="134">
        <f t="shared" si="481"/>
        <v>0.46518402556776578</v>
      </c>
      <c r="ACV42" s="133">
        <f t="shared" si="482"/>
        <v>0.55468215427086365</v>
      </c>
      <c r="ACW42" s="133">
        <f t="shared" si="290"/>
        <v>0.64204992881732292</v>
      </c>
      <c r="ACX42" s="133">
        <f t="shared" si="291"/>
        <v>0.69754156342348472</v>
      </c>
      <c r="ACY42" s="133">
        <f t="shared" si="292"/>
        <v>0.74759646885312481</v>
      </c>
      <c r="ACZ42" s="133">
        <f t="shared" si="293"/>
        <v>0.80804921950866793</v>
      </c>
      <c r="ADA42" s="81"/>
      <c r="ADB42" s="81">
        <v>40</v>
      </c>
      <c r="ADC42" s="133">
        <f t="shared" si="294"/>
        <v>0.18577622017307258</v>
      </c>
      <c r="ADD42" s="133">
        <f t="shared" si="295"/>
        <v>0.20571086309919012</v>
      </c>
      <c r="ADE42" s="133">
        <f t="shared" si="296"/>
        <v>0.22321241973659789</v>
      </c>
      <c r="ADF42" s="133">
        <f t="shared" si="483"/>
        <v>0.24378013809510882</v>
      </c>
      <c r="ADG42" s="133">
        <f t="shared" si="484"/>
        <v>0.27896837815456077</v>
      </c>
      <c r="ADH42" s="134">
        <f t="shared" si="485"/>
        <v>0.31939935913949935</v>
      </c>
      <c r="ADI42" s="133">
        <f t="shared" si="486"/>
        <v>0.36101795129105874</v>
      </c>
      <c r="ADJ42" s="133">
        <f t="shared" si="297"/>
        <v>0.39930448737569035</v>
      </c>
      <c r="ADK42" s="133">
        <f t="shared" si="298"/>
        <v>0.42266360046025103</v>
      </c>
      <c r="ADL42" s="133">
        <f t="shared" si="299"/>
        <v>0.44316272145426666</v>
      </c>
      <c r="ADM42" s="133">
        <f t="shared" si="300"/>
        <v>0.46726817987993324</v>
      </c>
      <c r="ADN42" s="81"/>
      <c r="ADO42" s="81">
        <v>40</v>
      </c>
      <c r="ADP42" s="133">
        <f t="shared" si="301"/>
        <v>0.2056905622374828</v>
      </c>
      <c r="ADQ42" s="133">
        <f t="shared" si="302"/>
        <v>0.2239322847260467</v>
      </c>
      <c r="ADR42" s="133">
        <f t="shared" si="303"/>
        <v>0.24010312502961115</v>
      </c>
      <c r="ADS42" s="133">
        <f t="shared" si="487"/>
        <v>0.25929112299280066</v>
      </c>
      <c r="ADT42" s="133">
        <f t="shared" si="488"/>
        <v>0.29257196406423175</v>
      </c>
      <c r="ADU42" s="134">
        <f t="shared" si="489"/>
        <v>0.33149736544988401</v>
      </c>
      <c r="ADV42" s="133">
        <f t="shared" si="490"/>
        <v>0.37230327233300076</v>
      </c>
      <c r="ADW42" s="133">
        <f t="shared" si="304"/>
        <v>0.41047596854430807</v>
      </c>
      <c r="ADX42" s="133">
        <f t="shared" si="305"/>
        <v>0.43405361065406639</v>
      </c>
      <c r="ADY42" s="133">
        <f t="shared" si="306"/>
        <v>0.45491941325059121</v>
      </c>
      <c r="ADZ42" s="133">
        <f t="shared" si="307"/>
        <v>0.47966061711543306</v>
      </c>
      <c r="AEA42" s="81"/>
      <c r="AEB42" s="81">
        <v>43</v>
      </c>
      <c r="AEC42" s="133">
        <f t="shared" si="308"/>
        <v>0.18027397325536737</v>
      </c>
      <c r="AED42" s="133">
        <f t="shared" si="309"/>
        <v>0.2019864396945634</v>
      </c>
      <c r="AEE42" s="133">
        <f t="shared" si="310"/>
        <v>0.22058544023493543</v>
      </c>
      <c r="AEF42" s="133">
        <f t="shared" si="491"/>
        <v>0.24195157292804606</v>
      </c>
      <c r="AEG42" s="133">
        <f t="shared" si="492"/>
        <v>0.2774297649296476</v>
      </c>
      <c r="AEH42" s="134">
        <f t="shared" si="493"/>
        <v>0.31676108895418981</v>
      </c>
      <c r="AEI42" s="133">
        <f t="shared" si="494"/>
        <v>0.35589750402039194</v>
      </c>
      <c r="AEJ42" s="133">
        <f t="shared" si="311"/>
        <v>0.39086357036387392</v>
      </c>
      <c r="AEK42" s="133">
        <f t="shared" si="312"/>
        <v>0.41176361322209853</v>
      </c>
      <c r="AEL42" s="133">
        <f t="shared" si="313"/>
        <v>0.42985687538858802</v>
      </c>
      <c r="AEM42" s="133">
        <f t="shared" si="314"/>
        <v>0.45085607599538419</v>
      </c>
      <c r="AEN42" s="81"/>
    </row>
    <row r="43" spans="1:820">
      <c r="A43" s="81"/>
      <c r="B43" s="81">
        <v>42</v>
      </c>
      <c r="C43" s="133">
        <f t="shared" si="0"/>
        <v>1.9402710412204653</v>
      </c>
      <c r="D43" s="133">
        <f t="shared" si="1"/>
        <v>2.3240682464058975</v>
      </c>
      <c r="E43" s="133">
        <f t="shared" si="2"/>
        <v>2.7278001263680793</v>
      </c>
      <c r="F43" s="133">
        <f t="shared" si="315"/>
        <v>3.3009981107589188</v>
      </c>
      <c r="G43" s="133">
        <f t="shared" si="316"/>
        <v>4.6093752708185951</v>
      </c>
      <c r="H43" s="134">
        <f t="shared" si="317"/>
        <v>6.8627684406964757</v>
      </c>
      <c r="I43" s="133">
        <f t="shared" si="318"/>
        <v>10.544436575298691</v>
      </c>
      <c r="J43" s="133">
        <f t="shared" si="3"/>
        <v>15.992606869449366</v>
      </c>
      <c r="K43" s="133">
        <f t="shared" si="4"/>
        <v>20.864203590170955</v>
      </c>
      <c r="L43" s="133">
        <f t="shared" si="5"/>
        <v>26.567805348521205</v>
      </c>
      <c r="M43" s="133">
        <f t="shared" si="6"/>
        <v>35.691181655661651</v>
      </c>
      <c r="N43" s="81"/>
      <c r="O43" s="75">
        <v>42</v>
      </c>
      <c r="P43" s="151">
        <f t="shared" si="7"/>
        <v>2.640742682741871</v>
      </c>
      <c r="Q43" s="151">
        <f t="shared" si="8"/>
        <v>3.007360560370449</v>
      </c>
      <c r="R43" s="151">
        <f t="shared" si="9"/>
        <v>3.382424410488126</v>
      </c>
      <c r="S43" s="151">
        <f t="shared" si="319"/>
        <v>3.9016077269918434</v>
      </c>
      <c r="T43" s="151">
        <f t="shared" si="320"/>
        <v>5.0508767655850271</v>
      </c>
      <c r="U43" s="134">
        <f t="shared" si="321"/>
        <v>6.9797737195399003</v>
      </c>
      <c r="V43" s="151">
        <f t="shared" si="322"/>
        <v>10.125377662778748</v>
      </c>
      <c r="W43" s="151">
        <f t="shared" si="10"/>
        <v>14.941068955326035</v>
      </c>
      <c r="X43" s="151">
        <f t="shared" si="11"/>
        <v>19.499999362620787</v>
      </c>
      <c r="Y43" s="151">
        <f t="shared" si="12"/>
        <v>25.205616367010979</v>
      </c>
      <c r="Z43" s="151">
        <f t="shared" si="13"/>
        <v>35.277207672972885</v>
      </c>
      <c r="AA43" s="81"/>
      <c r="AB43" s="75">
        <v>44</v>
      </c>
      <c r="AC43" s="151">
        <f t="shared" si="14"/>
        <v>1.6558821647170281</v>
      </c>
      <c r="AD43" s="151">
        <f t="shared" si="15"/>
        <v>2.0012422513721528</v>
      </c>
      <c r="AE43" s="151">
        <f t="shared" si="16"/>
        <v>2.3712340690289109</v>
      </c>
      <c r="AF43" s="151">
        <f t="shared" si="323"/>
        <v>2.9077750815389436</v>
      </c>
      <c r="AG43" s="151">
        <f t="shared" si="324"/>
        <v>4.1786374530303005</v>
      </c>
      <c r="AH43" s="134">
        <f t="shared" si="325"/>
        <v>6.5037656621662361</v>
      </c>
      <c r="AI43" s="151">
        <f t="shared" si="326"/>
        <v>10.630538223699139</v>
      </c>
      <c r="AJ43" s="151">
        <f t="shared" si="17"/>
        <v>17.394517166980812</v>
      </c>
      <c r="AK43" s="151">
        <f t="shared" si="18"/>
        <v>24.042432596999681</v>
      </c>
      <c r="AL43" s="151">
        <f t="shared" si="19"/>
        <v>32.492346828749874</v>
      </c>
      <c r="AM43" s="151">
        <f t="shared" si="20"/>
        <v>47.416003621622579</v>
      </c>
      <c r="AN43" s="81"/>
      <c r="AO43" s="81">
        <v>42</v>
      </c>
      <c r="AP43" s="133">
        <f t="shared" si="21"/>
        <v>1.2086565882519578</v>
      </c>
      <c r="AQ43" s="133">
        <f t="shared" si="22"/>
        <v>3.3523273815424437</v>
      </c>
      <c r="AR43" s="133">
        <f t="shared" si="23"/>
        <v>5.4056764372518726</v>
      </c>
      <c r="AS43" s="133">
        <f t="shared" si="327"/>
        <v>8.016131453602096</v>
      </c>
      <c r="AT43" s="133">
        <f t="shared" si="328"/>
        <v>12.956671925713465</v>
      </c>
      <c r="AU43" s="134">
        <f t="shared" si="329"/>
        <v>19.337640215960192</v>
      </c>
      <c r="AV43" s="133">
        <f t="shared" si="330"/>
        <v>26.652691752632709</v>
      </c>
      <c r="AW43" s="133">
        <f t="shared" si="24"/>
        <v>34.020164227332181</v>
      </c>
      <c r="AX43" s="133">
        <f t="shared" si="25"/>
        <v>38.804739464365241</v>
      </c>
      <c r="AY43" s="133">
        <f t="shared" si="26"/>
        <v>43.17955566414561</v>
      </c>
      <c r="AZ43" s="133">
        <f t="shared" si="27"/>
        <v>48.530260564567897</v>
      </c>
      <c r="BA43" s="81"/>
      <c r="BB43" s="81">
        <v>42</v>
      </c>
      <c r="BC43" s="133">
        <f t="shared" si="28"/>
        <v>4.1281222948944025</v>
      </c>
      <c r="BD43" s="133">
        <f t="shared" si="29"/>
        <v>6.5365317657216879</v>
      </c>
      <c r="BE43" s="133">
        <f t="shared" si="30"/>
        <v>8.7613266383647783</v>
      </c>
      <c r="BF43" s="133">
        <f t="shared" si="331"/>
        <v>11.497383060478985</v>
      </c>
      <c r="BG43" s="133">
        <f t="shared" si="332"/>
        <v>16.456287196893776</v>
      </c>
      <c r="BH43" s="134">
        <f t="shared" si="333"/>
        <v>22.544019420975641</v>
      </c>
      <c r="BI43" s="133">
        <f t="shared" si="334"/>
        <v>29.200243229173569</v>
      </c>
      <c r="BJ43" s="133">
        <f t="shared" si="31"/>
        <v>35.639628703090452</v>
      </c>
      <c r="BK43" s="133">
        <f t="shared" si="32"/>
        <v>39.706256343039009</v>
      </c>
      <c r="BL43" s="133">
        <f t="shared" si="33"/>
        <v>43.356443438126085</v>
      </c>
      <c r="BM43" s="133">
        <f t="shared" si="34"/>
        <v>47.74217719760685</v>
      </c>
      <c r="BN43" s="81"/>
      <c r="BO43" s="75">
        <v>44</v>
      </c>
      <c r="BP43" s="151">
        <f t="shared" si="35"/>
        <v>3.5696187765446359</v>
      </c>
      <c r="BQ43" s="151">
        <f t="shared" si="36"/>
        <v>4.604015922910369</v>
      </c>
      <c r="BR43" s="151">
        <f t="shared" si="37"/>
        <v>5.6880855931092515</v>
      </c>
      <c r="BS43" s="151">
        <f t="shared" si="335"/>
        <v>7.2009788848271716</v>
      </c>
      <c r="BT43" s="151">
        <f t="shared" si="336"/>
        <v>10.487671909515386</v>
      </c>
      <c r="BU43" s="134">
        <f t="shared" si="337"/>
        <v>15.580179366660831</v>
      </c>
      <c r="BV43" s="151">
        <f t="shared" si="338"/>
        <v>22.643907328199326</v>
      </c>
      <c r="BW43" s="151">
        <f t="shared" si="38"/>
        <v>31.143143747838163</v>
      </c>
      <c r="BX43" s="151">
        <f t="shared" si="39"/>
        <v>37.43764551400762</v>
      </c>
      <c r="BY43" s="151">
        <f t="shared" si="40"/>
        <v>43.745015776616214</v>
      </c>
      <c r="BZ43" s="151">
        <f t="shared" si="41"/>
        <v>52.196469547039158</v>
      </c>
      <c r="CA43" s="81"/>
      <c r="CB43" s="81">
        <v>42</v>
      </c>
      <c r="CC43" s="133">
        <f t="shared" si="42"/>
        <v>-5.8535743439796466</v>
      </c>
      <c r="CD43" s="133">
        <f t="shared" si="43"/>
        <v>-3.8403579073876353</v>
      </c>
      <c r="CE43" s="133">
        <f t="shared" si="44"/>
        <v>-1.7110165370644159</v>
      </c>
      <c r="CF43" s="133">
        <f t="shared" si="339"/>
        <v>1.0994101211261826</v>
      </c>
      <c r="CG43" s="133">
        <f t="shared" si="340"/>
        <v>6.4799146481111629</v>
      </c>
      <c r="CH43" s="134">
        <f t="shared" si="341"/>
        <v>13.323004395350718</v>
      </c>
      <c r="CI43" s="133">
        <f t="shared" si="342"/>
        <v>20.920221960033754</v>
      </c>
      <c r="CJ43" s="133">
        <f t="shared" si="45"/>
        <v>28.299500737697738</v>
      </c>
      <c r="CK43" s="133">
        <f t="shared" si="46"/>
        <v>32.956045259604011</v>
      </c>
      <c r="CL43" s="133">
        <f t="shared" si="47"/>
        <v>37.127750696034198</v>
      </c>
      <c r="CM43" s="133">
        <f t="shared" si="48"/>
        <v>42.126469253907317</v>
      </c>
      <c r="CN43" s="81"/>
      <c r="CO43" s="81">
        <v>42</v>
      </c>
      <c r="CP43" s="133">
        <f t="shared" si="49"/>
        <v>-0.30405093132378092</v>
      </c>
      <c r="CQ43" s="133">
        <f t="shared" si="50"/>
        <v>2.015107601641172</v>
      </c>
      <c r="CR43" s="133">
        <f t="shared" si="51"/>
        <v>4.1907028140841058</v>
      </c>
      <c r="CS43" s="133">
        <f t="shared" si="343"/>
        <v>6.8859384000446502</v>
      </c>
      <c r="CT43" s="133">
        <f t="shared" si="344"/>
        <v>11.78282784864485</v>
      </c>
      <c r="CU43" s="134">
        <f t="shared" si="345"/>
        <v>17.768795463597915</v>
      </c>
      <c r="CV43" s="133">
        <f t="shared" si="346"/>
        <v>24.252938590308936</v>
      </c>
      <c r="CW43" s="133">
        <f t="shared" si="52"/>
        <v>30.456815569900993</v>
      </c>
      <c r="CX43" s="133">
        <f t="shared" si="53"/>
        <v>34.339427465093678</v>
      </c>
      <c r="CY43" s="133">
        <f t="shared" si="54"/>
        <v>37.801708327353801</v>
      </c>
      <c r="CZ43" s="133">
        <f t="shared" si="55"/>
        <v>41.934071129743799</v>
      </c>
      <c r="DA43" s="81"/>
      <c r="DB43" s="81">
        <v>44</v>
      </c>
      <c r="DC43" s="133">
        <f t="shared" si="56"/>
        <v>-6.0564317486771913</v>
      </c>
      <c r="DD43" s="133">
        <f t="shared" si="57"/>
        <v>-4.6795313527451814</v>
      </c>
      <c r="DE43" s="133">
        <f t="shared" si="58"/>
        <v>-3.1412012213218277</v>
      </c>
      <c r="DF43" s="133">
        <f t="shared" si="347"/>
        <v>-1.0089823529243747</v>
      </c>
      <c r="DG43" s="133">
        <f t="shared" si="348"/>
        <v>3.3152765244873974</v>
      </c>
      <c r="DH43" s="134">
        <f t="shared" si="349"/>
        <v>9.1549755364574992</v>
      </c>
      <c r="DI43" s="133">
        <f t="shared" si="350"/>
        <v>15.97309761355563</v>
      </c>
      <c r="DJ43" s="133">
        <f t="shared" si="59"/>
        <v>22.863068302088028</v>
      </c>
      <c r="DK43" s="133">
        <f t="shared" si="60"/>
        <v>27.32572605178142</v>
      </c>
      <c r="DL43" s="133">
        <f t="shared" si="61"/>
        <v>31.391017526914627</v>
      </c>
      <c r="DM43" s="133">
        <f t="shared" si="62"/>
        <v>36.339103296036036</v>
      </c>
      <c r="DN43" s="81"/>
      <c r="DO43" s="81">
        <v>42</v>
      </c>
      <c r="DP43" s="133">
        <v>12.896380268481552</v>
      </c>
      <c r="DQ43" s="133">
        <v>14.121504468451228</v>
      </c>
      <c r="DR43" s="133">
        <v>15.267867823922801</v>
      </c>
      <c r="DS43" s="133">
        <v>16.705519588413949</v>
      </c>
      <c r="DT43" s="133">
        <v>19.411317084559123</v>
      </c>
      <c r="DU43" s="134">
        <v>22.946728149565228</v>
      </c>
      <c r="DV43" s="133">
        <v>27.126048710465863</v>
      </c>
      <c r="DW43" s="133">
        <v>31.519662108279327</v>
      </c>
      <c r="DX43" s="133">
        <v>34.487614042938525</v>
      </c>
      <c r="DY43" s="133">
        <v>37.287268785448234</v>
      </c>
      <c r="DZ43" s="133">
        <v>40.829467013851215</v>
      </c>
      <c r="EA43" s="81"/>
      <c r="EB43" s="81">
        <v>42</v>
      </c>
      <c r="EC43" s="133">
        <v>12.769130157782039</v>
      </c>
      <c r="ED43" s="133">
        <v>13.709541704415818</v>
      </c>
      <c r="EE43" s="133">
        <v>14.573558124385217</v>
      </c>
      <c r="EF43" s="133">
        <v>15.637510507358391</v>
      </c>
      <c r="EG43" s="133">
        <v>17.588029775629597</v>
      </c>
      <c r="EH43" s="134">
        <v>20.050101854959735</v>
      </c>
      <c r="EI43" s="133">
        <v>22.856828736513169</v>
      </c>
      <c r="EJ43" s="133">
        <v>25.707837843184276</v>
      </c>
      <c r="EK43" s="133">
        <v>27.584655782969154</v>
      </c>
      <c r="EL43" s="133">
        <v>29.323123490318732</v>
      </c>
      <c r="EM43" s="133">
        <v>31.48269141490897</v>
      </c>
      <c r="EN43" s="81"/>
      <c r="EO43" s="81">
        <v>44</v>
      </c>
      <c r="EP43" s="133">
        <v>15.479143825138632</v>
      </c>
      <c r="EQ43" s="133">
        <v>16.568095124937944</v>
      </c>
      <c r="ER43" s="133">
        <v>17.565730909119107</v>
      </c>
      <c r="ES43" s="133">
        <v>18.790723470336445</v>
      </c>
      <c r="ET43" s="133">
        <v>21.027283806893305</v>
      </c>
      <c r="EU43" s="134">
        <v>23.83523456756825</v>
      </c>
      <c r="EV43" s="133">
        <v>27.018154703593055</v>
      </c>
      <c r="EW43" s="133">
        <v>30.233982623811574</v>
      </c>
      <c r="EX43" s="133">
        <v>32.342429121242333</v>
      </c>
      <c r="EY43" s="133">
        <v>34.289904941207197</v>
      </c>
      <c r="EZ43" s="133">
        <v>36.702185425033484</v>
      </c>
      <c r="FA43" s="81"/>
      <c r="FB43" s="81">
        <v>42</v>
      </c>
      <c r="FC43" s="133">
        <v>8.1061760793024966</v>
      </c>
      <c r="FD43" s="133">
        <v>8.9253406639057715</v>
      </c>
      <c r="FE43" s="133">
        <v>9.695776521499436</v>
      </c>
      <c r="FF43" s="133">
        <v>10.666935579362731</v>
      </c>
      <c r="FG43" s="133">
        <v>12.508274611511046</v>
      </c>
      <c r="FH43" s="134">
        <v>14.937571066661548</v>
      </c>
      <c r="FI43" s="133">
        <v>17.83867370214454</v>
      </c>
      <c r="FJ43" s="133">
        <v>20.918006648812508</v>
      </c>
      <c r="FK43" s="133">
        <v>23.013219093570594</v>
      </c>
      <c r="FL43" s="133">
        <v>24.99972132984345</v>
      </c>
      <c r="FM43" s="133">
        <v>27.526052628104733</v>
      </c>
      <c r="FN43" s="81"/>
      <c r="FO43" s="81">
        <v>42</v>
      </c>
      <c r="FP43" s="133">
        <v>8.0017883777658341</v>
      </c>
      <c r="FQ43" s="133">
        <v>8.6771853495962947</v>
      </c>
      <c r="FR43" s="133">
        <v>9.3034864913069057</v>
      </c>
      <c r="FS43" s="133">
        <v>10.081879742524599</v>
      </c>
      <c r="FT43" s="133">
        <v>11.527996845943264</v>
      </c>
      <c r="FU43" s="134">
        <v>13.385567390427282</v>
      </c>
      <c r="FV43" s="133">
        <v>15.54245865592182</v>
      </c>
      <c r="FW43" s="133">
        <v>17.771826181176365</v>
      </c>
      <c r="FX43" s="133">
        <v>19.258738595588675</v>
      </c>
      <c r="FY43" s="133">
        <v>20.648794182091116</v>
      </c>
      <c r="FZ43" s="133">
        <v>22.391671199594629</v>
      </c>
      <c r="GA43" s="81"/>
      <c r="GB43" s="81">
        <v>44</v>
      </c>
      <c r="GC43" s="133">
        <v>9.7587520222589941</v>
      </c>
      <c r="GD43" s="133">
        <v>10.530230428753509</v>
      </c>
      <c r="GE43" s="133">
        <v>11.242351155293967</v>
      </c>
      <c r="GF43" s="133">
        <v>12.123353760231113</v>
      </c>
      <c r="GG43" s="133">
        <v>13.749333545449126</v>
      </c>
      <c r="GH43" s="134">
        <v>15.819906861609622</v>
      </c>
      <c r="GI43" s="133">
        <v>18.202297026450399</v>
      </c>
      <c r="GJ43" s="133">
        <v>20.643582465685</v>
      </c>
      <c r="GK43" s="133">
        <v>22.26130901383139</v>
      </c>
      <c r="GL43" s="133">
        <v>23.766759407906733</v>
      </c>
      <c r="GM43" s="133">
        <v>25.645641219200687</v>
      </c>
      <c r="GN43" s="81"/>
      <c r="GO43" s="81">
        <v>42</v>
      </c>
      <c r="GP43" s="133">
        <f t="shared" si="63"/>
        <v>0.46036810464335592</v>
      </c>
      <c r="GQ43" s="133">
        <f t="shared" si="64"/>
        <v>0.49519689516765142</v>
      </c>
      <c r="GR43" s="133">
        <f t="shared" si="65"/>
        <v>0.52319650959806285</v>
      </c>
      <c r="GS43" s="133">
        <f t="shared" si="351"/>
        <v>0.55362467472585708</v>
      </c>
      <c r="GT43" s="133">
        <f t="shared" si="352"/>
        <v>0.60210117007843023</v>
      </c>
      <c r="GU43" s="134">
        <f t="shared" si="353"/>
        <v>0.64908453604424399</v>
      </c>
      <c r="GV43" s="133">
        <f t="shared" si="354"/>
        <v>0.69271190270456584</v>
      </c>
      <c r="GW43" s="133">
        <f t="shared" si="66"/>
        <v>0.73155858911492666</v>
      </c>
      <c r="GX43" s="133">
        <f t="shared" si="67"/>
        <v>0.75320539381201612</v>
      </c>
      <c r="GY43" s="133">
        <f t="shared" si="68"/>
        <v>0.77146032790395791</v>
      </c>
      <c r="GZ43" s="133">
        <f t="shared" si="69"/>
        <v>0.79212603957959382</v>
      </c>
      <c r="HA43" s="81"/>
      <c r="HB43" s="81">
        <v>42</v>
      </c>
      <c r="HC43" s="133">
        <f t="shared" si="70"/>
        <v>0.44159020629637569</v>
      </c>
      <c r="HD43" s="133">
        <f t="shared" si="71"/>
        <v>0.4797544938163914</v>
      </c>
      <c r="HE43" s="133">
        <f t="shared" si="72"/>
        <v>0.51021502640810978</v>
      </c>
      <c r="HF43" s="133">
        <f t="shared" si="355"/>
        <v>0.54313900897427025</v>
      </c>
      <c r="HG43" s="133">
        <f t="shared" si="356"/>
        <v>0.59386563984053087</v>
      </c>
      <c r="HH43" s="134">
        <f t="shared" si="357"/>
        <v>0.64555458255065801</v>
      </c>
      <c r="HI43" s="133">
        <f t="shared" si="358"/>
        <v>0.69325888066577324</v>
      </c>
      <c r="HJ43" s="133">
        <f t="shared" si="73"/>
        <v>0.73332373457632616</v>
      </c>
      <c r="HK43" s="133">
        <f t="shared" si="74"/>
        <v>0.7562850525554845</v>
      </c>
      <c r="HL43" s="133">
        <f t="shared" si="75"/>
        <v>0.77562889801310886</v>
      </c>
      <c r="HM43" s="133">
        <f t="shared" si="76"/>
        <v>0.79750770703629059</v>
      </c>
      <c r="HN43" s="81"/>
      <c r="HO43" s="81">
        <v>44</v>
      </c>
      <c r="HP43" s="83">
        <f t="shared" si="77"/>
        <v>0.4808921992757198</v>
      </c>
      <c r="HQ43" s="83">
        <f t="shared" si="78"/>
        <v>0.51272227183848562</v>
      </c>
      <c r="HR43" s="83">
        <f t="shared" si="79"/>
        <v>0.53848188188461665</v>
      </c>
      <c r="HS43" s="83">
        <f t="shared" si="359"/>
        <v>0.56661981522436133</v>
      </c>
      <c r="HT43" s="83">
        <f t="shared" si="360"/>
        <v>0.61046595265953829</v>
      </c>
      <c r="HU43" s="84">
        <f t="shared" si="361"/>
        <v>0.65563635670800013</v>
      </c>
      <c r="HV43" s="83">
        <f t="shared" si="362"/>
        <v>0.69767162581691367</v>
      </c>
      <c r="HW43" s="83">
        <f t="shared" si="80"/>
        <v>0.73318286407432176</v>
      </c>
      <c r="HX43" s="83">
        <f t="shared" si="81"/>
        <v>0.75360682600446793</v>
      </c>
      <c r="HY43" s="83">
        <f t="shared" si="82"/>
        <v>0.77084932234277848</v>
      </c>
      <c r="HZ43" s="83">
        <f t="shared" si="83"/>
        <v>0.79038785801011591</v>
      </c>
      <c r="IA43" s="81"/>
      <c r="IB43" s="81">
        <v>42</v>
      </c>
      <c r="IC43" s="83">
        <f t="shared" si="84"/>
        <v>0.31653623030428057</v>
      </c>
      <c r="ID43" s="83">
        <f t="shared" si="85"/>
        <v>0.33192944333336583</v>
      </c>
      <c r="IE43" s="83">
        <f t="shared" si="86"/>
        <v>0.34382037548335881</v>
      </c>
      <c r="IF43" s="83">
        <f t="shared" si="363"/>
        <v>0.35631807318775804</v>
      </c>
      <c r="IG43" s="83">
        <f t="shared" si="364"/>
        <v>0.37492605679061874</v>
      </c>
      <c r="IH43" s="84">
        <f t="shared" si="365"/>
        <v>0.39316959351891084</v>
      </c>
      <c r="II43" s="83">
        <f t="shared" si="366"/>
        <v>0.40943768198672276</v>
      </c>
      <c r="IJ43" s="83">
        <f t="shared" si="87"/>
        <v>0.42272032376256918</v>
      </c>
      <c r="IK43" s="83">
        <f t="shared" si="88"/>
        <v>0.43018788290839699</v>
      </c>
      <c r="IL43" s="83">
        <f t="shared" si="89"/>
        <v>0.43640147703845378</v>
      </c>
      <c r="IM43" s="83">
        <f t="shared" si="90"/>
        <v>0.44334740781209242</v>
      </c>
      <c r="IN43" s="81"/>
      <c r="IO43" s="81">
        <v>42</v>
      </c>
      <c r="IP43" s="133">
        <f t="shared" si="91"/>
        <v>0.30750023482439665</v>
      </c>
      <c r="IQ43" s="133">
        <f t="shared" si="92"/>
        <v>0.32485539337952585</v>
      </c>
      <c r="IR43" s="133">
        <f t="shared" si="93"/>
        <v>0.33807898680694864</v>
      </c>
      <c r="IS43" s="133">
        <f t="shared" si="367"/>
        <v>0.35183918296448619</v>
      </c>
      <c r="IT43" s="133">
        <f t="shared" si="368"/>
        <v>0.3721162098567537</v>
      </c>
      <c r="IU43" s="134">
        <f t="shared" si="369"/>
        <v>0.39180331475042302</v>
      </c>
      <c r="IV43" s="133">
        <f t="shared" si="370"/>
        <v>0.40923277874139247</v>
      </c>
      <c r="IW43" s="133">
        <f t="shared" si="94"/>
        <v>0.42339243946517208</v>
      </c>
      <c r="IX43" s="133">
        <f t="shared" si="95"/>
        <v>0.4313290685920243</v>
      </c>
      <c r="IY43" s="133">
        <f t="shared" si="96"/>
        <v>0.43792120142482532</v>
      </c>
      <c r="IZ43" s="133">
        <f t="shared" si="97"/>
        <v>0.44527865306313769</v>
      </c>
      <c r="JA43" s="81"/>
      <c r="JB43" s="81">
        <v>44</v>
      </c>
      <c r="JC43" s="133">
        <f t="shared" si="98"/>
        <v>0.32609408344614149</v>
      </c>
      <c r="JD43" s="133">
        <f t="shared" si="99"/>
        <v>0.33974222920871638</v>
      </c>
      <c r="JE43" s="133">
        <f t="shared" si="100"/>
        <v>0.35041714622330855</v>
      </c>
      <c r="JF43" s="133">
        <f t="shared" si="371"/>
        <v>0.36174249729567481</v>
      </c>
      <c r="JG43" s="133">
        <f t="shared" si="372"/>
        <v>0.37877460585079337</v>
      </c>
      <c r="JH43" s="134">
        <f t="shared" si="373"/>
        <v>0.39563606808734342</v>
      </c>
      <c r="JI43" s="133">
        <f t="shared" si="374"/>
        <v>0.41078289601510126</v>
      </c>
      <c r="JJ43" s="133">
        <f t="shared" si="101"/>
        <v>0.42321504745135835</v>
      </c>
      <c r="JK43" s="133">
        <f t="shared" si="102"/>
        <v>0.43022684487559293</v>
      </c>
      <c r="JL43" s="133">
        <f t="shared" si="103"/>
        <v>0.43607234586697607</v>
      </c>
      <c r="JM43" s="133">
        <f t="shared" si="104"/>
        <v>0.44261792298464042</v>
      </c>
      <c r="JN43" s="81"/>
      <c r="JO43" s="81">
        <v>41</v>
      </c>
      <c r="JP43" s="133">
        <f t="shared" si="105"/>
        <v>-4.8623792345291541</v>
      </c>
      <c r="JQ43" s="133">
        <f t="shared" si="106"/>
        <v>-3.4150632558340064</v>
      </c>
      <c r="JR43" s="133">
        <f t="shared" si="107"/>
        <v>-2.1532219476983414</v>
      </c>
      <c r="JS43" s="133">
        <f t="shared" si="375"/>
        <v>-0.67975491019888779</v>
      </c>
      <c r="JT43" s="133">
        <f t="shared" si="376"/>
        <v>1.8202378753944934</v>
      </c>
      <c r="JU43" s="134">
        <f t="shared" si="377"/>
        <v>4.6645641172920449</v>
      </c>
      <c r="JV43" s="133">
        <f t="shared" si="378"/>
        <v>7.5655628383737863</v>
      </c>
      <c r="JW43" s="133">
        <f t="shared" si="108"/>
        <v>10.213401239175557</v>
      </c>
      <c r="JX43" s="133">
        <f t="shared" si="109"/>
        <v>11.820062410987699</v>
      </c>
      <c r="JY43" s="133">
        <f t="shared" si="110"/>
        <v>13.224926413086099</v>
      </c>
      <c r="JZ43" s="133">
        <f t="shared" si="111"/>
        <v>14.871224654412682</v>
      </c>
      <c r="KA43" s="81"/>
      <c r="KB43" s="81">
        <v>41</v>
      </c>
      <c r="KC43" s="133">
        <f t="shared" si="112"/>
        <v>-3.1979153129967557</v>
      </c>
      <c r="KD43" s="133">
        <f t="shared" si="113"/>
        <v>-1.941282749991089</v>
      </c>
      <c r="KE43" s="133">
        <f t="shared" si="114"/>
        <v>-0.81877581579980152</v>
      </c>
      <c r="KF43" s="133">
        <f t="shared" si="379"/>
        <v>0.52130495603563887</v>
      </c>
      <c r="KG43" s="133">
        <f t="shared" si="380"/>
        <v>2.8610998306503941</v>
      </c>
      <c r="KH43" s="134">
        <f t="shared" si="381"/>
        <v>5.6144023587313878</v>
      </c>
      <c r="KI43" s="133">
        <f t="shared" si="382"/>
        <v>8.5120864657217421</v>
      </c>
      <c r="KJ43" s="133">
        <f t="shared" si="115"/>
        <v>11.228298212100471</v>
      </c>
      <c r="KK43" s="133">
        <f t="shared" si="116"/>
        <v>12.907196967977649</v>
      </c>
      <c r="KL43" s="133">
        <f t="shared" si="117"/>
        <v>14.393216202688143</v>
      </c>
      <c r="KM43" s="133">
        <f t="shared" si="118"/>
        <v>16.155071309800014</v>
      </c>
      <c r="KN43" s="81"/>
      <c r="KO43" s="81">
        <v>43</v>
      </c>
      <c r="KP43" s="133">
        <f t="shared" si="119"/>
        <v>-5.3507174716824064</v>
      </c>
      <c r="KQ43" s="133">
        <f t="shared" si="120"/>
        <v>-3.8557536427235028</v>
      </c>
      <c r="KR43" s="133">
        <f t="shared" si="121"/>
        <v>-2.576263259893274</v>
      </c>
      <c r="KS43" s="133">
        <f t="shared" si="383"/>
        <v>-1.107661169410683</v>
      </c>
      <c r="KT43" s="133">
        <f t="shared" si="384"/>
        <v>1.3280483636176292</v>
      </c>
      <c r="KU43" s="134">
        <f t="shared" si="385"/>
        <v>4.0242453173725679</v>
      </c>
      <c r="KV43" s="133">
        <f t="shared" si="386"/>
        <v>6.7030887780927806</v>
      </c>
      <c r="KW43" s="133">
        <f t="shared" si="122"/>
        <v>9.0933012315536246</v>
      </c>
      <c r="KX43" s="133">
        <f t="shared" si="123"/>
        <v>10.520626569978415</v>
      </c>
      <c r="KY43" s="133">
        <f t="shared" si="124"/>
        <v>11.755477361833226</v>
      </c>
      <c r="KZ43" s="133">
        <f t="shared" si="125"/>
        <v>13.187763410635551</v>
      </c>
      <c r="LA43" s="81"/>
      <c r="LB43" s="81">
        <v>41</v>
      </c>
      <c r="LC43" s="133">
        <f t="shared" si="126"/>
        <v>-12.078275047669056</v>
      </c>
      <c r="LD43" s="133">
        <f t="shared" si="127"/>
        <v>-8.4074962114926564</v>
      </c>
      <c r="LE43" s="133">
        <f t="shared" si="128"/>
        <v>-5.1676315926071865</v>
      </c>
      <c r="LF43" s="133">
        <f t="shared" si="387"/>
        <v>-1.3438999994473591</v>
      </c>
      <c r="LG43" s="133">
        <f t="shared" si="388"/>
        <v>5.2292609241250219</v>
      </c>
      <c r="LH43" s="134">
        <f t="shared" si="389"/>
        <v>12.817306963645926</v>
      </c>
      <c r="LI43" s="133">
        <f t="shared" si="390"/>
        <v>20.655867997121256</v>
      </c>
      <c r="LJ43" s="133">
        <f t="shared" si="129"/>
        <v>27.884283710216792</v>
      </c>
      <c r="LK43" s="133">
        <f t="shared" si="130"/>
        <v>32.300552816333173</v>
      </c>
      <c r="LL43" s="133">
        <f t="shared" si="131"/>
        <v>36.179150440180173</v>
      </c>
      <c r="LM43" s="133">
        <f t="shared" si="132"/>
        <v>40.743109518290261</v>
      </c>
      <c r="LN43" s="81"/>
      <c r="LO43" s="81">
        <v>41</v>
      </c>
      <c r="LP43" s="133">
        <f t="shared" si="133"/>
        <v>-8.2016639464893721</v>
      </c>
      <c r="LQ43" s="133">
        <f t="shared" si="134"/>
        <v>-4.6154987415073059</v>
      </c>
      <c r="LR43" s="133">
        <f t="shared" si="135"/>
        <v>-1.4385371793089412</v>
      </c>
      <c r="LS43" s="133">
        <f t="shared" si="391"/>
        <v>2.3236319406109764</v>
      </c>
      <c r="LT43" s="133">
        <f t="shared" si="392"/>
        <v>8.8192405280693045</v>
      </c>
      <c r="LU43" s="134">
        <f t="shared" si="393"/>
        <v>16.356235303565359</v>
      </c>
      <c r="LV43" s="133">
        <f t="shared" si="394"/>
        <v>24.179203399879821</v>
      </c>
      <c r="LW43" s="133">
        <f t="shared" si="136"/>
        <v>31.422425302186877</v>
      </c>
      <c r="LX43" s="133">
        <f t="shared" si="137"/>
        <v>35.860155649838759</v>
      </c>
      <c r="LY43" s="133">
        <f t="shared" si="138"/>
        <v>39.764803021461432</v>
      </c>
      <c r="LZ43" s="133">
        <f t="shared" si="139"/>
        <v>44.36755420993488</v>
      </c>
      <c r="MA43" s="81"/>
      <c r="MB43" s="81">
        <v>43</v>
      </c>
      <c r="MC43" s="133">
        <f t="shared" si="140"/>
        <v>-11.912320666672112</v>
      </c>
      <c r="MD43" s="133">
        <f t="shared" si="141"/>
        <v>-8.5217173122519085</v>
      </c>
      <c r="ME43" s="133">
        <f t="shared" si="142"/>
        <v>-5.5635549350717355</v>
      </c>
      <c r="MF43" s="133">
        <f t="shared" si="395"/>
        <v>-2.108661587131671</v>
      </c>
      <c r="MG43" s="133">
        <f t="shared" si="396"/>
        <v>3.750906063614508</v>
      </c>
      <c r="MH43" s="134">
        <f t="shared" si="397"/>
        <v>10.409316214373668</v>
      </c>
      <c r="MI43" s="133">
        <f t="shared" si="398"/>
        <v>17.187687830918463</v>
      </c>
      <c r="MJ43" s="133">
        <f t="shared" si="143"/>
        <v>23.36154949062233</v>
      </c>
      <c r="MK43" s="133">
        <f t="shared" si="144"/>
        <v>27.101319665159849</v>
      </c>
      <c r="ML43" s="133">
        <f t="shared" si="145"/>
        <v>30.367302654012143</v>
      </c>
      <c r="MM43" s="133">
        <f t="shared" si="146"/>
        <v>34.189684712987138</v>
      </c>
      <c r="MN43" s="81"/>
      <c r="MO43" s="81">
        <v>41</v>
      </c>
      <c r="MP43" s="133">
        <f t="shared" si="147"/>
        <v>-18.58479694572722</v>
      </c>
      <c r="MQ43" s="133">
        <f t="shared" si="148"/>
        <v>-14.292839548233221</v>
      </c>
      <c r="MR43" s="133">
        <f t="shared" si="149"/>
        <v>-10.580350991800678</v>
      </c>
      <c r="MS43" s="133">
        <f t="shared" si="399"/>
        <v>-6.2793382981574517</v>
      </c>
      <c r="MT43" s="133">
        <f t="shared" si="400"/>
        <v>0.93758039130543125</v>
      </c>
      <c r="MU43" s="134">
        <f t="shared" si="401"/>
        <v>9.0335601859010595</v>
      </c>
      <c r="MV43" s="133">
        <f t="shared" si="402"/>
        <v>17.175590352527138</v>
      </c>
      <c r="MW43" s="133">
        <f t="shared" si="150"/>
        <v>24.514301665451221</v>
      </c>
      <c r="MX43" s="133">
        <f t="shared" si="151"/>
        <v>28.927251038968841</v>
      </c>
      <c r="MY43" s="133">
        <f t="shared" si="152"/>
        <v>32.762520123690202</v>
      </c>
      <c r="MZ43" s="133">
        <f t="shared" si="153"/>
        <v>37.230334824380698</v>
      </c>
      <c r="NA43" s="81"/>
      <c r="NB43" s="81">
        <v>41</v>
      </c>
      <c r="NC43" s="133">
        <f t="shared" si="154"/>
        <v>-12.177467305317101</v>
      </c>
      <c r="ND43" s="133">
        <f t="shared" si="155"/>
        <v>-8.2168035918718125</v>
      </c>
      <c r="NE43" s="133">
        <f t="shared" si="156"/>
        <v>-4.7818581654570806</v>
      </c>
      <c r="NF43" s="133">
        <f t="shared" si="403"/>
        <v>-0.7937335434371029</v>
      </c>
      <c r="NG43" s="133">
        <f t="shared" si="404"/>
        <v>5.9154197663033976</v>
      </c>
      <c r="NH43" s="134">
        <f t="shared" si="405"/>
        <v>13.46279702275729</v>
      </c>
      <c r="NI43" s="133">
        <f t="shared" si="406"/>
        <v>21.071433254860029</v>
      </c>
      <c r="NJ43" s="133">
        <f t="shared" si="157"/>
        <v>27.9426826733058</v>
      </c>
      <c r="NK43" s="133">
        <f t="shared" si="158"/>
        <v>32.079902300603834</v>
      </c>
      <c r="NL43" s="133">
        <f t="shared" si="159"/>
        <v>35.678537228041961</v>
      </c>
      <c r="NM43" s="133">
        <f t="shared" si="160"/>
        <v>39.873987595922188</v>
      </c>
      <c r="NN43" s="81"/>
      <c r="NO43" s="81">
        <v>43</v>
      </c>
      <c r="NP43" s="133">
        <f t="shared" si="161"/>
        <v>-19.363643540064576</v>
      </c>
      <c r="NQ43" s="133">
        <f t="shared" si="162"/>
        <v>-15.488813340866628</v>
      </c>
      <c r="NR43" s="133">
        <f t="shared" si="163"/>
        <v>-12.153419499849864</v>
      </c>
      <c r="NS43" s="133">
        <f t="shared" si="407"/>
        <v>-8.3051493319015997</v>
      </c>
      <c r="NT43" s="133">
        <f t="shared" si="408"/>
        <v>-1.8799443801889026</v>
      </c>
      <c r="NU43" s="134">
        <f t="shared" si="409"/>
        <v>5.2884574525273678</v>
      </c>
      <c r="NV43" s="133">
        <f t="shared" si="410"/>
        <v>12.462969232848984</v>
      </c>
      <c r="NW43" s="133">
        <f t="shared" si="164"/>
        <v>18.904338766163548</v>
      </c>
      <c r="NX43" s="133">
        <f t="shared" si="165"/>
        <v>22.767471890406064</v>
      </c>
      <c r="NY43" s="133">
        <f t="shared" si="166"/>
        <v>26.119175368647888</v>
      </c>
      <c r="NZ43" s="133">
        <f t="shared" si="167"/>
        <v>30.017377183626685</v>
      </c>
      <c r="OA43" s="81"/>
      <c r="OB43" s="81">
        <v>41</v>
      </c>
      <c r="OC43" s="133">
        <v>14.275453541302266</v>
      </c>
      <c r="OD43" s="133">
        <v>15.764887662604892</v>
      </c>
      <c r="OE43" s="133">
        <v>17.169594373399729</v>
      </c>
      <c r="OF43" s="133">
        <v>18.945167000771789</v>
      </c>
      <c r="OG43" s="133">
        <v>22.325112372724142</v>
      </c>
      <c r="OH43" s="134">
        <v>26.80764396578375</v>
      </c>
      <c r="OI43" s="133">
        <v>32.190197433193546</v>
      </c>
      <c r="OJ43" s="133">
        <v>37.933145427904932</v>
      </c>
      <c r="OK43" s="133">
        <v>41.855955322369269</v>
      </c>
      <c r="OL43" s="133">
        <v>45.585467551468533</v>
      </c>
      <c r="OM43" s="133">
        <v>50.341642240437288</v>
      </c>
      <c r="ON43" s="81"/>
      <c r="OO43" s="81">
        <v>41</v>
      </c>
      <c r="OP43" s="133">
        <v>12.827787916153458</v>
      </c>
      <c r="OQ43" s="133">
        <v>14.013081216257914</v>
      </c>
      <c r="OR43" s="133">
        <v>15.119732776927128</v>
      </c>
      <c r="OS43" s="133">
        <v>16.504528337255451</v>
      </c>
      <c r="OT43" s="133">
        <v>25.057048369692282</v>
      </c>
      <c r="OU43" s="134">
        <v>22.483125615972803</v>
      </c>
      <c r="OV43" s="133">
        <v>26.461905157906802</v>
      </c>
      <c r="OW43" s="133">
        <v>30.627408862243836</v>
      </c>
      <c r="OX43" s="133">
        <v>33.432531177733303</v>
      </c>
      <c r="OY43" s="133">
        <v>36.072790106799921</v>
      </c>
      <c r="OZ43" s="133">
        <v>39.40593193211982</v>
      </c>
      <c r="PA43" s="81"/>
      <c r="PB43" s="81">
        <v>43</v>
      </c>
      <c r="PC43" s="133">
        <v>19.213628630055442</v>
      </c>
      <c r="PD43" s="133">
        <v>20.670576874521366</v>
      </c>
      <c r="PE43" s="133">
        <v>22.011693925598141</v>
      </c>
      <c r="PF43" s="133">
        <v>23.666260917780654</v>
      </c>
      <c r="PG43" s="133">
        <v>26.707761493500499</v>
      </c>
      <c r="PH43" s="134">
        <v>30.560626077950218</v>
      </c>
      <c r="PI43" s="133">
        <v>34.969305327351151</v>
      </c>
      <c r="PJ43" s="133">
        <v>39.463431486745982</v>
      </c>
      <c r="PK43" s="133">
        <v>42.429804331876831</v>
      </c>
      <c r="PL43" s="133">
        <v>45.182670611746886</v>
      </c>
      <c r="PM43" s="133">
        <v>48.608822636205808</v>
      </c>
      <c r="PN43" s="81"/>
      <c r="PO43" s="81">
        <v>41</v>
      </c>
      <c r="PP43" s="133">
        <v>8.573440667098458</v>
      </c>
      <c r="PQ43" s="133">
        <v>9.3368418385964382</v>
      </c>
      <c r="PR43" s="133">
        <v>10.047559247676022</v>
      </c>
      <c r="PS43" s="133">
        <v>10.934371174028552</v>
      </c>
      <c r="PT43" s="133">
        <v>12.591322518309816</v>
      </c>
      <c r="PU43" s="134">
        <v>14.735698525751998</v>
      </c>
      <c r="PV43" s="133">
        <v>17.245274332866288</v>
      </c>
      <c r="PW43" s="133">
        <v>19.858554971830934</v>
      </c>
      <c r="PX43" s="133">
        <v>21.611299390155253</v>
      </c>
      <c r="PY43" s="133">
        <v>23.256344575125759</v>
      </c>
      <c r="PZ43" s="133">
        <v>25.327149212701947</v>
      </c>
      <c r="QA43" s="81"/>
      <c r="QB43" s="81">
        <v>41</v>
      </c>
      <c r="QC43" s="133">
        <v>8.2553779991533833</v>
      </c>
      <c r="QD43" s="133">
        <v>8.9899188806393493</v>
      </c>
      <c r="QE43" s="133">
        <v>9.6737296369131425</v>
      </c>
      <c r="QF43" s="133">
        <v>10.526920783554653</v>
      </c>
      <c r="QG43" s="133">
        <v>12.120926193192771</v>
      </c>
      <c r="QH43" s="134">
        <v>14.183622539862249</v>
      </c>
      <c r="QI43" s="133">
        <v>16.597341254851489</v>
      </c>
      <c r="QJ43" s="133">
        <v>19.11054072598019</v>
      </c>
      <c r="QK43" s="133">
        <v>20.796027582334077</v>
      </c>
      <c r="QL43" s="133">
        <v>22.377860248165124</v>
      </c>
      <c r="QM43" s="133">
        <v>24.368980847869061</v>
      </c>
      <c r="QN43" s="81"/>
      <c r="QO43" s="81">
        <v>43</v>
      </c>
      <c r="QP43" s="133">
        <v>9.408697180148506</v>
      </c>
      <c r="QQ43" s="133">
        <v>10.186762519669411</v>
      </c>
      <c r="QR43" s="133">
        <v>10.907213064009945</v>
      </c>
      <c r="QS43" s="133">
        <v>11.80131001999705</v>
      </c>
      <c r="QT43" s="133">
        <v>13.458890655486435</v>
      </c>
      <c r="QU43" s="134">
        <v>15.58220971962972</v>
      </c>
      <c r="QV43" s="133">
        <v>18.040510615750115</v>
      </c>
      <c r="QW43" s="133">
        <v>20.57443278204666</v>
      </c>
      <c r="QX43" s="133">
        <v>22.260980721802984</v>
      </c>
      <c r="QY43" s="133">
        <v>23.835370587828599</v>
      </c>
      <c r="QZ43" s="133">
        <v>25.806469811656818</v>
      </c>
      <c r="RA43" s="81"/>
      <c r="RB43" s="81">
        <v>41</v>
      </c>
      <c r="RC43" s="133">
        <f t="shared" si="168"/>
        <v>0.29896518383091997</v>
      </c>
      <c r="RD43" s="133">
        <f t="shared" si="169"/>
        <v>0.32525959809900418</v>
      </c>
      <c r="RE43" s="133">
        <f t="shared" si="170"/>
        <v>0.35002651486410141</v>
      </c>
      <c r="RF43" s="133">
        <f t="shared" si="411"/>
        <v>0.3813279719559548</v>
      </c>
      <c r="RG43" s="133">
        <f t="shared" si="412"/>
        <v>0.44102604742020551</v>
      </c>
      <c r="RH43" s="134">
        <f t="shared" si="413"/>
        <v>0.52068681155346808</v>
      </c>
      <c r="RI43" s="133">
        <f t="shared" si="414"/>
        <v>0.6174209909842272</v>
      </c>
      <c r="RJ43" s="133">
        <f t="shared" si="171"/>
        <v>0.72222428129270988</v>
      </c>
      <c r="RK43" s="133">
        <f t="shared" si="172"/>
        <v>0.79486227380890639</v>
      </c>
      <c r="RL43" s="133">
        <f t="shared" si="173"/>
        <v>0.86475888494347974</v>
      </c>
      <c r="RM43" s="133">
        <f t="shared" si="174"/>
        <v>0.95512503718979092</v>
      </c>
      <c r="RN43" s="81"/>
      <c r="RO43" s="81">
        <v>41</v>
      </c>
      <c r="RP43" s="133">
        <f t="shared" si="175"/>
        <v>0.32983361468359695</v>
      </c>
      <c r="RQ43" s="133">
        <f t="shared" si="176"/>
        <v>0.35712533051783724</v>
      </c>
      <c r="RR43" s="133">
        <f t="shared" si="177"/>
        <v>0.38281955572702114</v>
      </c>
      <c r="RS43" s="133">
        <f t="shared" si="415"/>
        <v>0.41528952506757244</v>
      </c>
      <c r="RT43" s="133">
        <f t="shared" si="416"/>
        <v>0.47724965931164898</v>
      </c>
      <c r="RU43" s="134">
        <f t="shared" si="417"/>
        <v>0.56009266405016711</v>
      </c>
      <c r="RV43" s="133">
        <f t="shared" si="418"/>
        <v>0.661076755913376</v>
      </c>
      <c r="RW43" s="133">
        <f t="shared" si="178"/>
        <v>0.77108325276380851</v>
      </c>
      <c r="RX43" s="133">
        <f t="shared" si="179"/>
        <v>0.84773786613773738</v>
      </c>
      <c r="RY43" s="133">
        <f t="shared" si="180"/>
        <v>0.92183683816597195</v>
      </c>
      <c r="RZ43" s="133">
        <f t="shared" si="181"/>
        <v>1.0181445446573014</v>
      </c>
      <c r="SA43" s="81"/>
      <c r="SB43" s="81">
        <v>43</v>
      </c>
      <c r="SC43" s="133">
        <f t="shared" si="182"/>
        <v>0.29083414325214113</v>
      </c>
      <c r="SD43" s="133">
        <f t="shared" si="183"/>
        <v>0.31633929229032454</v>
      </c>
      <c r="SE43" s="133">
        <f t="shared" si="184"/>
        <v>0.34008205370693784</v>
      </c>
      <c r="SF43" s="133">
        <f t="shared" si="419"/>
        <v>0.36970721762209241</v>
      </c>
      <c r="SG43" s="133">
        <f t="shared" si="420"/>
        <v>0.42506713657285478</v>
      </c>
      <c r="SH43" s="134">
        <f t="shared" si="421"/>
        <v>0.49674223089771846</v>
      </c>
      <c r="SI43" s="133">
        <f t="shared" si="422"/>
        <v>0.58068686559177862</v>
      </c>
      <c r="SJ43" s="133">
        <f t="shared" si="185"/>
        <v>0.66818798839596416</v>
      </c>
      <c r="SK43" s="133">
        <f t="shared" si="186"/>
        <v>0.72693058712704828</v>
      </c>
      <c r="SL43" s="133">
        <f t="shared" si="187"/>
        <v>0.78210576346258598</v>
      </c>
      <c r="SM43" s="133">
        <f t="shared" si="188"/>
        <v>0.85162033037588969</v>
      </c>
      <c r="SN43" s="81"/>
      <c r="SO43" s="81">
        <v>41</v>
      </c>
      <c r="SP43" s="133">
        <f t="shared" si="189"/>
        <v>0.23024462065435092</v>
      </c>
      <c r="SQ43" s="133">
        <f t="shared" si="190"/>
        <v>0.24572282909138535</v>
      </c>
      <c r="SR43" s="133">
        <f t="shared" si="191"/>
        <v>0.25964540260425317</v>
      </c>
      <c r="SS43" s="133">
        <f t="shared" si="423"/>
        <v>0.27641931812191384</v>
      </c>
      <c r="ST43" s="133">
        <f t="shared" si="424"/>
        <v>0.30618608890466426</v>
      </c>
      <c r="SU43" s="134">
        <f t="shared" si="425"/>
        <v>0.34211689316617305</v>
      </c>
      <c r="SV43" s="133">
        <f t="shared" si="426"/>
        <v>0.38110762926198899</v>
      </c>
      <c r="SW43" s="133">
        <f t="shared" si="192"/>
        <v>0.41883157496583884</v>
      </c>
      <c r="SX43" s="133">
        <f t="shared" si="193"/>
        <v>0.44274228315436881</v>
      </c>
      <c r="SY43" s="133">
        <f t="shared" si="194"/>
        <v>0.46429432889626632</v>
      </c>
      <c r="SZ43" s="133">
        <f t="shared" si="195"/>
        <v>0.49032793443637152</v>
      </c>
      <c r="TA43" s="81"/>
      <c r="TB43" s="81">
        <v>41</v>
      </c>
      <c r="TC43" s="133">
        <f t="shared" si="196"/>
        <v>0.24838679108887979</v>
      </c>
      <c r="TD43" s="133">
        <f t="shared" si="197"/>
        <v>0.2635941671541851</v>
      </c>
      <c r="TE43" s="133">
        <f t="shared" si="198"/>
        <v>0.27728093396692322</v>
      </c>
      <c r="TF43" s="133">
        <f t="shared" si="427"/>
        <v>0.29378418124615874</v>
      </c>
      <c r="TG43" s="133">
        <f t="shared" si="428"/>
        <v>0.32311683248039419</v>
      </c>
      <c r="TH43" s="134">
        <f t="shared" si="429"/>
        <v>0.35861998051232258</v>
      </c>
      <c r="TI43" s="133">
        <f t="shared" si="430"/>
        <v>0.39728551794357075</v>
      </c>
      <c r="TJ43" s="133">
        <f t="shared" si="199"/>
        <v>0.43484646462086268</v>
      </c>
      <c r="TK43" s="133">
        <f t="shared" si="200"/>
        <v>0.45873542298199627</v>
      </c>
      <c r="TL43" s="133">
        <f t="shared" si="201"/>
        <v>0.48032376851699987</v>
      </c>
      <c r="TM43" s="133">
        <f t="shared" si="202"/>
        <v>0.50647321395727951</v>
      </c>
      <c r="TN43" s="81"/>
      <c r="TO43" s="81">
        <v>43</v>
      </c>
      <c r="TP43" s="133">
        <f t="shared" si="203"/>
        <v>0.22542524660796934</v>
      </c>
      <c r="TQ43" s="133">
        <f t="shared" si="204"/>
        <v>0.24062785017952204</v>
      </c>
      <c r="TR43" s="133">
        <f t="shared" si="205"/>
        <v>0.25415132693436149</v>
      </c>
      <c r="TS43" s="133">
        <f t="shared" si="431"/>
        <v>0.27026163831501876</v>
      </c>
      <c r="TT43" s="133">
        <f t="shared" si="432"/>
        <v>0.29838388005066391</v>
      </c>
      <c r="TU43" s="134">
        <f t="shared" si="433"/>
        <v>0.33158754364768467</v>
      </c>
      <c r="TV43" s="133">
        <f t="shared" si="434"/>
        <v>0.36677611100511581</v>
      </c>
      <c r="TW43" s="133">
        <f t="shared" si="206"/>
        <v>0.4000571284047828</v>
      </c>
      <c r="TX43" s="133">
        <f t="shared" si="207"/>
        <v>0.42079084714132481</v>
      </c>
      <c r="TY43" s="133">
        <f t="shared" si="208"/>
        <v>0.4392532463199022</v>
      </c>
      <c r="TZ43" s="133">
        <f t="shared" si="209"/>
        <v>0.46128264266352037</v>
      </c>
      <c r="UA43" s="81"/>
      <c r="UB43" s="81">
        <v>41</v>
      </c>
      <c r="UC43" s="133">
        <f t="shared" si="210"/>
        <v>-21.48222929746278</v>
      </c>
      <c r="UD43" s="133">
        <f t="shared" si="211"/>
        <v>-17.979840425431043</v>
      </c>
      <c r="UE43" s="133">
        <f t="shared" si="212"/>
        <v>-15.0550358564142</v>
      </c>
      <c r="UF43" s="133">
        <f t="shared" si="435"/>
        <v>-11.771412475043405</v>
      </c>
      <c r="UG43" s="133">
        <f t="shared" si="436"/>
        <v>-6.4775255570926618</v>
      </c>
      <c r="UH43" s="134">
        <f t="shared" si="437"/>
        <v>-0.80832882590119226</v>
      </c>
      <c r="UI43" s="133">
        <f t="shared" si="438"/>
        <v>4.6545696579813693</v>
      </c>
      <c r="UJ43" s="133">
        <f t="shared" si="213"/>
        <v>9.4045167140537131</v>
      </c>
      <c r="UK43" s="133">
        <f t="shared" si="214"/>
        <v>12.190668586455558</v>
      </c>
      <c r="UL43" s="133">
        <f t="shared" si="215"/>
        <v>14.572997606030711</v>
      </c>
      <c r="UM43" s="133">
        <f t="shared" si="216"/>
        <v>17.305410737361456</v>
      </c>
      <c r="UN43" s="81"/>
      <c r="UO43" s="81">
        <v>41</v>
      </c>
      <c r="UP43" s="133">
        <f t="shared" si="217"/>
        <v>-17.207546197902449</v>
      </c>
      <c r="UQ43" s="133">
        <f t="shared" si="218"/>
        <v>-14.328561215702397</v>
      </c>
      <c r="UR43" s="133">
        <f t="shared" si="219"/>
        <v>-11.859269233807151</v>
      </c>
      <c r="US43" s="133">
        <f t="shared" si="439"/>
        <v>-9.0191278810876376</v>
      </c>
      <c r="UT43" s="133">
        <f t="shared" si="440"/>
        <v>-4.2952952561527944</v>
      </c>
      <c r="UU43" s="134">
        <f t="shared" si="441"/>
        <v>0.95222257852549319</v>
      </c>
      <c r="UV43" s="133">
        <f t="shared" si="442"/>
        <v>6.1839704188033409</v>
      </c>
      <c r="UW43" s="133">
        <f t="shared" si="220"/>
        <v>10.866195230593711</v>
      </c>
      <c r="UX43" s="133">
        <f t="shared" si="221"/>
        <v>13.66823704687144</v>
      </c>
      <c r="UY43" s="133">
        <f t="shared" si="222"/>
        <v>16.095914962321153</v>
      </c>
      <c r="UZ43" s="133">
        <f t="shared" si="223"/>
        <v>18.915670448335057</v>
      </c>
      <c r="VA43" s="81"/>
      <c r="VB43" s="81">
        <v>44</v>
      </c>
      <c r="VC43" s="133">
        <f t="shared" si="224"/>
        <v>-21.963935065682563</v>
      </c>
      <c r="VD43" s="133">
        <f t="shared" si="225"/>
        <v>-18.338806831641818</v>
      </c>
      <c r="VE43" s="133">
        <f t="shared" si="226"/>
        <v>-15.362585100154661</v>
      </c>
      <c r="VF43" s="133">
        <f t="shared" si="443"/>
        <v>-12.069656683221083</v>
      </c>
      <c r="VG43" s="133">
        <f t="shared" si="444"/>
        <v>-6.8544412986497392</v>
      </c>
      <c r="VH43" s="134">
        <f t="shared" si="445"/>
        <v>-1.3792763036267814</v>
      </c>
      <c r="VI43" s="133">
        <f t="shared" si="446"/>
        <v>3.8050300652860045</v>
      </c>
      <c r="VJ43" s="133">
        <f t="shared" si="227"/>
        <v>8.2489816331905956</v>
      </c>
      <c r="VK43" s="133">
        <f t="shared" si="228"/>
        <v>10.830713673539876</v>
      </c>
      <c r="VL43" s="133">
        <f t="shared" si="229"/>
        <v>13.024642283293488</v>
      </c>
      <c r="VM43" s="133">
        <f t="shared" si="230"/>
        <v>15.526331013299199</v>
      </c>
      <c r="VN43" s="81"/>
      <c r="VO43" s="81">
        <v>41</v>
      </c>
      <c r="VP43" s="133">
        <f t="shared" si="231"/>
        <v>-36.885029628710157</v>
      </c>
      <c r="VQ43" s="133">
        <f t="shared" si="232"/>
        <v>-32.558448553954236</v>
      </c>
      <c r="VR43" s="133">
        <f t="shared" si="233"/>
        <v>-28.534903910325649</v>
      </c>
      <c r="VS43" s="133">
        <f t="shared" si="447"/>
        <v>-23.559499583875912</v>
      </c>
      <c r="VT43" s="133">
        <f t="shared" si="448"/>
        <v>-14.484256405998899</v>
      </c>
      <c r="VU43" s="134">
        <f t="shared" si="449"/>
        <v>-3.2694598058127085</v>
      </c>
      <c r="VV43" s="133">
        <f t="shared" si="450"/>
        <v>9.0589568519856769</v>
      </c>
      <c r="VW43" s="133">
        <f t="shared" si="234"/>
        <v>21.034762758464957</v>
      </c>
      <c r="VX43" s="133">
        <f t="shared" si="235"/>
        <v>28.617601546508716</v>
      </c>
      <c r="VY43" s="133">
        <f t="shared" si="236"/>
        <v>35.435043312850844</v>
      </c>
      <c r="VZ43" s="133">
        <f t="shared" si="237"/>
        <v>43.638561172380143</v>
      </c>
      <c r="WA43" s="81"/>
      <c r="WB43" s="81">
        <v>41</v>
      </c>
      <c r="WC43" s="133">
        <f t="shared" si="238"/>
        <v>-32.781415787298656</v>
      </c>
      <c r="WD43" s="133">
        <f t="shared" si="239"/>
        <v>-28.565603413365544</v>
      </c>
      <c r="WE43" s="133">
        <f t="shared" si="240"/>
        <v>-24.620608963675039</v>
      </c>
      <c r="WF43" s="133">
        <f t="shared" si="451"/>
        <v>-19.717671143140091</v>
      </c>
      <c r="WG43" s="133">
        <f t="shared" si="452"/>
        <v>-10.722660085349176</v>
      </c>
      <c r="WH43" s="134">
        <f t="shared" si="453"/>
        <v>0.45900197449329028</v>
      </c>
      <c r="WI43" s="133">
        <f t="shared" si="454"/>
        <v>12.810151033898869</v>
      </c>
      <c r="WJ43" s="133">
        <f t="shared" si="241"/>
        <v>24.851612977663443</v>
      </c>
      <c r="WK43" s="133">
        <f t="shared" si="242"/>
        <v>32.493622750427498</v>
      </c>
      <c r="WL43" s="133">
        <f t="shared" si="243"/>
        <v>39.374125704673908</v>
      </c>
      <c r="WM43" s="133">
        <f t="shared" si="244"/>
        <v>47.664434716300939</v>
      </c>
      <c r="WN43" s="81"/>
      <c r="WO43" s="81">
        <v>44</v>
      </c>
      <c r="WP43" s="133">
        <f t="shared" si="245"/>
        <v>-37.392746635004784</v>
      </c>
      <c r="WQ43" s="133">
        <f t="shared" si="246"/>
        <v>-32.943282910088861</v>
      </c>
      <c r="WR43" s="133">
        <f t="shared" si="247"/>
        <v>-28.856644821669022</v>
      </c>
      <c r="WS43" s="133">
        <f t="shared" si="455"/>
        <v>-23.864766006252811</v>
      </c>
      <c r="WT43" s="133">
        <f t="shared" si="456"/>
        <v>-14.912409378259568</v>
      </c>
      <c r="WU43" s="134">
        <f t="shared" si="457"/>
        <v>-4.0788634375705044</v>
      </c>
      <c r="WV43" s="133">
        <f t="shared" si="458"/>
        <v>7.5901150985001991</v>
      </c>
      <c r="WW43" s="133">
        <f t="shared" si="248"/>
        <v>18.724796965869096</v>
      </c>
      <c r="WX43" s="133">
        <f t="shared" si="249"/>
        <v>25.686598823051192</v>
      </c>
      <c r="WY43" s="133">
        <f t="shared" si="250"/>
        <v>31.893057745334495</v>
      </c>
      <c r="WZ43" s="133">
        <f t="shared" si="251"/>
        <v>39.300565223492065</v>
      </c>
      <c r="XA43" s="81"/>
      <c r="XB43" s="81">
        <v>41</v>
      </c>
      <c r="XC43" s="133">
        <f t="shared" si="252"/>
        <v>-42.466078649273584</v>
      </c>
      <c r="XD43" s="133">
        <f t="shared" si="253"/>
        <v>-37.651225585353046</v>
      </c>
      <c r="XE43" s="133">
        <f t="shared" si="254"/>
        <v>-33.250914673105598</v>
      </c>
      <c r="XF43" s="133">
        <f t="shared" si="459"/>
        <v>-27.915349389995765</v>
      </c>
      <c r="XG43" s="133">
        <f t="shared" si="460"/>
        <v>-18.464006253543097</v>
      </c>
      <c r="XH43" s="134">
        <f t="shared" si="461"/>
        <v>-7.2204443096175766</v>
      </c>
      <c r="XI43" s="133">
        <f t="shared" si="462"/>
        <v>4.6772064965843185</v>
      </c>
      <c r="XJ43" s="133">
        <f t="shared" si="255"/>
        <v>15.849212755704137</v>
      </c>
      <c r="XK43" s="133">
        <f t="shared" si="256"/>
        <v>22.754098644728806</v>
      </c>
      <c r="XL43" s="133">
        <f t="shared" si="257"/>
        <v>28.86205418673763</v>
      </c>
      <c r="XM43" s="133">
        <f t="shared" si="258"/>
        <v>36.096965454463806</v>
      </c>
      <c r="XN43" s="81"/>
      <c r="XO43" s="81">
        <v>41</v>
      </c>
      <c r="XP43" s="133">
        <f t="shared" si="259"/>
        <v>-35.933355979019495</v>
      </c>
      <c r="XQ43" s="133">
        <f t="shared" si="260"/>
        <v>-31.213311038953723</v>
      </c>
      <c r="XR43" s="133">
        <f t="shared" si="261"/>
        <v>-26.955692409513588</v>
      </c>
      <c r="XS43" s="133">
        <f t="shared" si="463"/>
        <v>-21.844747273447304</v>
      </c>
      <c r="XT43" s="133">
        <f t="shared" si="464"/>
        <v>-12.891606365784241</v>
      </c>
      <c r="XU43" s="134">
        <f t="shared" si="465"/>
        <v>-2.3598120564797682</v>
      </c>
      <c r="XV43" s="133">
        <f t="shared" si="466"/>
        <v>8.6832140925553674</v>
      </c>
      <c r="XW43" s="133">
        <f t="shared" si="262"/>
        <v>18.980255482579018</v>
      </c>
      <c r="XX43" s="133">
        <f t="shared" si="263"/>
        <v>25.315500388223903</v>
      </c>
      <c r="XY43" s="133">
        <f t="shared" si="264"/>
        <v>30.903512936580377</v>
      </c>
      <c r="XZ43" s="133">
        <f t="shared" si="265"/>
        <v>37.504928578206055</v>
      </c>
      <c r="YA43" s="81"/>
      <c r="YB43" s="81">
        <v>44</v>
      </c>
      <c r="YC43" s="133">
        <f t="shared" si="266"/>
        <v>-43.765792223671582</v>
      </c>
      <c r="YD43" s="133">
        <f t="shared" si="267"/>
        <v>-38.918592634508869</v>
      </c>
      <c r="YE43" s="133">
        <f t="shared" si="268"/>
        <v>-34.523310471976977</v>
      </c>
      <c r="YF43" s="133">
        <f t="shared" si="467"/>
        <v>-29.234050560460872</v>
      </c>
      <c r="YG43" s="133">
        <f t="shared" si="468"/>
        <v>-19.958098307366107</v>
      </c>
      <c r="YH43" s="134">
        <f t="shared" si="469"/>
        <v>-9.0521843225672285</v>
      </c>
      <c r="YI43" s="133">
        <f t="shared" si="470"/>
        <v>2.3637825430424755</v>
      </c>
      <c r="YJ43" s="133">
        <f t="shared" si="269"/>
        <v>12.986568837983278</v>
      </c>
      <c r="YK43" s="133">
        <f t="shared" si="270"/>
        <v>19.511198596168576</v>
      </c>
      <c r="YL43" s="133">
        <f t="shared" si="271"/>
        <v>25.259289579002306</v>
      </c>
      <c r="YM43" s="133">
        <f t="shared" si="272"/>
        <v>32.041511008409948</v>
      </c>
      <c r="YN43" s="81"/>
      <c r="YO43" s="81">
        <v>41</v>
      </c>
      <c r="YP43" s="133">
        <v>17.824607924454686</v>
      </c>
      <c r="YQ43" s="133">
        <v>19.99268580680047</v>
      </c>
      <c r="YR43" s="133">
        <v>22.067128449079149</v>
      </c>
      <c r="YS43" s="133">
        <v>24.727353257174666</v>
      </c>
      <c r="YT43" s="133">
        <v>29.897758994106756</v>
      </c>
      <c r="YU43" s="134">
        <v>36.9444252691641</v>
      </c>
      <c r="YV43" s="133">
        <v>45.651935275078273</v>
      </c>
      <c r="YW43" s="133">
        <v>55.197600174730674</v>
      </c>
      <c r="YX43" s="133">
        <v>61.851752103514272</v>
      </c>
      <c r="YY43" s="133">
        <v>68.269494737149628</v>
      </c>
      <c r="YZ43" s="133">
        <v>76.573384629474674</v>
      </c>
      <c r="ZA43" s="81"/>
      <c r="ZB43" s="81">
        <v>41</v>
      </c>
      <c r="ZC43" s="133">
        <v>14.371438856879649</v>
      </c>
      <c r="ZD43" s="133">
        <v>16.33980707507801</v>
      </c>
      <c r="ZE43" s="133">
        <v>18.247025114492356</v>
      </c>
      <c r="ZF43" s="133">
        <v>20.723819696017976</v>
      </c>
      <c r="ZG43" s="133">
        <v>25.626119419909536</v>
      </c>
      <c r="ZH43" s="134">
        <v>32.468532110947571</v>
      </c>
      <c r="ZI43" s="133">
        <v>41.137932753899385</v>
      </c>
      <c r="ZJ43" s="133">
        <v>50.869269898260896</v>
      </c>
      <c r="ZK43" s="133">
        <v>57.774106783157272</v>
      </c>
      <c r="ZL43" s="133">
        <v>64.517626958248556</v>
      </c>
      <c r="ZM43" s="133">
        <v>73.354212333094424</v>
      </c>
      <c r="ZN43" s="81"/>
      <c r="ZO43" s="81">
        <v>44</v>
      </c>
      <c r="ZP43" s="133">
        <v>21.269202725649563</v>
      </c>
      <c r="ZQ43" s="133">
        <v>23.435373899219403</v>
      </c>
      <c r="ZR43" s="133">
        <v>25.474046662908748</v>
      </c>
      <c r="ZS43" s="133">
        <v>28.045571841017534</v>
      </c>
      <c r="ZT43" s="133">
        <v>32.925924296866455</v>
      </c>
      <c r="ZU43" s="134">
        <v>39.372737847223242</v>
      </c>
      <c r="ZV43" s="133">
        <v>47.081821351745553</v>
      </c>
      <c r="ZW43" s="133">
        <v>55.274768308304949</v>
      </c>
      <c r="ZX43" s="133">
        <v>60.854582944740315</v>
      </c>
      <c r="ZY43" s="133">
        <v>66.148399946706235</v>
      </c>
      <c r="ZZ43" s="133">
        <v>72.885312420135477</v>
      </c>
      <c r="AAA43" s="81"/>
      <c r="AAB43" s="81">
        <v>41</v>
      </c>
      <c r="AAC43" s="133">
        <v>9.2367654828728565</v>
      </c>
      <c r="AAD43" s="133">
        <v>10.257688305002391</v>
      </c>
      <c r="AAE43" s="133">
        <v>11.225543921550145</v>
      </c>
      <c r="AAF43" s="133">
        <v>12.455293975195827</v>
      </c>
      <c r="AAG43" s="133">
        <v>14.813800057990379</v>
      </c>
      <c r="AAH43" s="134">
        <v>17.972524992197137</v>
      </c>
      <c r="AAI43" s="133">
        <v>21.804780227266683</v>
      </c>
      <c r="AAJ43" s="133">
        <v>25.933683720224849</v>
      </c>
      <c r="AAK43" s="133">
        <v>28.774699636162108</v>
      </c>
      <c r="AAL43" s="133">
        <v>31.489712398223954</v>
      </c>
      <c r="AAM43" s="133">
        <v>34.970212808162159</v>
      </c>
      <c r="AAN43" s="81"/>
      <c r="AAO43" s="81">
        <v>41</v>
      </c>
      <c r="AAP43" s="133">
        <v>8.2557895068341658</v>
      </c>
      <c r="AAQ43" s="133">
        <v>9.2777904608583377</v>
      </c>
      <c r="AAR43" s="133">
        <v>10.257398043934083</v>
      </c>
      <c r="AAS43" s="133">
        <v>11.515870966408297</v>
      </c>
      <c r="AAT43" s="133">
        <v>13.968142653610032</v>
      </c>
      <c r="AAU43" s="134">
        <v>17.321601494509867</v>
      </c>
      <c r="AAV43" s="133">
        <v>21.480155649546028</v>
      </c>
      <c r="AAW43" s="133">
        <v>26.054293175897385</v>
      </c>
      <c r="AAX43" s="133">
        <v>29.250876006712041</v>
      </c>
      <c r="AAY43" s="133">
        <v>32.339367826900514</v>
      </c>
      <c r="AAZ43" s="133">
        <v>36.342723865020318</v>
      </c>
      <c r="ABA43" s="81"/>
      <c r="ABB43" s="81">
        <v>44</v>
      </c>
      <c r="ABC43" s="133">
        <v>10.284626932965987</v>
      </c>
      <c r="ABD43" s="133">
        <v>11.288428768998234</v>
      </c>
      <c r="ABE43" s="133">
        <v>12.229771389434159</v>
      </c>
      <c r="ABF43" s="133">
        <v>13.412911919025033</v>
      </c>
      <c r="ABG43" s="133">
        <v>15.646775906867584</v>
      </c>
      <c r="ABH43" s="134">
        <v>18.577744430670617</v>
      </c>
      <c r="ABI43" s="133">
        <v>22.057744687186943</v>
      </c>
      <c r="ABJ43" s="133">
        <v>25.731369162409319</v>
      </c>
      <c r="ABK43" s="133">
        <v>28.220690080068746</v>
      </c>
      <c r="ABL43" s="133">
        <v>30.574014789300136</v>
      </c>
      <c r="ABM43" s="133">
        <v>33.558104769462965</v>
      </c>
      <c r="ABN43" s="81"/>
      <c r="ABO43" s="81">
        <v>41</v>
      </c>
      <c r="ABP43" s="133">
        <f t="shared" si="273"/>
        <v>0.230190806750801</v>
      </c>
      <c r="ABQ43" s="133">
        <f t="shared" si="274"/>
        <v>0.26070562191503166</v>
      </c>
      <c r="ABR43" s="133">
        <f t="shared" si="275"/>
        <v>0.28922204621905506</v>
      </c>
      <c r="ABS43" s="133">
        <f t="shared" si="471"/>
        <v>0.32484803057779676</v>
      </c>
      <c r="ABT43" s="133">
        <f t="shared" si="472"/>
        <v>0.39125202205175275</v>
      </c>
      <c r="ABU43" s="134">
        <f t="shared" si="473"/>
        <v>0.47636184876478699</v>
      </c>
      <c r="ABV43" s="133">
        <f t="shared" si="474"/>
        <v>0.57423254829144799</v>
      </c>
      <c r="ABW43" s="133">
        <f t="shared" si="276"/>
        <v>0.67383756954062934</v>
      </c>
      <c r="ABX43" s="133">
        <f t="shared" si="277"/>
        <v>0.73926258541489176</v>
      </c>
      <c r="ABY43" s="133">
        <f t="shared" si="278"/>
        <v>0.79965713288655071</v>
      </c>
      <c r="ABZ43" s="133">
        <f t="shared" si="279"/>
        <v>0.87431277503991389</v>
      </c>
      <c r="ACA43" s="81"/>
      <c r="ACB43" s="81">
        <v>41</v>
      </c>
      <c r="ACC43" s="133">
        <f t="shared" si="280"/>
        <v>0.26180033243351547</v>
      </c>
      <c r="ACD43" s="133">
        <f t="shared" si="281"/>
        <v>0.29151397564542636</v>
      </c>
      <c r="ACE43" s="133">
        <f t="shared" si="282"/>
        <v>0.31934209654649248</v>
      </c>
      <c r="ACF43" s="133">
        <f t="shared" si="475"/>
        <v>0.3542303932491952</v>
      </c>
      <c r="ACG43" s="133">
        <f t="shared" si="476"/>
        <v>0.41972846632379146</v>
      </c>
      <c r="ACH43" s="134">
        <f t="shared" si="477"/>
        <v>0.50474173588539051</v>
      </c>
      <c r="ACI43" s="133">
        <f t="shared" si="478"/>
        <v>0.60414280621419514</v>
      </c>
      <c r="ACJ43" s="133">
        <f t="shared" si="283"/>
        <v>0.70719349642387919</v>
      </c>
      <c r="ACK43" s="133">
        <f t="shared" si="284"/>
        <v>0.77593221374701571</v>
      </c>
      <c r="ACL43" s="133">
        <f t="shared" si="285"/>
        <v>0.84012470507765458</v>
      </c>
      <c r="ACM43" s="133">
        <f t="shared" si="286"/>
        <v>0.92045015602819236</v>
      </c>
      <c r="ACN43" s="81"/>
      <c r="ACO43" s="81">
        <v>44</v>
      </c>
      <c r="ACP43" s="133">
        <f t="shared" si="287"/>
        <v>0.22112692207586929</v>
      </c>
      <c r="ACQ43" s="133">
        <f t="shared" si="288"/>
        <v>0.25394778188890221</v>
      </c>
      <c r="ACR43" s="133">
        <f t="shared" si="289"/>
        <v>0.28405313731675119</v>
      </c>
      <c r="ACS43" s="133">
        <f t="shared" si="479"/>
        <v>0.32092629687995361</v>
      </c>
      <c r="ACT43" s="133">
        <f t="shared" si="480"/>
        <v>0.38767557177585682</v>
      </c>
      <c r="ACU43" s="134">
        <f t="shared" si="481"/>
        <v>0.46962706069751409</v>
      </c>
      <c r="ACV43" s="133">
        <f t="shared" si="482"/>
        <v>0.559705896685599</v>
      </c>
      <c r="ACW43" s="133">
        <f t="shared" si="290"/>
        <v>0.64762108238507776</v>
      </c>
      <c r="ACX43" s="133">
        <f t="shared" si="291"/>
        <v>0.70345220984056045</v>
      </c>
      <c r="ACY43" s="133">
        <f t="shared" si="292"/>
        <v>0.75380862803956572</v>
      </c>
      <c r="ACZ43" s="133">
        <f t="shared" si="293"/>
        <v>0.81462019880539982</v>
      </c>
      <c r="ADA43" s="81"/>
      <c r="ADB43" s="81">
        <v>41</v>
      </c>
      <c r="ADC43" s="133">
        <f t="shared" si="294"/>
        <v>0.1879379880550929</v>
      </c>
      <c r="ADD43" s="133">
        <f t="shared" si="295"/>
        <v>0.20793603225892157</v>
      </c>
      <c r="ADE43" s="133">
        <f t="shared" si="296"/>
        <v>0.22549047614387066</v>
      </c>
      <c r="ADF43" s="133">
        <f t="shared" si="483"/>
        <v>0.24611752105783216</v>
      </c>
      <c r="ADG43" s="133">
        <f t="shared" si="484"/>
        <v>0.28140134969857206</v>
      </c>
      <c r="ADH43" s="134">
        <f t="shared" si="485"/>
        <v>0.32193471520653039</v>
      </c>
      <c r="ADI43" s="133">
        <f t="shared" si="486"/>
        <v>0.36365210231669037</v>
      </c>
      <c r="ADJ43" s="133">
        <f t="shared" si="297"/>
        <v>0.40202473818705087</v>
      </c>
      <c r="ADK43" s="133">
        <f t="shared" si="298"/>
        <v>0.42543447082463881</v>
      </c>
      <c r="ADL43" s="133">
        <f t="shared" si="299"/>
        <v>0.44597695597885068</v>
      </c>
      <c r="ADM43" s="133">
        <f t="shared" si="300"/>
        <v>0.470132254619895</v>
      </c>
      <c r="ADN43" s="81"/>
      <c r="ADO43" s="81">
        <v>41</v>
      </c>
      <c r="ADP43" s="133">
        <f t="shared" si="301"/>
        <v>0.20858039355949926</v>
      </c>
      <c r="ADQ43" s="133">
        <f t="shared" si="302"/>
        <v>0.22685776753985049</v>
      </c>
      <c r="ADR43" s="133">
        <f t="shared" si="303"/>
        <v>0.24305473287274909</v>
      </c>
      <c r="ADS43" s="133">
        <f t="shared" si="487"/>
        <v>0.26226782808393745</v>
      </c>
      <c r="ADT43" s="133">
        <f t="shared" si="488"/>
        <v>0.29557904523865569</v>
      </c>
      <c r="ADU43" s="134">
        <f t="shared" si="489"/>
        <v>0.33452217664640971</v>
      </c>
      <c r="ADV43" s="133">
        <f t="shared" si="490"/>
        <v>0.37532969341195671</v>
      </c>
      <c r="ADW43" s="133">
        <f t="shared" si="304"/>
        <v>0.41349076510813554</v>
      </c>
      <c r="ADX43" s="133">
        <f t="shared" si="305"/>
        <v>0.43705573286493238</v>
      </c>
      <c r="ADY43" s="133">
        <f t="shared" si="306"/>
        <v>0.45790717335957004</v>
      </c>
      <c r="ADZ43" s="133">
        <f t="shared" si="307"/>
        <v>0.48262782644334473</v>
      </c>
      <c r="AEA43" s="81"/>
      <c r="AEB43" s="81">
        <v>44</v>
      </c>
      <c r="AEC43" s="133">
        <f t="shared" si="308"/>
        <v>0.18219560889478237</v>
      </c>
      <c r="AED43" s="133">
        <f t="shared" si="309"/>
        <v>0.20392407050240197</v>
      </c>
      <c r="AEE43" s="133">
        <f t="shared" si="310"/>
        <v>0.2225374330605677</v>
      </c>
      <c r="AEF43" s="133">
        <f t="shared" si="491"/>
        <v>0.24392068110626886</v>
      </c>
      <c r="AEG43" s="133">
        <f t="shared" si="492"/>
        <v>0.27942846650879988</v>
      </c>
      <c r="AEH43" s="134">
        <f t="shared" si="493"/>
        <v>0.31879393677946832</v>
      </c>
      <c r="AEI43" s="133">
        <f t="shared" si="494"/>
        <v>0.35796540505079655</v>
      </c>
      <c r="AEJ43" s="133">
        <f t="shared" si="311"/>
        <v>0.39296350955434628</v>
      </c>
      <c r="AEK43" s="133">
        <f t="shared" si="312"/>
        <v>0.41388297427108106</v>
      </c>
      <c r="AEL43" s="133">
        <f t="shared" si="313"/>
        <v>0.43199319464215713</v>
      </c>
      <c r="AEM43" s="133">
        <f t="shared" si="314"/>
        <v>0.45301222982546169</v>
      </c>
      <c r="AEN43" s="81"/>
    </row>
    <row r="44" spans="1:820">
      <c r="A44" s="81"/>
      <c r="B44" s="81">
        <v>43</v>
      </c>
      <c r="C44" s="133">
        <f t="shared" si="0"/>
        <v>1.9571458802403361</v>
      </c>
      <c r="D44" s="133">
        <f t="shared" si="1"/>
        <v>2.345531179808352</v>
      </c>
      <c r="E44" s="133">
        <f t="shared" si="2"/>
        <v>2.7543359784430619</v>
      </c>
      <c r="F44" s="133">
        <f t="shared" si="315"/>
        <v>3.3351121416471297</v>
      </c>
      <c r="G44" s="133">
        <f t="shared" si="316"/>
        <v>4.6621522198384779</v>
      </c>
      <c r="H44" s="134">
        <f t="shared" si="317"/>
        <v>6.9511233604058882</v>
      </c>
      <c r="I44" s="133">
        <f t="shared" si="318"/>
        <v>10.697715148399791</v>
      </c>
      <c r="J44" s="133">
        <f t="shared" si="3"/>
        <v>16.253000174961503</v>
      </c>
      <c r="K44" s="133">
        <f t="shared" si="4"/>
        <v>21.228713603250679</v>
      </c>
      <c r="L44" s="133">
        <f t="shared" si="5"/>
        <v>27.062069361436414</v>
      </c>
      <c r="M44" s="133">
        <f t="shared" si="6"/>
        <v>36.407166567261477</v>
      </c>
      <c r="N44" s="81"/>
      <c r="O44" s="75">
        <v>43</v>
      </c>
      <c r="P44" s="151">
        <f t="shared" si="7"/>
        <v>2.6586771518444041</v>
      </c>
      <c r="Q44" s="151">
        <f t="shared" si="8"/>
        <v>3.0303253754693205</v>
      </c>
      <c r="R44" s="151">
        <f t="shared" si="9"/>
        <v>3.4109716411458968</v>
      </c>
      <c r="S44" s="151">
        <f t="shared" si="319"/>
        <v>3.9385569576373949</v>
      </c>
      <c r="T44" s="151">
        <f t="shared" si="320"/>
        <v>5.108935921651935</v>
      </c>
      <c r="U44" s="134">
        <f t="shared" si="321"/>
        <v>7.0799839461023995</v>
      </c>
      <c r="V44" s="151">
        <f t="shared" si="322"/>
        <v>10.309285644085399</v>
      </c>
      <c r="W44" s="151">
        <f t="shared" si="10"/>
        <v>15.282181039440877</v>
      </c>
      <c r="X44" s="151">
        <f t="shared" si="11"/>
        <v>20.016652970656676</v>
      </c>
      <c r="Y44" s="151">
        <f t="shared" si="12"/>
        <v>25.972866381234688</v>
      </c>
      <c r="Z44" s="151">
        <f t="shared" si="13"/>
        <v>36.55786815938562</v>
      </c>
      <c r="AA44" s="81"/>
      <c r="AB44" s="75">
        <v>45</v>
      </c>
      <c r="AC44" s="151">
        <f t="shared" si="14"/>
        <v>1.674504557946555</v>
      </c>
      <c r="AD44" s="151">
        <f t="shared" si="15"/>
        <v>2.0234712712264726</v>
      </c>
      <c r="AE44" s="151">
        <f t="shared" si="16"/>
        <v>2.3972664284513865</v>
      </c>
      <c r="AF44" s="151">
        <f t="shared" si="323"/>
        <v>2.9392267260900442</v>
      </c>
      <c r="AG44" s="151">
        <f t="shared" si="324"/>
        <v>4.2225527735742441</v>
      </c>
      <c r="AH44" s="134">
        <f t="shared" si="325"/>
        <v>6.5694514544367966</v>
      </c>
      <c r="AI44" s="151">
        <f t="shared" si="326"/>
        <v>10.7325307268625</v>
      </c>
      <c r="AJ44" s="151">
        <f t="shared" si="17"/>
        <v>17.551570864599547</v>
      </c>
      <c r="AK44" s="151">
        <f t="shared" si="18"/>
        <v>24.249724787705677</v>
      </c>
      <c r="AL44" s="151">
        <f t="shared" si="19"/>
        <v>32.759298836135699</v>
      </c>
      <c r="AM44" s="151">
        <f t="shared" si="20"/>
        <v>47.779496681885952</v>
      </c>
      <c r="AN44" s="81"/>
      <c r="AO44" s="81">
        <v>43</v>
      </c>
      <c r="AP44" s="133">
        <f t="shared" si="21"/>
        <v>1.2393152028276182</v>
      </c>
      <c r="AQ44" s="133">
        <f t="shared" si="22"/>
        <v>3.4124641937739613</v>
      </c>
      <c r="AR44" s="133">
        <f t="shared" si="23"/>
        <v>5.4959457721340685</v>
      </c>
      <c r="AS44" s="133">
        <f t="shared" si="327"/>
        <v>8.1467027837838835</v>
      </c>
      <c r="AT44" s="133">
        <f t="shared" si="328"/>
        <v>13.167925406970614</v>
      </c>
      <c r="AU44" s="134">
        <f t="shared" si="329"/>
        <v>19.658969221874642</v>
      </c>
      <c r="AV44" s="133">
        <f t="shared" si="330"/>
        <v>27.105695937215184</v>
      </c>
      <c r="AW44" s="133">
        <f t="shared" si="24"/>
        <v>34.609958857100672</v>
      </c>
      <c r="AX44" s="133">
        <f t="shared" si="25"/>
        <v>39.485084549449468</v>
      </c>
      <c r="AY44" s="133">
        <f t="shared" si="26"/>
        <v>43.943670753154088</v>
      </c>
      <c r="AZ44" s="133">
        <f t="shared" si="27"/>
        <v>49.397922806907303</v>
      </c>
      <c r="BA44" s="81"/>
      <c r="BB44" s="81">
        <v>43</v>
      </c>
      <c r="BC44" s="133">
        <f t="shared" si="28"/>
        <v>4.1564446725340405</v>
      </c>
      <c r="BD44" s="133">
        <f t="shared" si="29"/>
        <v>6.6040324180738006</v>
      </c>
      <c r="BE44" s="133">
        <f t="shared" si="30"/>
        <v>8.8669232165957155</v>
      </c>
      <c r="BF44" s="133">
        <f t="shared" si="331"/>
        <v>11.651748374255703</v>
      </c>
      <c r="BG44" s="133">
        <f t="shared" si="332"/>
        <v>16.703061430045022</v>
      </c>
      <c r="BH44" s="134">
        <f t="shared" si="333"/>
        <v>22.909302739066177</v>
      </c>
      <c r="BI44" s="133">
        <f t="shared" si="334"/>
        <v>29.699585908975212</v>
      </c>
      <c r="BJ44" s="133">
        <f t="shared" si="31"/>
        <v>36.271919884981749</v>
      </c>
      <c r="BK44" s="133">
        <f t="shared" si="32"/>
        <v>40.423806482543732</v>
      </c>
      <c r="BL44" s="133">
        <f t="shared" si="33"/>
        <v>44.151241962571035</v>
      </c>
      <c r="BM44" s="133">
        <f t="shared" si="34"/>
        <v>48.63058008337547</v>
      </c>
      <c r="BN44" s="81"/>
      <c r="BO44" s="75">
        <v>45</v>
      </c>
      <c r="BP44" s="151">
        <f t="shared" si="35"/>
        <v>3.6353845946784586</v>
      </c>
      <c r="BQ44" s="151">
        <f t="shared" si="36"/>
        <v>4.688748990480935</v>
      </c>
      <c r="BR44" s="151">
        <f t="shared" si="37"/>
        <v>5.7926805614068622</v>
      </c>
      <c r="BS44" s="151">
        <f t="shared" si="335"/>
        <v>7.3332713281216941</v>
      </c>
      <c r="BT44" s="151">
        <f t="shared" si="336"/>
        <v>10.680074362167003</v>
      </c>
      <c r="BU44" s="134">
        <f t="shared" si="337"/>
        <v>15.865606090853243</v>
      </c>
      <c r="BV44" s="151">
        <f t="shared" si="338"/>
        <v>23.058220852362403</v>
      </c>
      <c r="BW44" s="151">
        <f t="shared" si="38"/>
        <v>31.712388220183485</v>
      </c>
      <c r="BX44" s="151">
        <f t="shared" si="39"/>
        <v>38.121555743525079</v>
      </c>
      <c r="BY44" s="151">
        <f t="shared" si="40"/>
        <v>44.543775775704503</v>
      </c>
      <c r="BZ44" s="151">
        <f t="shared" si="41"/>
        <v>53.149055609520346</v>
      </c>
      <c r="CA44" s="81"/>
      <c r="CB44" s="81">
        <v>43</v>
      </c>
      <c r="CC44" s="133">
        <f t="shared" si="42"/>
        <v>-5.7668130383566645</v>
      </c>
      <c r="CD44" s="133">
        <f t="shared" si="43"/>
        <v>-3.716818831331921</v>
      </c>
      <c r="CE44" s="133">
        <f t="shared" si="44"/>
        <v>-1.5601178244179312</v>
      </c>
      <c r="CF44" s="133">
        <f t="shared" si="339"/>
        <v>1.2799866907480242</v>
      </c>
      <c r="CG44" s="133">
        <f t="shared" si="340"/>
        <v>6.7083395364313771</v>
      </c>
      <c r="CH44" s="134">
        <f t="shared" si="341"/>
        <v>13.604351673449084</v>
      </c>
      <c r="CI44" s="133">
        <f t="shared" si="342"/>
        <v>21.25510126701138</v>
      </c>
      <c r="CJ44" s="133">
        <f t="shared" si="45"/>
        <v>28.683302039946003</v>
      </c>
      <c r="CK44" s="133">
        <f t="shared" si="46"/>
        <v>33.369647989317507</v>
      </c>
      <c r="CL44" s="133">
        <f t="shared" si="47"/>
        <v>37.567508080784101</v>
      </c>
      <c r="CM44" s="133">
        <f t="shared" si="48"/>
        <v>42.597005245951507</v>
      </c>
      <c r="CN44" s="81"/>
      <c r="CO44" s="81">
        <v>43</v>
      </c>
      <c r="CP44" s="133">
        <f t="shared" si="49"/>
        <v>-0.18810544652742589</v>
      </c>
      <c r="CQ44" s="133">
        <f t="shared" si="50"/>
        <v>2.1524339962252563</v>
      </c>
      <c r="CR44" s="133">
        <f t="shared" si="51"/>
        <v>4.3464913789211019</v>
      </c>
      <c r="CS44" s="133">
        <f t="shared" si="343"/>
        <v>7.0632408720188051</v>
      </c>
      <c r="CT44" s="133">
        <f t="shared" si="344"/>
        <v>11.996776118301455</v>
      </c>
      <c r="CU44" s="134">
        <f t="shared" si="345"/>
        <v>18.024895256246662</v>
      </c>
      <c r="CV44" s="133">
        <f t="shared" si="346"/>
        <v>24.552662948740057</v>
      </c>
      <c r="CW44" s="133">
        <f t="shared" si="52"/>
        <v>30.796952528116964</v>
      </c>
      <c r="CX44" s="133">
        <f t="shared" si="53"/>
        <v>34.704364516036456</v>
      </c>
      <c r="CY44" s="133">
        <f t="shared" si="54"/>
        <v>38.188501045666939</v>
      </c>
      <c r="CZ44" s="133">
        <f t="shared" si="55"/>
        <v>42.346674939057792</v>
      </c>
      <c r="DA44" s="81"/>
      <c r="DB44" s="81">
        <v>45</v>
      </c>
      <c r="DC44" s="133">
        <f t="shared" si="56"/>
        <v>-5.980453441661151</v>
      </c>
      <c r="DD44" s="133">
        <f t="shared" si="57"/>
        <v>-4.5662239033326708</v>
      </c>
      <c r="DE44" s="133">
        <f t="shared" si="58"/>
        <v>-2.9970696792788711</v>
      </c>
      <c r="DF44" s="133">
        <f t="shared" si="347"/>
        <v>-0.82958012342830312</v>
      </c>
      <c r="DG44" s="133">
        <f t="shared" si="348"/>
        <v>3.5542725775333261</v>
      </c>
      <c r="DH44" s="134">
        <f t="shared" si="349"/>
        <v>9.4626641911377192</v>
      </c>
      <c r="DI44" s="133">
        <f t="shared" si="350"/>
        <v>16.352509189799942</v>
      </c>
      <c r="DJ44" s="133">
        <f t="shared" si="59"/>
        <v>23.30964204902925</v>
      </c>
      <c r="DK44" s="133">
        <f t="shared" si="60"/>
        <v>27.813877204453295</v>
      </c>
      <c r="DL44" s="133">
        <f t="shared" si="61"/>
        <v>31.916039225073067</v>
      </c>
      <c r="DM44" s="133">
        <f t="shared" si="62"/>
        <v>36.907942943169004</v>
      </c>
      <c r="DN44" s="81"/>
      <c r="DO44" s="81">
        <v>43</v>
      </c>
      <c r="DP44" s="133">
        <v>12.904023780371919</v>
      </c>
      <c r="DQ44" s="133">
        <v>14.123043548051129</v>
      </c>
      <c r="DR44" s="133">
        <v>15.263183165900267</v>
      </c>
      <c r="DS44" s="133">
        <v>16.692388542296115</v>
      </c>
      <c r="DT44" s="133">
        <v>19.380551927321122</v>
      </c>
      <c r="DU44" s="134">
        <v>22.889944690342922</v>
      </c>
      <c r="DV44" s="133">
        <v>27.034811489983237</v>
      </c>
      <c r="DW44" s="133">
        <v>31.388531761008611</v>
      </c>
      <c r="DX44" s="133">
        <v>34.327673476232818</v>
      </c>
      <c r="DY44" s="133">
        <v>37.098913286241256</v>
      </c>
      <c r="DZ44" s="133">
        <v>40.603580467972208</v>
      </c>
      <c r="EA44" s="81"/>
      <c r="EB44" s="81">
        <v>43</v>
      </c>
      <c r="EC44" s="133">
        <v>12.749662524932278</v>
      </c>
      <c r="ED44" s="133">
        <v>13.693143242255285</v>
      </c>
      <c r="EE44" s="133">
        <v>14.560244257686637</v>
      </c>
      <c r="EF44" s="133">
        <v>15.628320708878009</v>
      </c>
      <c r="EG44" s="133">
        <v>17.587259360208641</v>
      </c>
      <c r="EH44" s="134">
        <v>20.061384878313334</v>
      </c>
      <c r="EI44" s="133">
        <v>22.883563322343853</v>
      </c>
      <c r="EJ44" s="133">
        <v>25.751913512191578</v>
      </c>
      <c r="EK44" s="133">
        <v>27.640962343289885</v>
      </c>
      <c r="EL44" s="133">
        <v>29.391291401515591</v>
      </c>
      <c r="EM44" s="133">
        <v>31.566260083261053</v>
      </c>
      <c r="EN44" s="81"/>
      <c r="EO44" s="81">
        <v>45</v>
      </c>
      <c r="EP44" s="133">
        <v>15.343360432974446</v>
      </c>
      <c r="EQ44" s="133">
        <v>16.428136462694003</v>
      </c>
      <c r="ER44" s="133">
        <v>17.422249234141766</v>
      </c>
      <c r="ES44" s="133">
        <v>18.643286468213425</v>
      </c>
      <c r="ET44" s="133">
        <v>20.873598167124051</v>
      </c>
      <c r="EU44" s="134">
        <v>23.675310949697128</v>
      </c>
      <c r="EV44" s="133">
        <v>26.853077465468758</v>
      </c>
      <c r="EW44" s="133">
        <v>30.065533215966461</v>
      </c>
      <c r="EX44" s="133">
        <v>32.172674207094751</v>
      </c>
      <c r="EY44" s="133">
        <v>34.119533267678413</v>
      </c>
      <c r="EZ44" s="133">
        <v>36.531785263952585</v>
      </c>
      <c r="FA44" s="81"/>
      <c r="FB44" s="81">
        <v>43</v>
      </c>
      <c r="FC44" s="133">
        <v>8.1652545446629432</v>
      </c>
      <c r="FD44" s="133">
        <v>8.9814850683696879</v>
      </c>
      <c r="FE44" s="133">
        <v>9.748455839276998</v>
      </c>
      <c r="FF44" s="133">
        <v>10.714358657397394</v>
      </c>
      <c r="FG44" s="133">
        <v>12.543307350394782</v>
      </c>
      <c r="FH44" s="134">
        <v>14.95206644624983</v>
      </c>
      <c r="FI44" s="133">
        <v>17.823392568470691</v>
      </c>
      <c r="FJ44" s="133">
        <v>20.865858439293252</v>
      </c>
      <c r="FK44" s="133">
        <v>22.933302945510491</v>
      </c>
      <c r="FL44" s="133">
        <v>24.891684316261003</v>
      </c>
      <c r="FM44" s="133">
        <v>27.379953654867808</v>
      </c>
      <c r="FN44" s="81"/>
      <c r="FO44" s="81">
        <v>43</v>
      </c>
      <c r="FP44" s="133">
        <v>8.0654673984678205</v>
      </c>
      <c r="FQ44" s="133">
        <v>8.7411739847804846</v>
      </c>
      <c r="FR44" s="133">
        <v>9.3674253750401917</v>
      </c>
      <c r="FS44" s="133">
        <v>10.145338722971845</v>
      </c>
      <c r="FT44" s="133">
        <v>11.589447275963863</v>
      </c>
      <c r="FU44" s="134">
        <v>13.442554563812941</v>
      </c>
      <c r="FV44" s="133">
        <v>15.591966458647141</v>
      </c>
      <c r="FW44" s="133">
        <v>17.811359298623351</v>
      </c>
      <c r="FX44" s="133">
        <v>19.290495089779437</v>
      </c>
      <c r="FY44" s="133">
        <v>20.672540498074305</v>
      </c>
      <c r="FZ44" s="133">
        <v>22.404439107325103</v>
      </c>
      <c r="GA44" s="81"/>
      <c r="GB44" s="81">
        <v>45</v>
      </c>
      <c r="GC44" s="133">
        <v>9.7339643418115145</v>
      </c>
      <c r="GD44" s="133">
        <v>10.501059094913847</v>
      </c>
      <c r="GE44" s="133">
        <v>11.20898173564165</v>
      </c>
      <c r="GF44" s="133">
        <v>12.084603219610576</v>
      </c>
      <c r="GG44" s="133">
        <v>13.700154102086289</v>
      </c>
      <c r="GH44" s="134">
        <v>15.756614630189869</v>
      </c>
      <c r="GI44" s="133">
        <v>18.121760000240158</v>
      </c>
      <c r="GJ44" s="133">
        <v>20.544398528652231</v>
      </c>
      <c r="GK44" s="133">
        <v>22.149282643121502</v>
      </c>
      <c r="GL44" s="133">
        <v>23.642463332537833</v>
      </c>
      <c r="GM44" s="133">
        <v>25.505631198779351</v>
      </c>
      <c r="GN44" s="81"/>
      <c r="GO44" s="81">
        <v>43</v>
      </c>
      <c r="GP44" s="133">
        <f t="shared" si="63"/>
        <v>0.46327724623210609</v>
      </c>
      <c r="GQ44" s="133">
        <f t="shared" si="64"/>
        <v>0.49792788218001327</v>
      </c>
      <c r="GR44" s="133">
        <f t="shared" si="65"/>
        <v>0.52580367655185511</v>
      </c>
      <c r="GS44" s="133">
        <f t="shared" si="351"/>
        <v>0.55611355755746394</v>
      </c>
      <c r="GT44" s="133">
        <f t="shared" si="352"/>
        <v>0.60443034597916334</v>
      </c>
      <c r="GU44" s="134">
        <f t="shared" si="353"/>
        <v>0.65128601285737431</v>
      </c>
      <c r="GV44" s="133">
        <f t="shared" si="354"/>
        <v>0.69481382675391967</v>
      </c>
      <c r="GW44" s="133">
        <f t="shared" si="66"/>
        <v>0.73358452445163957</v>
      </c>
      <c r="GX44" s="133">
        <f t="shared" si="67"/>
        <v>0.75519343292770402</v>
      </c>
      <c r="GY44" s="133">
        <f t="shared" si="68"/>
        <v>0.77341862651342208</v>
      </c>
      <c r="GZ44" s="133">
        <f t="shared" si="69"/>
        <v>0.79405292889091195</v>
      </c>
      <c r="HA44" s="81"/>
      <c r="HB44" s="81">
        <v>43</v>
      </c>
      <c r="HC44" s="133">
        <f t="shared" si="70"/>
        <v>0.44507383850745319</v>
      </c>
      <c r="HD44" s="133">
        <f t="shared" si="71"/>
        <v>0.48296536928103173</v>
      </c>
      <c r="HE44" s="133">
        <f t="shared" si="72"/>
        <v>0.5132384705708869</v>
      </c>
      <c r="HF44" s="133">
        <f t="shared" si="355"/>
        <v>0.54598442882988607</v>
      </c>
      <c r="HG44" s="133">
        <f t="shared" si="356"/>
        <v>0.59647710674313725</v>
      </c>
      <c r="HH44" s="134">
        <f t="shared" si="357"/>
        <v>0.64796739146313054</v>
      </c>
      <c r="HI44" s="133">
        <f t="shared" si="358"/>
        <v>0.69551619260248376</v>
      </c>
      <c r="HJ44" s="133">
        <f t="shared" si="73"/>
        <v>0.73546715337309165</v>
      </c>
      <c r="HK44" s="133">
        <f t="shared" si="74"/>
        <v>0.75836905935547416</v>
      </c>
      <c r="HL44" s="133">
        <f t="shared" si="75"/>
        <v>0.77766581249721289</v>
      </c>
      <c r="HM44" s="133">
        <f t="shared" si="76"/>
        <v>0.79949435505627442</v>
      </c>
      <c r="HN44" s="81"/>
      <c r="HO44" s="81">
        <v>45</v>
      </c>
      <c r="HP44" s="83">
        <f t="shared" si="77"/>
        <v>0.4830829140370711</v>
      </c>
      <c r="HQ44" s="83">
        <f t="shared" si="78"/>
        <v>0.51483635426910324</v>
      </c>
      <c r="HR44" s="83">
        <f t="shared" si="79"/>
        <v>0.54054389044931916</v>
      </c>
      <c r="HS44" s="83">
        <f t="shared" si="359"/>
        <v>0.56863354056480309</v>
      </c>
      <c r="HT44" s="83">
        <f t="shared" si="360"/>
        <v>0.61241941525639776</v>
      </c>
      <c r="HU44" s="84">
        <f t="shared" si="361"/>
        <v>0.65754333858281755</v>
      </c>
      <c r="HV44" s="83">
        <f t="shared" si="362"/>
        <v>0.69954685134575434</v>
      </c>
      <c r="HW44" s="83">
        <f t="shared" si="80"/>
        <v>0.73503842375554274</v>
      </c>
      <c r="HX44" s="83">
        <f t="shared" si="81"/>
        <v>0.75545365147563848</v>
      </c>
      <c r="HY44" s="83">
        <f t="shared" si="82"/>
        <v>0.77269009665803967</v>
      </c>
      <c r="HZ44" s="83">
        <f t="shared" si="83"/>
        <v>0.79222313044716042</v>
      </c>
      <c r="IA44" s="81"/>
      <c r="IB44" s="81">
        <v>43</v>
      </c>
      <c r="IC44" s="83">
        <f t="shared" si="84"/>
        <v>0.31788559157890495</v>
      </c>
      <c r="ID44" s="83">
        <f t="shared" si="85"/>
        <v>0.33313181386880408</v>
      </c>
      <c r="IE44" s="83">
        <f t="shared" si="86"/>
        <v>0.34492509788698655</v>
      </c>
      <c r="IF44" s="83">
        <f t="shared" si="363"/>
        <v>0.35733264983691371</v>
      </c>
      <c r="IG44" s="83">
        <f t="shared" si="364"/>
        <v>0.37582613375025442</v>
      </c>
      <c r="IH44" s="84">
        <f t="shared" si="365"/>
        <v>0.39397610300648522</v>
      </c>
      <c r="II44" s="83">
        <f t="shared" si="366"/>
        <v>0.41017338588938806</v>
      </c>
      <c r="IJ44" s="83">
        <f t="shared" si="87"/>
        <v>0.42340556819507191</v>
      </c>
      <c r="IK44" s="83">
        <f t="shared" si="88"/>
        <v>0.4308472880498383</v>
      </c>
      <c r="IL44" s="83">
        <f t="shared" si="89"/>
        <v>0.43704064046551278</v>
      </c>
      <c r="IM44" s="83">
        <f t="shared" si="90"/>
        <v>0.44396520215807606</v>
      </c>
      <c r="IN44" s="81"/>
      <c r="IO44" s="81">
        <v>43</v>
      </c>
      <c r="IP44" s="133">
        <f t="shared" si="91"/>
        <v>0.30915388299411978</v>
      </c>
      <c r="IQ44" s="133">
        <f t="shared" si="92"/>
        <v>0.32629193421264907</v>
      </c>
      <c r="IR44" s="133">
        <f t="shared" si="93"/>
        <v>0.33937553140067567</v>
      </c>
      <c r="IS44" s="133">
        <f t="shared" si="367"/>
        <v>0.35300913827336738</v>
      </c>
      <c r="IT44" s="133">
        <f t="shared" si="368"/>
        <v>0.37312858522477982</v>
      </c>
      <c r="IU44" s="134">
        <f t="shared" si="369"/>
        <v>0.3926891614922226</v>
      </c>
      <c r="IV44" s="133">
        <f t="shared" si="370"/>
        <v>0.41002393639960394</v>
      </c>
      <c r="IW44" s="133">
        <f t="shared" si="94"/>
        <v>0.42411653055560772</v>
      </c>
      <c r="IX44" s="133">
        <f t="shared" si="95"/>
        <v>0.43201890993493081</v>
      </c>
      <c r="IY44" s="133">
        <f t="shared" si="96"/>
        <v>0.43858424209726354</v>
      </c>
      <c r="IZ44" s="133">
        <f t="shared" si="97"/>
        <v>0.4459134170690186</v>
      </c>
      <c r="JA44" s="81"/>
      <c r="JB44" s="81">
        <v>45</v>
      </c>
      <c r="JC44" s="133">
        <f t="shared" si="98"/>
        <v>0.32709128564535317</v>
      </c>
      <c r="JD44" s="133">
        <f t="shared" si="99"/>
        <v>0.34066006821071509</v>
      </c>
      <c r="JE44" s="133">
        <f t="shared" si="100"/>
        <v>0.35128114269655047</v>
      </c>
      <c r="JF44" s="133">
        <f t="shared" si="371"/>
        <v>0.36255610623975926</v>
      </c>
      <c r="JG44" s="133">
        <f t="shared" si="372"/>
        <v>0.37952348938949998</v>
      </c>
      <c r="JH44" s="134">
        <f t="shared" si="373"/>
        <v>0.39633172885290452</v>
      </c>
      <c r="JI44" s="133">
        <f t="shared" si="374"/>
        <v>0.41143831592712871</v>
      </c>
      <c r="JJ44" s="133">
        <f t="shared" si="101"/>
        <v>0.42384194938141806</v>
      </c>
      <c r="JK44" s="133">
        <f t="shared" si="102"/>
        <v>0.43083923814193514</v>
      </c>
      <c r="JL44" s="133">
        <f t="shared" si="103"/>
        <v>0.43667343569907618</v>
      </c>
      <c r="JM44" s="133">
        <f t="shared" si="104"/>
        <v>0.44320715316388171</v>
      </c>
      <c r="JN44" s="81"/>
      <c r="JO44" s="81">
        <v>42</v>
      </c>
      <c r="JP44" s="133">
        <f t="shared" si="105"/>
        <v>-4.6336854067274551</v>
      </c>
      <c r="JQ44" s="133">
        <f t="shared" si="106"/>
        <v>-3.1848765231910647</v>
      </c>
      <c r="JR44" s="133">
        <f t="shared" si="107"/>
        <v>-1.9219408115428607</v>
      </c>
      <c r="JS44" s="133">
        <f t="shared" si="375"/>
        <v>-0.44740831204675047</v>
      </c>
      <c r="JT44" s="133">
        <f t="shared" si="376"/>
        <v>2.0539452918023109</v>
      </c>
      <c r="JU44" s="134">
        <f t="shared" si="377"/>
        <v>4.8992529899529984</v>
      </c>
      <c r="JV44" s="133">
        <f t="shared" si="378"/>
        <v>7.8007470590342294</v>
      </c>
      <c r="JW44" s="133">
        <f t="shared" si="108"/>
        <v>10.448668706032208</v>
      </c>
      <c r="JX44" s="133">
        <f t="shared" si="109"/>
        <v>12.055232422524011</v>
      </c>
      <c r="JY44" s="133">
        <f t="shared" si="110"/>
        <v>13.459929092645435</v>
      </c>
      <c r="JZ44" s="133">
        <f t="shared" si="111"/>
        <v>15.105941633151442</v>
      </c>
      <c r="KA44" s="81"/>
      <c r="KB44" s="81">
        <v>42</v>
      </c>
      <c r="KC44" s="133">
        <f t="shared" si="112"/>
        <v>-2.9856995440555636</v>
      </c>
      <c r="KD44" s="133">
        <f t="shared" si="113"/>
        <v>-1.7202523605644178</v>
      </c>
      <c r="KE44" s="133">
        <f t="shared" si="114"/>
        <v>-0.59051510028924525</v>
      </c>
      <c r="KF44" s="133">
        <f t="shared" si="379"/>
        <v>0.75754416749425069</v>
      </c>
      <c r="KG44" s="133">
        <f t="shared" si="380"/>
        <v>3.1099013969571789</v>
      </c>
      <c r="KH44" s="134">
        <f t="shared" si="381"/>
        <v>5.8762609138274531</v>
      </c>
      <c r="KI44" s="133">
        <f t="shared" si="382"/>
        <v>8.7861570029210529</v>
      </c>
      <c r="KJ44" s="133">
        <f t="shared" si="115"/>
        <v>11.512704991866867</v>
      </c>
      <c r="KK44" s="133">
        <f t="shared" si="116"/>
        <v>13.197548966724044</v>
      </c>
      <c r="KL44" s="133">
        <f t="shared" si="117"/>
        <v>14.688584592708738</v>
      </c>
      <c r="KM44" s="133">
        <f t="shared" si="118"/>
        <v>16.456118665087651</v>
      </c>
      <c r="KN44" s="81"/>
      <c r="KO44" s="81">
        <v>44</v>
      </c>
      <c r="KP44" s="133">
        <f t="shared" si="119"/>
        <v>-5.0608186740965575</v>
      </c>
      <c r="KQ44" s="133">
        <f t="shared" si="120"/>
        <v>-3.5771416894115831</v>
      </c>
      <c r="KR44" s="133">
        <f t="shared" si="121"/>
        <v>-2.3071656268969072</v>
      </c>
      <c r="KS44" s="133">
        <f t="shared" si="383"/>
        <v>-0.84934327791157216</v>
      </c>
      <c r="KT44" s="133">
        <f t="shared" si="384"/>
        <v>1.5687649689918324</v>
      </c>
      <c r="KU44" s="134">
        <f t="shared" si="385"/>
        <v>4.2458055545996736</v>
      </c>
      <c r="KV44" s="133">
        <f t="shared" si="386"/>
        <v>6.9058878853492054</v>
      </c>
      <c r="KW44" s="133">
        <f t="shared" si="122"/>
        <v>9.2795474558311071</v>
      </c>
      <c r="KX44" s="133">
        <f t="shared" si="123"/>
        <v>10.697060015940927</v>
      </c>
      <c r="KY44" s="133">
        <f t="shared" si="124"/>
        <v>11.923459962594197</v>
      </c>
      <c r="KZ44" s="133">
        <f t="shared" si="125"/>
        <v>13.345985200255125</v>
      </c>
      <c r="LA44" s="81"/>
      <c r="LB44" s="81">
        <v>42</v>
      </c>
      <c r="LC44" s="133">
        <f t="shared" si="126"/>
        <v>-11.434208655233565</v>
      </c>
      <c r="LD44" s="133">
        <f t="shared" si="127"/>
        <v>-7.7577580138087967</v>
      </c>
      <c r="LE44" s="133">
        <f t="shared" si="128"/>
        <v>-4.5147328176557515</v>
      </c>
      <c r="LF44" s="133">
        <f t="shared" si="387"/>
        <v>-0.68905820645841942</v>
      </c>
      <c r="LG44" s="133">
        <f t="shared" si="388"/>
        <v>5.8838868596047149</v>
      </c>
      <c r="LH44" s="134">
        <f t="shared" si="389"/>
        <v>13.467436082054277</v>
      </c>
      <c r="LI44" s="133">
        <f t="shared" si="390"/>
        <v>21.297781974379149</v>
      </c>
      <c r="LJ44" s="133">
        <f t="shared" si="129"/>
        <v>28.516141855124268</v>
      </c>
      <c r="LK44" s="133">
        <f t="shared" si="130"/>
        <v>32.925306987515675</v>
      </c>
      <c r="LL44" s="133">
        <f t="shared" si="131"/>
        <v>36.797145042976474</v>
      </c>
      <c r="LM44" s="133">
        <f t="shared" si="132"/>
        <v>41.352591283123921</v>
      </c>
      <c r="LN44" s="81"/>
      <c r="LO44" s="81">
        <v>42</v>
      </c>
      <c r="LP44" s="133">
        <f t="shared" si="133"/>
        <v>-7.5165720142757131</v>
      </c>
      <c r="LQ44" s="133">
        <f t="shared" si="134"/>
        <v>-3.9171802495694656</v>
      </c>
      <c r="LR44" s="133">
        <f t="shared" si="135"/>
        <v>-0.73064596999545017</v>
      </c>
      <c r="LS44" s="133">
        <f t="shared" si="391"/>
        <v>3.0407721534544585</v>
      </c>
      <c r="LT44" s="133">
        <f t="shared" si="392"/>
        <v>9.5481725154740111</v>
      </c>
      <c r="LU44" s="134">
        <f t="shared" si="393"/>
        <v>17.093829338691581</v>
      </c>
      <c r="LV44" s="133">
        <f t="shared" si="394"/>
        <v>24.921543870681976</v>
      </c>
      <c r="LW44" s="133">
        <f t="shared" si="136"/>
        <v>32.166197016020703</v>
      </c>
      <c r="LX44" s="133">
        <f t="shared" si="137"/>
        <v>36.603652975836354</v>
      </c>
      <c r="LY44" s="133">
        <f t="shared" si="138"/>
        <v>40.507433325411739</v>
      </c>
      <c r="LZ44" s="133">
        <f t="shared" si="139"/>
        <v>45.108489329759962</v>
      </c>
      <c r="MA44" s="81"/>
      <c r="MB44" s="81">
        <v>44</v>
      </c>
      <c r="MC44" s="133">
        <f t="shared" si="140"/>
        <v>-11.192330986626125</v>
      </c>
      <c r="MD44" s="133">
        <f t="shared" si="141"/>
        <v>-7.8178124471390156</v>
      </c>
      <c r="ME44" s="133">
        <f t="shared" si="142"/>
        <v>-4.8749511804535146</v>
      </c>
      <c r="MF44" s="133">
        <f t="shared" si="395"/>
        <v>-1.4391398149788301</v>
      </c>
      <c r="MG44" s="133">
        <f t="shared" si="396"/>
        <v>4.3856928592200077</v>
      </c>
      <c r="MH44" s="134">
        <f t="shared" si="397"/>
        <v>11.001847462394508</v>
      </c>
      <c r="MI44" s="133">
        <f t="shared" si="398"/>
        <v>17.734899840048406</v>
      </c>
      <c r="MJ44" s="133">
        <f t="shared" si="143"/>
        <v>23.865906482268031</v>
      </c>
      <c r="MK44" s="133">
        <f t="shared" si="144"/>
        <v>27.579112505564758</v>
      </c>
      <c r="ML44" s="133">
        <f t="shared" si="145"/>
        <v>30.821571089615396</v>
      </c>
      <c r="MM44" s="133">
        <f t="shared" si="146"/>
        <v>34.616073626109092</v>
      </c>
      <c r="MN44" s="81"/>
      <c r="MO44" s="81">
        <v>42</v>
      </c>
      <c r="MP44" s="133">
        <f t="shared" si="147"/>
        <v>-17.931421567375917</v>
      </c>
      <c r="MQ44" s="133">
        <f t="shared" si="148"/>
        <v>-13.6462336409225</v>
      </c>
      <c r="MR44" s="133">
        <f t="shared" si="149"/>
        <v>-9.9402332580028698</v>
      </c>
      <c r="MS44" s="133">
        <f t="shared" si="399"/>
        <v>-5.6472650622349079</v>
      </c>
      <c r="MT44" s="133">
        <f t="shared" si="400"/>
        <v>1.555244444991331</v>
      </c>
      <c r="MU44" s="134">
        <f t="shared" si="401"/>
        <v>9.6341142092402805</v>
      </c>
      <c r="MV44" s="133">
        <f t="shared" si="402"/>
        <v>17.758238712038199</v>
      </c>
      <c r="MW44" s="133">
        <f t="shared" si="150"/>
        <v>25.080372241004177</v>
      </c>
      <c r="MX44" s="133">
        <f t="shared" si="151"/>
        <v>29.483194222687622</v>
      </c>
      <c r="MY44" s="133">
        <f t="shared" si="152"/>
        <v>33.309579453310526</v>
      </c>
      <c r="MZ44" s="133">
        <f t="shared" si="153"/>
        <v>37.766959828693935</v>
      </c>
      <c r="NA44" s="81"/>
      <c r="NB44" s="81">
        <v>42</v>
      </c>
      <c r="NC44" s="133">
        <f t="shared" si="154"/>
        <v>-11.374958403663673</v>
      </c>
      <c r="ND44" s="133">
        <f t="shared" si="155"/>
        <v>-7.4316585606671026</v>
      </c>
      <c r="NE44" s="133">
        <f t="shared" si="156"/>
        <v>-4.0130112018217048</v>
      </c>
      <c r="NF44" s="133">
        <f t="shared" si="403"/>
        <v>-4.4832254544516559E-2</v>
      </c>
      <c r="NG44" s="133">
        <f t="shared" si="404"/>
        <v>6.6290153422064755</v>
      </c>
      <c r="NH44" s="134">
        <f t="shared" si="405"/>
        <v>14.134870171196727</v>
      </c>
      <c r="NI44" s="133">
        <f t="shared" si="406"/>
        <v>21.700321550058259</v>
      </c>
      <c r="NJ44" s="133">
        <f t="shared" si="157"/>
        <v>28.531741964578618</v>
      </c>
      <c r="NK44" s="133">
        <f t="shared" si="158"/>
        <v>32.644680995287032</v>
      </c>
      <c r="NL44" s="133">
        <f t="shared" si="159"/>
        <v>36.222041449152883</v>
      </c>
      <c r="NM44" s="133">
        <f t="shared" si="160"/>
        <v>40.392528697790198</v>
      </c>
      <c r="NN44" s="81"/>
      <c r="NO44" s="81">
        <v>44</v>
      </c>
      <c r="NP44" s="133">
        <f t="shared" si="161"/>
        <v>-18.748980268364548</v>
      </c>
      <c r="NQ44" s="133">
        <f t="shared" si="162"/>
        <v>-14.883651487823347</v>
      </c>
      <c r="NR44" s="133">
        <f t="shared" si="163"/>
        <v>-11.556521868881877</v>
      </c>
      <c r="NS44" s="133">
        <f t="shared" si="407"/>
        <v>-7.7178582727074989</v>
      </c>
      <c r="NT44" s="133">
        <f t="shared" si="408"/>
        <v>-1.3088164362680388</v>
      </c>
      <c r="NU44" s="134">
        <f t="shared" si="409"/>
        <v>5.8414242490604948</v>
      </c>
      <c r="NV44" s="133">
        <f t="shared" si="410"/>
        <v>12.997664531576248</v>
      </c>
      <c r="NW44" s="133">
        <f t="shared" si="164"/>
        <v>19.422570089529842</v>
      </c>
      <c r="NX44" s="133">
        <f t="shared" si="165"/>
        <v>23.275807587870837</v>
      </c>
      <c r="NY44" s="133">
        <f t="shared" si="166"/>
        <v>26.618914339206086</v>
      </c>
      <c r="NZ44" s="133">
        <f t="shared" si="167"/>
        <v>30.507106157784769</v>
      </c>
      <c r="OA44" s="81"/>
      <c r="OB44" s="81">
        <v>42</v>
      </c>
      <c r="OC44" s="133">
        <v>14.227090948489032</v>
      </c>
      <c r="OD44" s="133">
        <v>15.703656511824262</v>
      </c>
      <c r="OE44" s="133">
        <v>17.095583343011654</v>
      </c>
      <c r="OF44" s="133">
        <v>18.854189195194504</v>
      </c>
      <c r="OG44" s="133">
        <v>22.199608131047817</v>
      </c>
      <c r="OH44" s="134">
        <v>26.632475531150863</v>
      </c>
      <c r="OI44" s="133">
        <v>31.950507807629091</v>
      </c>
      <c r="OJ44" s="133">
        <v>37.619690010224915</v>
      </c>
      <c r="OK44" s="133">
        <v>41.489590538441213</v>
      </c>
      <c r="OL44" s="133">
        <v>45.167108207141538</v>
      </c>
      <c r="OM44" s="133">
        <v>49.854798530874547</v>
      </c>
      <c r="ON44" s="81"/>
      <c r="OO44" s="81">
        <v>42</v>
      </c>
      <c r="OP44" s="133">
        <v>12.806043351263616</v>
      </c>
      <c r="OQ44" s="133">
        <v>13.978695722587386</v>
      </c>
      <c r="OR44" s="133">
        <v>15.072772770851733</v>
      </c>
      <c r="OS44" s="133">
        <v>16.440868188235601</v>
      </c>
      <c r="OT44" s="133">
        <v>25.050631668652354</v>
      </c>
      <c r="OU44" s="134">
        <v>22.336925009581687</v>
      </c>
      <c r="OV44" s="133">
        <v>26.253006697055465</v>
      </c>
      <c r="OW44" s="133">
        <v>30.347437444982067</v>
      </c>
      <c r="OX44" s="133">
        <v>33.101953201904571</v>
      </c>
      <c r="OY44" s="133">
        <v>35.692759094646412</v>
      </c>
      <c r="OZ44" s="133">
        <v>38.961153355337004</v>
      </c>
      <c r="PA44" s="81"/>
      <c r="PB44" s="81">
        <v>44</v>
      </c>
      <c r="PC44" s="133">
        <v>19.050661215089537</v>
      </c>
      <c r="PD44" s="133">
        <v>20.489862599969246</v>
      </c>
      <c r="PE44" s="133">
        <v>21.814320285734048</v>
      </c>
      <c r="PF44" s="133">
        <v>23.447935803822521</v>
      </c>
      <c r="PG44" s="133">
        <v>26.449869475831566</v>
      </c>
      <c r="PH44" s="134">
        <v>30.250859464144128</v>
      </c>
      <c r="PI44" s="133">
        <v>34.598072370662507</v>
      </c>
      <c r="PJ44" s="133">
        <v>39.02750783590146</v>
      </c>
      <c r="PK44" s="133">
        <v>41.950172470780899</v>
      </c>
      <c r="PL44" s="133">
        <v>44.661817220812956</v>
      </c>
      <c r="PM44" s="133">
        <v>48.035839175732093</v>
      </c>
      <c r="PN44" s="81"/>
      <c r="PO44" s="81">
        <v>42</v>
      </c>
      <c r="PP44" s="133">
        <v>8.6237778890077461</v>
      </c>
      <c r="PQ44" s="133">
        <v>9.3901388560593109</v>
      </c>
      <c r="PR44" s="133">
        <v>10.103504453406567</v>
      </c>
      <c r="PS44" s="133">
        <v>10.99348687735686</v>
      </c>
      <c r="PT44" s="133">
        <v>12.656002174691386</v>
      </c>
      <c r="PU44" s="134">
        <v>14.806967317115161</v>
      </c>
      <c r="PV44" s="133">
        <v>17.323502169472636</v>
      </c>
      <c r="PW44" s="133">
        <v>19.943288564949789</v>
      </c>
      <c r="PX44" s="133">
        <v>21.700023208896983</v>
      </c>
      <c r="PY44" s="133">
        <v>23.348566457953964</v>
      </c>
      <c r="PZ44" s="133">
        <v>25.423461034354535</v>
      </c>
      <c r="QA44" s="81"/>
      <c r="QB44" s="81">
        <v>42</v>
      </c>
      <c r="QC44" s="133">
        <v>8.314774101172052</v>
      </c>
      <c r="QD44" s="133">
        <v>9.0529380832338529</v>
      </c>
      <c r="QE44" s="133">
        <v>9.740004652745359</v>
      </c>
      <c r="QF44" s="133">
        <v>10.597112145007333</v>
      </c>
      <c r="QG44" s="133">
        <v>12.198041987519751</v>
      </c>
      <c r="QH44" s="134">
        <v>14.269032077835945</v>
      </c>
      <c r="QI44" s="133">
        <v>16.691635972939498</v>
      </c>
      <c r="QJ44" s="133">
        <v>19.213279396522815</v>
      </c>
      <c r="QK44" s="133">
        <v>20.904022502794401</v>
      </c>
      <c r="QL44" s="133">
        <v>22.490519052084373</v>
      </c>
      <c r="QM44" s="133">
        <v>24.487168738548284</v>
      </c>
      <c r="QN44" s="81"/>
      <c r="QO44" s="81">
        <v>44</v>
      </c>
      <c r="QP44" s="133">
        <v>9.4195847480205899</v>
      </c>
      <c r="QQ44" s="133">
        <v>10.200547192802556</v>
      </c>
      <c r="QR44" s="133">
        <v>10.923811743288462</v>
      </c>
      <c r="QS44" s="133">
        <v>11.821563933359512</v>
      </c>
      <c r="QT44" s="133">
        <v>13.486355933567006</v>
      </c>
      <c r="QU44" s="134">
        <v>15.619644682740779</v>
      </c>
      <c r="QV44" s="133">
        <v>18.090379730215513</v>
      </c>
      <c r="QW44" s="133">
        <v>20.637988458244447</v>
      </c>
      <c r="QX44" s="133">
        <v>22.33408133978218</v>
      </c>
      <c r="QY44" s="133">
        <v>23.917667886210886</v>
      </c>
      <c r="QZ44" s="133">
        <v>25.900642814041273</v>
      </c>
      <c r="RA44" s="81"/>
      <c r="RB44" s="81">
        <v>42</v>
      </c>
      <c r="RC44" s="133">
        <f t="shared" si="168"/>
        <v>0.30231267630648395</v>
      </c>
      <c r="RD44" s="133">
        <f t="shared" si="169"/>
        <v>0.32895387135929871</v>
      </c>
      <c r="RE44" s="133">
        <f t="shared" si="170"/>
        <v>0.35405175387580573</v>
      </c>
      <c r="RF44" s="133">
        <f t="shared" si="411"/>
        <v>0.38577711104586315</v>
      </c>
      <c r="RG44" s="133">
        <f t="shared" si="412"/>
        <v>0.44629957583621349</v>
      </c>
      <c r="RH44" s="134">
        <f t="shared" si="413"/>
        <v>0.52708946400989398</v>
      </c>
      <c r="RI44" s="133">
        <f t="shared" si="414"/>
        <v>0.62523375777756551</v>
      </c>
      <c r="RJ44" s="133">
        <f t="shared" si="171"/>
        <v>0.73160681136803885</v>
      </c>
      <c r="RK44" s="133">
        <f t="shared" si="172"/>
        <v>0.80535559474628204</v>
      </c>
      <c r="RL44" s="133">
        <f t="shared" si="173"/>
        <v>0.87633712999092916</v>
      </c>
      <c r="RM44" s="133">
        <f t="shared" si="174"/>
        <v>0.96812750532068237</v>
      </c>
      <c r="RN44" s="81"/>
      <c r="RO44" s="81">
        <v>42</v>
      </c>
      <c r="RP44" s="133">
        <f t="shared" si="175"/>
        <v>0.33356372889258651</v>
      </c>
      <c r="RQ44" s="133">
        <f t="shared" si="176"/>
        <v>0.36130629614229903</v>
      </c>
      <c r="RR44" s="133">
        <f t="shared" si="177"/>
        <v>0.38743676468593846</v>
      </c>
      <c r="RS44" s="133">
        <f t="shared" si="415"/>
        <v>0.42047341380820935</v>
      </c>
      <c r="RT44" s="133">
        <f t="shared" si="416"/>
        <v>0.48355910367115196</v>
      </c>
      <c r="RU44" s="134">
        <f t="shared" si="417"/>
        <v>0.56798901355458131</v>
      </c>
      <c r="RV44" s="133">
        <f t="shared" si="418"/>
        <v>0.67101993563416451</v>
      </c>
      <c r="RW44" s="133">
        <f t="shared" si="178"/>
        <v>0.78338029320078717</v>
      </c>
      <c r="RX44" s="133">
        <f t="shared" si="179"/>
        <v>0.8617439693104868</v>
      </c>
      <c r="RY44" s="133">
        <f t="shared" si="180"/>
        <v>0.93754439693843405</v>
      </c>
      <c r="RZ44" s="133">
        <f t="shared" si="181"/>
        <v>1.0361310123674463</v>
      </c>
      <c r="SA44" s="81"/>
      <c r="SB44" s="81">
        <v>44</v>
      </c>
      <c r="SC44" s="133">
        <f t="shared" si="182"/>
        <v>0.2947610196026022</v>
      </c>
      <c r="SD44" s="133">
        <f t="shared" si="183"/>
        <v>0.32051255827106379</v>
      </c>
      <c r="SE44" s="133">
        <f t="shared" si="184"/>
        <v>0.34447778842661231</v>
      </c>
      <c r="SF44" s="133">
        <f t="shared" si="419"/>
        <v>0.37437192550013682</v>
      </c>
      <c r="SG44" s="133">
        <f t="shared" si="420"/>
        <v>0.43021124556588214</v>
      </c>
      <c r="SH44" s="134">
        <f t="shared" si="421"/>
        <v>0.50246742708922931</v>
      </c>
      <c r="SI44" s="133">
        <f t="shared" si="422"/>
        <v>0.58704369833856906</v>
      </c>
      <c r="SJ44" s="133">
        <f t="shared" si="185"/>
        <v>0.67515481364277996</v>
      </c>
      <c r="SK44" s="133">
        <f t="shared" si="186"/>
        <v>0.73428244127067877</v>
      </c>
      <c r="SL44" s="133">
        <f t="shared" si="187"/>
        <v>0.78980301218937199</v>
      </c>
      <c r="SM44" s="133">
        <f t="shared" si="188"/>
        <v>0.85973205203825809</v>
      </c>
      <c r="SN44" s="81"/>
      <c r="SO44" s="81">
        <v>42</v>
      </c>
      <c r="SP44" s="133">
        <f t="shared" si="189"/>
        <v>0.23228141530190063</v>
      </c>
      <c r="SQ44" s="133">
        <f t="shared" si="190"/>
        <v>0.24785968677700532</v>
      </c>
      <c r="SR44" s="133">
        <f t="shared" si="191"/>
        <v>0.26187084206681249</v>
      </c>
      <c r="SS44" s="133">
        <f t="shared" si="423"/>
        <v>0.27874982086592537</v>
      </c>
      <c r="ST44" s="133">
        <f t="shared" si="424"/>
        <v>0.30869896414972364</v>
      </c>
      <c r="SU44" s="134">
        <f t="shared" si="425"/>
        <v>0.34484372930148577</v>
      </c>
      <c r="SV44" s="133">
        <f t="shared" si="426"/>
        <v>0.38405996461787223</v>
      </c>
      <c r="SW44" s="133">
        <f t="shared" si="192"/>
        <v>0.4219962733642208</v>
      </c>
      <c r="SX44" s="133">
        <f t="shared" si="193"/>
        <v>0.4460389259158784</v>
      </c>
      <c r="SY44" s="133">
        <f t="shared" si="194"/>
        <v>0.46770827200631115</v>
      </c>
      <c r="SZ44" s="133">
        <f t="shared" si="195"/>
        <v>0.49388164184263461</v>
      </c>
      <c r="TA44" s="81"/>
      <c r="TB44" s="81">
        <v>42</v>
      </c>
      <c r="TC44" s="133">
        <f t="shared" si="196"/>
        <v>0.25053575542288148</v>
      </c>
      <c r="TD44" s="133">
        <f t="shared" si="197"/>
        <v>0.26588586079140242</v>
      </c>
      <c r="TE44" s="133">
        <f t="shared" si="198"/>
        <v>0.27970152595551112</v>
      </c>
      <c r="TF44" s="133">
        <f t="shared" si="427"/>
        <v>0.29636071648362872</v>
      </c>
      <c r="TG44" s="133">
        <f t="shared" si="428"/>
        <v>0.32597183433663385</v>
      </c>
      <c r="TH44" s="134">
        <f t="shared" si="429"/>
        <v>0.36181403173242621</v>
      </c>
      <c r="TI44" s="133">
        <f t="shared" si="430"/>
        <v>0.40085103690522977</v>
      </c>
      <c r="TJ44" s="133">
        <f t="shared" si="199"/>
        <v>0.4387748113767394</v>
      </c>
      <c r="TK44" s="133">
        <f t="shared" si="200"/>
        <v>0.46289544904247587</v>
      </c>
      <c r="TL44" s="133">
        <f t="shared" si="201"/>
        <v>0.48469373302186247</v>
      </c>
      <c r="TM44" s="133">
        <f t="shared" si="202"/>
        <v>0.51109815571099215</v>
      </c>
      <c r="TN44" s="81"/>
      <c r="TO44" s="81">
        <v>44</v>
      </c>
      <c r="TP44" s="133">
        <f t="shared" si="203"/>
        <v>0.2278443903222945</v>
      </c>
      <c r="TQ44" s="133">
        <f t="shared" si="204"/>
        <v>0.24307328767947528</v>
      </c>
      <c r="TR44" s="133">
        <f t="shared" si="205"/>
        <v>0.2566162666420066</v>
      </c>
      <c r="TS44" s="133">
        <f t="shared" si="431"/>
        <v>0.27274543101496407</v>
      </c>
      <c r="TT44" s="133">
        <f t="shared" si="432"/>
        <v>0.30089029533534989</v>
      </c>
      <c r="TU44" s="134">
        <f t="shared" si="433"/>
        <v>0.33410585574443724</v>
      </c>
      <c r="TV44" s="133">
        <f t="shared" si="434"/>
        <v>0.36929190754595953</v>
      </c>
      <c r="TW44" s="133">
        <f t="shared" si="206"/>
        <v>0.40255809917342111</v>
      </c>
      <c r="TX44" s="133">
        <f t="shared" si="207"/>
        <v>0.42327712053219374</v>
      </c>
      <c r="TY44" s="133">
        <f t="shared" si="208"/>
        <v>0.44172319421553058</v>
      </c>
      <c r="TZ44" s="133">
        <f t="shared" si="209"/>
        <v>0.46372938268538444</v>
      </c>
      <c r="UA44" s="81"/>
      <c r="UB44" s="81">
        <v>42</v>
      </c>
      <c r="UC44" s="133">
        <f t="shared" si="210"/>
        <v>-20.995110421774214</v>
      </c>
      <c r="UD44" s="133">
        <f t="shared" si="211"/>
        <v>-17.513428206641073</v>
      </c>
      <c r="UE44" s="133">
        <f t="shared" si="212"/>
        <v>-14.604564954813647</v>
      </c>
      <c r="UF44" s="133">
        <f t="shared" si="435"/>
        <v>-11.337595371963126</v>
      </c>
      <c r="UG44" s="133">
        <f t="shared" si="436"/>
        <v>-6.0682411904137581</v>
      </c>
      <c r="UH44" s="134">
        <f t="shared" si="437"/>
        <v>-0.42273192801842185</v>
      </c>
      <c r="UI44" s="133">
        <f t="shared" si="438"/>
        <v>5.0193733043295197</v>
      </c>
      <c r="UJ44" s="133">
        <f t="shared" si="213"/>
        <v>9.7525747280491828</v>
      </c>
      <c r="UK44" s="133">
        <f t="shared" si="214"/>
        <v>12.529401360691679</v>
      </c>
      <c r="UL44" s="133">
        <f t="shared" si="215"/>
        <v>14.904018436546949</v>
      </c>
      <c r="UM44" s="133">
        <f t="shared" si="216"/>
        <v>17.62786001124168</v>
      </c>
      <c r="UN44" s="81"/>
      <c r="UO44" s="81">
        <v>42</v>
      </c>
      <c r="UP44" s="133">
        <f t="shared" si="217"/>
        <v>-16.741015831134785</v>
      </c>
      <c r="UQ44" s="133">
        <f t="shared" si="218"/>
        <v>-13.87153246482189</v>
      </c>
      <c r="UR44" s="133">
        <f t="shared" si="219"/>
        <v>-11.410212660796958</v>
      </c>
      <c r="US44" s="133">
        <f t="shared" si="439"/>
        <v>-8.5790851707533378</v>
      </c>
      <c r="UT44" s="133">
        <f t="shared" si="440"/>
        <v>-3.8699648679214924</v>
      </c>
      <c r="UU44" s="134">
        <f t="shared" si="441"/>
        <v>1.3615115911373366</v>
      </c>
      <c r="UV44" s="133">
        <f t="shared" si="442"/>
        <v>6.5774968037736272</v>
      </c>
      <c r="UW44" s="133">
        <f t="shared" si="220"/>
        <v>11.245762975334507</v>
      </c>
      <c r="UX44" s="133">
        <f t="shared" si="221"/>
        <v>14.039505876608473</v>
      </c>
      <c r="UY44" s="133">
        <f t="shared" si="222"/>
        <v>16.460022147317957</v>
      </c>
      <c r="UZ44" s="133">
        <f t="shared" si="223"/>
        <v>19.271489104446154</v>
      </c>
      <c r="VA44" s="81"/>
      <c r="VB44" s="81">
        <v>45</v>
      </c>
      <c r="VC44" s="133">
        <f t="shared" si="224"/>
        <v>-21.427725044203228</v>
      </c>
      <c r="VD44" s="133">
        <f t="shared" si="225"/>
        <v>-17.841120344781579</v>
      </c>
      <c r="VE44" s="133">
        <f t="shared" si="226"/>
        <v>-14.893652706820525</v>
      </c>
      <c r="VF44" s="133">
        <f t="shared" si="443"/>
        <v>-11.63002293651595</v>
      </c>
      <c r="VG44" s="133">
        <f t="shared" si="444"/>
        <v>-6.4567595771869506</v>
      </c>
      <c r="VH44" s="134">
        <f t="shared" si="445"/>
        <v>-1.0209248161892859</v>
      </c>
      <c r="VI44" s="133">
        <f t="shared" si="446"/>
        <v>4.1296694996748471</v>
      </c>
      <c r="VJ44" s="133">
        <f t="shared" si="227"/>
        <v>8.5469512192334065</v>
      </c>
      <c r="VK44" s="133">
        <f t="shared" si="228"/>
        <v>11.113998060228013</v>
      </c>
      <c r="VL44" s="133">
        <f t="shared" si="229"/>
        <v>13.295865381122638</v>
      </c>
      <c r="VM44" s="133">
        <f t="shared" si="230"/>
        <v>15.784231912155036</v>
      </c>
      <c r="VN44" s="81"/>
      <c r="VO44" s="81">
        <v>42</v>
      </c>
      <c r="VP44" s="133">
        <f t="shared" si="231"/>
        <v>-36.194551487528457</v>
      </c>
      <c r="VQ44" s="133">
        <f t="shared" si="232"/>
        <v>-31.830621878586445</v>
      </c>
      <c r="VR44" s="133">
        <f t="shared" si="233"/>
        <v>-27.780033945929965</v>
      </c>
      <c r="VS44" s="133">
        <f t="shared" si="447"/>
        <v>-22.778862973719349</v>
      </c>
      <c r="VT44" s="133">
        <f t="shared" si="448"/>
        <v>-13.672576455396332</v>
      </c>
      <c r="VU44" s="134">
        <f t="shared" si="449"/>
        <v>-2.4393543647684979</v>
      </c>
      <c r="VV44" s="133">
        <f t="shared" si="450"/>
        <v>9.8918150707292156</v>
      </c>
      <c r="VW44" s="133">
        <f t="shared" si="234"/>
        <v>21.857667098307779</v>
      </c>
      <c r="VX44" s="133">
        <f t="shared" si="235"/>
        <v>29.42919113778148</v>
      </c>
      <c r="VY44" s="133">
        <f t="shared" si="236"/>
        <v>36.233688881381219</v>
      </c>
      <c r="VZ44" s="133">
        <f t="shared" si="237"/>
        <v>44.418598472894466</v>
      </c>
      <c r="WA44" s="81"/>
      <c r="WB44" s="81">
        <v>42</v>
      </c>
      <c r="WC44" s="133">
        <f t="shared" si="238"/>
        <v>-32.016439044517291</v>
      </c>
      <c r="WD44" s="133">
        <f t="shared" si="239"/>
        <v>-27.756509021096623</v>
      </c>
      <c r="WE44" s="133">
        <f t="shared" si="240"/>
        <v>-23.780180922652015</v>
      </c>
      <c r="WF44" s="133">
        <f t="shared" si="451"/>
        <v>-18.848143566843035</v>
      </c>
      <c r="WG44" s="133">
        <f t="shared" si="452"/>
        <v>-9.8200589792869479</v>
      </c>
      <c r="WH44" s="134">
        <f t="shared" si="453"/>
        <v>1.3775370062549683</v>
      </c>
      <c r="WI44" s="133">
        <f t="shared" si="454"/>
        <v>13.724352069978892</v>
      </c>
      <c r="WJ44" s="133">
        <f t="shared" si="241"/>
        <v>25.745858440947792</v>
      </c>
      <c r="WK44" s="133">
        <f t="shared" si="242"/>
        <v>33.368987302459566</v>
      </c>
      <c r="WL44" s="133">
        <f t="shared" si="243"/>
        <v>40.229062997120231</v>
      </c>
      <c r="WM44" s="133">
        <f t="shared" si="244"/>
        <v>48.491014741882957</v>
      </c>
      <c r="WN44" s="81"/>
      <c r="WO44" s="81">
        <v>45</v>
      </c>
      <c r="WP44" s="133">
        <f t="shared" si="245"/>
        <v>-36.714417502163769</v>
      </c>
      <c r="WQ44" s="133">
        <f t="shared" si="246"/>
        <v>-32.239036740198067</v>
      </c>
      <c r="WR44" s="133">
        <f t="shared" si="247"/>
        <v>-28.135752012597003</v>
      </c>
      <c r="WS44" s="133">
        <f t="shared" si="455"/>
        <v>-23.130338260529875</v>
      </c>
      <c r="WT44" s="133">
        <f t="shared" si="456"/>
        <v>-14.167130168771216</v>
      </c>
      <c r="WU44" s="134">
        <f t="shared" si="457"/>
        <v>-3.3363517957033082</v>
      </c>
      <c r="WV44" s="133">
        <f t="shared" si="458"/>
        <v>8.3163829646830791</v>
      </c>
      <c r="WW44" s="133">
        <f t="shared" si="248"/>
        <v>19.426384618112003</v>
      </c>
      <c r="WX44" s="133">
        <f t="shared" si="249"/>
        <v>26.369213460524215</v>
      </c>
      <c r="WY44" s="133">
        <f t="shared" si="250"/>
        <v>32.556838302853826</v>
      </c>
      <c r="WZ44" s="133">
        <f t="shared" si="251"/>
        <v>39.939799952422128</v>
      </c>
      <c r="XA44" s="81"/>
      <c r="XB44" s="81">
        <v>42</v>
      </c>
      <c r="XC44" s="133">
        <f t="shared" si="252"/>
        <v>-41.772220686154803</v>
      </c>
      <c r="XD44" s="133">
        <f t="shared" si="253"/>
        <v>-36.926552249283866</v>
      </c>
      <c r="XE44" s="133">
        <f t="shared" si="254"/>
        <v>-32.50711897870616</v>
      </c>
      <c r="XF44" s="133">
        <f t="shared" si="459"/>
        <v>-27.155969707023189</v>
      </c>
      <c r="XG44" s="133">
        <f t="shared" si="460"/>
        <v>-17.690452646703498</v>
      </c>
      <c r="XH44" s="134">
        <f t="shared" si="461"/>
        <v>-6.4443198478786954</v>
      </c>
      <c r="XI44" s="133">
        <f t="shared" si="462"/>
        <v>5.4452360830922828</v>
      </c>
      <c r="XJ44" s="133">
        <f t="shared" si="255"/>
        <v>16.602691105404567</v>
      </c>
      <c r="XK44" s="133">
        <f t="shared" si="256"/>
        <v>23.496031372245859</v>
      </c>
      <c r="XL44" s="133">
        <f t="shared" si="257"/>
        <v>29.592435944308754</v>
      </c>
      <c r="XM44" s="133">
        <f t="shared" si="258"/>
        <v>36.812259805368761</v>
      </c>
      <c r="XN44" s="81"/>
      <c r="XO44" s="81">
        <v>42</v>
      </c>
      <c r="XP44" s="133">
        <f t="shared" si="259"/>
        <v>-35.030805487014447</v>
      </c>
      <c r="XQ44" s="133">
        <f t="shared" si="260"/>
        <v>-30.297653539341187</v>
      </c>
      <c r="XR44" s="133">
        <f t="shared" si="261"/>
        <v>-26.036603264123109</v>
      </c>
      <c r="XS44" s="133">
        <f t="shared" si="463"/>
        <v>-20.928822327432059</v>
      </c>
      <c r="XT44" s="133">
        <f t="shared" si="464"/>
        <v>-11.994394890026115</v>
      </c>
      <c r="XU44" s="134">
        <f t="shared" si="465"/>
        <v>-1.4989267296114974</v>
      </c>
      <c r="XV44" s="133">
        <f t="shared" si="466"/>
        <v>9.4949821376542474</v>
      </c>
      <c r="XW44" s="133">
        <f t="shared" si="262"/>
        <v>19.739050350528707</v>
      </c>
      <c r="XX44" s="133">
        <f t="shared" si="263"/>
        <v>26.03904794827347</v>
      </c>
      <c r="XY44" s="133">
        <f t="shared" si="264"/>
        <v>31.594571991987586</v>
      </c>
      <c r="XZ44" s="133">
        <f t="shared" si="265"/>
        <v>38.156134498216552</v>
      </c>
      <c r="YA44" s="81"/>
      <c r="YB44" s="81">
        <v>45</v>
      </c>
      <c r="YC44" s="133">
        <f t="shared" si="266"/>
        <v>-43.111648940923118</v>
      </c>
      <c r="YD44" s="133">
        <f t="shared" si="267"/>
        <v>-38.242685694433078</v>
      </c>
      <c r="YE44" s="133">
        <f t="shared" si="268"/>
        <v>-33.835998392416293</v>
      </c>
      <c r="YF44" s="133">
        <f t="shared" si="467"/>
        <v>-28.539634641729567</v>
      </c>
      <c r="YG44" s="133">
        <f t="shared" si="468"/>
        <v>-19.262368169953668</v>
      </c>
      <c r="YH44" s="134">
        <f t="shared" si="469"/>
        <v>-8.3662539622819097</v>
      </c>
      <c r="YI44" s="133">
        <f t="shared" si="470"/>
        <v>3.0311918394370423</v>
      </c>
      <c r="YJ44" s="133">
        <f t="shared" si="269"/>
        <v>13.631582156454037</v>
      </c>
      <c r="YK44" s="133">
        <f t="shared" si="270"/>
        <v>20.140594896175223</v>
      </c>
      <c r="YL44" s="133">
        <f t="shared" si="271"/>
        <v>25.873963772525322</v>
      </c>
      <c r="YM44" s="133">
        <f t="shared" si="272"/>
        <v>32.637811544580892</v>
      </c>
      <c r="YN44" s="81"/>
      <c r="YO44" s="81">
        <v>42</v>
      </c>
      <c r="YP44" s="133">
        <v>17.764085422521703</v>
      </c>
      <c r="YQ44" s="133">
        <v>19.915637035832507</v>
      </c>
      <c r="YR44" s="133">
        <v>21.973388848155249</v>
      </c>
      <c r="YS44" s="133">
        <v>24.611083096583492</v>
      </c>
      <c r="YT44" s="133">
        <v>29.734539926359247</v>
      </c>
      <c r="YU44" s="134">
        <v>36.711583800209318</v>
      </c>
      <c r="YV44" s="133">
        <v>45.32575208688661</v>
      </c>
      <c r="YW44" s="133">
        <v>54.761522677841207</v>
      </c>
      <c r="YX44" s="133">
        <v>61.335117420130672</v>
      </c>
      <c r="YY44" s="133">
        <v>67.672471771549041</v>
      </c>
      <c r="YZ44" s="133">
        <v>75.868830455582923</v>
      </c>
      <c r="ZA44" s="81"/>
      <c r="ZB44" s="81">
        <v>42</v>
      </c>
      <c r="ZC44" s="133">
        <v>14.330826913209636</v>
      </c>
      <c r="ZD44" s="133">
        <v>16.282317333293985</v>
      </c>
      <c r="ZE44" s="133">
        <v>18.171964259037459</v>
      </c>
      <c r="ZF44" s="133">
        <v>20.62435798442506</v>
      </c>
      <c r="ZG44" s="133">
        <v>25.473839527500942</v>
      </c>
      <c r="ZH44" s="134">
        <v>32.234278863319339</v>
      </c>
      <c r="ZI44" s="133">
        <v>40.788854491938849</v>
      </c>
      <c r="ZJ44" s="133">
        <v>50.379688648873184</v>
      </c>
      <c r="ZK44" s="133">
        <v>57.178669241630629</v>
      </c>
      <c r="ZL44" s="133">
        <v>63.814548787450271</v>
      </c>
      <c r="ZM44" s="133">
        <v>72.504450729251246</v>
      </c>
      <c r="ZN44" s="81"/>
      <c r="ZO44" s="81">
        <v>45</v>
      </c>
      <c r="ZP44" s="133">
        <v>21.183336715905831</v>
      </c>
      <c r="ZQ44" s="133">
        <v>23.333944291741481</v>
      </c>
      <c r="ZR44" s="133">
        <v>25.357420844695991</v>
      </c>
      <c r="ZS44" s="133">
        <v>27.909086161716171</v>
      </c>
      <c r="ZT44" s="133">
        <v>32.749856359419397</v>
      </c>
      <c r="ZU44" s="134">
        <v>39.141106154736626</v>
      </c>
      <c r="ZV44" s="133">
        <v>46.779630854036569</v>
      </c>
      <c r="ZW44" s="133">
        <v>54.893455921100461</v>
      </c>
      <c r="ZX44" s="133">
        <v>60.417271945731649</v>
      </c>
      <c r="ZY44" s="133">
        <v>65.656546182746652</v>
      </c>
      <c r="ZZ44" s="133">
        <v>72.322231929874221</v>
      </c>
      <c r="AAA44" s="81"/>
      <c r="AAB44" s="81">
        <v>42</v>
      </c>
      <c r="AAC44" s="133">
        <v>9.2884116040949127</v>
      </c>
      <c r="AAD44" s="133">
        <v>10.314064142212489</v>
      </c>
      <c r="AAE44" s="133">
        <v>11.286318039847044</v>
      </c>
      <c r="AAF44" s="133">
        <v>12.521547758451835</v>
      </c>
      <c r="AAG44" s="133">
        <v>14.890262390234032</v>
      </c>
      <c r="AAH44" s="134">
        <v>18.062131426530186</v>
      </c>
      <c r="AAI44" s="133">
        <v>21.909660361876401</v>
      </c>
      <c r="AAJ44" s="133">
        <v>26.054334333312958</v>
      </c>
      <c r="AAK44" s="133">
        <v>28.905847816571967</v>
      </c>
      <c r="AAL44" s="133">
        <v>31.630653753067222</v>
      </c>
      <c r="AAM44" s="133">
        <v>35.123399519183906</v>
      </c>
      <c r="AAN44" s="81"/>
      <c r="AAO44" s="81">
        <v>42</v>
      </c>
      <c r="AAP44" s="133">
        <v>8.3152189322740231</v>
      </c>
      <c r="AAQ44" s="133">
        <v>9.3435337012834179</v>
      </c>
      <c r="AAR44" s="133">
        <v>10.329091151288015</v>
      </c>
      <c r="AAS44" s="133">
        <v>11.595076512273371</v>
      </c>
      <c r="AAT44" s="133">
        <v>14.061618052232696</v>
      </c>
      <c r="AAU44" s="134">
        <v>17.433929916008783</v>
      </c>
      <c r="AAV44" s="133">
        <v>21.6150027107333</v>
      </c>
      <c r="AAW44" s="133">
        <v>26.213014808016485</v>
      </c>
      <c r="AAX44" s="133">
        <v>29.42581373951813</v>
      </c>
      <c r="AAY44" s="133">
        <v>32.529653344596689</v>
      </c>
      <c r="AAZ44" s="133">
        <v>36.552484641938925</v>
      </c>
      <c r="ABA44" s="81"/>
      <c r="ABB44" s="81">
        <v>45</v>
      </c>
      <c r="ABC44" s="133">
        <v>10.302471263212611</v>
      </c>
      <c r="ABD44" s="133">
        <v>11.309913333390407</v>
      </c>
      <c r="ABE44" s="133">
        <v>12.254816884465642</v>
      </c>
      <c r="ABF44" s="133">
        <v>13.442618005717938</v>
      </c>
      <c r="ABG44" s="133">
        <v>15.685784811289038</v>
      </c>
      <c r="ABH44" s="134">
        <v>18.629826040151961</v>
      </c>
      <c r="ABI44" s="133">
        <v>22.126429914844806</v>
      </c>
      <c r="ABJ44" s="133">
        <v>25.818662565483503</v>
      </c>
      <c r="ABK44" s="133">
        <v>28.321142743982978</v>
      </c>
      <c r="ABL44" s="133">
        <v>30.687274787655845</v>
      </c>
      <c r="ABM44" s="133">
        <v>33.688074387124999</v>
      </c>
      <c r="ABN44" s="81"/>
      <c r="ABO44" s="81">
        <v>42</v>
      </c>
      <c r="ABP44" s="133">
        <f t="shared" si="273"/>
        <v>0.23331570290805817</v>
      </c>
      <c r="ABQ44" s="133">
        <f t="shared" si="274"/>
        <v>0.26416351918297193</v>
      </c>
      <c r="ABR44" s="133">
        <f t="shared" si="275"/>
        <v>0.29298532124299642</v>
      </c>
      <c r="ABS44" s="133">
        <f t="shared" si="471"/>
        <v>0.32898599577699017</v>
      </c>
      <c r="ABT44" s="133">
        <f t="shared" si="472"/>
        <v>0.39607138473789605</v>
      </c>
      <c r="ABU44" s="134">
        <f t="shared" si="473"/>
        <v>0.482028442152792</v>
      </c>
      <c r="ABV44" s="133">
        <f t="shared" si="474"/>
        <v>0.58084491725648568</v>
      </c>
      <c r="ABW44" s="133">
        <f t="shared" si="276"/>
        <v>0.68138759839755159</v>
      </c>
      <c r="ABX44" s="133">
        <f t="shared" si="277"/>
        <v>0.74741714895150724</v>
      </c>
      <c r="ABY44" s="133">
        <f t="shared" si="278"/>
        <v>0.80836278849474652</v>
      </c>
      <c r="ABZ44" s="133">
        <f t="shared" si="279"/>
        <v>0.88369138294913741</v>
      </c>
      <c r="ACA44" s="81"/>
      <c r="ACB44" s="81">
        <v>42</v>
      </c>
      <c r="ACC44" s="133">
        <f t="shared" si="280"/>
        <v>0.26633550519899496</v>
      </c>
      <c r="ACD44" s="133">
        <f t="shared" si="281"/>
        <v>0.2963972128640841</v>
      </c>
      <c r="ACE44" s="133">
        <f t="shared" si="282"/>
        <v>0.32453887152490146</v>
      </c>
      <c r="ACF44" s="133">
        <f t="shared" si="475"/>
        <v>0.35980510547215683</v>
      </c>
      <c r="ACG44" s="133">
        <f t="shared" si="476"/>
        <v>0.42597316493831056</v>
      </c>
      <c r="ACH44" s="134">
        <f t="shared" si="477"/>
        <v>0.51179156880857823</v>
      </c>
      <c r="ACI44" s="133">
        <f t="shared" si="478"/>
        <v>0.6120587119674078</v>
      </c>
      <c r="ACJ44" s="133">
        <f t="shared" si="283"/>
        <v>0.7159369584814731</v>
      </c>
      <c r="ACK44" s="133">
        <f t="shared" si="284"/>
        <v>0.78519383428875233</v>
      </c>
      <c r="ACL44" s="133">
        <f t="shared" si="285"/>
        <v>0.84984860972178256</v>
      </c>
      <c r="ACM44" s="133">
        <f t="shared" si="286"/>
        <v>0.93072594638088024</v>
      </c>
      <c r="ACN44" s="81"/>
      <c r="ACO44" s="81">
        <v>45</v>
      </c>
      <c r="ACP44" s="133">
        <f t="shared" si="287"/>
        <v>0.22381811378575142</v>
      </c>
      <c r="ACQ44" s="133">
        <f t="shared" si="288"/>
        <v>0.25689423027823849</v>
      </c>
      <c r="ACR44" s="133">
        <f t="shared" si="289"/>
        <v>0.2872260424466403</v>
      </c>
      <c r="ACS44" s="133">
        <f t="shared" si="479"/>
        <v>0.32436823584056212</v>
      </c>
      <c r="ACT44" s="133">
        <f t="shared" si="480"/>
        <v>0.39158563818144404</v>
      </c>
      <c r="ACU44" s="134">
        <f t="shared" si="481"/>
        <v>0.47408597725269347</v>
      </c>
      <c r="ACV44" s="133">
        <f t="shared" si="482"/>
        <v>0.56474307591445672</v>
      </c>
      <c r="ACW44" s="133">
        <f t="shared" si="290"/>
        <v>0.65320300586380109</v>
      </c>
      <c r="ACX44" s="133">
        <f t="shared" si="291"/>
        <v>0.7093718144315625</v>
      </c>
      <c r="ACY44" s="133">
        <f t="shared" si="292"/>
        <v>0.76002804338290675</v>
      </c>
      <c r="ACZ44" s="133">
        <f t="shared" si="293"/>
        <v>0.8211963022453499</v>
      </c>
      <c r="ADA44" s="81"/>
      <c r="ADB44" s="81">
        <v>42</v>
      </c>
      <c r="ADC44" s="133">
        <f t="shared" si="294"/>
        <v>0.19011273426870226</v>
      </c>
      <c r="ADD44" s="133">
        <f t="shared" si="295"/>
        <v>0.21017310281751567</v>
      </c>
      <c r="ADE44" s="133">
        <f t="shared" si="296"/>
        <v>0.22777949124199035</v>
      </c>
      <c r="ADF44" s="133">
        <f t="shared" si="483"/>
        <v>0.24846475559956863</v>
      </c>
      <c r="ADG44" s="133">
        <f t="shared" si="484"/>
        <v>0.28384227579265076</v>
      </c>
      <c r="ADH44" s="134">
        <f t="shared" si="485"/>
        <v>0.32447583631843113</v>
      </c>
      <c r="ADI44" s="133">
        <f t="shared" si="486"/>
        <v>0.36628975039054867</v>
      </c>
      <c r="ADJ44" s="133">
        <f t="shared" si="297"/>
        <v>0.40474638604711988</v>
      </c>
      <c r="ADK44" s="133">
        <f t="shared" si="298"/>
        <v>0.42820545062512855</v>
      </c>
      <c r="ADL44" s="133">
        <f t="shared" si="299"/>
        <v>0.44879016608624328</v>
      </c>
      <c r="ADM44" s="133">
        <f t="shared" si="300"/>
        <v>0.47299396708712871</v>
      </c>
      <c r="ADN44" s="81"/>
      <c r="ADO44" s="81">
        <v>42</v>
      </c>
      <c r="ADP44" s="133">
        <f t="shared" si="301"/>
        <v>0.21149654154072572</v>
      </c>
      <c r="ADQ44" s="133">
        <f t="shared" si="302"/>
        <v>0.22980764358801667</v>
      </c>
      <c r="ADR44" s="133">
        <f t="shared" si="303"/>
        <v>0.24602904925762373</v>
      </c>
      <c r="ADS44" s="133">
        <f t="shared" si="487"/>
        <v>0.26526526250889992</v>
      </c>
      <c r="ADT44" s="133">
        <f t="shared" si="488"/>
        <v>0.29860346183695097</v>
      </c>
      <c r="ADU44" s="134">
        <f t="shared" si="489"/>
        <v>0.33756039840340613</v>
      </c>
      <c r="ADV44" s="133">
        <f t="shared" si="490"/>
        <v>0.37836544511648623</v>
      </c>
      <c r="ADW44" s="133">
        <f t="shared" si="304"/>
        <v>0.4165110968987118</v>
      </c>
      <c r="ADX44" s="133">
        <f t="shared" si="305"/>
        <v>0.44006105322630756</v>
      </c>
      <c r="ADY44" s="133">
        <f t="shared" si="306"/>
        <v>0.46089606676084621</v>
      </c>
      <c r="ADZ44" s="133">
        <f t="shared" si="307"/>
        <v>0.48559372393770989</v>
      </c>
      <c r="AEA44" s="81"/>
      <c r="AEB44" s="81">
        <v>45</v>
      </c>
      <c r="AEC44" s="133">
        <f t="shared" si="308"/>
        <v>0.18411883476770441</v>
      </c>
      <c r="AED44" s="133">
        <f t="shared" si="309"/>
        <v>0.2058625354491804</v>
      </c>
      <c r="AEE44" s="133">
        <f t="shared" si="310"/>
        <v>0.2244896036366911</v>
      </c>
      <c r="AEF44" s="133">
        <f t="shared" si="491"/>
        <v>0.24588920593591079</v>
      </c>
      <c r="AEG44" s="133">
        <f t="shared" si="492"/>
        <v>0.28142530949646705</v>
      </c>
      <c r="AEH44" s="134">
        <f t="shared" si="493"/>
        <v>0.32082350151390604</v>
      </c>
      <c r="AEI44" s="133">
        <f t="shared" si="494"/>
        <v>0.36002859866073023</v>
      </c>
      <c r="AEJ44" s="133">
        <f t="shared" si="311"/>
        <v>0.39505746508555373</v>
      </c>
      <c r="AEK44" s="133">
        <f t="shared" si="312"/>
        <v>0.41599558767382311</v>
      </c>
      <c r="AEL44" s="133">
        <f t="shared" si="313"/>
        <v>0.43412210433697257</v>
      </c>
      <c r="AEM44" s="133">
        <f t="shared" si="314"/>
        <v>0.45516020538428154</v>
      </c>
      <c r="AEN44" s="81"/>
    </row>
    <row r="45" spans="1:820">
      <c r="A45" s="81"/>
      <c r="B45" s="81">
        <v>44</v>
      </c>
      <c r="C45" s="133">
        <f t="shared" si="0"/>
        <v>1.9742561443735771</v>
      </c>
      <c r="D45" s="133">
        <f t="shared" si="1"/>
        <v>2.3672727051841673</v>
      </c>
      <c r="E45" s="133">
        <f t="shared" si="2"/>
        <v>2.7811967515385025</v>
      </c>
      <c r="F45" s="133">
        <f t="shared" si="315"/>
        <v>3.3696188186722877</v>
      </c>
      <c r="G45" s="133">
        <f t="shared" si="316"/>
        <v>4.7154861983920178</v>
      </c>
      <c r="H45" s="134">
        <f t="shared" si="317"/>
        <v>7.0403528160286379</v>
      </c>
      <c r="I45" s="133">
        <f t="shared" si="318"/>
        <v>10.852480629553666</v>
      </c>
      <c r="J45" s="133">
        <f t="shared" si="3"/>
        <v>16.515986315546229</v>
      </c>
      <c r="K45" s="133">
        <f t="shared" si="4"/>
        <v>21.596990005346495</v>
      </c>
      <c r="L45" s="133">
        <f t="shared" si="5"/>
        <v>27.561675902368517</v>
      </c>
      <c r="M45" s="133">
        <f t="shared" si="6"/>
        <v>37.131427700188674</v>
      </c>
      <c r="N45" s="81"/>
      <c r="O45" s="75">
        <v>44</v>
      </c>
      <c r="P45" s="151">
        <f t="shared" si="7"/>
        <v>2.6768145332359086</v>
      </c>
      <c r="Q45" s="151">
        <f t="shared" si="8"/>
        <v>3.0535619235246863</v>
      </c>
      <c r="R45" s="151">
        <f t="shared" si="9"/>
        <v>3.4398742945089182</v>
      </c>
      <c r="S45" s="151">
        <f t="shared" si="319"/>
        <v>3.9760002005809794</v>
      </c>
      <c r="T45" s="151">
        <f t="shared" si="320"/>
        <v>5.1678924324545257</v>
      </c>
      <c r="U45" s="134">
        <f t="shared" si="321"/>
        <v>7.1820759845374891</v>
      </c>
      <c r="V45" s="151">
        <f t="shared" si="322"/>
        <v>10.497525980473082</v>
      </c>
      <c r="W45" s="151">
        <f t="shared" si="10"/>
        <v>15.633428121564069</v>
      </c>
      <c r="X45" s="151">
        <f t="shared" si="11"/>
        <v>20.551221429732355</v>
      </c>
      <c r="Y45" s="151">
        <f t="shared" si="12"/>
        <v>26.770883942508576</v>
      </c>
      <c r="Z45" s="151">
        <f t="shared" si="13"/>
        <v>37.900358976577408</v>
      </c>
      <c r="AA45" s="81"/>
      <c r="AB45" s="75">
        <v>46</v>
      </c>
      <c r="AC45" s="151">
        <f t="shared" si="14"/>
        <v>1.6934368068380974</v>
      </c>
      <c r="AD45" s="151">
        <f t="shared" si="15"/>
        <v>2.0460318958298411</v>
      </c>
      <c r="AE45" s="151">
        <f t="shared" si="16"/>
        <v>2.4236444587678725</v>
      </c>
      <c r="AF45" s="151">
        <f t="shared" si="323"/>
        <v>2.9710298241601212</v>
      </c>
      <c r="AG45" s="151">
        <f t="shared" si="324"/>
        <v>4.2667768473965682</v>
      </c>
      <c r="AH45" s="134">
        <f t="shared" si="325"/>
        <v>6.6352126271583334</v>
      </c>
      <c r="AI45" s="151">
        <f t="shared" si="326"/>
        <v>10.833837046511142</v>
      </c>
      <c r="AJ45" s="151">
        <f t="shared" si="17"/>
        <v>17.706035625868981</v>
      </c>
      <c r="AK45" s="151">
        <f t="shared" si="18"/>
        <v>24.451993821358361</v>
      </c>
      <c r="AL45" s="151">
        <f t="shared" si="19"/>
        <v>33.017529827414599</v>
      </c>
      <c r="AM45" s="151">
        <f t="shared" si="20"/>
        <v>48.126481892795375</v>
      </c>
      <c r="AN45" s="81"/>
      <c r="AO45" s="81">
        <v>44</v>
      </c>
      <c r="AP45" s="133">
        <f t="shared" si="21"/>
        <v>1.2716113490636358</v>
      </c>
      <c r="AQ45" s="133">
        <f t="shared" si="22"/>
        <v>3.4745264398696944</v>
      </c>
      <c r="AR45" s="133">
        <f t="shared" si="23"/>
        <v>5.5884369684671844</v>
      </c>
      <c r="AS45" s="133">
        <f t="shared" si="327"/>
        <v>8.2798948694675438</v>
      </c>
      <c r="AT45" s="133">
        <f t="shared" si="328"/>
        <v>13.382603991541085</v>
      </c>
      <c r="AU45" s="134">
        <f t="shared" si="329"/>
        <v>19.984828944786781</v>
      </c>
      <c r="AV45" s="133">
        <f t="shared" si="330"/>
        <v>27.564561526588495</v>
      </c>
      <c r="AW45" s="133">
        <f t="shared" si="24"/>
        <v>35.2070036986009</v>
      </c>
      <c r="AX45" s="133">
        <f t="shared" si="25"/>
        <v>40.173601894332307</v>
      </c>
      <c r="AY45" s="133">
        <f t="shared" si="26"/>
        <v>44.716812669202042</v>
      </c>
      <c r="AZ45" s="133">
        <f t="shared" si="27"/>
        <v>50.275669969264214</v>
      </c>
      <c r="BA45" s="81"/>
      <c r="BB45" s="81">
        <v>44</v>
      </c>
      <c r="BC45" s="133">
        <f t="shared" si="28"/>
        <v>4.1862099750585609</v>
      </c>
      <c r="BD45" s="133">
        <f t="shared" si="29"/>
        <v>6.6732473439830597</v>
      </c>
      <c r="BE45" s="133">
        <f t="shared" si="30"/>
        <v>8.9745280088468746</v>
      </c>
      <c r="BF45" s="133">
        <f t="shared" si="331"/>
        <v>11.808525707621861</v>
      </c>
      <c r="BG45" s="133">
        <f t="shared" si="332"/>
        <v>16.953065636504963</v>
      </c>
      <c r="BH45" s="134">
        <f t="shared" si="333"/>
        <v>23.278925357367893</v>
      </c>
      <c r="BI45" s="133">
        <f t="shared" si="334"/>
        <v>30.204571161407056</v>
      </c>
      <c r="BJ45" s="133">
        <f t="shared" si="31"/>
        <v>36.911178505986243</v>
      </c>
      <c r="BK45" s="133">
        <f t="shared" si="32"/>
        <v>41.149185858825035</v>
      </c>
      <c r="BL45" s="133">
        <f t="shared" si="33"/>
        <v>44.9546570376801</v>
      </c>
      <c r="BM45" s="133">
        <f t="shared" si="34"/>
        <v>49.528560454690179</v>
      </c>
      <c r="BN45" s="81"/>
      <c r="BO45" s="75">
        <v>46</v>
      </c>
      <c r="BP45" s="151">
        <f t="shared" si="35"/>
        <v>3.7032289460227448</v>
      </c>
      <c r="BQ45" s="151">
        <f t="shared" si="36"/>
        <v>4.77603241579612</v>
      </c>
      <c r="BR45" s="151">
        <f t="shared" si="37"/>
        <v>5.9002969979767483</v>
      </c>
      <c r="BS45" s="151">
        <f t="shared" si="335"/>
        <v>7.4692121188995335</v>
      </c>
      <c r="BT45" s="151">
        <f t="shared" si="336"/>
        <v>10.877398130273088</v>
      </c>
      <c r="BU45" s="134">
        <f t="shared" si="337"/>
        <v>16.157764520473513</v>
      </c>
      <c r="BV45" s="151">
        <f t="shared" si="338"/>
        <v>23.48156695989843</v>
      </c>
      <c r="BW45" s="151">
        <f t="shared" si="38"/>
        <v>32.293219130533714</v>
      </c>
      <c r="BX45" s="151">
        <f t="shared" si="39"/>
        <v>38.818834706980361</v>
      </c>
      <c r="BY45" s="151">
        <f t="shared" si="40"/>
        <v>45.357617627242419</v>
      </c>
      <c r="BZ45" s="151">
        <f t="shared" si="41"/>
        <v>54.118925186911802</v>
      </c>
      <c r="CA45" s="81"/>
      <c r="CB45" s="81">
        <v>44</v>
      </c>
      <c r="CC45" s="133">
        <f t="shared" si="42"/>
        <v>-5.6742508819219513</v>
      </c>
      <c r="CD45" s="133">
        <f t="shared" si="43"/>
        <v>-3.5867942696815009</v>
      </c>
      <c r="CE45" s="133">
        <f t="shared" si="44"/>
        <v>-1.4022133871325844</v>
      </c>
      <c r="CF45" s="133">
        <f t="shared" si="339"/>
        <v>1.4680613755433365</v>
      </c>
      <c r="CG45" s="133">
        <f t="shared" si="340"/>
        <v>6.9448804009814245</v>
      </c>
      <c r="CH45" s="134">
        <f t="shared" si="341"/>
        <v>13.894281120559921</v>
      </c>
      <c r="CI45" s="133">
        <f t="shared" si="342"/>
        <v>21.59885512513463</v>
      </c>
      <c r="CJ45" s="133">
        <f t="shared" si="45"/>
        <v>29.076124117523964</v>
      </c>
      <c r="CK45" s="133">
        <f t="shared" si="46"/>
        <v>33.792314775134635</v>
      </c>
      <c r="CL45" s="133">
        <f t="shared" si="47"/>
        <v>38.016343076411417</v>
      </c>
      <c r="CM45" s="133">
        <f t="shared" si="48"/>
        <v>43.076608863053728</v>
      </c>
      <c r="CN45" s="81"/>
      <c r="CO45" s="81">
        <v>44</v>
      </c>
      <c r="CP45" s="133">
        <f t="shared" si="49"/>
        <v>-6.6942866526254363E-2</v>
      </c>
      <c r="CQ45" s="133">
        <f t="shared" si="50"/>
        <v>2.2954451232994968</v>
      </c>
      <c r="CR45" s="133">
        <f t="shared" si="51"/>
        <v>4.5083311028082287</v>
      </c>
      <c r="CS45" s="133">
        <f t="shared" si="343"/>
        <v>7.2469845566578988</v>
      </c>
      <c r="CT45" s="133">
        <f t="shared" si="344"/>
        <v>12.217755949205046</v>
      </c>
      <c r="CU45" s="134">
        <f t="shared" si="345"/>
        <v>18.288616849163628</v>
      </c>
      <c r="CV45" s="133">
        <f t="shared" si="346"/>
        <v>24.86054522793134</v>
      </c>
      <c r="CW45" s="133">
        <f t="shared" si="52"/>
        <v>31.145692093369842</v>
      </c>
      <c r="CX45" s="133">
        <f t="shared" si="53"/>
        <v>35.078156945678288</v>
      </c>
      <c r="CY45" s="133">
        <f t="shared" si="54"/>
        <v>38.584360992850677</v>
      </c>
      <c r="CZ45" s="133">
        <f t="shared" si="55"/>
        <v>42.7685844387901</v>
      </c>
      <c r="DA45" s="81"/>
      <c r="DB45" s="81">
        <v>46</v>
      </c>
      <c r="DC45" s="133">
        <f t="shared" si="56"/>
        <v>-5.8993793048160192</v>
      </c>
      <c r="DD45" s="133">
        <f t="shared" si="57"/>
        <v>-4.4469999390334225</v>
      </c>
      <c r="DE45" s="133">
        <f t="shared" si="58"/>
        <v>-2.846365422050865</v>
      </c>
      <c r="DF45" s="133">
        <f t="shared" si="347"/>
        <v>-0.64292082973586862</v>
      </c>
      <c r="DG45" s="133">
        <f t="shared" si="348"/>
        <v>3.8015104816916052</v>
      </c>
      <c r="DH45" s="134">
        <f t="shared" si="349"/>
        <v>9.7794961277944914</v>
      </c>
      <c r="DI45" s="133">
        <f t="shared" si="350"/>
        <v>16.741792408658945</v>
      </c>
      <c r="DJ45" s="133">
        <f t="shared" si="59"/>
        <v>23.766614074908667</v>
      </c>
      <c r="DK45" s="133">
        <f t="shared" si="60"/>
        <v>28.31269064829041</v>
      </c>
      <c r="DL45" s="133">
        <f t="shared" si="61"/>
        <v>32.451923044186877</v>
      </c>
      <c r="DM45" s="133">
        <f t="shared" si="62"/>
        <v>37.487844769422885</v>
      </c>
      <c r="DN45" s="81"/>
      <c r="DO45" s="81">
        <v>44</v>
      </c>
      <c r="DP45" s="133">
        <v>12.91438452176344</v>
      </c>
      <c r="DQ45" s="133">
        <v>14.12766749472336</v>
      </c>
      <c r="DR45" s="133">
        <v>15.261941148035705</v>
      </c>
      <c r="DS45" s="133">
        <v>16.683166644013738</v>
      </c>
      <c r="DT45" s="133">
        <v>19.354624136108413</v>
      </c>
      <c r="DU45" s="134">
        <v>22.839301662145626</v>
      </c>
      <c r="DV45" s="133">
        <v>26.951373312453875</v>
      </c>
      <c r="DW45" s="133">
        <v>31.267067670373031</v>
      </c>
      <c r="DX45" s="133">
        <v>34.178725717444209</v>
      </c>
      <c r="DY45" s="133">
        <v>36.9228466489119</v>
      </c>
      <c r="DZ45" s="133">
        <v>40.39168103872283</v>
      </c>
      <c r="EA45" s="81"/>
      <c r="EB45" s="81">
        <v>44</v>
      </c>
      <c r="EC45" s="133">
        <v>12.733226962035705</v>
      </c>
      <c r="ED45" s="133">
        <v>13.680516051435692</v>
      </c>
      <c r="EE45" s="133">
        <v>14.551414122114577</v>
      </c>
      <c r="EF45" s="133">
        <v>15.6245331828282</v>
      </c>
      <c r="EG45" s="133">
        <v>17.593684630797526</v>
      </c>
      <c r="EH45" s="134">
        <v>20.082310790814599</v>
      </c>
      <c r="EI45" s="133">
        <v>22.922953046054847</v>
      </c>
      <c r="EJ45" s="133">
        <v>25.811920393378895</v>
      </c>
      <c r="EK45" s="133">
        <v>27.715464855470827</v>
      </c>
      <c r="EL45" s="133">
        <v>29.479824093079042</v>
      </c>
      <c r="EM45" s="133">
        <v>31.672977156639924</v>
      </c>
      <c r="EN45" s="81"/>
      <c r="EO45" s="81">
        <v>46</v>
      </c>
      <c r="EP45" s="133">
        <v>15.20188090164863</v>
      </c>
      <c r="EQ45" s="133">
        <v>16.284485520629239</v>
      </c>
      <c r="ER45" s="133">
        <v>17.277051585509213</v>
      </c>
      <c r="ES45" s="133">
        <v>18.496732908948186</v>
      </c>
      <c r="ET45" s="133">
        <v>20.725996738753047</v>
      </c>
      <c r="EU45" s="134">
        <v>23.52875513626163</v>
      </c>
      <c r="EV45" s="133">
        <v>26.710528098609799</v>
      </c>
      <c r="EW45" s="133">
        <v>29.929735212554274</v>
      </c>
      <c r="EX45" s="133">
        <v>32.042638497790968</v>
      </c>
      <c r="EY45" s="133">
        <v>33.995689796945257</v>
      </c>
      <c r="EZ45" s="133">
        <v>36.416698817981157</v>
      </c>
      <c r="FA45" s="81"/>
      <c r="FB45" s="81">
        <v>44</v>
      </c>
      <c r="FC45" s="133">
        <v>8.225232958038287</v>
      </c>
      <c r="FD45" s="133">
        <v>9.0385953636971959</v>
      </c>
      <c r="FE45" s="133">
        <v>9.8021762553127818</v>
      </c>
      <c r="FF45" s="133">
        <v>10.762935878384967</v>
      </c>
      <c r="FG45" s="133">
        <v>12.57976388058103</v>
      </c>
      <c r="FH45" s="134">
        <v>14.968449203293551</v>
      </c>
      <c r="FI45" s="133">
        <v>17.810705644280407</v>
      </c>
      <c r="FJ45" s="133">
        <v>20.817226273877967</v>
      </c>
      <c r="FK45" s="133">
        <v>22.857625257466857</v>
      </c>
      <c r="FL45" s="133">
        <v>24.788638337708583</v>
      </c>
      <c r="FM45" s="133">
        <v>27.239893714209916</v>
      </c>
      <c r="FN45" s="81"/>
      <c r="FO45" s="81">
        <v>44</v>
      </c>
      <c r="FP45" s="133">
        <v>8.1298656490883499</v>
      </c>
      <c r="FQ45" s="133">
        <v>8.8061230752261395</v>
      </c>
      <c r="FR45" s="133">
        <v>9.4325650986628382</v>
      </c>
      <c r="FS45" s="133">
        <v>10.210318448606186</v>
      </c>
      <c r="FT45" s="133">
        <v>11.653070679466303</v>
      </c>
      <c r="FU45" s="134">
        <v>13.502653169230397</v>
      </c>
      <c r="FV45" s="133">
        <v>15.645802520514508</v>
      </c>
      <c r="FW45" s="133">
        <v>17.856606875314107</v>
      </c>
      <c r="FX45" s="133">
        <v>19.32895672613736</v>
      </c>
      <c r="FY45" s="133">
        <v>20.703962578202511</v>
      </c>
      <c r="FZ45" s="133">
        <v>22.426156898296654</v>
      </c>
      <c r="GA45" s="81"/>
      <c r="GB45" s="81">
        <v>46</v>
      </c>
      <c r="GC45" s="133">
        <v>9.7035024911447287</v>
      </c>
      <c r="GD45" s="133">
        <v>10.467318465155273</v>
      </c>
      <c r="GE45" s="133">
        <v>11.172160344517671</v>
      </c>
      <c r="GF45" s="133">
        <v>12.0439034439531</v>
      </c>
      <c r="GG45" s="133">
        <v>13.652118588912254</v>
      </c>
      <c r="GH45" s="134">
        <v>15.698940273987922</v>
      </c>
      <c r="GI45" s="133">
        <v>18.052635869014718</v>
      </c>
      <c r="GJ45" s="133">
        <v>20.46319342172897</v>
      </c>
      <c r="GK45" s="133">
        <v>22.059898723811248</v>
      </c>
      <c r="GL45" s="133">
        <v>23.54535467194119</v>
      </c>
      <c r="GM45" s="133">
        <v>25.39873885240436</v>
      </c>
      <c r="GN45" s="81"/>
      <c r="GO45" s="81">
        <v>44</v>
      </c>
      <c r="GP45" s="133">
        <f t="shared" si="63"/>
        <v>0.46614281612203495</v>
      </c>
      <c r="GQ45" s="133">
        <f t="shared" si="64"/>
        <v>0.50062039799868219</v>
      </c>
      <c r="GR45" s="133">
        <f t="shared" si="65"/>
        <v>0.52837568792668932</v>
      </c>
      <c r="GS45" s="133">
        <f t="shared" si="351"/>
        <v>0.55857028772055339</v>
      </c>
      <c r="GT45" s="133">
        <f t="shared" si="352"/>
        <v>0.60673118743376853</v>
      </c>
      <c r="GU45" s="134">
        <f t="shared" si="353"/>
        <v>0.65346203118626545</v>
      </c>
      <c r="GV45" s="133">
        <f t="shared" si="354"/>
        <v>0.69689243868071893</v>
      </c>
      <c r="GW45" s="133">
        <f t="shared" si="66"/>
        <v>0.73558873777658529</v>
      </c>
      <c r="GX45" s="133">
        <f t="shared" si="67"/>
        <v>0.75716052990954874</v>
      </c>
      <c r="GY45" s="133">
        <f t="shared" si="68"/>
        <v>0.77535658990661549</v>
      </c>
      <c r="GZ45" s="133">
        <f t="shared" si="69"/>
        <v>0.79596011988200277</v>
      </c>
      <c r="HA45" s="81"/>
      <c r="HB45" s="81">
        <v>44</v>
      </c>
      <c r="HC45" s="133">
        <f t="shared" si="70"/>
        <v>0.44852113562657192</v>
      </c>
      <c r="HD45" s="133">
        <f t="shared" si="71"/>
        <v>0.48614481544218513</v>
      </c>
      <c r="HE45" s="133">
        <f t="shared" si="72"/>
        <v>0.51623320912250259</v>
      </c>
      <c r="HF45" s="133">
        <f t="shared" si="355"/>
        <v>0.5488032458920441</v>
      </c>
      <c r="HG45" s="133">
        <f t="shared" si="356"/>
        <v>0.5990640125102551</v>
      </c>
      <c r="HH45" s="134">
        <f t="shared" si="357"/>
        <v>0.65035671162705688</v>
      </c>
      <c r="HI45" s="133">
        <f t="shared" si="358"/>
        <v>0.69775040799242105</v>
      </c>
      <c r="HJ45" s="133">
        <f t="shared" si="73"/>
        <v>0.73758749537299662</v>
      </c>
      <c r="HK45" s="133">
        <f t="shared" si="74"/>
        <v>0.76042990343044337</v>
      </c>
      <c r="HL45" s="133">
        <f t="shared" si="75"/>
        <v>0.77967944647059617</v>
      </c>
      <c r="HM45" s="133">
        <f t="shared" si="76"/>
        <v>0.80145754597268271</v>
      </c>
      <c r="HN45" s="81"/>
      <c r="HO45" s="81">
        <v>46</v>
      </c>
      <c r="HP45" s="83">
        <f t="shared" si="77"/>
        <v>0.48522672176419662</v>
      </c>
      <c r="HQ45" s="83">
        <f t="shared" si="78"/>
        <v>0.51690860827460439</v>
      </c>
      <c r="HR45" s="83">
        <f t="shared" si="79"/>
        <v>0.54256769752381295</v>
      </c>
      <c r="HS45" s="83">
        <f t="shared" si="359"/>
        <v>0.57061262523739475</v>
      </c>
      <c r="HT45" s="83">
        <f t="shared" si="360"/>
        <v>0.61434311480558901</v>
      </c>
      <c r="HU45" s="84">
        <f t="shared" si="361"/>
        <v>0.65942491154797078</v>
      </c>
      <c r="HV45" s="83">
        <f t="shared" si="362"/>
        <v>0.70140024507278753</v>
      </c>
      <c r="HW45" s="83">
        <f t="shared" si="80"/>
        <v>0.73687488721827177</v>
      </c>
      <c r="HX45" s="83">
        <f t="shared" si="81"/>
        <v>0.75728285337589518</v>
      </c>
      <c r="HY45" s="83">
        <f t="shared" si="82"/>
        <v>0.77451443974417022</v>
      </c>
      <c r="HZ45" s="83">
        <f t="shared" si="83"/>
        <v>0.79404327116939144</v>
      </c>
      <c r="IA45" s="81"/>
      <c r="IB45" s="81">
        <v>44</v>
      </c>
      <c r="IC45" s="83">
        <f t="shared" si="84"/>
        <v>0.31920875092867618</v>
      </c>
      <c r="ID45" s="83">
        <f t="shared" si="85"/>
        <v>0.33431283795355177</v>
      </c>
      <c r="IE45" s="83">
        <f t="shared" si="86"/>
        <v>0.34601140052005003</v>
      </c>
      <c r="IF45" s="83">
        <f t="shared" si="363"/>
        <v>0.35833130401195901</v>
      </c>
      <c r="IG45" s="83">
        <f t="shared" si="364"/>
        <v>0.37671318727066017</v>
      </c>
      <c r="IH45" s="84">
        <f t="shared" si="365"/>
        <v>0.39477174066207138</v>
      </c>
      <c r="II45" s="83">
        <f t="shared" si="366"/>
        <v>0.41089972208222469</v>
      </c>
      <c r="IJ45" s="83">
        <f t="shared" si="87"/>
        <v>0.42408245435343628</v>
      </c>
      <c r="IK45" s="83">
        <f t="shared" si="88"/>
        <v>0.43149883238928566</v>
      </c>
      <c r="IL45" s="83">
        <f t="shared" si="89"/>
        <v>0.43767232383538485</v>
      </c>
      <c r="IM45" s="83">
        <f t="shared" si="90"/>
        <v>0.4445759100287045</v>
      </c>
      <c r="IN45" s="81"/>
      <c r="IO45" s="81">
        <v>44</v>
      </c>
      <c r="IP45" s="133">
        <f t="shared" si="91"/>
        <v>0.31078091598567703</v>
      </c>
      <c r="IQ45" s="133">
        <f t="shared" si="92"/>
        <v>0.32770797594328022</v>
      </c>
      <c r="IR45" s="133">
        <f t="shared" si="93"/>
        <v>0.34065486306705367</v>
      </c>
      <c r="IS45" s="133">
        <f t="shared" si="367"/>
        <v>0.35416441856116032</v>
      </c>
      <c r="IT45" s="133">
        <f t="shared" si="368"/>
        <v>0.37412888018720791</v>
      </c>
      <c r="IU45" s="134">
        <f t="shared" si="369"/>
        <v>0.39356456396621609</v>
      </c>
      <c r="IV45" s="133">
        <f t="shared" si="370"/>
        <v>0.41080561459557313</v>
      </c>
      <c r="IW45" s="133">
        <f t="shared" si="94"/>
        <v>0.42483168999992033</v>
      </c>
      <c r="IX45" s="133">
        <f t="shared" si="95"/>
        <v>0.43270005541280482</v>
      </c>
      <c r="IY45" s="133">
        <f t="shared" si="96"/>
        <v>0.43923875035152021</v>
      </c>
      <c r="IZ45" s="133">
        <f t="shared" si="97"/>
        <v>0.4465398007766006</v>
      </c>
      <c r="JA45" s="81"/>
      <c r="JB45" s="81">
        <v>46</v>
      </c>
      <c r="JC45" s="133">
        <f t="shared" si="98"/>
        <v>0.32806419467308484</v>
      </c>
      <c r="JD45" s="133">
        <f t="shared" si="99"/>
        <v>0.34155736426217065</v>
      </c>
      <c r="JE45" s="133">
        <f t="shared" si="100"/>
        <v>0.35212708406793453</v>
      </c>
      <c r="JF45" s="133">
        <f t="shared" si="371"/>
        <v>0.36335395621580979</v>
      </c>
      <c r="JG45" s="133">
        <f t="shared" si="372"/>
        <v>0.38025953529868001</v>
      </c>
      <c r="JH45" s="134">
        <f t="shared" si="373"/>
        <v>0.39701695202988263</v>
      </c>
      <c r="JI45" s="133">
        <f t="shared" si="374"/>
        <v>0.41208513048725393</v>
      </c>
      <c r="JJ45" s="133">
        <f t="shared" si="101"/>
        <v>0.42446156567770693</v>
      </c>
      <c r="JK45" s="133">
        <f t="shared" si="102"/>
        <v>0.4314450278535123</v>
      </c>
      <c r="JL45" s="133">
        <f t="shared" si="103"/>
        <v>0.43726845999231628</v>
      </c>
      <c r="JM45" s="133">
        <f t="shared" si="104"/>
        <v>0.44379088990382104</v>
      </c>
      <c r="JN45" s="81"/>
      <c r="JO45" s="81">
        <v>43</v>
      </c>
      <c r="JP45" s="133">
        <f t="shared" si="105"/>
        <v>-4.4020837051084385</v>
      </c>
      <c r="JQ45" s="133">
        <f t="shared" si="106"/>
        <v>-2.9520209579725787</v>
      </c>
      <c r="JR45" s="133">
        <f t="shared" si="107"/>
        <v>-1.6881995417818096</v>
      </c>
      <c r="JS45" s="133">
        <f t="shared" si="375"/>
        <v>-0.21284582689506237</v>
      </c>
      <c r="JT45" s="133">
        <f t="shared" si="376"/>
        <v>2.2894524902929341</v>
      </c>
      <c r="JU45" s="134">
        <f t="shared" si="377"/>
        <v>5.1352653084736808</v>
      </c>
      <c r="JV45" s="133">
        <f t="shared" si="378"/>
        <v>8.036765597572284</v>
      </c>
      <c r="JW45" s="133">
        <f t="shared" si="108"/>
        <v>10.684321210261967</v>
      </c>
      <c r="JX45" s="133">
        <f t="shared" si="109"/>
        <v>12.290513592154827</v>
      </c>
      <c r="JY45" s="133">
        <f t="shared" si="110"/>
        <v>13.694802700533192</v>
      </c>
      <c r="JZ45" s="133">
        <f t="shared" si="111"/>
        <v>15.340247168546885</v>
      </c>
      <c r="KA45" s="81"/>
      <c r="KB45" s="81">
        <v>43</v>
      </c>
      <c r="KC45" s="133">
        <f t="shared" si="112"/>
        <v>-2.7701238795027976</v>
      </c>
      <c r="KD45" s="133">
        <f t="shared" si="113"/>
        <v>-1.4960446795490974</v>
      </c>
      <c r="KE45" s="133">
        <f t="shared" si="114"/>
        <v>-0.35923998019681136</v>
      </c>
      <c r="KF45" s="133">
        <f t="shared" si="379"/>
        <v>0.9966027545528231</v>
      </c>
      <c r="KG45" s="133">
        <f t="shared" si="380"/>
        <v>3.3611789219584498</v>
      </c>
      <c r="KH45" s="134">
        <f t="shared" si="381"/>
        <v>6.1401853870565386</v>
      </c>
      <c r="KI45" s="133">
        <f t="shared" si="382"/>
        <v>9.0618546618260698</v>
      </c>
      <c r="KJ45" s="133">
        <f t="shared" si="115"/>
        <v>11.798321124724376</v>
      </c>
      <c r="KK45" s="133">
        <f t="shared" si="116"/>
        <v>13.488849180554295</v>
      </c>
      <c r="KL45" s="133">
        <f t="shared" si="117"/>
        <v>14.984668318933663</v>
      </c>
      <c r="KM45" s="133">
        <f t="shared" si="118"/>
        <v>16.757603247439732</v>
      </c>
      <c r="KN45" s="81"/>
      <c r="KO45" s="81">
        <v>45</v>
      </c>
      <c r="KP45" s="133">
        <f t="shared" si="119"/>
        <v>-4.7686610886867413</v>
      </c>
      <c r="KQ45" s="133">
        <f t="shared" si="120"/>
        <v>-3.2964850379247466</v>
      </c>
      <c r="KR45" s="133">
        <f t="shared" si="121"/>
        <v>-2.0362118206306334</v>
      </c>
      <c r="KS45" s="133">
        <f t="shared" si="383"/>
        <v>-0.58939016656480803</v>
      </c>
      <c r="KT45" s="133">
        <f t="shared" si="384"/>
        <v>1.8107424444465003</v>
      </c>
      <c r="KU45" s="134">
        <f t="shared" si="385"/>
        <v>4.4682043172627068</v>
      </c>
      <c r="KV45" s="133">
        <f t="shared" si="386"/>
        <v>7.1091003900689955</v>
      </c>
      <c r="KW45" s="133">
        <f t="shared" si="122"/>
        <v>9.4658245971066606</v>
      </c>
      <c r="KX45" s="133">
        <f t="shared" si="123"/>
        <v>10.873294934819398</v>
      </c>
      <c r="KY45" s="133">
        <f t="shared" si="124"/>
        <v>12.091045032427768</v>
      </c>
      <c r="KZ45" s="133">
        <f t="shared" si="125"/>
        <v>13.503578151813176</v>
      </c>
      <c r="LA45" s="81"/>
      <c r="LB45" s="81">
        <v>43</v>
      </c>
      <c r="LC45" s="133">
        <f t="shared" si="126"/>
        <v>-10.781683386567106</v>
      </c>
      <c r="LD45" s="133">
        <f t="shared" si="127"/>
        <v>-7.1000389747014232</v>
      </c>
      <c r="LE45" s="133">
        <f t="shared" si="128"/>
        <v>-3.8542277466837049</v>
      </c>
      <c r="LF45" s="133">
        <f t="shared" si="387"/>
        <v>-2.7011562054646276E-2</v>
      </c>
      <c r="LG45" s="133">
        <f t="shared" si="388"/>
        <v>6.5450980757306638</v>
      </c>
      <c r="LH45" s="134">
        <f t="shared" si="389"/>
        <v>14.123506875567791</v>
      </c>
      <c r="LI45" s="133">
        <f t="shared" si="390"/>
        <v>21.945022803602484</v>
      </c>
      <c r="LJ45" s="133">
        <f t="shared" si="129"/>
        <v>29.152789032832963</v>
      </c>
      <c r="LK45" s="133">
        <f t="shared" si="130"/>
        <v>33.554531375397126</v>
      </c>
      <c r="LL45" s="133">
        <f t="shared" si="131"/>
        <v>37.419334607923339</v>
      </c>
      <c r="LM45" s="133">
        <f t="shared" si="132"/>
        <v>41.965948793148591</v>
      </c>
      <c r="LN45" s="81"/>
      <c r="LO45" s="81">
        <v>43</v>
      </c>
      <c r="LP45" s="133">
        <f t="shared" si="133"/>
        <v>-6.8226225521661448</v>
      </c>
      <c r="LQ45" s="133">
        <f t="shared" si="134"/>
        <v>-3.2104678266221995</v>
      </c>
      <c r="LR45" s="133">
        <f t="shared" si="135"/>
        <v>-1.4714650093736736E-2</v>
      </c>
      <c r="LS45" s="133">
        <f t="shared" si="391"/>
        <v>3.765582868051947</v>
      </c>
      <c r="LT45" s="133">
        <f t="shared" si="392"/>
        <v>10.284224020807233</v>
      </c>
      <c r="LU45" s="134">
        <f t="shared" si="393"/>
        <v>17.8379938470699</v>
      </c>
      <c r="LV45" s="133">
        <f t="shared" si="394"/>
        <v>25.669949509164613</v>
      </c>
      <c r="LW45" s="133">
        <f t="shared" si="136"/>
        <v>32.915604598266171</v>
      </c>
      <c r="LX45" s="133">
        <f t="shared" si="137"/>
        <v>37.35253635992369</v>
      </c>
      <c r="LY45" s="133">
        <f t="shared" si="138"/>
        <v>41.25523642058549</v>
      </c>
      <c r="LZ45" s="133">
        <f t="shared" si="139"/>
        <v>45.854352382566134</v>
      </c>
      <c r="MA45" s="81"/>
      <c r="MB45" s="81">
        <v>45</v>
      </c>
      <c r="MC45" s="133">
        <f t="shared" si="140"/>
        <v>-10.465198997997224</v>
      </c>
      <c r="MD45" s="133">
        <f t="shared" si="141"/>
        <v>-7.1072734686964907</v>
      </c>
      <c r="ME45" s="133">
        <f t="shared" si="142"/>
        <v>-4.1800962255241494</v>
      </c>
      <c r="MF45" s="133">
        <f t="shared" si="395"/>
        <v>-0.76376191761303858</v>
      </c>
      <c r="MG45" s="133">
        <f t="shared" si="396"/>
        <v>5.0257569962552466</v>
      </c>
      <c r="MH45" s="134">
        <f t="shared" si="397"/>
        <v>11.599092492129742</v>
      </c>
      <c r="MI45" s="133">
        <f t="shared" si="398"/>
        <v>18.286319379829116</v>
      </c>
      <c r="MJ45" s="133">
        <f t="shared" si="143"/>
        <v>24.374050484943353</v>
      </c>
      <c r="MK45" s="133">
        <f t="shared" si="144"/>
        <v>28.060451687751417</v>
      </c>
      <c r="ML45" s="133">
        <f t="shared" si="145"/>
        <v>31.279182710908792</v>
      </c>
      <c r="MM45" s="133">
        <f t="shared" si="146"/>
        <v>35.045575040124611</v>
      </c>
      <c r="MN45" s="81"/>
      <c r="MO45" s="81">
        <v>43</v>
      </c>
      <c r="MP45" s="133">
        <f t="shared" si="147"/>
        <v>-17.267795111076271</v>
      </c>
      <c r="MQ45" s="133">
        <f t="shared" si="148"/>
        <v>-12.989733054820288</v>
      </c>
      <c r="MR45" s="133">
        <f t="shared" si="149"/>
        <v>-9.2905020430647625</v>
      </c>
      <c r="MS45" s="133">
        <f t="shared" si="399"/>
        <v>-5.0058859790226933</v>
      </c>
      <c r="MT45" s="133">
        <f t="shared" si="400"/>
        <v>2.1817229290154927</v>
      </c>
      <c r="MU45" s="134">
        <f t="shared" si="401"/>
        <v>10.242950830753166</v>
      </c>
      <c r="MV45" s="133">
        <f t="shared" si="402"/>
        <v>18.348645104169385</v>
      </c>
      <c r="MW45" s="133">
        <f t="shared" si="150"/>
        <v>25.653732647544672</v>
      </c>
      <c r="MX45" s="133">
        <f t="shared" si="151"/>
        <v>30.046146923520489</v>
      </c>
      <c r="MY45" s="133">
        <f t="shared" si="152"/>
        <v>33.863405171005844</v>
      </c>
      <c r="MZ45" s="133">
        <f t="shared" si="153"/>
        <v>38.310068397989234</v>
      </c>
      <c r="NA45" s="81"/>
      <c r="NB45" s="81">
        <v>43</v>
      </c>
      <c r="NC45" s="133">
        <f t="shared" si="154"/>
        <v>-10.561832583335082</v>
      </c>
      <c r="ND45" s="133">
        <f t="shared" si="155"/>
        <v>-6.636455547393421</v>
      </c>
      <c r="NE45" s="133">
        <f t="shared" si="156"/>
        <v>-3.2345021235055214</v>
      </c>
      <c r="NF45" s="133">
        <f t="shared" si="403"/>
        <v>0.71333244201003865</v>
      </c>
      <c r="NG45" s="133">
        <f t="shared" si="404"/>
        <v>7.351289885356163</v>
      </c>
      <c r="NH45" s="134">
        <f t="shared" si="405"/>
        <v>14.815036666045859</v>
      </c>
      <c r="NI45" s="133">
        <f t="shared" si="406"/>
        <v>22.336754577400487</v>
      </c>
      <c r="NJ45" s="133">
        <f t="shared" si="157"/>
        <v>29.127871698586294</v>
      </c>
      <c r="NK45" s="133">
        <f t="shared" si="158"/>
        <v>33.216251022538685</v>
      </c>
      <c r="NL45" s="133">
        <f t="shared" si="159"/>
        <v>36.772097182117022</v>
      </c>
      <c r="NM45" s="133">
        <f t="shared" si="160"/>
        <v>40.917344505934651</v>
      </c>
      <c r="NN45" s="81"/>
      <c r="NO45" s="81">
        <v>45</v>
      </c>
      <c r="NP45" s="133">
        <f t="shared" si="161"/>
        <v>-18.126105391595267</v>
      </c>
      <c r="NQ45" s="133">
        <f t="shared" si="162"/>
        <v>-14.270396965177259</v>
      </c>
      <c r="NR45" s="133">
        <f t="shared" si="163"/>
        <v>-10.951629907526176</v>
      </c>
      <c r="NS45" s="133">
        <f t="shared" si="407"/>
        <v>-7.1226835785158222</v>
      </c>
      <c r="NT45" s="133">
        <f t="shared" si="408"/>
        <v>-0.72998580910582689</v>
      </c>
      <c r="NU45" s="134">
        <f t="shared" si="409"/>
        <v>6.4018949863367496</v>
      </c>
      <c r="NV45" s="133">
        <f t="shared" si="410"/>
        <v>13.539666606151755</v>
      </c>
      <c r="NW45" s="133">
        <f t="shared" si="164"/>
        <v>19.947932006383425</v>
      </c>
      <c r="NX45" s="133">
        <f t="shared" si="165"/>
        <v>23.791168455232189</v>
      </c>
      <c r="NY45" s="133">
        <f t="shared" si="166"/>
        <v>27.125587116202603</v>
      </c>
      <c r="NZ45" s="133">
        <f t="shared" si="167"/>
        <v>31.003662770496753</v>
      </c>
      <c r="OA45" s="81"/>
      <c r="OB45" s="81">
        <v>43</v>
      </c>
      <c r="OC45" s="133">
        <v>14.184344118053771</v>
      </c>
      <c r="OD45" s="133">
        <v>15.648532853528284</v>
      </c>
      <c r="OE45" s="133">
        <v>17.028142767025244</v>
      </c>
      <c r="OF45" s="133">
        <v>18.770366814267572</v>
      </c>
      <c r="OG45" s="133">
        <v>22.082374904102235</v>
      </c>
      <c r="OH45" s="134">
        <v>26.467067109241583</v>
      </c>
      <c r="OI45" s="133">
        <v>31.72238694466531</v>
      </c>
      <c r="OJ45" s="133">
        <v>37.319763023098474</v>
      </c>
      <c r="OK45" s="133">
        <v>41.138111827533933</v>
      </c>
      <c r="OL45" s="133">
        <v>44.764940453005721</v>
      </c>
      <c r="OM45" s="133">
        <v>49.385832403311277</v>
      </c>
      <c r="ON45" s="81"/>
      <c r="OO45" s="81">
        <v>43</v>
      </c>
      <c r="OP45" s="133">
        <v>12.795231852604646</v>
      </c>
      <c r="OQ45" s="133">
        <v>13.955993211085861</v>
      </c>
      <c r="OR45" s="133">
        <v>15.038191487960205</v>
      </c>
      <c r="OS45" s="133">
        <v>16.390453282527641</v>
      </c>
      <c r="OT45" s="133">
        <v>25.047409247591741</v>
      </c>
      <c r="OU45" s="134">
        <v>22.207696122815886</v>
      </c>
      <c r="OV45" s="133">
        <v>26.063574882706057</v>
      </c>
      <c r="OW45" s="133">
        <v>30.089574618968431</v>
      </c>
      <c r="OX45" s="133">
        <v>32.795284424871177</v>
      </c>
      <c r="OY45" s="133">
        <v>35.338349598190945</v>
      </c>
      <c r="OZ45" s="133">
        <v>38.544183705662029</v>
      </c>
      <c r="PA45" s="81"/>
      <c r="PB45" s="81">
        <v>45</v>
      </c>
      <c r="PC45" s="133">
        <v>18.882113472393989</v>
      </c>
      <c r="PD45" s="133">
        <v>20.304749215156665</v>
      </c>
      <c r="PE45" s="133">
        <v>21.613732601668467</v>
      </c>
      <c r="PF45" s="133">
        <v>23.227979239292701</v>
      </c>
      <c r="PG45" s="133">
        <v>26.193574181738477</v>
      </c>
      <c r="PH45" s="134">
        <v>29.94731069983586</v>
      </c>
      <c r="PI45" s="133">
        <v>34.238985940977813</v>
      </c>
      <c r="PJ45" s="133">
        <v>38.610393479058928</v>
      </c>
      <c r="PK45" s="133">
        <v>41.494055408239461</v>
      </c>
      <c r="PL45" s="133">
        <v>44.169046790444867</v>
      </c>
      <c r="PM45" s="133">
        <v>47.496876843987948</v>
      </c>
      <c r="PN45" s="81"/>
      <c r="PO45" s="81">
        <v>43</v>
      </c>
      <c r="PP45" s="133">
        <v>8.6757793365851761</v>
      </c>
      <c r="PQ45" s="133">
        <v>9.4452259311313771</v>
      </c>
      <c r="PR45" s="133">
        <v>10.161355717533521</v>
      </c>
      <c r="PS45" s="133">
        <v>11.054651992645397</v>
      </c>
      <c r="PT45" s="133">
        <v>12.722995493405545</v>
      </c>
      <c r="PU45" s="134">
        <v>14.880885945182268</v>
      </c>
      <c r="PV45" s="133">
        <v>17.40476656053978</v>
      </c>
      <c r="PW45" s="133">
        <v>20.031455233583713</v>
      </c>
      <c r="PX45" s="133">
        <v>21.79244312168159</v>
      </c>
      <c r="PY45" s="133">
        <v>23.444729446191062</v>
      </c>
      <c r="PZ45" s="133">
        <v>25.52402013957667</v>
      </c>
      <c r="QA45" s="81"/>
      <c r="QB45" s="81">
        <v>43</v>
      </c>
      <c r="QC45" s="133">
        <v>8.3767648352692703</v>
      </c>
      <c r="QD45" s="133">
        <v>9.1187203505728363</v>
      </c>
      <c r="QE45" s="133">
        <v>9.8091956825238196</v>
      </c>
      <c r="QF45" s="133">
        <v>10.670405607499019</v>
      </c>
      <c r="QG45" s="133">
        <v>12.278594956013389</v>
      </c>
      <c r="QH45" s="134">
        <v>14.35829137745009</v>
      </c>
      <c r="QI45" s="133">
        <v>16.790237972528889</v>
      </c>
      <c r="QJ45" s="133">
        <v>19.320777378403573</v>
      </c>
      <c r="QK45" s="133">
        <v>21.017067856751577</v>
      </c>
      <c r="QL45" s="133">
        <v>22.608493665101442</v>
      </c>
      <c r="QM45" s="133">
        <v>24.610996647744688</v>
      </c>
      <c r="QN45" s="81"/>
      <c r="QO45" s="81">
        <v>45</v>
      </c>
      <c r="QP45" s="133">
        <v>9.4288238324199121</v>
      </c>
      <c r="QQ45" s="133">
        <v>10.212862970919934</v>
      </c>
      <c r="QR45" s="133">
        <v>10.939129446792213</v>
      </c>
      <c r="QS45" s="133">
        <v>11.840796981320176</v>
      </c>
      <c r="QT45" s="133">
        <v>13.513354587938728</v>
      </c>
      <c r="QU45" s="134">
        <v>15.657444777054433</v>
      </c>
      <c r="QV45" s="133">
        <v>18.141726049675434</v>
      </c>
      <c r="QW45" s="133">
        <v>20.704313850939425</v>
      </c>
      <c r="QX45" s="133">
        <v>22.410885449243715</v>
      </c>
      <c r="QY45" s="133">
        <v>24.004588884092939</v>
      </c>
      <c r="QZ45" s="133">
        <v>26.000653029868918</v>
      </c>
      <c r="RA45" s="81"/>
      <c r="RB45" s="81">
        <v>43</v>
      </c>
      <c r="RC45" s="133">
        <f t="shared" si="168"/>
        <v>0.3057433257819826</v>
      </c>
      <c r="RD45" s="133">
        <f t="shared" si="169"/>
        <v>0.33273789643211643</v>
      </c>
      <c r="RE45" s="133">
        <f t="shared" si="170"/>
        <v>0.35817291338385759</v>
      </c>
      <c r="RF45" s="133">
        <f t="shared" si="411"/>
        <v>0.39032991329878292</v>
      </c>
      <c r="RG45" s="133">
        <f t="shared" si="412"/>
        <v>0.45169139009866294</v>
      </c>
      <c r="RH45" s="134">
        <f t="shared" si="413"/>
        <v>0.53362967103600956</v>
      </c>
      <c r="RI45" s="133">
        <f t="shared" si="414"/>
        <v>0.63320718261902365</v>
      </c>
      <c r="RJ45" s="133">
        <f t="shared" si="171"/>
        <v>0.7411747480785581</v>
      </c>
      <c r="RK45" s="133">
        <f t="shared" si="172"/>
        <v>0.81605133920536377</v>
      </c>
      <c r="RL45" s="133">
        <f t="shared" si="173"/>
        <v>0.8881340871417307</v>
      </c>
      <c r="RM45" s="133">
        <f t="shared" si="174"/>
        <v>0.98136963976347091</v>
      </c>
      <c r="RN45" s="81"/>
      <c r="RO45" s="81">
        <v>43</v>
      </c>
      <c r="RP45" s="133">
        <f t="shared" si="175"/>
        <v>0.3373787689808237</v>
      </c>
      <c r="RQ45" s="133">
        <f t="shared" si="176"/>
        <v>0.36558216521466735</v>
      </c>
      <c r="RR45" s="133">
        <f t="shared" si="177"/>
        <v>0.39215863839201814</v>
      </c>
      <c r="RS45" s="133">
        <f t="shared" si="415"/>
        <v>0.42577480053642164</v>
      </c>
      <c r="RT45" s="133">
        <f t="shared" si="416"/>
        <v>0.49001202816148637</v>
      </c>
      <c r="RU45" s="134">
        <f t="shared" si="417"/>
        <v>0.57606651310366253</v>
      </c>
      <c r="RV45" s="133">
        <f t="shared" si="418"/>
        <v>0.68119447834406899</v>
      </c>
      <c r="RW45" s="133">
        <f t="shared" si="178"/>
        <v>0.79596846212970707</v>
      </c>
      <c r="RX45" s="133">
        <f t="shared" si="179"/>
        <v>0.87608581519493145</v>
      </c>
      <c r="RY45" s="133">
        <f t="shared" si="180"/>
        <v>0.95363304812682681</v>
      </c>
      <c r="RZ45" s="133">
        <f t="shared" si="181"/>
        <v>1.0545606645000782</v>
      </c>
      <c r="SA45" s="81"/>
      <c r="SB45" s="81">
        <v>45</v>
      </c>
      <c r="SC45" s="133">
        <f t="shared" si="182"/>
        <v>0.29878208781693111</v>
      </c>
      <c r="SD45" s="133">
        <f t="shared" si="183"/>
        <v>0.32478306042438276</v>
      </c>
      <c r="SE45" s="133">
        <f t="shared" si="184"/>
        <v>0.3489732812915976</v>
      </c>
      <c r="SF45" s="133">
        <f t="shared" si="419"/>
        <v>0.37913915402605536</v>
      </c>
      <c r="SG45" s="133">
        <f t="shared" si="420"/>
        <v>0.4354620193249833</v>
      </c>
      <c r="SH45" s="134">
        <f t="shared" si="421"/>
        <v>0.50830295697265426</v>
      </c>
      <c r="SI45" s="133">
        <f t="shared" si="422"/>
        <v>0.59351312373016751</v>
      </c>
      <c r="SJ45" s="133">
        <f t="shared" si="185"/>
        <v>0.68223462710400296</v>
      </c>
      <c r="SK45" s="133">
        <f t="shared" si="186"/>
        <v>0.74174658271130611</v>
      </c>
      <c r="SL45" s="133">
        <f t="shared" si="187"/>
        <v>0.79761126091032164</v>
      </c>
      <c r="SM45" s="133">
        <f t="shared" si="188"/>
        <v>0.86795236448485835</v>
      </c>
      <c r="SN45" s="81"/>
      <c r="SO45" s="81">
        <v>43</v>
      </c>
      <c r="SP45" s="133">
        <f t="shared" si="189"/>
        <v>0.23435539120852686</v>
      </c>
      <c r="SQ45" s="133">
        <f t="shared" si="190"/>
        <v>0.25003381440708489</v>
      </c>
      <c r="SR45" s="133">
        <f t="shared" si="191"/>
        <v>0.26413354524219884</v>
      </c>
      <c r="SS45" s="133">
        <f t="shared" si="423"/>
        <v>0.28111747982930541</v>
      </c>
      <c r="ST45" s="133">
        <f t="shared" si="424"/>
        <v>0.31124856033715609</v>
      </c>
      <c r="SU45" s="134">
        <f t="shared" si="425"/>
        <v>0.34760639130996263</v>
      </c>
      <c r="SV45" s="133">
        <f t="shared" si="426"/>
        <v>0.38704675622199064</v>
      </c>
      <c r="SW45" s="133">
        <f t="shared" si="192"/>
        <v>0.42519375792800984</v>
      </c>
      <c r="SX45" s="133">
        <f t="shared" si="193"/>
        <v>0.44936713892974067</v>
      </c>
      <c r="SY45" s="133">
        <f t="shared" si="194"/>
        <v>0.47115259323669617</v>
      </c>
      <c r="SZ45" s="133">
        <f t="shared" si="195"/>
        <v>0.49746417372137958</v>
      </c>
      <c r="TA45" s="81"/>
      <c r="TB45" s="81">
        <v>43</v>
      </c>
      <c r="TC45" s="133">
        <f t="shared" si="196"/>
        <v>0.25271891123017076</v>
      </c>
      <c r="TD45" s="133">
        <f t="shared" si="197"/>
        <v>0.26821289081796812</v>
      </c>
      <c r="TE45" s="133">
        <f t="shared" si="198"/>
        <v>0.28215844785227834</v>
      </c>
      <c r="TF45" s="133">
        <f t="shared" si="427"/>
        <v>0.2989747360655361</v>
      </c>
      <c r="TG45" s="133">
        <f t="shared" si="428"/>
        <v>0.32886626407017749</v>
      </c>
      <c r="TH45" s="134">
        <f t="shared" si="429"/>
        <v>0.365049695719592</v>
      </c>
      <c r="TI45" s="133">
        <f t="shared" si="430"/>
        <v>0.40446036290300691</v>
      </c>
      <c r="TJ45" s="133">
        <f t="shared" si="199"/>
        <v>0.44274893220321837</v>
      </c>
      <c r="TK45" s="133">
        <f t="shared" si="200"/>
        <v>0.4671024235977464</v>
      </c>
      <c r="TL45" s="133">
        <f t="shared" si="201"/>
        <v>0.48911165976923382</v>
      </c>
      <c r="TM45" s="133">
        <f t="shared" si="202"/>
        <v>0.51577223067291234</v>
      </c>
      <c r="TN45" s="81"/>
      <c r="TO45" s="81">
        <v>45</v>
      </c>
      <c r="TP45" s="133">
        <f t="shared" si="203"/>
        <v>0.23030255325032695</v>
      </c>
      <c r="TQ45" s="133">
        <f t="shared" si="204"/>
        <v>0.24555653258987509</v>
      </c>
      <c r="TR45" s="133">
        <f t="shared" si="205"/>
        <v>0.25911789594912715</v>
      </c>
      <c r="TS45" s="133">
        <f t="shared" si="431"/>
        <v>0.27526453735368461</v>
      </c>
      <c r="TT45" s="133">
        <f t="shared" si="432"/>
        <v>0.30342951978721266</v>
      </c>
      <c r="TU45" s="134">
        <f t="shared" si="433"/>
        <v>0.33665387492237242</v>
      </c>
      <c r="TV45" s="133">
        <f t="shared" si="434"/>
        <v>0.37183397850134231</v>
      </c>
      <c r="TW45" s="133">
        <f t="shared" si="206"/>
        <v>0.40508198058057421</v>
      </c>
      <c r="TX45" s="133">
        <f t="shared" si="207"/>
        <v>0.42578415832063232</v>
      </c>
      <c r="TY45" s="133">
        <f t="shared" si="208"/>
        <v>0.44421196568999194</v>
      </c>
      <c r="TZ45" s="133">
        <f t="shared" si="209"/>
        <v>0.46619259660821588</v>
      </c>
      <c r="UA45" s="81"/>
      <c r="UB45" s="81">
        <v>43</v>
      </c>
      <c r="UC45" s="133">
        <f t="shared" si="210"/>
        <v>-20.504931659285134</v>
      </c>
      <c r="UD45" s="133">
        <f t="shared" si="211"/>
        <v>-17.044364414628888</v>
      </c>
      <c r="UE45" s="133">
        <f t="shared" si="212"/>
        <v>-14.151811347267937</v>
      </c>
      <c r="UF45" s="133">
        <f t="shared" si="435"/>
        <v>-10.90193069873834</v>
      </c>
      <c r="UG45" s="133">
        <f t="shared" si="436"/>
        <v>-5.6578414936850336</v>
      </c>
      <c r="UH45" s="134">
        <f t="shared" si="437"/>
        <v>-3.6828389855742216E-2</v>
      </c>
      <c r="UI45" s="133">
        <f t="shared" si="438"/>
        <v>5.3836923848670182</v>
      </c>
      <c r="UJ45" s="133">
        <f t="shared" si="213"/>
        <v>10.099456226253324</v>
      </c>
      <c r="UK45" s="133">
        <f t="shared" si="214"/>
        <v>12.866551252568527</v>
      </c>
      <c r="UL45" s="133">
        <f t="shared" si="215"/>
        <v>15.233109008249613</v>
      </c>
      <c r="UM45" s="133">
        <f t="shared" si="216"/>
        <v>17.94798095969071</v>
      </c>
      <c r="UN45" s="81"/>
      <c r="UO45" s="81">
        <v>43</v>
      </c>
      <c r="UP45" s="133">
        <f t="shared" si="217"/>
        <v>-16.270808326495565</v>
      </c>
      <c r="UQ45" s="133">
        <f t="shared" si="218"/>
        <v>-13.411244923823403</v>
      </c>
      <c r="UR45" s="133">
        <f t="shared" si="219"/>
        <v>-10.958263334534212</v>
      </c>
      <c r="US45" s="133">
        <f t="shared" si="439"/>
        <v>-8.1365760449959197</v>
      </c>
      <c r="UT45" s="133">
        <f t="shared" si="440"/>
        <v>-3.4428851086528134</v>
      </c>
      <c r="UU45" s="134">
        <f t="shared" si="441"/>
        <v>1.7717465855945633</v>
      </c>
      <c r="UV45" s="133">
        <f t="shared" si="442"/>
        <v>6.9711641556450274</v>
      </c>
      <c r="UW45" s="133">
        <f t="shared" si="220"/>
        <v>11.624749206686495</v>
      </c>
      <c r="UX45" s="133">
        <f t="shared" si="221"/>
        <v>14.409760230050367</v>
      </c>
      <c r="UY45" s="133">
        <f t="shared" si="222"/>
        <v>16.822739473483644</v>
      </c>
      <c r="UZ45" s="133">
        <f t="shared" si="223"/>
        <v>19.625481652221552</v>
      </c>
      <c r="VA45" s="81"/>
      <c r="VB45" s="81">
        <v>46</v>
      </c>
      <c r="VC45" s="133">
        <f t="shared" si="224"/>
        <v>-20.891108252187379</v>
      </c>
      <c r="VD45" s="133">
        <f t="shared" si="225"/>
        <v>-17.342909143505011</v>
      </c>
      <c r="VE45" s="133">
        <f t="shared" si="226"/>
        <v>-14.424219575233145</v>
      </c>
      <c r="VF45" s="133">
        <f t="shared" si="443"/>
        <v>-11.190005208026285</v>
      </c>
      <c r="VG45" s="133">
        <f t="shared" si="444"/>
        <v>-6.0590127032422174</v>
      </c>
      <c r="VH45" s="134">
        <f t="shared" si="445"/>
        <v>-0.66295745220293156</v>
      </c>
      <c r="VI45" s="133">
        <f t="shared" si="446"/>
        <v>4.4534327535309188</v>
      </c>
      <c r="VJ45" s="133">
        <f t="shared" si="227"/>
        <v>8.8435901134480019</v>
      </c>
      <c r="VK45" s="133">
        <f t="shared" si="228"/>
        <v>11.395678151579133</v>
      </c>
      <c r="VL45" s="133">
        <f t="shared" si="229"/>
        <v>13.565247531372492</v>
      </c>
      <c r="VM45" s="133">
        <f t="shared" si="230"/>
        <v>16.040018311476203</v>
      </c>
      <c r="VN45" s="81"/>
      <c r="VO45" s="81">
        <v>43</v>
      </c>
      <c r="VP45" s="133">
        <f t="shared" si="231"/>
        <v>-35.48927238113221</v>
      </c>
      <c r="VQ45" s="133">
        <f t="shared" si="232"/>
        <v>-31.089307906379787</v>
      </c>
      <c r="VR45" s="133">
        <f t="shared" si="233"/>
        <v>-27.012796143443289</v>
      </c>
      <c r="VS45" s="133">
        <f t="shared" si="447"/>
        <v>-21.987151577419908</v>
      </c>
      <c r="VT45" s="133">
        <f t="shared" si="448"/>
        <v>-12.852012032333064</v>
      </c>
      <c r="VU45" s="134">
        <f t="shared" si="449"/>
        <v>-1.60288809014191</v>
      </c>
      <c r="VV45" s="133">
        <f t="shared" si="450"/>
        <v>10.728398147481649</v>
      </c>
      <c r="VW45" s="133">
        <f t="shared" si="234"/>
        <v>22.681822797391639</v>
      </c>
      <c r="VX45" s="133">
        <f t="shared" si="235"/>
        <v>30.240497017326128</v>
      </c>
      <c r="VY45" s="133">
        <f t="shared" si="236"/>
        <v>37.030686538528649</v>
      </c>
      <c r="VZ45" s="133">
        <f t="shared" si="237"/>
        <v>45.195362740967205</v>
      </c>
      <c r="WA45" s="81"/>
      <c r="WB45" s="81">
        <v>43</v>
      </c>
      <c r="WC45" s="133">
        <f t="shared" si="238"/>
        <v>-31.232928150238113</v>
      </c>
      <c r="WD45" s="133">
        <f t="shared" si="239"/>
        <v>-26.930668142313468</v>
      </c>
      <c r="WE45" s="133">
        <f t="shared" si="240"/>
        <v>-22.924480277047579</v>
      </c>
      <c r="WF45" s="133">
        <f t="shared" si="451"/>
        <v>-17.96499572800446</v>
      </c>
      <c r="WG45" s="133">
        <f t="shared" si="452"/>
        <v>-8.9065326166612806</v>
      </c>
      <c r="WH45" s="134">
        <f t="shared" si="453"/>
        <v>2.304022040048963</v>
      </c>
      <c r="WI45" s="133">
        <f t="shared" si="454"/>
        <v>14.643509059535653</v>
      </c>
      <c r="WJ45" s="133">
        <f t="shared" si="241"/>
        <v>26.642331567939955</v>
      </c>
      <c r="WK45" s="133">
        <f t="shared" si="242"/>
        <v>34.24491825038843</v>
      </c>
      <c r="WL45" s="133">
        <f t="shared" si="243"/>
        <v>41.083107808964947</v>
      </c>
      <c r="WM45" s="133">
        <f t="shared" si="244"/>
        <v>49.314983300691374</v>
      </c>
      <c r="WN45" s="81"/>
      <c r="WO45" s="81">
        <v>46</v>
      </c>
      <c r="WP45" s="133">
        <f t="shared" si="245"/>
        <v>-36.024561207696308</v>
      </c>
      <c r="WQ45" s="133">
        <f t="shared" si="246"/>
        <v>-31.524728544116499</v>
      </c>
      <c r="WR45" s="133">
        <f t="shared" si="247"/>
        <v>-27.405962299801949</v>
      </c>
      <c r="WS45" s="133">
        <f t="shared" si="455"/>
        <v>-22.388285832844609</v>
      </c>
      <c r="WT45" s="133">
        <f t="shared" si="456"/>
        <v>-13.416247122792107</v>
      </c>
      <c r="WU45" s="134">
        <f t="shared" si="457"/>
        <v>-2.5904163782901648</v>
      </c>
      <c r="WV45" s="133">
        <f t="shared" si="458"/>
        <v>9.0439146289653465</v>
      </c>
      <c r="WW45" s="133">
        <f t="shared" si="248"/>
        <v>20.127287741517812</v>
      </c>
      <c r="WX45" s="133">
        <f t="shared" si="249"/>
        <v>27.049964337516663</v>
      </c>
      <c r="WY45" s="133">
        <f t="shared" si="250"/>
        <v>33.217723292734284</v>
      </c>
      <c r="WZ45" s="133">
        <f t="shared" si="251"/>
        <v>40.574927389474205</v>
      </c>
      <c r="XA45" s="81"/>
      <c r="XB45" s="81">
        <v>43</v>
      </c>
      <c r="XC45" s="133">
        <f t="shared" si="252"/>
        <v>-41.061581588871569</v>
      </c>
      <c r="XD45" s="133">
        <f t="shared" si="253"/>
        <v>-36.186820430298823</v>
      </c>
      <c r="XE45" s="133">
        <f t="shared" si="254"/>
        <v>-31.74952624417018</v>
      </c>
      <c r="XF45" s="133">
        <f t="shared" si="459"/>
        <v>-26.384116976893267</v>
      </c>
      <c r="XG45" s="133">
        <f t="shared" si="460"/>
        <v>-16.906491340565871</v>
      </c>
      <c r="XH45" s="134">
        <f t="shared" si="461"/>
        <v>-5.6600265750087928</v>
      </c>
      <c r="XI45" s="133">
        <f t="shared" si="462"/>
        <v>6.2191789037314109</v>
      </c>
      <c r="XJ45" s="133">
        <f t="shared" si="255"/>
        <v>17.360014099771497</v>
      </c>
      <c r="XK45" s="133">
        <f t="shared" si="256"/>
        <v>24.240542816326375</v>
      </c>
      <c r="XL45" s="133">
        <f t="shared" si="257"/>
        <v>30.324281340061923</v>
      </c>
      <c r="XM45" s="133">
        <f t="shared" si="258"/>
        <v>37.527700633279146</v>
      </c>
      <c r="XN45" s="81"/>
      <c r="XO45" s="81">
        <v>43</v>
      </c>
      <c r="XP45" s="133">
        <f t="shared" si="259"/>
        <v>-34.109302865914884</v>
      </c>
      <c r="XQ45" s="133">
        <f t="shared" si="260"/>
        <v>-29.365403020097457</v>
      </c>
      <c r="XR45" s="133">
        <f t="shared" si="261"/>
        <v>-25.102600635006699</v>
      </c>
      <c r="XS45" s="133">
        <f t="shared" si="463"/>
        <v>-19.999672743574095</v>
      </c>
      <c r="XT45" s="133">
        <f t="shared" si="464"/>
        <v>-11.086421407486583</v>
      </c>
      <c r="XU45" s="134">
        <f t="shared" si="465"/>
        <v>-0.6297347230248036</v>
      </c>
      <c r="XV45" s="133">
        <f t="shared" si="466"/>
        <v>10.312756707417414</v>
      </c>
      <c r="XW45" s="133">
        <f t="shared" si="262"/>
        <v>20.501854171902799</v>
      </c>
      <c r="XX45" s="133">
        <f t="shared" si="263"/>
        <v>26.765422348233464</v>
      </c>
      <c r="XY45" s="133">
        <f t="shared" si="264"/>
        <v>32.287437337891269</v>
      </c>
      <c r="XZ45" s="133">
        <f t="shared" si="265"/>
        <v>38.807962532689722</v>
      </c>
      <c r="YA45" s="81"/>
      <c r="YB45" s="81">
        <v>46</v>
      </c>
      <c r="YC45" s="133">
        <f t="shared" si="266"/>
        <v>-42.443885421019345</v>
      </c>
      <c r="YD45" s="133">
        <f t="shared" si="267"/>
        <v>-37.554909209413566</v>
      </c>
      <c r="YE45" s="133">
        <f t="shared" si="268"/>
        <v>-33.138039408258933</v>
      </c>
      <c r="YF45" s="133">
        <f t="shared" si="467"/>
        <v>-27.835819099641988</v>
      </c>
      <c r="YG45" s="133">
        <f t="shared" si="468"/>
        <v>-18.559135113939725</v>
      </c>
      <c r="YH45" s="134">
        <f t="shared" si="469"/>
        <v>-7.6748314229152612</v>
      </c>
      <c r="YI45" s="133">
        <f t="shared" si="470"/>
        <v>3.7021017958196865</v>
      </c>
      <c r="YJ45" s="133">
        <f t="shared" si="269"/>
        <v>14.278293582172772</v>
      </c>
      <c r="YK45" s="133">
        <f t="shared" si="270"/>
        <v>20.770595786241977</v>
      </c>
      <c r="YL45" s="133">
        <f t="shared" si="271"/>
        <v>26.488284752164439</v>
      </c>
      <c r="YM45" s="133">
        <f t="shared" si="272"/>
        <v>33.232633487418589</v>
      </c>
      <c r="YN45" s="81"/>
      <c r="YO45" s="81">
        <v>43</v>
      </c>
      <c r="YP45" s="133">
        <v>17.711299485082989</v>
      </c>
      <c r="YQ45" s="133">
        <v>19.846711196607487</v>
      </c>
      <c r="YR45" s="133">
        <v>21.888096883849826</v>
      </c>
      <c r="YS45" s="133">
        <v>24.503620356861859</v>
      </c>
      <c r="YT45" s="133">
        <v>29.580672575821662</v>
      </c>
      <c r="YU45" s="134">
        <v>36.488567852689563</v>
      </c>
      <c r="YV45" s="133">
        <v>45.009645420590893</v>
      </c>
      <c r="YW45" s="133">
        <v>54.335464088574476</v>
      </c>
      <c r="YX45" s="133">
        <v>60.828293615728562</v>
      </c>
      <c r="YY45" s="133">
        <v>67.084947765447197</v>
      </c>
      <c r="YZ45" s="133">
        <v>75.173229669663172</v>
      </c>
      <c r="ZA45" s="81"/>
      <c r="ZB45" s="81">
        <v>43</v>
      </c>
      <c r="ZC45" s="133">
        <v>14.30471687852917</v>
      </c>
      <c r="ZD45" s="133">
        <v>16.239943771741366</v>
      </c>
      <c r="ZE45" s="133">
        <v>18.112483889299078</v>
      </c>
      <c r="ZF45" s="133">
        <v>20.540912129738679</v>
      </c>
      <c r="ZG45" s="133">
        <v>25.33796703775123</v>
      </c>
      <c r="ZH45" s="134">
        <v>32.016141948667212</v>
      </c>
      <c r="ZI45" s="133">
        <v>40.454443079431087</v>
      </c>
      <c r="ZJ45" s="133">
        <v>49.902036423844478</v>
      </c>
      <c r="ZK45" s="133">
        <v>56.592643590026967</v>
      </c>
      <c r="ZL45" s="133">
        <v>63.118035362957222</v>
      </c>
      <c r="ZM45" s="133">
        <v>71.657017330817951</v>
      </c>
      <c r="ZN45" s="81"/>
      <c r="ZO45" s="81">
        <v>46</v>
      </c>
      <c r="ZP45" s="133">
        <v>21.098518109241407</v>
      </c>
      <c r="ZQ45" s="133">
        <v>23.234161665679594</v>
      </c>
      <c r="ZR45" s="133">
        <v>25.243049081645601</v>
      </c>
      <c r="ZS45" s="133">
        <v>27.775674575139423</v>
      </c>
      <c r="ZT45" s="133">
        <v>32.578568420251159</v>
      </c>
      <c r="ZU45" s="134">
        <v>38.916769686413581</v>
      </c>
      <c r="ZV45" s="133">
        <v>46.488075942708441</v>
      </c>
      <c r="ZW45" s="133">
        <v>54.526667164401587</v>
      </c>
      <c r="ZX45" s="133">
        <v>59.997306899291097</v>
      </c>
      <c r="ZY45" s="133">
        <v>65.184833634971596</v>
      </c>
      <c r="ZZ45" s="133">
        <v>71.783001772147344</v>
      </c>
      <c r="AAA45" s="81"/>
      <c r="AAB45" s="81">
        <v>43</v>
      </c>
      <c r="AAC45" s="133">
        <v>9.3415080427147696</v>
      </c>
      <c r="AAD45" s="133">
        <v>10.371873188376876</v>
      </c>
      <c r="AAE45" s="133">
        <v>11.34849383994487</v>
      </c>
      <c r="AAF45" s="133">
        <v>12.589143737770678</v>
      </c>
      <c r="AAG45" s="133">
        <v>14.96789919269378</v>
      </c>
      <c r="AAH45" s="134">
        <v>18.152593702643099</v>
      </c>
      <c r="AAI45" s="133">
        <v>22.014890258887064</v>
      </c>
      <c r="AAJ45" s="133">
        <v>26.174668031202383</v>
      </c>
      <c r="AAK45" s="133">
        <v>29.03615781799979</v>
      </c>
      <c r="AAL45" s="133">
        <v>31.770216637676114</v>
      </c>
      <c r="AAM45" s="133">
        <v>35.274460678778766</v>
      </c>
      <c r="AAN45" s="81"/>
      <c r="AAO45" s="81">
        <v>43</v>
      </c>
      <c r="AAP45" s="133">
        <v>8.3788435225109303</v>
      </c>
      <c r="AAQ45" s="133">
        <v>9.4135201879905477</v>
      </c>
      <c r="AAR45" s="133">
        <v>10.405027850679673</v>
      </c>
      <c r="AAS45" s="133">
        <v>11.67846734309671</v>
      </c>
      <c r="AAT45" s="133">
        <v>14.159000046027741</v>
      </c>
      <c r="AAU45" s="134">
        <v>17.549488539998965</v>
      </c>
      <c r="AAV45" s="133">
        <v>21.751857264945709</v>
      </c>
      <c r="AAW45" s="133">
        <v>26.372000620236246</v>
      </c>
      <c r="AAX45" s="133">
        <v>29.599589009791753</v>
      </c>
      <c r="AAY45" s="133">
        <v>32.717255804950774</v>
      </c>
      <c r="AAZ45" s="133">
        <v>36.757405385135989</v>
      </c>
      <c r="ABA45" s="81"/>
      <c r="ABB45" s="81">
        <v>46</v>
      </c>
      <c r="ABC45" s="133">
        <v>10.318246269351635</v>
      </c>
      <c r="ABD45" s="133">
        <v>11.329410142762674</v>
      </c>
      <c r="ABE45" s="133">
        <v>12.277973781959856</v>
      </c>
      <c r="ABF45" s="133">
        <v>13.47058867611981</v>
      </c>
      <c r="ABG45" s="133">
        <v>15.723425443723446</v>
      </c>
      <c r="ABH45" s="134">
        <v>18.681155860190966</v>
      </c>
      <c r="ABI45" s="133">
        <v>22.195264353929769</v>
      </c>
      <c r="ABJ45" s="133">
        <v>25.907225932257649</v>
      </c>
      <c r="ABK45" s="133">
        <v>28.423711474731693</v>
      </c>
      <c r="ABL45" s="133">
        <v>30.803508733036935</v>
      </c>
      <c r="ABM45" s="133">
        <v>33.822180161501066</v>
      </c>
      <c r="ABN45" s="81"/>
      <c r="ABO45" s="81">
        <v>43</v>
      </c>
      <c r="ABP45" s="133">
        <f t="shared" si="273"/>
        <v>0.23648076230149145</v>
      </c>
      <c r="ABQ45" s="133">
        <f t="shared" si="274"/>
        <v>0.26766348868241158</v>
      </c>
      <c r="ABR45" s="133">
        <f t="shared" si="275"/>
        <v>0.29679223863238996</v>
      </c>
      <c r="ABS45" s="133">
        <f t="shared" si="471"/>
        <v>0.33316931582569903</v>
      </c>
      <c r="ABT45" s="133">
        <f t="shared" si="472"/>
        <v>0.40093867874097627</v>
      </c>
      <c r="ABU45" s="134">
        <f t="shared" si="473"/>
        <v>0.48774533254095576</v>
      </c>
      <c r="ABV45" s="133">
        <f t="shared" si="474"/>
        <v>0.58750929291865606</v>
      </c>
      <c r="ABW45" s="133">
        <f t="shared" si="276"/>
        <v>0.68899049990478445</v>
      </c>
      <c r="ABX45" s="133">
        <f t="shared" si="277"/>
        <v>0.75562475774130389</v>
      </c>
      <c r="ABY45" s="133">
        <f t="shared" si="278"/>
        <v>0.8171214073302544</v>
      </c>
      <c r="ABZ45" s="133">
        <f t="shared" si="279"/>
        <v>0.89312256714764804</v>
      </c>
      <c r="ACA45" s="81"/>
      <c r="ACB45" s="81">
        <v>43</v>
      </c>
      <c r="ACC45" s="133">
        <f t="shared" si="280"/>
        <v>0.27095282034545209</v>
      </c>
      <c r="ACD45" s="133">
        <f t="shared" si="281"/>
        <v>0.3013646547582125</v>
      </c>
      <c r="ACE45" s="133">
        <f t="shared" si="282"/>
        <v>0.32982138023149393</v>
      </c>
      <c r="ACF45" s="133">
        <f t="shared" si="475"/>
        <v>0.36546699005141431</v>
      </c>
      <c r="ACG45" s="133">
        <f t="shared" si="476"/>
        <v>0.43230652408772346</v>
      </c>
      <c r="ACH45" s="134">
        <f t="shared" si="477"/>
        <v>0.51893008885375569</v>
      </c>
      <c r="ACI45" s="133">
        <f t="shared" si="478"/>
        <v>0.62006120640170892</v>
      </c>
      <c r="ACJ45" s="133">
        <f t="shared" si="283"/>
        <v>0.72476293107183309</v>
      </c>
      <c r="ACK45" s="133">
        <f t="shared" si="284"/>
        <v>0.79453436204683225</v>
      </c>
      <c r="ACL45" s="133">
        <f t="shared" si="285"/>
        <v>0.85964750889899666</v>
      </c>
      <c r="ACM45" s="133">
        <f t="shared" si="286"/>
        <v>0.94107117685700914</v>
      </c>
      <c r="ACN45" s="81"/>
      <c r="ACO45" s="81">
        <v>46</v>
      </c>
      <c r="ACP45" s="133">
        <f t="shared" si="287"/>
        <v>0.22652866606182281</v>
      </c>
      <c r="ACQ45" s="133">
        <f t="shared" si="288"/>
        <v>0.25985976212797463</v>
      </c>
      <c r="ACR45" s="133">
        <f t="shared" si="289"/>
        <v>0.29041767227030607</v>
      </c>
      <c r="ACS45" s="133">
        <f t="shared" si="479"/>
        <v>0.32782834688435691</v>
      </c>
      <c r="ACT45" s="133">
        <f t="shared" si="480"/>
        <v>0.39551262030106188</v>
      </c>
      <c r="ACU45" s="134">
        <f t="shared" si="481"/>
        <v>0.47855991698053052</v>
      </c>
      <c r="ACV45" s="133">
        <f t="shared" si="482"/>
        <v>0.56979286080166613</v>
      </c>
      <c r="ACW45" s="133">
        <f t="shared" si="290"/>
        <v>0.6587949115373718</v>
      </c>
      <c r="ACX45" s="133">
        <f t="shared" si="291"/>
        <v>0.71529962422439186</v>
      </c>
      <c r="ACY45" s="133">
        <f t="shared" si="292"/>
        <v>0.7662539973714706</v>
      </c>
      <c r="ACZ45" s="133">
        <f t="shared" si="293"/>
        <v>0.82777685979518401</v>
      </c>
      <c r="ADA45" s="81"/>
      <c r="ADB45" s="81">
        <v>43</v>
      </c>
      <c r="ADC45" s="133">
        <f t="shared" si="294"/>
        <v>0.19229943286749573</v>
      </c>
      <c r="ADD45" s="133">
        <f t="shared" si="295"/>
        <v>0.21242107446316663</v>
      </c>
      <c r="ADE45" s="133">
        <f t="shared" si="296"/>
        <v>0.23007848984777443</v>
      </c>
      <c r="ADF45" s="133">
        <f t="shared" si="483"/>
        <v>0.25082089876558661</v>
      </c>
      <c r="ADG45" s="133">
        <f t="shared" si="484"/>
        <v>0.28629027430652082</v>
      </c>
      <c r="ADH45" s="134">
        <f t="shared" si="485"/>
        <v>0.32702191744077092</v>
      </c>
      <c r="ADI45" s="133">
        <f t="shared" si="486"/>
        <v>0.3689301762502154</v>
      </c>
      <c r="ADJ45" s="133">
        <f t="shared" si="297"/>
        <v>0.40746879525525165</v>
      </c>
      <c r="ADK45" s="133">
        <f t="shared" si="298"/>
        <v>0.43097595700254088</v>
      </c>
      <c r="ADL45" s="133">
        <f t="shared" si="299"/>
        <v>0.45160181631749152</v>
      </c>
      <c r="ADM45" s="133">
        <f t="shared" si="300"/>
        <v>0.47585283868190537</v>
      </c>
      <c r="ADN45" s="81"/>
      <c r="ADO45" s="81">
        <v>43</v>
      </c>
      <c r="ADP45" s="133">
        <f t="shared" si="301"/>
        <v>0.21443768189059223</v>
      </c>
      <c r="ADQ45" s="133">
        <f t="shared" si="302"/>
        <v>0.2327806176259318</v>
      </c>
      <c r="ADR45" s="133">
        <f t="shared" si="303"/>
        <v>0.2490248103037826</v>
      </c>
      <c r="ADS45" s="133">
        <f t="shared" si="487"/>
        <v>0.2682822056895105</v>
      </c>
      <c r="ADT45" s="133">
        <f t="shared" si="488"/>
        <v>0.30164408202967391</v>
      </c>
      <c r="ADU45" s="134">
        <f t="shared" si="489"/>
        <v>0.34061102125294468</v>
      </c>
      <c r="ADV45" s="133">
        <f t="shared" si="490"/>
        <v>0.3814096640374996</v>
      </c>
      <c r="ADW45" s="133">
        <f t="shared" si="304"/>
        <v>0.41953625093874264</v>
      </c>
      <c r="ADX45" s="133">
        <f t="shared" si="305"/>
        <v>0.44306895745956082</v>
      </c>
      <c r="ADY45" s="133">
        <f t="shared" si="306"/>
        <v>0.46388556983617663</v>
      </c>
      <c r="ADZ45" s="133">
        <f t="shared" si="307"/>
        <v>0.48855789719025927</v>
      </c>
      <c r="AEA45" s="81"/>
      <c r="AEB45" s="81">
        <v>46</v>
      </c>
      <c r="AEC45" s="133">
        <f t="shared" si="308"/>
        <v>0.18604305374760882</v>
      </c>
      <c r="AED45" s="133">
        <f t="shared" si="309"/>
        <v>0.20780127856592215</v>
      </c>
      <c r="AEE45" s="133">
        <f t="shared" si="310"/>
        <v>0.22644143109398762</v>
      </c>
      <c r="AEF45" s="133">
        <f t="shared" si="491"/>
        <v>0.24785666668035738</v>
      </c>
      <c r="AEG45" s="133">
        <f t="shared" si="492"/>
        <v>0.28341987936713509</v>
      </c>
      <c r="AEH45" s="134">
        <f t="shared" si="493"/>
        <v>0.32284944147587141</v>
      </c>
      <c r="AEI45" s="133">
        <f t="shared" si="494"/>
        <v>0.36208681515833258</v>
      </c>
      <c r="AEJ45" s="133">
        <f t="shared" si="311"/>
        <v>0.39714523123468704</v>
      </c>
      <c r="AEK45" s="133">
        <f t="shared" si="312"/>
        <v>0.41810128580702122</v>
      </c>
      <c r="AEL45" s="133">
        <f t="shared" si="313"/>
        <v>0.43624346975880379</v>
      </c>
      <c r="AEM45" s="133">
        <f t="shared" si="314"/>
        <v>0.45729990607328175</v>
      </c>
      <c r="AEN45" s="81"/>
    </row>
    <row r="46" spans="1:820">
      <c r="A46" s="81"/>
      <c r="B46" s="81">
        <v>45</v>
      </c>
      <c r="C46" s="133">
        <f t="shared" si="0"/>
        <v>1.9915978923139914</v>
      </c>
      <c r="D46" s="133">
        <f t="shared" si="1"/>
        <v>2.3892891031318766</v>
      </c>
      <c r="E46" s="133">
        <f t="shared" si="2"/>
        <v>2.808379105915737</v>
      </c>
      <c r="F46" s="133">
        <f t="shared" si="315"/>
        <v>3.4045155518297556</v>
      </c>
      <c r="G46" s="133">
        <f t="shared" si="316"/>
        <v>4.7693770402198465</v>
      </c>
      <c r="H46" s="134">
        <f t="shared" si="317"/>
        <v>7.1304624587838257</v>
      </c>
      <c r="I46" s="133">
        <f t="shared" si="318"/>
        <v>11.008751169055641</v>
      </c>
      <c r="J46" s="133">
        <f t="shared" si="3"/>
        <v>16.781606640595168</v>
      </c>
      <c r="K46" s="133">
        <f t="shared" si="4"/>
        <v>21.969098550959572</v>
      </c>
      <c r="L46" s="133">
        <f t="shared" si="5"/>
        <v>28.066723016796491</v>
      </c>
      <c r="M46" s="133">
        <f t="shared" si="6"/>
        <v>37.864122206336411</v>
      </c>
      <c r="N46" s="81"/>
      <c r="O46" s="75">
        <v>45</v>
      </c>
      <c r="P46" s="151">
        <f t="shared" si="7"/>
        <v>2.6951513431224572</v>
      </c>
      <c r="Q46" s="151">
        <f t="shared" si="8"/>
        <v>3.0770669628034382</v>
      </c>
      <c r="R46" s="151">
        <f t="shared" si="9"/>
        <v>3.4691296813653487</v>
      </c>
      <c r="S46" s="151">
        <f t="shared" si="319"/>
        <v>4.0139361164009912</v>
      </c>
      <c r="T46" s="151">
        <f t="shared" si="320"/>
        <v>5.227750832388474</v>
      </c>
      <c r="U46" s="134">
        <f t="shared" si="321"/>
        <v>7.2860754350553192</v>
      </c>
      <c r="V46" s="151">
        <f t="shared" si="322"/>
        <v>10.690197659420095</v>
      </c>
      <c r="W46" s="151">
        <f t="shared" si="10"/>
        <v>15.995142654454298</v>
      </c>
      <c r="X46" s="151">
        <f t="shared" si="11"/>
        <v>21.104424407670571</v>
      </c>
      <c r="Y46" s="151">
        <f t="shared" si="12"/>
        <v>27.601143233241853</v>
      </c>
      <c r="Z46" s="151">
        <f t="shared" si="13"/>
        <v>39.308345099922526</v>
      </c>
      <c r="AA46" s="81"/>
      <c r="AB46" s="75">
        <v>47</v>
      </c>
      <c r="AC46" s="151">
        <f t="shared" si="14"/>
        <v>1.7126779237634087</v>
      </c>
      <c r="AD46" s="151">
        <f t="shared" si="15"/>
        <v>2.0689232486236784</v>
      </c>
      <c r="AE46" s="151">
        <f t="shared" si="16"/>
        <v>2.4503675189243443</v>
      </c>
      <c r="AF46" s="151">
        <f t="shared" si="323"/>
        <v>3.0031842798637585</v>
      </c>
      <c r="AG46" s="151">
        <f t="shared" si="324"/>
        <v>4.3113117607480529</v>
      </c>
      <c r="AH46" s="134">
        <f t="shared" si="325"/>
        <v>6.7010581403440455</v>
      </c>
      <c r="AI46" s="151">
        <f t="shared" si="326"/>
        <v>10.934486130287759</v>
      </c>
      <c r="AJ46" s="151">
        <f t="shared" si="17"/>
        <v>17.857990920170398</v>
      </c>
      <c r="AK46" s="151">
        <f t="shared" si="18"/>
        <v>24.64938678709299</v>
      </c>
      <c r="AL46" s="151">
        <f t="shared" si="19"/>
        <v>33.267294751366073</v>
      </c>
      <c r="AM46" s="151">
        <f t="shared" si="20"/>
        <v>48.457455948117335</v>
      </c>
      <c r="AN46" s="81"/>
      <c r="AO46" s="81">
        <v>45</v>
      </c>
      <c r="AP46" s="133">
        <f t="shared" si="21"/>
        <v>1.3054580998181775</v>
      </c>
      <c r="AQ46" s="133">
        <f t="shared" si="22"/>
        <v>3.5384167731878735</v>
      </c>
      <c r="AR46" s="133">
        <f t="shared" si="23"/>
        <v>5.683042679481443</v>
      </c>
      <c r="AS46" s="133">
        <f t="shared" si="327"/>
        <v>8.415587626544383</v>
      </c>
      <c r="AT46" s="133">
        <f t="shared" si="328"/>
        <v>13.600563426884857</v>
      </c>
      <c r="AU46" s="134">
        <f t="shared" si="329"/>
        <v>20.315043821342403</v>
      </c>
      <c r="AV46" s="133">
        <f t="shared" si="330"/>
        <v>28.029076959659388</v>
      </c>
      <c r="AW46" s="133">
        <f t="shared" si="24"/>
        <v>35.811050847254037</v>
      </c>
      <c r="AX46" s="133">
        <f t="shared" si="25"/>
        <v>40.870019953398433</v>
      </c>
      <c r="AY46" s="133">
        <f t="shared" si="26"/>
        <v>45.498688227108929</v>
      </c>
      <c r="AZ46" s="133">
        <f t="shared" si="27"/>
        <v>51.163182372902817</v>
      </c>
      <c r="BA46" s="81"/>
      <c r="BB46" s="81">
        <v>45</v>
      </c>
      <c r="BC46" s="133">
        <f t="shared" si="28"/>
        <v>4.2173361452373372</v>
      </c>
      <c r="BD46" s="133">
        <f t="shared" si="29"/>
        <v>6.7440802545133076</v>
      </c>
      <c r="BE46" s="133">
        <f t="shared" si="30"/>
        <v>9.084031051752401</v>
      </c>
      <c r="BF46" s="133">
        <f t="shared" si="331"/>
        <v>11.967587728788924</v>
      </c>
      <c r="BG46" s="133">
        <f t="shared" si="332"/>
        <v>17.206139820736283</v>
      </c>
      <c r="BH46" s="134">
        <f t="shared" si="333"/>
        <v>23.652685664444451</v>
      </c>
      <c r="BI46" s="133">
        <f t="shared" si="334"/>
        <v>30.714950521043168</v>
      </c>
      <c r="BJ46" s="133">
        <f t="shared" si="31"/>
        <v>37.55710979144974</v>
      </c>
      <c r="BK46" s="133">
        <f t="shared" si="32"/>
        <v>41.882070061526719</v>
      </c>
      <c r="BL46" s="133">
        <f t="shared" si="33"/>
        <v>45.766337436480647</v>
      </c>
      <c r="BM46" s="133">
        <f t="shared" si="34"/>
        <v>50.43573462837098</v>
      </c>
      <c r="BN46" s="81"/>
      <c r="BO46" s="75">
        <v>47</v>
      </c>
      <c r="BP46" s="151">
        <f t="shared" si="35"/>
        <v>3.7731416039263608</v>
      </c>
      <c r="BQ46" s="151">
        <f t="shared" si="36"/>
        <v>4.8658537416633632</v>
      </c>
      <c r="BR46" s="151">
        <f t="shared" si="37"/>
        <v>6.0109202654987248</v>
      </c>
      <c r="BS46" s="151">
        <f t="shared" si="335"/>
        <v>7.6087837885369289</v>
      </c>
      <c r="BT46" s="151">
        <f t="shared" si="336"/>
        <v>11.079620224904424</v>
      </c>
      <c r="BU46" s="134">
        <f t="shared" si="337"/>
        <v>16.456624297891764</v>
      </c>
      <c r="BV46" s="151">
        <f t="shared" si="338"/>
        <v>23.91390665950129</v>
      </c>
      <c r="BW46" s="151">
        <f t="shared" si="38"/>
        <v>32.885588764623307</v>
      </c>
      <c r="BX46" s="151">
        <f t="shared" si="39"/>
        <v>39.529429093870817</v>
      </c>
      <c r="BY46" s="151">
        <f t="shared" si="40"/>
        <v>46.186482998314325</v>
      </c>
      <c r="BZ46" s="151">
        <f t="shared" si="41"/>
        <v>55.106013978881826</v>
      </c>
      <c r="CA46" s="81"/>
      <c r="CB46" s="81">
        <v>45</v>
      </c>
      <c r="CC46" s="133">
        <f t="shared" si="42"/>
        <v>-5.5759496337749654</v>
      </c>
      <c r="CD46" s="133">
        <f t="shared" si="43"/>
        <v>-3.4504587937620395</v>
      </c>
      <c r="CE46" s="133">
        <f t="shared" si="44"/>
        <v>-1.2375418943482765</v>
      </c>
      <c r="CF46" s="133">
        <f t="shared" si="339"/>
        <v>1.6633409590701236</v>
      </c>
      <c r="CG46" s="133">
        <f t="shared" si="340"/>
        <v>7.1891786672121212</v>
      </c>
      <c r="CH46" s="134">
        <f t="shared" si="341"/>
        <v>14.192383213736065</v>
      </c>
      <c r="CI46" s="133">
        <f t="shared" si="342"/>
        <v>21.951037337607499</v>
      </c>
      <c r="CJ46" s="133">
        <f t="shared" si="45"/>
        <v>29.477496351734299</v>
      </c>
      <c r="CK46" s="133">
        <f t="shared" si="46"/>
        <v>34.223563376116836</v>
      </c>
      <c r="CL46" s="133">
        <f t="shared" si="47"/>
        <v>38.47376492228701</v>
      </c>
      <c r="CM46" s="133">
        <f t="shared" si="48"/>
        <v>43.564781065141887</v>
      </c>
      <c r="CN46" s="81"/>
      <c r="CO46" s="81">
        <v>45</v>
      </c>
      <c r="CP46" s="133">
        <f t="shared" si="49"/>
        <v>5.9229857376978501E-2</v>
      </c>
      <c r="CQ46" s="133">
        <f t="shared" si="50"/>
        <v>2.4438975341097722</v>
      </c>
      <c r="CR46" s="133">
        <f t="shared" si="51"/>
        <v>4.6759509406276178</v>
      </c>
      <c r="CS46" s="133">
        <f t="shared" si="343"/>
        <v>7.4368696418205529</v>
      </c>
      <c r="CT46" s="133">
        <f t="shared" si="344"/>
        <v>12.445424651879797</v>
      </c>
      <c r="CU46" s="134">
        <f t="shared" si="345"/>
        <v>18.559574941901239</v>
      </c>
      <c r="CV46" s="133">
        <f t="shared" si="346"/>
        <v>25.176161268487355</v>
      </c>
      <c r="CW46" s="133">
        <f t="shared" si="52"/>
        <v>31.502577567794244</v>
      </c>
      <c r="CX46" s="133">
        <f t="shared" si="53"/>
        <v>35.460329384299115</v>
      </c>
      <c r="CY46" s="133">
        <f t="shared" si="54"/>
        <v>38.988797032667549</v>
      </c>
      <c r="CZ46" s="133">
        <f t="shared" si="55"/>
        <v>43.199290602571963</v>
      </c>
      <c r="DA46" s="81"/>
      <c r="DB46" s="81">
        <v>47</v>
      </c>
      <c r="DC46" s="133">
        <f t="shared" si="56"/>
        <v>-5.8131752251357307</v>
      </c>
      <c r="DD46" s="133">
        <f t="shared" si="57"/>
        <v>-4.321906770846315</v>
      </c>
      <c r="DE46" s="133">
        <f t="shared" si="58"/>
        <v>-2.6891922657105569</v>
      </c>
      <c r="DF46" s="133">
        <f t="shared" si="347"/>
        <v>-0.44916319796984006</v>
      </c>
      <c r="DG46" s="133">
        <f t="shared" si="348"/>
        <v>4.0567561507153505</v>
      </c>
      <c r="DH46" s="134">
        <f t="shared" si="349"/>
        <v>10.105169426699604</v>
      </c>
      <c r="DI46" s="133">
        <f t="shared" si="350"/>
        <v>17.140589528983764</v>
      </c>
      <c r="DJ46" s="133">
        <f t="shared" si="59"/>
        <v>24.233584426789925</v>
      </c>
      <c r="DK46" s="133">
        <f t="shared" si="60"/>
        <v>28.821744121152609</v>
      </c>
      <c r="DL46" s="133">
        <f t="shared" si="61"/>
        <v>32.998228992725565</v>
      </c>
      <c r="DM46" s="133">
        <f t="shared" si="62"/>
        <v>38.078349913353186</v>
      </c>
      <c r="DN46" s="81"/>
      <c r="DO46" s="81">
        <v>45</v>
      </c>
      <c r="DP46" s="133">
        <v>12.927488182550691</v>
      </c>
      <c r="DQ46" s="133">
        <v>14.135408286592284</v>
      </c>
      <c r="DR46" s="133">
        <v>15.264179624776535</v>
      </c>
      <c r="DS46" s="133">
        <v>16.677899068416842</v>
      </c>
      <c r="DT46" s="133">
        <v>19.333592395269651</v>
      </c>
      <c r="DU46" s="134">
        <v>22.794874636776683</v>
      </c>
      <c r="DV46" s="133">
        <v>26.875828303564354</v>
      </c>
      <c r="DW46" s="133">
        <v>31.155381596615484</v>
      </c>
      <c r="DX46" s="133">
        <v>34.040893286066243</v>
      </c>
      <c r="DY46" s="133">
        <v>36.759200666260327</v>
      </c>
      <c r="DZ46" s="133">
        <v>40.193911018825808</v>
      </c>
      <c r="EA46" s="81"/>
      <c r="EB46" s="81">
        <v>45</v>
      </c>
      <c r="EC46" s="133">
        <v>12.719844197005514</v>
      </c>
      <c r="ED46" s="133">
        <v>13.671677206710292</v>
      </c>
      <c r="EE46" s="133">
        <v>14.547082099175118</v>
      </c>
      <c r="EF46" s="133">
        <v>15.626159893352135</v>
      </c>
      <c r="EG46" s="133">
        <v>17.607315763506637</v>
      </c>
      <c r="EH46" s="134">
        <v>20.112892484501451</v>
      </c>
      <c r="EI46" s="133">
        <v>22.975020697450695</v>
      </c>
      <c r="EJ46" s="133">
        <v>25.887898681058175</v>
      </c>
      <c r="EK46" s="133">
        <v>27.80821894969943</v>
      </c>
      <c r="EL46" s="133">
        <v>29.588794262533163</v>
      </c>
      <c r="EM46" s="133">
        <v>31.802940179750671</v>
      </c>
      <c r="EN46" s="81"/>
      <c r="EO46" s="81">
        <v>47</v>
      </c>
      <c r="EP46" s="133">
        <v>15.055041815562079</v>
      </c>
      <c r="EQ46" s="133">
        <v>16.137469284543695</v>
      </c>
      <c r="ER46" s="133">
        <v>17.130460298691045</v>
      </c>
      <c r="ES46" s="133">
        <v>18.351384983870151</v>
      </c>
      <c r="ET46" s="133">
        <v>20.584817637985672</v>
      </c>
      <c r="EU46" s="134">
        <v>23.39595532125384</v>
      </c>
      <c r="EV46" s="133">
        <v>26.590992206995747</v>
      </c>
      <c r="EW46" s="133">
        <v>29.827216086154486</v>
      </c>
      <c r="EX46" s="133">
        <v>31.953065816680411</v>
      </c>
      <c r="EY46" s="133">
        <v>33.91924196679166</v>
      </c>
      <c r="EZ46" s="133">
        <v>36.357967789122981</v>
      </c>
      <c r="FA46" s="81"/>
      <c r="FB46" s="81">
        <v>45</v>
      </c>
      <c r="FC46" s="133">
        <v>8.2861487546999246</v>
      </c>
      <c r="FD46" s="133">
        <v>9.0967184402318608</v>
      </c>
      <c r="FE46" s="133">
        <v>9.8569937699918064</v>
      </c>
      <c r="FF46" s="133">
        <v>10.812734922369643</v>
      </c>
      <c r="FG46" s="133">
        <v>12.617734282824081</v>
      </c>
      <c r="FH46" s="134">
        <v>14.986838749072787</v>
      </c>
      <c r="FI46" s="133">
        <v>17.8007660215554</v>
      </c>
      <c r="FJ46" s="133">
        <v>20.772296491430733</v>
      </c>
      <c r="FK46" s="133">
        <v>22.786393187595198</v>
      </c>
      <c r="FL46" s="133">
        <v>24.690808797307859</v>
      </c>
      <c r="FM46" s="133">
        <v>27.106119180314352</v>
      </c>
      <c r="FN46" s="81"/>
      <c r="FO46" s="81">
        <v>45</v>
      </c>
      <c r="FP46" s="133">
        <v>8.1950124373479394</v>
      </c>
      <c r="FQ46" s="133">
        <v>8.8720692327949653</v>
      </c>
      <c r="FR46" s="133">
        <v>9.4989487365310818</v>
      </c>
      <c r="FS46" s="133">
        <v>10.276869574360022</v>
      </c>
      <c r="FT46" s="133">
        <v>11.718930369935924</v>
      </c>
      <c r="FU46" s="134">
        <v>13.565939899143931</v>
      </c>
      <c r="FV46" s="133">
        <v>15.704054852933773</v>
      </c>
      <c r="FW46" s="133">
        <v>17.907663809058874</v>
      </c>
      <c r="FX46" s="133">
        <v>19.374220290233168</v>
      </c>
      <c r="FY46" s="133">
        <v>20.743157037922341</v>
      </c>
      <c r="FZ46" s="133">
        <v>22.456918370064397</v>
      </c>
      <c r="GA46" s="81"/>
      <c r="GB46" s="81">
        <v>47</v>
      </c>
      <c r="GC46" s="133">
        <v>9.6674921464603205</v>
      </c>
      <c r="GD46" s="133">
        <v>10.42916207233668</v>
      </c>
      <c r="GE46" s="133">
        <v>11.132066681385504</v>
      </c>
      <c r="GF46" s="133">
        <v>12.001467007356915</v>
      </c>
      <c r="GG46" s="133">
        <v>13.605501398832194</v>
      </c>
      <c r="GH46" s="134">
        <v>15.647238420182335</v>
      </c>
      <c r="GI46" s="133">
        <v>17.995372827571455</v>
      </c>
      <c r="GJ46" s="133">
        <v>20.400511873085627</v>
      </c>
      <c r="GK46" s="133">
        <v>21.99376604412846</v>
      </c>
      <c r="GL46" s="133">
        <v>23.476101769235814</v>
      </c>
      <c r="GM46" s="133">
        <v>25.325706653682186</v>
      </c>
      <c r="GN46" s="81"/>
      <c r="GO46" s="81">
        <v>45</v>
      </c>
      <c r="GP46" s="133">
        <f t="shared" si="63"/>
        <v>0.46896627543411179</v>
      </c>
      <c r="GQ46" s="133">
        <f t="shared" si="64"/>
        <v>0.50327566628960141</v>
      </c>
      <c r="GR46" s="133">
        <f t="shared" si="65"/>
        <v>0.53091362189960789</v>
      </c>
      <c r="GS46" s="133">
        <f t="shared" si="351"/>
        <v>0.56099581752853933</v>
      </c>
      <c r="GT46" s="133">
        <f t="shared" si="352"/>
        <v>0.6090044945102937</v>
      </c>
      <c r="GU46" s="134">
        <f t="shared" si="353"/>
        <v>0.65561328179796452</v>
      </c>
      <c r="GV46" s="133">
        <f t="shared" si="354"/>
        <v>0.69894835036153313</v>
      </c>
      <c r="GW46" s="133">
        <f t="shared" si="66"/>
        <v>0.73757178378519028</v>
      </c>
      <c r="GX46" s="133">
        <f t="shared" si="67"/>
        <v>0.75910721173638473</v>
      </c>
      <c r="GY46" s="133">
        <f t="shared" si="68"/>
        <v>0.77727472361659533</v>
      </c>
      <c r="GZ46" s="133">
        <f t="shared" si="69"/>
        <v>0.79784809567726866</v>
      </c>
      <c r="HA46" s="81"/>
      <c r="HB46" s="81">
        <v>45</v>
      </c>
      <c r="HC46" s="133">
        <f t="shared" si="70"/>
        <v>0.45193253322712179</v>
      </c>
      <c r="HD46" s="133">
        <f t="shared" si="71"/>
        <v>0.48929317557653934</v>
      </c>
      <c r="HE46" s="133">
        <f t="shared" si="72"/>
        <v>0.51919956352940699</v>
      </c>
      <c r="HF46" s="133">
        <f t="shared" si="355"/>
        <v>0.55159578861893166</v>
      </c>
      <c r="HG46" s="133">
        <f t="shared" si="356"/>
        <v>0.60162673211141127</v>
      </c>
      <c r="HH46" s="134">
        <f t="shared" si="357"/>
        <v>0.65272298882162749</v>
      </c>
      <c r="HI46" s="133">
        <f t="shared" si="358"/>
        <v>0.69996204797370509</v>
      </c>
      <c r="HJ46" s="133">
        <f t="shared" si="73"/>
        <v>0.73968534855025381</v>
      </c>
      <c r="HK46" s="133">
        <f t="shared" si="74"/>
        <v>0.76246821179565383</v>
      </c>
      <c r="HL46" s="133">
        <f t="shared" si="75"/>
        <v>0.78167046006096208</v>
      </c>
      <c r="HM46" s="133">
        <f t="shared" si="76"/>
        <v>0.80339797749219599</v>
      </c>
      <c r="HN46" s="81"/>
      <c r="HO46" s="81">
        <v>47</v>
      </c>
      <c r="HP46" s="83">
        <f t="shared" si="77"/>
        <v>0.48732571513494372</v>
      </c>
      <c r="HQ46" s="83">
        <f t="shared" si="78"/>
        <v>0.51894081822749916</v>
      </c>
      <c r="HR46" s="83">
        <f t="shared" si="79"/>
        <v>0.54455487174353367</v>
      </c>
      <c r="HS46" s="83">
        <f t="shared" si="359"/>
        <v>0.57255842918926803</v>
      </c>
      <c r="HT46" s="83">
        <f t="shared" si="360"/>
        <v>0.61623812952388735</v>
      </c>
      <c r="HU46" s="84">
        <f t="shared" si="361"/>
        <v>0.6612819053345107</v>
      </c>
      <c r="HV46" s="83">
        <f t="shared" si="362"/>
        <v>0.70323243390939882</v>
      </c>
      <c r="HW46" s="83">
        <f t="shared" si="80"/>
        <v>0.73869272663509156</v>
      </c>
      <c r="HX46" s="83">
        <f t="shared" si="81"/>
        <v>0.7590948205895991</v>
      </c>
      <c r="HY46" s="83">
        <f t="shared" si="82"/>
        <v>0.77632267301367741</v>
      </c>
      <c r="HZ46" s="83">
        <f t="shared" si="83"/>
        <v>0.79584852798284933</v>
      </c>
      <c r="IA46" s="81"/>
      <c r="IB46" s="81">
        <v>45</v>
      </c>
      <c r="IC46" s="83">
        <f t="shared" si="84"/>
        <v>0.32050674910341409</v>
      </c>
      <c r="ID46" s="83">
        <f t="shared" si="85"/>
        <v>0.33547329903873113</v>
      </c>
      <c r="IE46" s="83">
        <f t="shared" si="86"/>
        <v>0.34707992438849505</v>
      </c>
      <c r="IF46" s="83">
        <f t="shared" si="363"/>
        <v>0.35931456299990233</v>
      </c>
      <c r="IG46" s="83">
        <f t="shared" si="364"/>
        <v>0.37758762193522261</v>
      </c>
      <c r="IH46" s="84">
        <f t="shared" si="365"/>
        <v>0.39555682659185998</v>
      </c>
      <c r="II46" s="83">
        <f t="shared" si="366"/>
        <v>0.41161695496246997</v>
      </c>
      <c r="IJ46" s="83">
        <f t="shared" si="87"/>
        <v>0.42475121077043071</v>
      </c>
      <c r="IK46" s="83">
        <f t="shared" si="88"/>
        <v>0.43214272722424923</v>
      </c>
      <c r="IL46" s="83">
        <f t="shared" si="89"/>
        <v>0.43829672544579068</v>
      </c>
      <c r="IM46" s="83">
        <f t="shared" si="90"/>
        <v>0.44517971645409743</v>
      </c>
      <c r="IN46" s="81"/>
      <c r="IO46" s="81">
        <v>45</v>
      </c>
      <c r="IP46" s="133">
        <f t="shared" si="91"/>
        <v>0.31238203356579586</v>
      </c>
      <c r="IQ46" s="133">
        <f t="shared" si="92"/>
        <v>0.32910397313868056</v>
      </c>
      <c r="IR46" s="133">
        <f t="shared" si="93"/>
        <v>0.34191733290854642</v>
      </c>
      <c r="IS46" s="133">
        <f t="shared" si="367"/>
        <v>0.35530531226472928</v>
      </c>
      <c r="IT46" s="133">
        <f t="shared" si="368"/>
        <v>0.37511733989138868</v>
      </c>
      <c r="IU46" s="134">
        <f t="shared" si="369"/>
        <v>0.39442975615462916</v>
      </c>
      <c r="IV46" s="133">
        <f t="shared" si="370"/>
        <v>0.41157805079078047</v>
      </c>
      <c r="IW46" s="133">
        <f t="shared" si="94"/>
        <v>0.42553816327925531</v>
      </c>
      <c r="IX46" s="133">
        <f t="shared" si="95"/>
        <v>0.43337275629310357</v>
      </c>
      <c r="IY46" s="133">
        <f t="shared" si="96"/>
        <v>0.43988498276433929</v>
      </c>
      <c r="IZ46" s="133">
        <f t="shared" si="97"/>
        <v>0.44715806710394601</v>
      </c>
      <c r="JA46" s="81"/>
      <c r="JB46" s="81">
        <v>47</v>
      </c>
      <c r="JC46" s="133">
        <f t="shared" si="98"/>
        <v>0.32901397944427507</v>
      </c>
      <c r="JD46" s="133">
        <f t="shared" si="99"/>
        <v>0.34243505245056804</v>
      </c>
      <c r="JE46" s="133">
        <f t="shared" si="100"/>
        <v>0.35295575634410742</v>
      </c>
      <c r="JF46" s="133">
        <f t="shared" si="371"/>
        <v>0.36413669979357638</v>
      </c>
      <c r="JG46" s="133">
        <f t="shared" si="372"/>
        <v>0.38098323189645678</v>
      </c>
      <c r="JH46" s="134">
        <f t="shared" si="373"/>
        <v>0.39769209530304517</v>
      </c>
      <c r="JI46" s="133">
        <f t="shared" si="374"/>
        <v>0.41272360000442027</v>
      </c>
      <c r="JJ46" s="133">
        <f t="shared" si="101"/>
        <v>0.42507408761984972</v>
      </c>
      <c r="JK46" s="133">
        <f t="shared" si="102"/>
        <v>0.43204436993237644</v>
      </c>
      <c r="JL46" s="133">
        <f t="shared" si="103"/>
        <v>0.43785754691581102</v>
      </c>
      <c r="JM46" s="133">
        <f t="shared" si="104"/>
        <v>0.44436923198173423</v>
      </c>
      <c r="JN46" s="81"/>
      <c r="JO46" s="81">
        <v>44</v>
      </c>
      <c r="JP46" s="133">
        <f t="shared" si="105"/>
        <v>-4.1677587825379945</v>
      </c>
      <c r="JQ46" s="133">
        <f t="shared" si="106"/>
        <v>-2.7166720082743687</v>
      </c>
      <c r="JR46" s="133">
        <f t="shared" si="107"/>
        <v>-1.4521651032100351</v>
      </c>
      <c r="JS46" s="133">
        <f t="shared" si="375"/>
        <v>2.3775956627734018E-2</v>
      </c>
      <c r="JT46" s="133">
        <f t="shared" si="376"/>
        <v>2.5266214742255642</v>
      </c>
      <c r="JU46" s="134">
        <f t="shared" si="377"/>
        <v>5.3724854748772088</v>
      </c>
      <c r="JV46" s="133">
        <f t="shared" si="378"/>
        <v>8.273526804122973</v>
      </c>
      <c r="JW46" s="133">
        <f t="shared" si="108"/>
        <v>10.920289757957001</v>
      </c>
      <c r="JX46" s="133">
        <f t="shared" si="109"/>
        <v>12.52585099070534</v>
      </c>
      <c r="JY46" s="133">
        <f t="shared" si="110"/>
        <v>13.929504780895666</v>
      </c>
      <c r="JZ46" s="133">
        <f t="shared" si="111"/>
        <v>15.574113611849935</v>
      </c>
      <c r="KA46" s="81"/>
      <c r="KB46" s="81">
        <v>44</v>
      </c>
      <c r="KC46" s="133">
        <f t="shared" si="112"/>
        <v>-2.5513226631501293</v>
      </c>
      <c r="KD46" s="133">
        <f t="shared" si="113"/>
        <v>-1.2687940106730515</v>
      </c>
      <c r="KE46" s="133">
        <f t="shared" si="114"/>
        <v>-0.12508370989035988</v>
      </c>
      <c r="KF46" s="133">
        <f t="shared" si="379"/>
        <v>1.2383497616393164</v>
      </c>
      <c r="KG46" s="133">
        <f t="shared" si="380"/>
        <v>3.6148076814444838</v>
      </c>
      <c r="KH46" s="134">
        <f t="shared" si="381"/>
        <v>6.406061207392268</v>
      </c>
      <c r="KI46" s="133">
        <f t="shared" si="382"/>
        <v>9.3390780676461009</v>
      </c>
      <c r="KJ46" s="133">
        <f t="shared" si="115"/>
        <v>12.085059429051482</v>
      </c>
      <c r="KK46" s="133">
        <f t="shared" si="116"/>
        <v>13.781019927538617</v>
      </c>
      <c r="KL46" s="133">
        <f t="shared" si="117"/>
        <v>15.281398509645465</v>
      </c>
      <c r="KM46" s="133">
        <f t="shared" si="118"/>
        <v>17.059467068930822</v>
      </c>
      <c r="KN46" s="81"/>
      <c r="KO46" s="81">
        <v>46</v>
      </c>
      <c r="KP46" s="133">
        <f t="shared" si="119"/>
        <v>-4.4744588619525771</v>
      </c>
      <c r="KQ46" s="133">
        <f t="shared" si="120"/>
        <v>-3.0139805761400034</v>
      </c>
      <c r="KR46" s="133">
        <f t="shared" si="121"/>
        <v>-1.7635839795867838</v>
      </c>
      <c r="KS46" s="133">
        <f t="shared" si="383"/>
        <v>-0.32796711087704722</v>
      </c>
      <c r="KT46" s="133">
        <f t="shared" si="384"/>
        <v>2.0538432743523813</v>
      </c>
      <c r="KU46" s="134">
        <f t="shared" si="385"/>
        <v>4.69133449225858</v>
      </c>
      <c r="KV46" s="133">
        <f t="shared" si="386"/>
        <v>7.3126490616278161</v>
      </c>
      <c r="KW46" s="133">
        <f t="shared" si="122"/>
        <v>9.6520818414593386</v>
      </c>
      <c r="KX46" s="133">
        <f t="shared" si="123"/>
        <v>11.049296187942172</v>
      </c>
      <c r="KY46" s="133">
        <f t="shared" si="124"/>
        <v>12.258210939041962</v>
      </c>
      <c r="KZ46" s="133">
        <f t="shared" si="125"/>
        <v>13.660536239320106</v>
      </c>
      <c r="LA46" s="81"/>
      <c r="LB46" s="81">
        <v>44</v>
      </c>
      <c r="LC46" s="133">
        <f t="shared" si="126"/>
        <v>-10.121136347016638</v>
      </c>
      <c r="LD46" s="133">
        <f t="shared" si="127"/>
        <v>-6.434771597078754</v>
      </c>
      <c r="LE46" s="133">
        <f t="shared" si="128"/>
        <v>-3.1865447380664733</v>
      </c>
      <c r="LF46" s="133">
        <f t="shared" si="387"/>
        <v>0.64181694944907974</v>
      </c>
      <c r="LG46" s="133">
        <f t="shared" si="388"/>
        <v>7.2124824622038233</v>
      </c>
      <c r="LH46" s="134">
        <f t="shared" si="389"/>
        <v>14.785122447903532</v>
      </c>
      <c r="LI46" s="133">
        <f t="shared" si="390"/>
        <v>22.597212013560316</v>
      </c>
      <c r="LJ46" s="133">
        <f t="shared" si="129"/>
        <v>29.793865856320018</v>
      </c>
      <c r="LK46" s="133">
        <f t="shared" si="130"/>
        <v>34.187879110228302</v>
      </c>
      <c r="LL46" s="133">
        <f t="shared" si="131"/>
        <v>38.04538373790681</v>
      </c>
      <c r="LM46" s="133">
        <f t="shared" si="132"/>
        <v>42.582860675411375</v>
      </c>
      <c r="LN46" s="81"/>
      <c r="LO46" s="81">
        <v>44</v>
      </c>
      <c r="LP46" s="133">
        <f t="shared" si="133"/>
        <v>-6.1202368136995844</v>
      </c>
      <c r="LQ46" s="133">
        <f t="shared" si="134"/>
        <v>-2.4957805610208936</v>
      </c>
      <c r="LR46" s="133">
        <f t="shared" si="135"/>
        <v>0.70883893226443107</v>
      </c>
      <c r="LS46" s="133">
        <f t="shared" si="391"/>
        <v>4.4976475476223037</v>
      </c>
      <c r="LT46" s="133">
        <f t="shared" si="392"/>
        <v>11.026981318886474</v>
      </c>
      <c r="LU46" s="134">
        <f t="shared" si="393"/>
        <v>18.588319951458185</v>
      </c>
      <c r="LV46" s="133">
        <f t="shared" si="394"/>
        <v>26.424018450929101</v>
      </c>
      <c r="LW46" s="133">
        <f t="shared" si="136"/>
        <v>33.670254359421492</v>
      </c>
      <c r="LX46" s="133">
        <f t="shared" si="137"/>
        <v>38.106417843810604</v>
      </c>
      <c r="LY46" s="133">
        <f t="shared" si="138"/>
        <v>42.00782980630477</v>
      </c>
      <c r="LZ46" s="133">
        <f t="shared" si="139"/>
        <v>46.604767762776021</v>
      </c>
      <c r="MA46" s="81"/>
      <c r="MB46" s="81">
        <v>46</v>
      </c>
      <c r="MC46" s="133">
        <f t="shared" si="140"/>
        <v>-9.7313621935461327</v>
      </c>
      <c r="MD46" s="133">
        <f t="shared" si="141"/>
        <v>-6.3905203304671083</v>
      </c>
      <c r="ME46" s="133">
        <f t="shared" si="142"/>
        <v>-3.479396853554384</v>
      </c>
      <c r="MF46" s="133">
        <f t="shared" si="395"/>
        <v>-8.2920656779883473E-2</v>
      </c>
      <c r="MG46" s="133">
        <f t="shared" si="396"/>
        <v>5.6707279621192725</v>
      </c>
      <c r="MH46" s="134">
        <f t="shared" si="397"/>
        <v>12.200705458735172</v>
      </c>
      <c r="MI46" s="133">
        <f t="shared" si="398"/>
        <v>18.841626005481615</v>
      </c>
      <c r="MJ46" s="133">
        <f t="shared" si="143"/>
        <v>24.885684747767414</v>
      </c>
      <c r="MK46" s="133">
        <f t="shared" si="144"/>
        <v>28.54505511005916</v>
      </c>
      <c r="ML46" s="133">
        <f t="shared" si="145"/>
        <v>31.739868395229244</v>
      </c>
      <c r="MM46" s="133">
        <f t="shared" si="146"/>
        <v>35.477935238272373</v>
      </c>
      <c r="MN46" s="81"/>
      <c r="MO46" s="81">
        <v>44</v>
      </c>
      <c r="MP46" s="133">
        <f t="shared" si="147"/>
        <v>-16.594633718292702</v>
      </c>
      <c r="MQ46" s="133">
        <f t="shared" si="148"/>
        <v>-12.324038039297623</v>
      </c>
      <c r="MR46" s="133">
        <f t="shared" si="149"/>
        <v>-8.6318445091232725</v>
      </c>
      <c r="MS46" s="133">
        <f t="shared" si="399"/>
        <v>-4.3558730986901679</v>
      </c>
      <c r="MT46" s="133">
        <f t="shared" si="400"/>
        <v>2.8163696403800316</v>
      </c>
      <c r="MU46" s="134">
        <f t="shared" si="401"/>
        <v>10.859453780406099</v>
      </c>
      <c r="MV46" s="133">
        <f t="shared" si="402"/>
        <v>18.946224259169995</v>
      </c>
      <c r="MW46" s="133">
        <f t="shared" si="150"/>
        <v>26.233826186116083</v>
      </c>
      <c r="MX46" s="133">
        <f t="shared" si="151"/>
        <v>30.615569861319308</v>
      </c>
      <c r="MY46" s="133">
        <f t="shared" si="152"/>
        <v>34.423473261230235</v>
      </c>
      <c r="MZ46" s="133">
        <f t="shared" si="153"/>
        <v>38.859154430926075</v>
      </c>
      <c r="NA46" s="81"/>
      <c r="NB46" s="81">
        <v>44</v>
      </c>
      <c r="NC46" s="133">
        <f t="shared" si="154"/>
        <v>-9.738837648814485</v>
      </c>
      <c r="ND46" s="133">
        <f t="shared" si="155"/>
        <v>-5.8319112456774533</v>
      </c>
      <c r="NE46" s="133">
        <f t="shared" si="156"/>
        <v>-2.4470272525999377</v>
      </c>
      <c r="NF46" s="133">
        <f t="shared" si="403"/>
        <v>1.4800846638517946</v>
      </c>
      <c r="NG46" s="133">
        <f t="shared" si="404"/>
        <v>8.0815990289778021</v>
      </c>
      <c r="NH46" s="134">
        <f t="shared" si="405"/>
        <v>15.502686655389649</v>
      </c>
      <c r="NI46" s="133">
        <f t="shared" si="406"/>
        <v>22.980157609865824</v>
      </c>
      <c r="NJ46" s="133">
        <f t="shared" si="157"/>
        <v>29.730529431193307</v>
      </c>
      <c r="NK46" s="133">
        <f t="shared" si="158"/>
        <v>33.79408964511002</v>
      </c>
      <c r="NL46" s="133">
        <f t="shared" si="159"/>
        <v>37.328198988214908</v>
      </c>
      <c r="NM46" s="133">
        <f t="shared" si="160"/>
        <v>41.447949922734324</v>
      </c>
      <c r="NN46" s="81"/>
      <c r="NO46" s="81">
        <v>46</v>
      </c>
      <c r="NP46" s="133">
        <f t="shared" si="161"/>
        <v>-17.495614491282605</v>
      </c>
      <c r="NQ46" s="133">
        <f t="shared" si="162"/>
        <v>-13.649637196750611</v>
      </c>
      <c r="NR46" s="133">
        <f t="shared" si="163"/>
        <v>-10.339324172272807</v>
      </c>
      <c r="NS46" s="133">
        <f t="shared" si="407"/>
        <v>-6.5201979369708702</v>
      </c>
      <c r="NT46" s="133">
        <f t="shared" si="408"/>
        <v>-0.14401205331301981</v>
      </c>
      <c r="NU46" s="134">
        <f t="shared" si="409"/>
        <v>6.9693248250945743</v>
      </c>
      <c r="NV46" s="133">
        <f t="shared" si="410"/>
        <v>14.088445426097088</v>
      </c>
      <c r="NW46" s="133">
        <f t="shared" si="164"/>
        <v>20.479907844216328</v>
      </c>
      <c r="NX46" s="133">
        <f t="shared" si="165"/>
        <v>24.313045855947536</v>
      </c>
      <c r="NY46" s="133">
        <f t="shared" si="166"/>
        <v>27.638692048516099</v>
      </c>
      <c r="NZ46" s="133">
        <f t="shared" si="167"/>
        <v>31.5065535091586</v>
      </c>
      <c r="OA46" s="81"/>
      <c r="OB46" s="81">
        <v>44</v>
      </c>
      <c r="OC46" s="133">
        <v>14.147239238984465</v>
      </c>
      <c r="OD46" s="133">
        <v>15.599544350146648</v>
      </c>
      <c r="OE46" s="133">
        <v>16.967301897699006</v>
      </c>
      <c r="OF46" s="133">
        <v>18.693731393886363</v>
      </c>
      <c r="OG46" s="133">
        <v>21.973449393386112</v>
      </c>
      <c r="OH46" s="134">
        <v>26.31146381189869</v>
      </c>
      <c r="OI46" s="133">
        <v>31.505892203398471</v>
      </c>
      <c r="OJ46" s="133">
        <v>37.033437216887776</v>
      </c>
      <c r="OK46" s="133">
        <v>40.801603702161898</v>
      </c>
      <c r="OL46" s="133">
        <v>44.379060848552683</v>
      </c>
      <c r="OM46" s="133">
        <v>48.934856916617015</v>
      </c>
      <c r="ON46" s="81"/>
      <c r="OO46" s="81">
        <v>44</v>
      </c>
      <c r="OP46" s="133">
        <v>12.795329715524066</v>
      </c>
      <c r="OQ46" s="133">
        <v>13.944925302626832</v>
      </c>
      <c r="OR46" s="133">
        <v>15.015916988498402</v>
      </c>
      <c r="OS46" s="133">
        <v>16.353181611693007</v>
      </c>
      <c r="OT46" s="133">
        <v>25.047438511699383</v>
      </c>
      <c r="OU46" s="134">
        <v>22.095202067560393</v>
      </c>
      <c r="OV46" s="133">
        <v>25.893280295181103</v>
      </c>
      <c r="OW46" s="133">
        <v>29.853392813619145</v>
      </c>
      <c r="OX46" s="133">
        <v>32.512030719153884</v>
      </c>
      <c r="OY46" s="133">
        <v>35.009004624382051</v>
      </c>
      <c r="OZ46" s="133">
        <v>38.154386425385646</v>
      </c>
      <c r="PA46" s="81"/>
      <c r="PB46" s="81">
        <v>46</v>
      </c>
      <c r="PC46" s="133">
        <v>18.708477549292287</v>
      </c>
      <c r="PD46" s="133">
        <v>20.115754786168111</v>
      </c>
      <c r="PE46" s="133">
        <v>21.410470612010347</v>
      </c>
      <c r="PF46" s="133">
        <v>23.00695488425588</v>
      </c>
      <c r="PG46" s="133">
        <v>25.93947539703067</v>
      </c>
      <c r="PH46" s="134">
        <v>29.650611407903334</v>
      </c>
      <c r="PI46" s="133">
        <v>33.892696109155928</v>
      </c>
      <c r="PJ46" s="133">
        <v>38.212738769010791</v>
      </c>
      <c r="PK46" s="133">
        <v>41.06209400036807</v>
      </c>
      <c r="PL46" s="133">
        <v>43.704984784712622</v>
      </c>
      <c r="PM46" s="133">
        <v>46.99253344084881</v>
      </c>
      <c r="PN46" s="81"/>
      <c r="PO46" s="81">
        <v>44</v>
      </c>
      <c r="PP46" s="133">
        <v>8.7294913328436028</v>
      </c>
      <c r="PQ46" s="133">
        <v>9.5021539830136863</v>
      </c>
      <c r="PR46" s="133">
        <v>10.221168281836583</v>
      </c>
      <c r="PS46" s="133">
        <v>11.117927210344648</v>
      </c>
      <c r="PT46" s="133">
        <v>12.792373495959938</v>
      </c>
      <c r="PU46" s="134">
        <v>14.95753906250264</v>
      </c>
      <c r="PV46" s="133">
        <v>17.489168439066422</v>
      </c>
      <c r="PW46" s="133">
        <v>20.123173193482064</v>
      </c>
      <c r="PX46" s="133">
        <v>21.888689104538631</v>
      </c>
      <c r="PY46" s="133">
        <v>23.544974666400343</v>
      </c>
      <c r="PZ46" s="133">
        <v>25.628981835922584</v>
      </c>
      <c r="QA46" s="81"/>
      <c r="QB46" s="81">
        <v>44</v>
      </c>
      <c r="QC46" s="133">
        <v>8.4413920575376231</v>
      </c>
      <c r="QD46" s="133">
        <v>9.1873121329555705</v>
      </c>
      <c r="QE46" s="133">
        <v>9.8813535614960415</v>
      </c>
      <c r="QF46" s="133">
        <v>10.746857616200831</v>
      </c>
      <c r="QG46" s="133">
        <v>12.362652411726394</v>
      </c>
      <c r="QH46" s="134">
        <v>14.451482501936503</v>
      </c>
      <c r="QI46" s="133">
        <v>16.893247464086269</v>
      </c>
      <c r="QJ46" s="133">
        <v>19.433154691557803</v>
      </c>
      <c r="QK46" s="133">
        <v>21.135297427021488</v>
      </c>
      <c r="QL46" s="133">
        <v>22.731931111236886</v>
      </c>
      <c r="QM46" s="133">
        <v>24.740628687811199</v>
      </c>
      <c r="QN46" s="81"/>
      <c r="QO46" s="81">
        <v>46</v>
      </c>
      <c r="QP46" s="133">
        <v>9.4364960993628682</v>
      </c>
      <c r="QQ46" s="133">
        <v>10.223792726757774</v>
      </c>
      <c r="QR46" s="133">
        <v>10.953250159422172</v>
      </c>
      <c r="QS46" s="133">
        <v>11.859094556116222</v>
      </c>
      <c r="QT46" s="133">
        <v>13.539974803207421</v>
      </c>
      <c r="QU46" s="134">
        <v>15.695702312699451</v>
      </c>
      <c r="QV46" s="133">
        <v>18.194647676192197</v>
      </c>
      <c r="QW46" s="133">
        <v>20.773514362597219</v>
      </c>
      <c r="QX46" s="133">
        <v>22.491504120077085</v>
      </c>
      <c r="QY46" s="133">
        <v>24.096250547423246</v>
      </c>
      <c r="QZ46" s="133">
        <v>26.10662564736419</v>
      </c>
      <c r="RA46" s="81"/>
      <c r="RB46" s="81">
        <v>44</v>
      </c>
      <c r="RC46" s="133">
        <f t="shared" si="168"/>
        <v>0.30925609040679258</v>
      </c>
      <c r="RD46" s="133">
        <f t="shared" si="169"/>
        <v>0.33661061626388705</v>
      </c>
      <c r="RE46" s="133">
        <f t="shared" si="170"/>
        <v>0.3623889271514692</v>
      </c>
      <c r="RF46" s="133">
        <f t="shared" si="411"/>
        <v>0.39498530738327364</v>
      </c>
      <c r="RG46" s="133">
        <f t="shared" si="412"/>
        <v>0.45720042711858555</v>
      </c>
      <c r="RH46" s="134">
        <f t="shared" si="413"/>
        <v>0.54030641206116881</v>
      </c>
      <c r="RI46" s="133">
        <f t="shared" si="414"/>
        <v>0.64134033682042912</v>
      </c>
      <c r="RJ46" s="133">
        <f t="shared" si="171"/>
        <v>0.75092730342367564</v>
      </c>
      <c r="RK46" s="133">
        <f t="shared" si="172"/>
        <v>0.82694883798050911</v>
      </c>
      <c r="RL46" s="133">
        <f t="shared" si="173"/>
        <v>0.90014921590242725</v>
      </c>
      <c r="RM46" s="133">
        <f t="shared" si="174"/>
        <v>0.9948510851238781</v>
      </c>
      <c r="RN46" s="81"/>
      <c r="RO46" s="81">
        <v>44</v>
      </c>
      <c r="RP46" s="133">
        <f t="shared" si="175"/>
        <v>0.34127798172194268</v>
      </c>
      <c r="RQ46" s="133">
        <f t="shared" si="176"/>
        <v>0.36995224790918968</v>
      </c>
      <c r="RR46" s="133">
        <f t="shared" si="177"/>
        <v>0.39698456069810734</v>
      </c>
      <c r="RS46" s="133">
        <f t="shared" si="415"/>
        <v>0.43119318126736594</v>
      </c>
      <c r="RT46" s="133">
        <f t="shared" si="416"/>
        <v>0.4966082005627287</v>
      </c>
      <c r="RU46" s="134">
        <f t="shared" si="417"/>
        <v>0.58432540899075514</v>
      </c>
      <c r="RV46" s="133">
        <f t="shared" si="418"/>
        <v>0.69160138636887569</v>
      </c>
      <c r="RW46" s="133">
        <f t="shared" si="178"/>
        <v>0.80884979506817256</v>
      </c>
      <c r="RX46" s="133">
        <f t="shared" si="179"/>
        <v>0.89076628539329972</v>
      </c>
      <c r="RY46" s="133">
        <f t="shared" si="180"/>
        <v>0.97010658786628701</v>
      </c>
      <c r="RZ46" s="133">
        <f t="shared" si="181"/>
        <v>1.0734386256538271</v>
      </c>
      <c r="SA46" s="81"/>
      <c r="SB46" s="81">
        <v>46</v>
      </c>
      <c r="SC46" s="133">
        <f t="shared" si="182"/>
        <v>0.30289651957538366</v>
      </c>
      <c r="SD46" s="133">
        <f t="shared" si="183"/>
        <v>0.32914986619381287</v>
      </c>
      <c r="SE46" s="133">
        <f t="shared" si="184"/>
        <v>0.35356750677212145</v>
      </c>
      <c r="SF46" s="133">
        <f t="shared" si="419"/>
        <v>0.38400776728284347</v>
      </c>
      <c r="SG46" s="133">
        <f t="shared" si="420"/>
        <v>0.44081813261990227</v>
      </c>
      <c r="SH46" s="134">
        <f t="shared" si="421"/>
        <v>0.5142472830497623</v>
      </c>
      <c r="SI46" s="133">
        <f t="shared" si="422"/>
        <v>0.60009340187489402</v>
      </c>
      <c r="SJ46" s="133">
        <f t="shared" si="185"/>
        <v>0.68942552912019051</v>
      </c>
      <c r="SK46" s="133">
        <f t="shared" si="186"/>
        <v>0.7493210327102553</v>
      </c>
      <c r="SL46" s="133">
        <f t="shared" si="187"/>
        <v>0.8055284764859777</v>
      </c>
      <c r="SM46" s="133">
        <f t="shared" si="188"/>
        <v>0.87627919254167552</v>
      </c>
      <c r="SN46" s="81"/>
      <c r="SO46" s="81">
        <v>44</v>
      </c>
      <c r="SP46" s="133">
        <f t="shared" si="189"/>
        <v>0.23646515055851139</v>
      </c>
      <c r="SQ46" s="133">
        <f t="shared" si="190"/>
        <v>0.25224379236004402</v>
      </c>
      <c r="SR46" s="133">
        <f t="shared" si="191"/>
        <v>0.26643207681077646</v>
      </c>
      <c r="SS46" s="133">
        <f t="shared" si="423"/>
        <v>0.28352084537963895</v>
      </c>
      <c r="ST46" s="133">
        <f t="shared" si="424"/>
        <v>0.31383341382322699</v>
      </c>
      <c r="SU46" s="134">
        <f t="shared" si="425"/>
        <v>0.3504034161082582</v>
      </c>
      <c r="SV46" s="133">
        <f t="shared" si="426"/>
        <v>0.39006656074429263</v>
      </c>
      <c r="SW46" s="133">
        <f t="shared" si="192"/>
        <v>0.42842262128067998</v>
      </c>
      <c r="SX46" s="133">
        <f t="shared" si="193"/>
        <v>0.45272554538739529</v>
      </c>
      <c r="SY46" s="133">
        <f t="shared" si="194"/>
        <v>0.4746259481300551</v>
      </c>
      <c r="SZ46" s="133">
        <f t="shared" si="195"/>
        <v>0.50107423040506527</v>
      </c>
      <c r="TA46" s="81"/>
      <c r="TB46" s="81">
        <v>44</v>
      </c>
      <c r="TC46" s="133">
        <f t="shared" si="196"/>
        <v>0.25493507202268095</v>
      </c>
      <c r="TD46" s="133">
        <f t="shared" si="197"/>
        <v>0.27057403829755572</v>
      </c>
      <c r="TE46" s="133">
        <f t="shared" si="198"/>
        <v>0.284650452950924</v>
      </c>
      <c r="TF46" s="133">
        <f t="shared" si="427"/>
        <v>0.30162496148618045</v>
      </c>
      <c r="TG46" s="133">
        <f t="shared" si="428"/>
        <v>0.33179879083320102</v>
      </c>
      <c r="TH46" s="134">
        <f t="shared" si="429"/>
        <v>0.36832558469928228</v>
      </c>
      <c r="TI46" s="133">
        <f t="shared" si="430"/>
        <v>0.40811205323134492</v>
      </c>
      <c r="TJ46" s="133">
        <f t="shared" si="199"/>
        <v>0.44676733727510193</v>
      </c>
      <c r="TK46" s="133">
        <f t="shared" si="200"/>
        <v>0.47135482974750836</v>
      </c>
      <c r="TL46" s="133">
        <f t="shared" si="201"/>
        <v>0.49357600918130257</v>
      </c>
      <c r="TM46" s="133">
        <f t="shared" si="202"/>
        <v>0.52049387393388957</v>
      </c>
      <c r="TN46" s="81"/>
      <c r="TO46" s="81">
        <v>46</v>
      </c>
      <c r="TP46" s="133">
        <f t="shared" si="203"/>
        <v>0.23279824289670142</v>
      </c>
      <c r="TQ46" s="133">
        <f t="shared" si="204"/>
        <v>0.24807608423497798</v>
      </c>
      <c r="TR46" s="133">
        <f t="shared" si="205"/>
        <v>0.26165471294935239</v>
      </c>
      <c r="TS46" s="133">
        <f t="shared" si="431"/>
        <v>0.2778174607835866</v>
      </c>
      <c r="TT46" s="133">
        <f t="shared" si="432"/>
        <v>0.30600008227937786</v>
      </c>
      <c r="TU46" s="134">
        <f t="shared" si="433"/>
        <v>0.33923018326720172</v>
      </c>
      <c r="TV46" s="133">
        <f t="shared" si="434"/>
        <v>0.37440098610816674</v>
      </c>
      <c r="TW46" s="133">
        <f t="shared" si="206"/>
        <v>0.40762753027886783</v>
      </c>
      <c r="TX46" s="133">
        <f t="shared" si="207"/>
        <v>0.42831078622621305</v>
      </c>
      <c r="TY46" s="133">
        <f t="shared" si="208"/>
        <v>0.44671845219579515</v>
      </c>
      <c r="TZ46" s="133">
        <f t="shared" si="209"/>
        <v>0.46867126022307043</v>
      </c>
      <c r="UA46" s="81"/>
      <c r="UB46" s="81">
        <v>44</v>
      </c>
      <c r="UC46" s="133">
        <f t="shared" si="210"/>
        <v>-20.012157274766338</v>
      </c>
      <c r="UD46" s="133">
        <f t="shared" si="211"/>
        <v>-16.573058563530353</v>
      </c>
      <c r="UE46" s="133">
        <f t="shared" si="212"/>
        <v>-13.697140868680876</v>
      </c>
      <c r="UF46" s="133">
        <f t="shared" si="435"/>
        <v>-10.464737336333258</v>
      </c>
      <c r="UG46" s="133">
        <f t="shared" si="436"/>
        <v>-5.2465738149388841</v>
      </c>
      <c r="UH46" s="134">
        <f t="shared" si="437"/>
        <v>0.34920616418682471</v>
      </c>
      <c r="UI46" s="133">
        <f t="shared" si="438"/>
        <v>5.7474164443557783</v>
      </c>
      <c r="UJ46" s="133">
        <f t="shared" si="213"/>
        <v>10.445104805623913</v>
      </c>
      <c r="UK46" s="133">
        <f t="shared" si="214"/>
        <v>13.202092591244451</v>
      </c>
      <c r="UL46" s="133">
        <f t="shared" si="215"/>
        <v>15.560269417859772</v>
      </c>
      <c r="UM46" s="133">
        <f t="shared" si="216"/>
        <v>18.265802702098924</v>
      </c>
      <c r="UN46" s="81"/>
      <c r="UO46" s="81">
        <v>44</v>
      </c>
      <c r="UP46" s="133">
        <f t="shared" si="217"/>
        <v>-15.797273739956744</v>
      </c>
      <c r="UQ46" s="133">
        <f t="shared" si="218"/>
        <v>-12.948020108253388</v>
      </c>
      <c r="UR46" s="133">
        <f t="shared" si="219"/>
        <v>-10.503718138727859</v>
      </c>
      <c r="US46" s="133">
        <f t="shared" si="439"/>
        <v>-7.6918690267182761</v>
      </c>
      <c r="UT46" s="133">
        <f t="shared" si="440"/>
        <v>-3.0142774162873742</v>
      </c>
      <c r="UU46" s="134">
        <f t="shared" si="441"/>
        <v>2.1827582185923049</v>
      </c>
      <c r="UV46" s="133">
        <f t="shared" si="442"/>
        <v>7.3648548450246381</v>
      </c>
      <c r="UW46" s="133">
        <f t="shared" si="220"/>
        <v>12.003082409844595</v>
      </c>
      <c r="UX46" s="133">
        <f t="shared" si="221"/>
        <v>14.778956123374208</v>
      </c>
      <c r="UY46" s="133">
        <f t="shared" si="222"/>
        <v>17.184046774093346</v>
      </c>
      <c r="UZ46" s="133">
        <f t="shared" si="223"/>
        <v>19.977655550696468</v>
      </c>
      <c r="VA46" s="81"/>
      <c r="VB46" s="81">
        <v>47</v>
      </c>
      <c r="VC46" s="133">
        <f t="shared" si="224"/>
        <v>-20.354448924732189</v>
      </c>
      <c r="VD46" s="133">
        <f t="shared" si="225"/>
        <v>-16.844495806053715</v>
      </c>
      <c r="VE46" s="133">
        <f t="shared" si="226"/>
        <v>-13.954572464501744</v>
      </c>
      <c r="VF46" s="133">
        <f t="shared" si="443"/>
        <v>-10.749850599250919</v>
      </c>
      <c r="VG46" s="133">
        <f t="shared" si="444"/>
        <v>-5.6613868206866798</v>
      </c>
      <c r="VH46" s="134">
        <f t="shared" si="445"/>
        <v>-0.30549993875284542</v>
      </c>
      <c r="VI46" s="133">
        <f t="shared" si="446"/>
        <v>4.7762477520707733</v>
      </c>
      <c r="VJ46" s="133">
        <f t="shared" si="227"/>
        <v>9.1388696738947033</v>
      </c>
      <c r="VK46" s="133">
        <f t="shared" si="228"/>
        <v>11.675749552875345</v>
      </c>
      <c r="VL46" s="133">
        <f t="shared" si="229"/>
        <v>13.83280442075349</v>
      </c>
      <c r="VM46" s="133">
        <f t="shared" si="230"/>
        <v>16.293728248703374</v>
      </c>
      <c r="VN46" s="81"/>
      <c r="VO46" s="81">
        <v>44</v>
      </c>
      <c r="VP46" s="133">
        <f t="shared" si="231"/>
        <v>-34.769505341294163</v>
      </c>
      <c r="VQ46" s="133">
        <f t="shared" si="232"/>
        <v>-30.33483513625621</v>
      </c>
      <c r="VR46" s="133">
        <f t="shared" si="233"/>
        <v>-26.233525971600105</v>
      </c>
      <c r="VS46" s="133">
        <f t="shared" si="447"/>
        <v>-21.184701450159764</v>
      </c>
      <c r="VT46" s="133">
        <f t="shared" si="448"/>
        <v>-12.022882500445824</v>
      </c>
      <c r="VU46" s="134">
        <f t="shared" si="449"/>
        <v>-0.76033641686098719</v>
      </c>
      <c r="VV46" s="133">
        <f t="shared" si="450"/>
        <v>11.568500126419941</v>
      </c>
      <c r="VW46" s="133">
        <f t="shared" si="234"/>
        <v>23.507106997267663</v>
      </c>
      <c r="VX46" s="133">
        <f t="shared" si="235"/>
        <v>31.051455204041723</v>
      </c>
      <c r="VY46" s="133">
        <f t="shared" si="236"/>
        <v>37.826028719765894</v>
      </c>
      <c r="VZ46" s="133">
        <f t="shared" si="237"/>
        <v>45.968918121923103</v>
      </c>
      <c r="WA46" s="81"/>
      <c r="WB46" s="81">
        <v>44</v>
      </c>
      <c r="WC46" s="133">
        <f t="shared" si="238"/>
        <v>-30.431219088658167</v>
      </c>
      <c r="WD46" s="133">
        <f t="shared" si="239"/>
        <v>-26.088430842256898</v>
      </c>
      <c r="WE46" s="133">
        <f t="shared" si="240"/>
        <v>-22.053864431227598</v>
      </c>
      <c r="WF46" s="133">
        <f t="shared" si="451"/>
        <v>-17.068586974958592</v>
      </c>
      <c r="WG46" s="133">
        <f t="shared" si="452"/>
        <v>-7.982426757977187</v>
      </c>
      <c r="WH46" s="134">
        <f t="shared" si="453"/>
        <v>3.2381519279955668</v>
      </c>
      <c r="WI46" s="133">
        <f t="shared" si="454"/>
        <v>15.5673840270127</v>
      </c>
      <c r="WJ46" s="133">
        <f t="shared" si="241"/>
        <v>27.54087661409698</v>
      </c>
      <c r="WK46" s="133">
        <f t="shared" si="242"/>
        <v>35.121318819379404</v>
      </c>
      <c r="WL46" s="133">
        <f t="shared" si="243"/>
        <v>41.936220250474115</v>
      </c>
      <c r="WM46" s="133">
        <f t="shared" si="244"/>
        <v>50.136373220604902</v>
      </c>
      <c r="WN46" s="81"/>
      <c r="WO46" s="81">
        <v>47</v>
      </c>
      <c r="WP46" s="133">
        <f t="shared" si="245"/>
        <v>-35.323498799592585</v>
      </c>
      <c r="WQ46" s="133">
        <f t="shared" si="246"/>
        <v>-30.8006663705135</v>
      </c>
      <c r="WR46" s="133">
        <f t="shared" si="247"/>
        <v>-26.667571490734105</v>
      </c>
      <c r="WS46" s="133">
        <f t="shared" si="455"/>
        <v>-21.638887583824506</v>
      </c>
      <c r="WT46" s="133">
        <f t="shared" si="456"/>
        <v>-12.660002162754303</v>
      </c>
      <c r="WU46" s="134">
        <f t="shared" si="457"/>
        <v>-1.8412441321474091</v>
      </c>
      <c r="WV46" s="133">
        <f t="shared" si="458"/>
        <v>9.772592492050471</v>
      </c>
      <c r="WW46" s="133">
        <f t="shared" si="248"/>
        <v>20.827462574214429</v>
      </c>
      <c r="WX46" s="133">
        <f t="shared" si="249"/>
        <v>27.728856952997496</v>
      </c>
      <c r="WY46" s="133">
        <f t="shared" si="250"/>
        <v>33.875763848143372</v>
      </c>
      <c r="WZ46" s="133">
        <f t="shared" si="251"/>
        <v>41.206055009494754</v>
      </c>
      <c r="XA46" s="81"/>
      <c r="XB46" s="81">
        <v>44</v>
      </c>
      <c r="XC46" s="133">
        <f t="shared" si="252"/>
        <v>-40.334768475246314</v>
      </c>
      <c r="XD46" s="133">
        <f t="shared" si="253"/>
        <v>-35.432625583641538</v>
      </c>
      <c r="XE46" s="133">
        <f t="shared" si="254"/>
        <v>-30.978724457411012</v>
      </c>
      <c r="XF46" s="133">
        <f t="shared" si="459"/>
        <v>-25.600366665103383</v>
      </c>
      <c r="XG46" s="133">
        <f t="shared" si="460"/>
        <v>-16.112662727671562</v>
      </c>
      <c r="XH46" s="134">
        <f t="shared" si="461"/>
        <v>-4.8680445987212124</v>
      </c>
      <c r="XI46" s="133">
        <f t="shared" si="462"/>
        <v>6.9986349003056887</v>
      </c>
      <c r="XJ46" s="133">
        <f t="shared" si="255"/>
        <v>18.120867955965501</v>
      </c>
      <c r="XK46" s="133">
        <f t="shared" si="256"/>
        <v>24.987376695407484</v>
      </c>
      <c r="XL46" s="133">
        <f t="shared" si="257"/>
        <v>31.057387168050347</v>
      </c>
      <c r="XM46" s="133">
        <f t="shared" si="258"/>
        <v>38.243149931295498</v>
      </c>
      <c r="XN46" s="81"/>
      <c r="XO46" s="81">
        <v>44</v>
      </c>
      <c r="XP46" s="133">
        <f t="shared" si="259"/>
        <v>-33.169614829842466</v>
      </c>
      <c r="XQ46" s="133">
        <f t="shared" si="260"/>
        <v>-28.417263358823174</v>
      </c>
      <c r="XR46" s="133">
        <f t="shared" si="261"/>
        <v>-24.154352141665864</v>
      </c>
      <c r="XS46" s="133">
        <f t="shared" si="463"/>
        <v>-19.057931160978839</v>
      </c>
      <c r="XT46" s="133">
        <f t="shared" si="464"/>
        <v>-10.168261180707177</v>
      </c>
      <c r="XU46" s="134">
        <f t="shared" si="465"/>
        <v>0.24726136452897407</v>
      </c>
      <c r="XV46" s="133">
        <f t="shared" si="466"/>
        <v>11.136120354401626</v>
      </c>
      <c r="XW46" s="133">
        <f t="shared" si="262"/>
        <v>21.268336526697304</v>
      </c>
      <c r="XX46" s="133">
        <f t="shared" si="263"/>
        <v>27.494349876135253</v>
      </c>
      <c r="XY46" s="133">
        <f t="shared" si="264"/>
        <v>32.981887041001777</v>
      </c>
      <c r="XZ46" s="133">
        <f t="shared" si="265"/>
        <v>39.460253826077825</v>
      </c>
      <c r="YA46" s="81"/>
      <c r="YB46" s="81">
        <v>47</v>
      </c>
      <c r="YC46" s="133">
        <f t="shared" si="266"/>
        <v>-41.763043687530214</v>
      </c>
      <c r="YD46" s="133">
        <f t="shared" si="267"/>
        <v>-36.855766397490783</v>
      </c>
      <c r="YE46" s="133">
        <f t="shared" si="268"/>
        <v>-32.429914612582088</v>
      </c>
      <c r="YF46" s="133">
        <f t="shared" si="467"/>
        <v>-27.123060555204702</v>
      </c>
      <c r="YG46" s="133">
        <f t="shared" si="468"/>
        <v>-17.848808357979266</v>
      </c>
      <c r="YH46" s="134">
        <f t="shared" si="469"/>
        <v>-6.9782602553883137</v>
      </c>
      <c r="YI46" s="133">
        <f t="shared" si="470"/>
        <v>4.3762471551897875</v>
      </c>
      <c r="YJ46" s="133">
        <f t="shared" si="269"/>
        <v>14.926517356614319</v>
      </c>
      <c r="YK46" s="133">
        <f t="shared" si="270"/>
        <v>21.401066836073788</v>
      </c>
      <c r="YL46" s="133">
        <f t="shared" si="271"/>
        <v>27.102164623962018</v>
      </c>
      <c r="YM46" s="133">
        <f t="shared" si="272"/>
        <v>33.825945233014885</v>
      </c>
      <c r="YN46" s="81"/>
      <c r="YO46" s="81">
        <v>44</v>
      </c>
      <c r="YP46" s="133">
        <v>17.66621590819399</v>
      </c>
      <c r="YQ46" s="133">
        <v>19.785877374736277</v>
      </c>
      <c r="YR46" s="133">
        <v>21.811226988282741</v>
      </c>
      <c r="YS46" s="133">
        <v>24.404949326151826</v>
      </c>
      <c r="YT46" s="133">
        <v>29.436169412115923</v>
      </c>
      <c r="YU46" s="134">
        <v>36.275445796098516</v>
      </c>
      <c r="YV46" s="133">
        <v>44.703777495045053</v>
      </c>
      <c r="YW46" s="133">
        <v>53.919717272085535</v>
      </c>
      <c r="YX46" s="133">
        <v>60.331680029399664</v>
      </c>
      <c r="YY46" s="133">
        <v>66.507435722102812</v>
      </c>
      <c r="YZ46" s="133">
        <v>74.487257177431701</v>
      </c>
      <c r="ZA46" s="81"/>
      <c r="ZB46" s="81">
        <v>44</v>
      </c>
      <c r="ZC46" s="133">
        <v>14.292927276415261</v>
      </c>
      <c r="ZD46" s="133">
        <v>16.212479916507306</v>
      </c>
      <c r="ZE46" s="133">
        <v>18.068359061732789</v>
      </c>
      <c r="ZF46" s="133">
        <v>20.473241469175115</v>
      </c>
      <c r="ZG46" s="133">
        <v>25.218256575622373</v>
      </c>
      <c r="ZH46" s="134">
        <v>31.813924005443774</v>
      </c>
      <c r="ZI46" s="133">
        <v>40.13464442274487</v>
      </c>
      <c r="ZJ46" s="133">
        <v>49.436517522055638</v>
      </c>
      <c r="ZK46" s="133">
        <v>56.016473724376304</v>
      </c>
      <c r="ZL46" s="133">
        <v>62.428805823445977</v>
      </c>
      <c r="ZM46" s="133">
        <v>70.813049073177538</v>
      </c>
      <c r="ZN46" s="81"/>
      <c r="ZO46" s="81">
        <v>47</v>
      </c>
      <c r="ZP46" s="133">
        <v>21.014874719387066</v>
      </c>
      <c r="ZQ46" s="133">
        <v>23.136156609513858</v>
      </c>
      <c r="ZR46" s="133">
        <v>25.131063094610884</v>
      </c>
      <c r="ZS46" s="133">
        <v>27.645468290530786</v>
      </c>
      <c r="ZT46" s="133">
        <v>32.412185158879176</v>
      </c>
      <c r="ZU46" s="134">
        <v>38.699834297822576</v>
      </c>
      <c r="ZV46" s="133">
        <v>46.20722630509357</v>
      </c>
      <c r="ZW46" s="133">
        <v>54.174418712665243</v>
      </c>
      <c r="ZX46" s="133">
        <v>59.594660561736724</v>
      </c>
      <c r="ZY46" s="133">
        <v>64.733187968785742</v>
      </c>
      <c r="ZZ46" s="133">
        <v>71.267480519275125</v>
      </c>
      <c r="AAA46" s="81"/>
      <c r="AAB46" s="81">
        <v>44</v>
      </c>
      <c r="AAC46" s="133">
        <v>9.3961122135466759</v>
      </c>
      <c r="AAD46" s="133">
        <v>10.431178920510726</v>
      </c>
      <c r="AAE46" s="133">
        <v>11.412140620601177</v>
      </c>
      <c r="AAF46" s="133">
        <v>12.658158715715967</v>
      </c>
      <c r="AAG46" s="133">
        <v>15.04680199510225</v>
      </c>
      <c r="AAH46" s="134">
        <v>18.244023755155546</v>
      </c>
      <c r="AAI46" s="133">
        <v>22.120607613964815</v>
      </c>
      <c r="AAJ46" s="133">
        <v>26.294851427753926</v>
      </c>
      <c r="AAK46" s="133">
        <v>29.165816812476852</v>
      </c>
      <c r="AAL46" s="133">
        <v>31.908608347634711</v>
      </c>
      <c r="AAM46" s="133">
        <v>35.423630030600037</v>
      </c>
      <c r="AAN46" s="81"/>
      <c r="AAO46" s="81">
        <v>44</v>
      </c>
      <c r="AAP46" s="133">
        <v>8.4467347278412337</v>
      </c>
      <c r="AAQ46" s="133">
        <v>9.4878250106201492</v>
      </c>
      <c r="AAR46" s="133">
        <v>10.485286603660041</v>
      </c>
      <c r="AAS46" s="133">
        <v>11.766126155147209</v>
      </c>
      <c r="AAT46" s="133">
        <v>14.260379493286985</v>
      </c>
      <c r="AAU46" s="134">
        <v>17.668379645520172</v>
      </c>
      <c r="AAV46" s="133">
        <v>21.890836737211998</v>
      </c>
      <c r="AAW46" s="133">
        <v>26.531386386815914</v>
      </c>
      <c r="AAX46" s="133">
        <v>29.772351591158539</v>
      </c>
      <c r="AAY46" s="133">
        <v>32.902339466506156</v>
      </c>
      <c r="AAZ46" s="133">
        <v>36.957670550406206</v>
      </c>
      <c r="ABA46" s="81"/>
      <c r="ABB46" s="81">
        <v>47</v>
      </c>
      <c r="ABC46" s="133">
        <v>10.332033778206149</v>
      </c>
      <c r="ABD46" s="133">
        <v>11.34700508540509</v>
      </c>
      <c r="ABE46" s="133">
        <v>12.299331752204591</v>
      </c>
      <c r="ABF46" s="133">
        <v>13.496918350679547</v>
      </c>
      <c r="ABG46" s="133">
        <v>15.759801286597165</v>
      </c>
      <c r="ABH46" s="134">
        <v>18.731849650085479</v>
      </c>
      <c r="ABI46" s="133">
        <v>22.264379158880203</v>
      </c>
      <c r="ABJ46" s="133">
        <v>25.997207821572172</v>
      </c>
      <c r="ABK46" s="133">
        <v>28.528557354387459</v>
      </c>
      <c r="ABL46" s="133">
        <v>30.922890108221079</v>
      </c>
      <c r="ABM46" s="133">
        <v>33.960612096869063</v>
      </c>
      <c r="ABN46" s="81"/>
      <c r="ABO46" s="81">
        <v>44</v>
      </c>
      <c r="ABP46" s="133">
        <f t="shared" si="273"/>
        <v>0.23968504745186653</v>
      </c>
      <c r="ABQ46" s="133">
        <f t="shared" si="274"/>
        <v>0.27120452350601343</v>
      </c>
      <c r="ABR46" s="133">
        <f t="shared" si="275"/>
        <v>0.30064173300214397</v>
      </c>
      <c r="ABS46" s="133">
        <f t="shared" si="471"/>
        <v>0.3373968599244086</v>
      </c>
      <c r="ABT46" s="133">
        <f t="shared" si="472"/>
        <v>0.40585267074015624</v>
      </c>
      <c r="ABU46" s="134">
        <f t="shared" si="473"/>
        <v>0.49351118569246866</v>
      </c>
      <c r="ABV46" s="133">
        <f t="shared" si="474"/>
        <v>0.5942242590326452</v>
      </c>
      <c r="ABW46" s="133">
        <f t="shared" si="276"/>
        <v>0.6966448047027789</v>
      </c>
      <c r="ABX46" s="133">
        <f t="shared" si="277"/>
        <v>0.7638839216173402</v>
      </c>
      <c r="ABY46" s="133">
        <f t="shared" si="278"/>
        <v>0.82593148874170941</v>
      </c>
      <c r="ABZ46" s="133">
        <f t="shared" si="279"/>
        <v>0.9026048244771423</v>
      </c>
      <c r="ACA46" s="81"/>
      <c r="ACB46" s="81">
        <v>44</v>
      </c>
      <c r="ACC46" s="133">
        <f t="shared" si="280"/>
        <v>0.27565164161167993</v>
      </c>
      <c r="ACD46" s="133">
        <f t="shared" si="281"/>
        <v>0.30641556495438121</v>
      </c>
      <c r="ACE46" s="133">
        <f t="shared" si="282"/>
        <v>0.33518880104684479</v>
      </c>
      <c r="ACF46" s="133">
        <f t="shared" si="475"/>
        <v>0.37121512954461772</v>
      </c>
      <c r="ACG46" s="133">
        <f t="shared" si="476"/>
        <v>0.43872747736968931</v>
      </c>
      <c r="ACH46" s="134">
        <f t="shared" si="477"/>
        <v>0.52615609082407377</v>
      </c>
      <c r="ACI46" s="133">
        <f t="shared" si="478"/>
        <v>0.62814899107161537</v>
      </c>
      <c r="ACJ46" s="133">
        <f t="shared" si="283"/>
        <v>0.73367008810999312</v>
      </c>
      <c r="ACK46" s="133">
        <f t="shared" si="284"/>
        <v>0.80395248746734183</v>
      </c>
      <c r="ACL46" s="133">
        <f t="shared" si="285"/>
        <v>0.86952013162511088</v>
      </c>
      <c r="ACM46" s="133">
        <f t="shared" si="286"/>
        <v>0.95148465397622317</v>
      </c>
      <c r="ACN46" s="81"/>
      <c r="ACO46" s="81">
        <v>47</v>
      </c>
      <c r="ACP46" s="133">
        <f t="shared" si="287"/>
        <v>0.22925785202821389</v>
      </c>
      <c r="ACQ46" s="133">
        <f t="shared" si="288"/>
        <v>0.26284362486370105</v>
      </c>
      <c r="ACR46" s="133">
        <f t="shared" si="289"/>
        <v>0.2936272567925361</v>
      </c>
      <c r="ACS46" s="133">
        <f t="shared" si="479"/>
        <v>0.33130584535577262</v>
      </c>
      <c r="ACT46" s="133">
        <f t="shared" si="480"/>
        <v>0.39945572208807129</v>
      </c>
      <c r="ACU46" s="134">
        <f t="shared" si="481"/>
        <v>0.4830480906312003</v>
      </c>
      <c r="ACV46" s="133">
        <f t="shared" si="482"/>
        <v>0.57485448966485697</v>
      </c>
      <c r="ACW46" s="133">
        <f t="shared" si="290"/>
        <v>0.66439608040771114</v>
      </c>
      <c r="ACX46" s="133">
        <f t="shared" si="291"/>
        <v>0.72123495397348558</v>
      </c>
      <c r="ACY46" s="133">
        <f t="shared" si="292"/>
        <v>0.77248583903087831</v>
      </c>
      <c r="ACZ46" s="133">
        <f t="shared" si="293"/>
        <v>0.83436126618960105</v>
      </c>
      <c r="ADA46" s="81"/>
      <c r="ADB46" s="81">
        <v>44</v>
      </c>
      <c r="ADC46" s="133">
        <f t="shared" si="294"/>
        <v>0.19449714368077975</v>
      </c>
      <c r="ADD46" s="133">
        <f t="shared" si="295"/>
        <v>0.21467903178697753</v>
      </c>
      <c r="ADE46" s="133">
        <f t="shared" si="296"/>
        <v>0.23238658061514525</v>
      </c>
      <c r="ADF46" s="133">
        <f t="shared" si="483"/>
        <v>0.25318508988689231</v>
      </c>
      <c r="ADG46" s="133">
        <f t="shared" si="484"/>
        <v>0.28874454213026057</v>
      </c>
      <c r="ADH46" s="134">
        <f t="shared" si="485"/>
        <v>0.32957222805666991</v>
      </c>
      <c r="ADI46" s="133">
        <f t="shared" si="486"/>
        <v>0.37157272986781292</v>
      </c>
      <c r="ADJ46" s="133">
        <f t="shared" si="297"/>
        <v>0.41019139402588423</v>
      </c>
      <c r="ADK46" s="133">
        <f t="shared" si="298"/>
        <v>0.43374546758692784</v>
      </c>
      <c r="ADL46" s="133">
        <f t="shared" si="299"/>
        <v>0.45441142859780259</v>
      </c>
      <c r="ADM46" s="133">
        <f t="shared" si="300"/>
        <v>0.47870844443071808</v>
      </c>
      <c r="ADN46" s="81"/>
      <c r="ADO46" s="81">
        <v>44</v>
      </c>
      <c r="ADP46" s="133">
        <f t="shared" si="301"/>
        <v>0.21740259234455253</v>
      </c>
      <c r="ADQ46" s="133">
        <f t="shared" si="302"/>
        <v>0.23577549596141389</v>
      </c>
      <c r="ADR46" s="133">
        <f t="shared" si="303"/>
        <v>0.25204085266533249</v>
      </c>
      <c r="ADS46" s="133">
        <f t="shared" si="487"/>
        <v>0.27131753573649015</v>
      </c>
      <c r="ADT46" s="133">
        <f t="shared" si="488"/>
        <v>0.30469986806938043</v>
      </c>
      <c r="ADU46" s="134">
        <f t="shared" si="489"/>
        <v>0.34367312254414212</v>
      </c>
      <c r="ADV46" s="133">
        <f t="shared" si="490"/>
        <v>0.3844615642027871</v>
      </c>
      <c r="ADW46" s="133">
        <f t="shared" si="304"/>
        <v>0.42256558156621876</v>
      </c>
      <c r="ADX46" s="133">
        <f t="shared" si="305"/>
        <v>0.44607889179179466</v>
      </c>
      <c r="ADY46" s="133">
        <f t="shared" si="306"/>
        <v>0.46687521312964536</v>
      </c>
      <c r="ADZ46" s="133">
        <f t="shared" si="307"/>
        <v>0.49151998008048225</v>
      </c>
      <c r="AEA46" s="81"/>
      <c r="AEB46" s="81">
        <v>47</v>
      </c>
      <c r="AEC46" s="133">
        <f t="shared" si="308"/>
        <v>0.18796772444311394</v>
      </c>
      <c r="AED46" s="133">
        <f t="shared" si="309"/>
        <v>0.20973979663967915</v>
      </c>
      <c r="AEE46" s="133">
        <f t="shared" si="310"/>
        <v>0.22839244481145013</v>
      </c>
      <c r="AEF46" s="133">
        <f t="shared" si="491"/>
        <v>0.24982263001169167</v>
      </c>
      <c r="AEG46" s="133">
        <f t="shared" si="492"/>
        <v>0.28541180436633312</v>
      </c>
      <c r="AEH46" s="134">
        <f t="shared" si="493"/>
        <v>0.32487145270000806</v>
      </c>
      <c r="AEI46" s="133">
        <f t="shared" si="494"/>
        <v>0.36413981760599407</v>
      </c>
      <c r="AEJ46" s="133">
        <f t="shared" si="311"/>
        <v>0.39922663064402802</v>
      </c>
      <c r="AEK46" s="133">
        <f t="shared" si="312"/>
        <v>0.42019992680526858</v>
      </c>
      <c r="AEL46" s="133">
        <f t="shared" si="313"/>
        <v>0.43835717970280358</v>
      </c>
      <c r="AEM46" s="133">
        <f t="shared" si="314"/>
        <v>0.45943125620256481</v>
      </c>
      <c r="AEN46" s="81"/>
    </row>
    <row r="47" spans="1:820">
      <c r="A47" s="81"/>
      <c r="B47" s="81">
        <v>46</v>
      </c>
      <c r="C47" s="133">
        <f t="shared" si="0"/>
        <v>2.009167630724269</v>
      </c>
      <c r="D47" s="133">
        <f t="shared" si="1"/>
        <v>2.4115771233805754</v>
      </c>
      <c r="E47" s="133">
        <f t="shared" si="2"/>
        <v>2.8358801853833193</v>
      </c>
      <c r="F47" s="133">
        <f t="shared" si="315"/>
        <v>3.4398002446285494</v>
      </c>
      <c r="G47" s="133">
        <f t="shared" si="316"/>
        <v>4.8238250639144331</v>
      </c>
      <c r="H47" s="134">
        <f t="shared" si="317"/>
        <v>7.2214583525819016</v>
      </c>
      <c r="I47" s="133">
        <f t="shared" si="318"/>
        <v>11.166545148917669</v>
      </c>
      <c r="J47" s="133">
        <f t="shared" si="3"/>
        <v>17.049902440650271</v>
      </c>
      <c r="K47" s="133">
        <f t="shared" si="4"/>
        <v>22.345104707673915</v>
      </c>
      <c r="L47" s="133">
        <f t="shared" si="5"/>
        <v>28.57730826250118</v>
      </c>
      <c r="M47" s="133">
        <f t="shared" si="6"/>
        <v>38.605406605351753</v>
      </c>
      <c r="N47" s="81"/>
      <c r="O47" s="75">
        <v>46</v>
      </c>
      <c r="P47" s="151">
        <f t="shared" si="7"/>
        <v>2.7136845035524453</v>
      </c>
      <c r="Q47" s="151">
        <f t="shared" si="8"/>
        <v>3.1008377171350126</v>
      </c>
      <c r="R47" s="151">
        <f t="shared" si="9"/>
        <v>3.4987356445177578</v>
      </c>
      <c r="S47" s="151">
        <f t="shared" si="319"/>
        <v>4.0523640019577796</v>
      </c>
      <c r="T47" s="151">
        <f t="shared" si="320"/>
        <v>5.2885165979088296</v>
      </c>
      <c r="U47" s="134">
        <f t="shared" si="321"/>
        <v>7.3920097289178148</v>
      </c>
      <c r="V47" s="151">
        <f t="shared" si="322"/>
        <v>10.887404680419488</v>
      </c>
      <c r="W47" s="151">
        <f t="shared" si="10"/>
        <v>16.367674040846939</v>
      </c>
      <c r="X47" s="151">
        <f t="shared" si="11"/>
        <v>21.677021930930959</v>
      </c>
      <c r="Y47" s="151">
        <f t="shared" si="12"/>
        <v>28.465211748088642</v>
      </c>
      <c r="Z47" s="151">
        <f t="shared" si="13"/>
        <v>40.785768418736197</v>
      </c>
      <c r="AA47" s="81"/>
      <c r="AB47" s="75">
        <v>48</v>
      </c>
      <c r="AC47" s="151">
        <f t="shared" si="14"/>
        <v>1.7322273016956493</v>
      </c>
      <c r="AD47" s="151">
        <f t="shared" si="15"/>
        <v>2.0921448287497415</v>
      </c>
      <c r="AE47" s="151">
        <f t="shared" si="16"/>
        <v>2.4774353240207607</v>
      </c>
      <c r="AF47" s="151">
        <f t="shared" si="323"/>
        <v>3.035690303927872</v>
      </c>
      <c r="AG47" s="151">
        <f t="shared" si="324"/>
        <v>4.3561597149447726</v>
      </c>
      <c r="AH47" s="134">
        <f t="shared" si="325"/>
        <v>6.7669965442101105</v>
      </c>
      <c r="AI47" s="151">
        <f t="shared" si="326"/>
        <v>11.034505282460364</v>
      </c>
      <c r="AJ47" s="151">
        <f t="shared" si="17"/>
        <v>18.007512170792257</v>
      </c>
      <c r="AK47" s="151">
        <f t="shared" si="18"/>
        <v>24.842044186942033</v>
      </c>
      <c r="AL47" s="151">
        <f t="shared" si="19"/>
        <v>33.508838684571657</v>
      </c>
      <c r="AM47" s="151">
        <f t="shared" si="20"/>
        <v>48.772900013428455</v>
      </c>
      <c r="AN47" s="81"/>
      <c r="AO47" s="81">
        <v>46</v>
      </c>
      <c r="AP47" s="133">
        <f t="shared" si="21"/>
        <v>1.3407753689330937</v>
      </c>
      <c r="AQ47" s="133">
        <f t="shared" si="22"/>
        <v>3.6040455019640527</v>
      </c>
      <c r="AR47" s="133">
        <f t="shared" si="23"/>
        <v>5.7796639701612671</v>
      </c>
      <c r="AS47" s="133">
        <f t="shared" si="327"/>
        <v>8.5536703210284735</v>
      </c>
      <c r="AT47" s="133">
        <f t="shared" si="328"/>
        <v>13.821670533954887</v>
      </c>
      <c r="AU47" s="134">
        <f t="shared" si="329"/>
        <v>20.649451517763378</v>
      </c>
      <c r="AV47" s="133">
        <f t="shared" si="330"/>
        <v>28.49904631180792</v>
      </c>
      <c r="AW47" s="133">
        <f t="shared" si="24"/>
        <v>36.421870410102173</v>
      </c>
      <c r="AX47" s="133">
        <f t="shared" si="25"/>
        <v>41.57408671505474</v>
      </c>
      <c r="AY47" s="133">
        <f t="shared" si="26"/>
        <v>46.289025156383353</v>
      </c>
      <c r="AZ47" s="133">
        <f t="shared" si="27"/>
        <v>52.060162929754199</v>
      </c>
      <c r="BA47" s="81"/>
      <c r="BB47" s="81">
        <v>46</v>
      </c>
      <c r="BC47" s="133">
        <f t="shared" si="28"/>
        <v>4.249747410697835</v>
      </c>
      <c r="BD47" s="133">
        <f t="shared" si="29"/>
        <v>6.8164423074763674</v>
      </c>
      <c r="BE47" s="133">
        <f t="shared" si="30"/>
        <v>9.195330891632949</v>
      </c>
      <c r="BF47" s="133">
        <f t="shared" si="331"/>
        <v>12.12881691420149</v>
      </c>
      <c r="BG47" s="133">
        <f t="shared" si="332"/>
        <v>17.46213613433693</v>
      </c>
      <c r="BH47" s="134">
        <f t="shared" si="333"/>
        <v>24.030397053155127</v>
      </c>
      <c r="BI47" s="133">
        <f t="shared" si="334"/>
        <v>31.230493641456103</v>
      </c>
      <c r="BJ47" s="133">
        <f t="shared" si="31"/>
        <v>38.209440093889768</v>
      </c>
      <c r="BK47" s="133">
        <f t="shared" si="32"/>
        <v>42.622157705591931</v>
      </c>
      <c r="BL47" s="133">
        <f t="shared" si="33"/>
        <v>46.585956660297491</v>
      </c>
      <c r="BM47" s="133">
        <f t="shared" si="34"/>
        <v>51.351745694977787</v>
      </c>
      <c r="BN47" s="81"/>
      <c r="BO47" s="75">
        <v>48</v>
      </c>
      <c r="BP47" s="151">
        <f t="shared" si="35"/>
        <v>3.845115374467766</v>
      </c>
      <c r="BQ47" s="151">
        <f t="shared" si="36"/>
        <v>4.9582040642580836</v>
      </c>
      <c r="BR47" s="151">
        <f t="shared" si="37"/>
        <v>6.1245397748573378</v>
      </c>
      <c r="BS47" s="151">
        <f t="shared" si="335"/>
        <v>7.7519735432613253</v>
      </c>
      <c r="BT47" s="151">
        <f t="shared" si="336"/>
        <v>11.286723515997092</v>
      </c>
      <c r="BU47" s="134">
        <f t="shared" si="337"/>
        <v>16.7621624537753</v>
      </c>
      <c r="BV47" s="151">
        <f t="shared" si="338"/>
        <v>24.35521009856074</v>
      </c>
      <c r="BW47" s="151">
        <f t="shared" si="38"/>
        <v>33.489460297190597</v>
      </c>
      <c r="BX47" s="151">
        <f t="shared" si="39"/>
        <v>40.253297607000967</v>
      </c>
      <c r="BY47" s="151">
        <f t="shared" si="40"/>
        <v>47.030326585395954</v>
      </c>
      <c r="BZ47" s="151">
        <f t="shared" si="41"/>
        <v>56.110271937855124</v>
      </c>
      <c r="CA47" s="81"/>
      <c r="CB47" s="81">
        <v>46</v>
      </c>
      <c r="CC47" s="133">
        <f t="shared" si="42"/>
        <v>-5.4719724522816549</v>
      </c>
      <c r="CD47" s="133">
        <f t="shared" si="43"/>
        <v>-3.3079752530983497</v>
      </c>
      <c r="CE47" s="133">
        <f t="shared" si="44"/>
        <v>-1.0663245198611255</v>
      </c>
      <c r="CF47" s="133">
        <f t="shared" si="339"/>
        <v>1.865554189026283</v>
      </c>
      <c r="CG47" s="133">
        <f t="shared" si="340"/>
        <v>7.4409028048033887</v>
      </c>
      <c r="CH47" s="134">
        <f t="shared" si="341"/>
        <v>14.498279358837898</v>
      </c>
      <c r="CI47" s="133">
        <f t="shared" si="342"/>
        <v>22.311235454860409</v>
      </c>
      <c r="CJ47" s="133">
        <f t="shared" si="45"/>
        <v>29.886983792900278</v>
      </c>
      <c r="CK47" s="133">
        <f t="shared" si="46"/>
        <v>34.662948161065316</v>
      </c>
      <c r="CL47" s="133">
        <f t="shared" si="47"/>
        <v>38.939320175389227</v>
      </c>
      <c r="CM47" s="133">
        <f t="shared" si="48"/>
        <v>44.061060840959001</v>
      </c>
      <c r="CN47" s="81"/>
      <c r="CO47" s="81">
        <v>46</v>
      </c>
      <c r="CP47" s="133">
        <f t="shared" si="49"/>
        <v>0.19022179551005625</v>
      </c>
      <c r="CQ47" s="133">
        <f t="shared" si="50"/>
        <v>2.5975665646519017</v>
      </c>
      <c r="CR47" s="133">
        <f t="shared" si="51"/>
        <v>4.8491007001697772</v>
      </c>
      <c r="CS47" s="133">
        <f t="shared" si="343"/>
        <v>7.6326193186092732</v>
      </c>
      <c r="CT47" s="133">
        <f t="shared" si="344"/>
        <v>12.679465751578334</v>
      </c>
      <c r="CU47" s="134">
        <f t="shared" si="345"/>
        <v>18.837413661567652</v>
      </c>
      <c r="CV47" s="133">
        <f t="shared" si="346"/>
        <v>25.4991192941823</v>
      </c>
      <c r="CW47" s="133">
        <f t="shared" si="52"/>
        <v>31.867187132885025</v>
      </c>
      <c r="CX47" s="133">
        <f t="shared" si="53"/>
        <v>35.850442783127008</v>
      </c>
      <c r="CY47" s="133">
        <f t="shared" si="54"/>
        <v>39.401355572396639</v>
      </c>
      <c r="CZ47" s="133">
        <f t="shared" si="55"/>
        <v>43.638323340682255</v>
      </c>
      <c r="DA47" s="81"/>
      <c r="DB47" s="81">
        <v>48</v>
      </c>
      <c r="DC47" s="133">
        <f t="shared" si="56"/>
        <v>-5.7218120050612615</v>
      </c>
      <c r="DD47" s="133">
        <f t="shared" si="57"/>
        <v>-4.1909889801987479</v>
      </c>
      <c r="DE47" s="133">
        <f t="shared" si="58"/>
        <v>-2.5256467416726895</v>
      </c>
      <c r="DF47" s="133">
        <f t="shared" si="347"/>
        <v>-0.24845453445425392</v>
      </c>
      <c r="DG47" s="133">
        <f t="shared" si="348"/>
        <v>4.3197923495329098</v>
      </c>
      <c r="DH47" s="134">
        <f t="shared" si="349"/>
        <v>10.439403799882093</v>
      </c>
      <c r="DI47" s="133">
        <f t="shared" si="350"/>
        <v>17.548568359886819</v>
      </c>
      <c r="DJ47" s="133">
        <f t="shared" si="59"/>
        <v>24.710181681474349</v>
      </c>
      <c r="DK47" s="133">
        <f t="shared" si="60"/>
        <v>29.340645478251371</v>
      </c>
      <c r="DL47" s="133">
        <f t="shared" si="61"/>
        <v>33.554548467766622</v>
      </c>
      <c r="DM47" s="133">
        <f t="shared" si="62"/>
        <v>38.679032267457238</v>
      </c>
      <c r="DN47" s="81"/>
      <c r="DO47" s="81">
        <v>46</v>
      </c>
      <c r="DP47" s="133">
        <v>12.943356368431676</v>
      </c>
      <c r="DQ47" s="133">
        <v>14.146292601449881</v>
      </c>
      <c r="DR47" s="133">
        <v>15.269929939102578</v>
      </c>
      <c r="DS47" s="133">
        <v>16.676622868203523</v>
      </c>
      <c r="DT47" s="133">
        <v>19.317503986869326</v>
      </c>
      <c r="DU47" s="134">
        <v>22.756723072860325</v>
      </c>
      <c r="DV47" s="133">
        <v>26.808248382755043</v>
      </c>
      <c r="DW47" s="133">
        <v>31.053556173069492</v>
      </c>
      <c r="DX47" s="133">
        <v>33.91426464169416</v>
      </c>
      <c r="DY47" s="133">
        <v>36.608068248339237</v>
      </c>
      <c r="DZ47" s="133">
        <v>40.010367502351542</v>
      </c>
      <c r="EA47" s="81"/>
      <c r="EB47" s="81">
        <v>46</v>
      </c>
      <c r="EC47" s="133">
        <v>12.70952938875452</v>
      </c>
      <c r="ED47" s="133">
        <v>13.666638606561687</v>
      </c>
      <c r="EE47" s="133">
        <v>14.547257886418</v>
      </c>
      <c r="EF47" s="133">
        <v>15.633208898352441</v>
      </c>
      <c r="EG47" s="133">
        <v>17.628160938623552</v>
      </c>
      <c r="EH47" s="134">
        <v>20.15314414279522</v>
      </c>
      <c r="EI47" s="133">
        <v>23.039795260230605</v>
      </c>
      <c r="EJ47" s="133">
        <v>25.979900958342895</v>
      </c>
      <c r="EK47" s="133">
        <v>27.919297369401921</v>
      </c>
      <c r="EL47" s="133">
        <v>29.718296541863573</v>
      </c>
      <c r="EM47" s="133">
        <v>31.956275202419761</v>
      </c>
      <c r="EN47" s="81"/>
      <c r="EO47" s="81">
        <v>48</v>
      </c>
      <c r="EP47" s="133">
        <v>14.9031694047858</v>
      </c>
      <c r="EQ47" s="133">
        <v>15.987396007210508</v>
      </c>
      <c r="ER47" s="133">
        <v>16.982772765546517</v>
      </c>
      <c r="ES47" s="133">
        <v>18.207534291148612</v>
      </c>
      <c r="ET47" s="133">
        <v>20.450363850664548</v>
      </c>
      <c r="EU47" s="134">
        <v>23.277269682300705</v>
      </c>
      <c r="EV47" s="133">
        <v>26.494945900189862</v>
      </c>
      <c r="EW47" s="133">
        <v>29.75863042180076</v>
      </c>
      <c r="EX47" s="133">
        <v>31.90475968457789</v>
      </c>
      <c r="EY47" s="133">
        <v>33.891152981897939</v>
      </c>
      <c r="EZ47" s="133">
        <v>36.356782181417017</v>
      </c>
      <c r="FA47" s="81"/>
      <c r="FB47" s="81">
        <v>46</v>
      </c>
      <c r="FC47" s="133">
        <v>8.3480372564581184</v>
      </c>
      <c r="FD47" s="133">
        <v>9.1558981421122994</v>
      </c>
      <c r="FE47" s="133">
        <v>9.9129603655984635</v>
      </c>
      <c r="FF47" s="133">
        <v>10.863818105524867</v>
      </c>
      <c r="FG47" s="133">
        <v>12.657300389666775</v>
      </c>
      <c r="FH47" s="134">
        <v>15.007341863095778</v>
      </c>
      <c r="FI47" s="133">
        <v>17.793708204926023</v>
      </c>
      <c r="FJ47" s="133">
        <v>20.731229813327751</v>
      </c>
      <c r="FK47" s="133">
        <v>22.719783141413789</v>
      </c>
      <c r="FL47" s="133">
        <v>24.598385248513466</v>
      </c>
      <c r="FM47" s="133">
        <v>26.978833811695598</v>
      </c>
      <c r="FN47" s="81"/>
      <c r="FO47" s="81">
        <v>46</v>
      </c>
      <c r="FP47" s="133">
        <v>8.2609355231045711</v>
      </c>
      <c r="FQ47" s="133">
        <v>8.9390470669475786</v>
      </c>
      <c r="FR47" s="133">
        <v>9.5666169381356152</v>
      </c>
      <c r="FS47" s="133">
        <v>10.345039808337667</v>
      </c>
      <c r="FT47" s="133">
        <v>11.787085767500045</v>
      </c>
      <c r="FU47" s="134">
        <v>13.632486410040501</v>
      </c>
      <c r="FV47" s="133">
        <v>15.766805246497768</v>
      </c>
      <c r="FW47" s="133">
        <v>17.9646177456133</v>
      </c>
      <c r="FX47" s="133">
        <v>19.426374748956668</v>
      </c>
      <c r="FY47" s="133">
        <v>20.790212237175229</v>
      </c>
      <c r="FZ47" s="133">
        <v>22.4968086483861</v>
      </c>
      <c r="GA47" s="81"/>
      <c r="GB47" s="81">
        <v>48</v>
      </c>
      <c r="GC47" s="133">
        <v>9.6260629819283992</v>
      </c>
      <c r="GD47" s="133">
        <v>10.3867406811354</v>
      </c>
      <c r="GE47" s="133">
        <v>11.08887219295878</v>
      </c>
      <c r="GF47" s="133">
        <v>11.957492489667922</v>
      </c>
      <c r="GG47" s="133">
        <v>13.560555443619823</v>
      </c>
      <c r="GH47" s="134">
        <v>15.601838610523133</v>
      </c>
      <c r="GI47" s="133">
        <v>17.950398052709353</v>
      </c>
      <c r="GJ47" s="133">
        <v>20.356890730990589</v>
      </c>
      <c r="GK47" s="133">
        <v>21.951499105867217</v>
      </c>
      <c r="GL47" s="133">
        <v>23.435394750049923</v>
      </c>
      <c r="GM47" s="133">
        <v>25.287323434907169</v>
      </c>
      <c r="GN47" s="81"/>
      <c r="GO47" s="81">
        <v>46</v>
      </c>
      <c r="GP47" s="133">
        <f t="shared" si="63"/>
        <v>0.47174901104991329</v>
      </c>
      <c r="GQ47" s="133">
        <f t="shared" si="64"/>
        <v>0.50589485168591319</v>
      </c>
      <c r="GR47" s="133">
        <f t="shared" si="65"/>
        <v>0.53341850645021327</v>
      </c>
      <c r="GS47" s="133">
        <f t="shared" si="351"/>
        <v>0.56339105644442011</v>
      </c>
      <c r="GT47" s="133">
        <f t="shared" si="352"/>
        <v>0.61125103295726013</v>
      </c>
      <c r="GU47" s="134">
        <f t="shared" si="353"/>
        <v>0.65774042704463931</v>
      </c>
      <c r="GV47" s="133">
        <f t="shared" si="354"/>
        <v>0.7009821494251457</v>
      </c>
      <c r="GW47" s="133">
        <f t="shared" si="66"/>
        <v>0.73953419590894942</v>
      </c>
      <c r="GX47" s="133">
        <f t="shared" si="67"/>
        <v>0.76103398556233115</v>
      </c>
      <c r="GY47" s="133">
        <f t="shared" si="68"/>
        <v>0.77917351446363114</v>
      </c>
      <c r="GZ47" s="133">
        <f t="shared" si="69"/>
        <v>0.79971732184977629</v>
      </c>
      <c r="HA47" s="81"/>
      <c r="HB47" s="81">
        <v>46</v>
      </c>
      <c r="HC47" s="133">
        <f t="shared" si="70"/>
        <v>0.45530849808483725</v>
      </c>
      <c r="HD47" s="133">
        <f t="shared" si="71"/>
        <v>0.49241081992644364</v>
      </c>
      <c r="HE47" s="133">
        <f t="shared" si="72"/>
        <v>0.52213787679453239</v>
      </c>
      <c r="HF47" s="133">
        <f t="shared" si="355"/>
        <v>0.55436240037159867</v>
      </c>
      <c r="HG47" s="133">
        <f t="shared" si="356"/>
        <v>0.60416564488609381</v>
      </c>
      <c r="HH47" s="134">
        <f t="shared" si="357"/>
        <v>0.65506666279660364</v>
      </c>
      <c r="HI47" s="133">
        <f t="shared" si="358"/>
        <v>0.70215161857175989</v>
      </c>
      <c r="HJ47" s="133">
        <f t="shared" si="73"/>
        <v>0.74176127853007179</v>
      </c>
      <c r="HK47" s="133">
        <f t="shared" si="74"/>
        <v>0.76448458512139073</v>
      </c>
      <c r="HL47" s="133">
        <f t="shared" si="75"/>
        <v>0.78363948376415249</v>
      </c>
      <c r="HM47" s="133">
        <f t="shared" si="76"/>
        <v>0.80531631405425741</v>
      </c>
      <c r="HN47" s="81"/>
      <c r="HO47" s="81">
        <v>48</v>
      </c>
      <c r="HP47" s="83">
        <f t="shared" si="77"/>
        <v>0.48938184887921887</v>
      </c>
      <c r="HQ47" s="83">
        <f t="shared" si="78"/>
        <v>0.52093465466656985</v>
      </c>
      <c r="HR47" s="83">
        <f t="shared" si="79"/>
        <v>0.54650688437869288</v>
      </c>
      <c r="HS47" s="83">
        <f t="shared" si="359"/>
        <v>0.57447223064021469</v>
      </c>
      <c r="HT47" s="83">
        <f t="shared" si="360"/>
        <v>0.61810547660295867</v>
      </c>
      <c r="HU47" s="84">
        <f t="shared" si="361"/>
        <v>0.66311510657385953</v>
      </c>
      <c r="HV47" s="83">
        <f t="shared" si="362"/>
        <v>0.70504401611058187</v>
      </c>
      <c r="HW47" s="83">
        <f t="shared" si="80"/>
        <v>0.74049239645165521</v>
      </c>
      <c r="HX47" s="83">
        <f t="shared" si="81"/>
        <v>0.76088993013115491</v>
      </c>
      <c r="HY47" s="83">
        <f t="shared" si="82"/>
        <v>0.77811511074286976</v>
      </c>
      <c r="HZ47" s="83">
        <f t="shared" si="83"/>
        <v>0.79763914671199698</v>
      </c>
      <c r="IA47" s="81"/>
      <c r="IB47" s="81">
        <v>46</v>
      </c>
      <c r="IC47" s="83">
        <f t="shared" si="84"/>
        <v>0.32178056570752855</v>
      </c>
      <c r="ID47" s="83">
        <f t="shared" si="85"/>
        <v>0.3366139379207147</v>
      </c>
      <c r="IE47" s="83">
        <f t="shared" si="86"/>
        <v>0.34813127730942367</v>
      </c>
      <c r="IF47" s="83">
        <f t="shared" si="363"/>
        <v>0.36028292801874773</v>
      </c>
      <c r="IG47" s="83">
        <f t="shared" si="364"/>
        <v>0.37844982346996237</v>
      </c>
      <c r="IH47" s="84">
        <f t="shared" si="365"/>
        <v>0.39633166670889108</v>
      </c>
      <c r="II47" s="83">
        <f t="shared" si="366"/>
        <v>0.41232533767264651</v>
      </c>
      <c r="IJ47" s="83">
        <f t="shared" si="87"/>
        <v>0.42541205655909964</v>
      </c>
      <c r="IK47" s="83">
        <f t="shared" si="88"/>
        <v>0.432779175299219</v>
      </c>
      <c r="IL47" s="83">
        <f t="shared" si="89"/>
        <v>0.43891403568896725</v>
      </c>
      <c r="IM47" s="83">
        <f t="shared" si="90"/>
        <v>0.44577679921455576</v>
      </c>
      <c r="IN47" s="81"/>
      <c r="IO47" s="81">
        <v>46</v>
      </c>
      <c r="IP47" s="133">
        <f t="shared" si="91"/>
        <v>0.31395792229548802</v>
      </c>
      <c r="IQ47" s="133">
        <f t="shared" si="92"/>
        <v>0.33048037743681896</v>
      </c>
      <c r="IR47" s="133">
        <f t="shared" si="93"/>
        <v>0.34316329134701701</v>
      </c>
      <c r="IS47" s="133">
        <f t="shared" si="367"/>
        <v>0.35643210709127876</v>
      </c>
      <c r="IT47" s="133">
        <f t="shared" si="368"/>
        <v>0.3760942067120796</v>
      </c>
      <c r="IU47" s="134">
        <f t="shared" si="369"/>
        <v>0.39528496649291162</v>
      </c>
      <c r="IV47" s="133">
        <f t="shared" si="370"/>
        <v>0.4123414743353826</v>
      </c>
      <c r="IW47" s="133">
        <f t="shared" si="94"/>
        <v>0.4262361857352841</v>
      </c>
      <c r="IX47" s="133">
        <f t="shared" si="95"/>
        <v>0.43403725260469556</v>
      </c>
      <c r="IY47" s="133">
        <f t="shared" si="96"/>
        <v>0.4405231837841504</v>
      </c>
      <c r="IZ47" s="133">
        <f t="shared" si="97"/>
        <v>0.44776846587339719</v>
      </c>
      <c r="JA47" s="81"/>
      <c r="JB47" s="81">
        <v>48</v>
      </c>
      <c r="JC47" s="133">
        <f t="shared" si="98"/>
        <v>0.32994172711456299</v>
      </c>
      <c r="JD47" s="133">
        <f t="shared" si="99"/>
        <v>0.34329400528791554</v>
      </c>
      <c r="JE47" s="133">
        <f t="shared" si="100"/>
        <v>0.35376789470960696</v>
      </c>
      <c r="JF47" s="133">
        <f t="shared" si="371"/>
        <v>0.36490494892086106</v>
      </c>
      <c r="JG47" s="133">
        <f t="shared" si="372"/>
        <v>0.38169503902121266</v>
      </c>
      <c r="JH47" s="134">
        <f t="shared" si="373"/>
        <v>0.3983574972169488</v>
      </c>
      <c r="JI47" s="133">
        <f t="shared" si="374"/>
        <v>0.41335397243611605</v>
      </c>
      <c r="JJ47" s="133">
        <f t="shared" si="101"/>
        <v>0.4256796988656984</v>
      </c>
      <c r="JK47" s="133">
        <f t="shared" si="102"/>
        <v>0.43263741507683995</v>
      </c>
      <c r="JL47" s="133">
        <f t="shared" si="103"/>
        <v>0.43844082128634315</v>
      </c>
      <c r="JM47" s="133">
        <f t="shared" si="104"/>
        <v>0.44494227679468751</v>
      </c>
      <c r="JN47" s="81"/>
      <c r="JO47" s="81">
        <v>45</v>
      </c>
      <c r="JP47" s="133">
        <f t="shared" si="105"/>
        <v>-3.9308809799817013</v>
      </c>
      <c r="JQ47" s="133">
        <f t="shared" si="106"/>
        <v>-2.4789913761193603</v>
      </c>
      <c r="JR47" s="133">
        <f t="shared" si="107"/>
        <v>-1.2139912578059828</v>
      </c>
      <c r="JS47" s="133">
        <f t="shared" si="375"/>
        <v>0.26231296888367339</v>
      </c>
      <c r="JT47" s="133">
        <f t="shared" si="376"/>
        <v>2.7653255056067181</v>
      </c>
      <c r="JU47" s="134">
        <f t="shared" si="377"/>
        <v>5.610807594387456</v>
      </c>
      <c r="JV47" s="133">
        <f t="shared" si="378"/>
        <v>8.5109470420990938</v>
      </c>
      <c r="JW47" s="133">
        <f t="shared" si="108"/>
        <v>11.156511753544908</v>
      </c>
      <c r="JX47" s="133">
        <f t="shared" si="109"/>
        <v>12.761195079205503</v>
      </c>
      <c r="JY47" s="133">
        <f t="shared" si="110"/>
        <v>14.163997371247188</v>
      </c>
      <c r="JZ47" s="133">
        <f t="shared" si="111"/>
        <v>15.80751674025068</v>
      </c>
      <c r="KA47" s="81"/>
      <c r="KB47" s="81">
        <v>45</v>
      </c>
      <c r="KC47" s="133">
        <f t="shared" si="112"/>
        <v>-2.3294214850263977</v>
      </c>
      <c r="KD47" s="133">
        <f t="shared" si="113"/>
        <v>-1.0386256155304032</v>
      </c>
      <c r="KE47" s="133">
        <f t="shared" si="114"/>
        <v>0.11182963897333309</v>
      </c>
      <c r="KF47" s="133">
        <f t="shared" si="379"/>
        <v>1.4826634683951543</v>
      </c>
      <c r="KG47" s="133">
        <f t="shared" si="380"/>
        <v>3.8706720444137943</v>
      </c>
      <c r="KH47" s="134">
        <f t="shared" si="381"/>
        <v>6.6737824462634183</v>
      </c>
      <c r="KI47" s="133">
        <f t="shared" si="382"/>
        <v>9.6177337721710661</v>
      </c>
      <c r="KJ47" s="133">
        <f t="shared" si="115"/>
        <v>12.372839809436483</v>
      </c>
      <c r="KK47" s="133">
        <f t="shared" si="116"/>
        <v>14.073990026636443</v>
      </c>
      <c r="KL47" s="133">
        <f t="shared" si="117"/>
        <v>15.578712240088427</v>
      </c>
      <c r="KM47" s="133">
        <f t="shared" si="118"/>
        <v>17.361657393195721</v>
      </c>
      <c r="KN47" s="81"/>
      <c r="KO47" s="81">
        <v>47</v>
      </c>
      <c r="KP47" s="133">
        <f t="shared" si="119"/>
        <v>-4.1784083678249999</v>
      </c>
      <c r="KQ47" s="133">
        <f t="shared" si="120"/>
        <v>-2.7298088697917784</v>
      </c>
      <c r="KR47" s="133">
        <f t="shared" si="121"/>
        <v>-1.4894491314163325</v>
      </c>
      <c r="KS47" s="133">
        <f t="shared" si="383"/>
        <v>-6.5225636000345588E-2</v>
      </c>
      <c r="KT47" s="133">
        <f t="shared" si="384"/>
        <v>2.2979414955380371</v>
      </c>
      <c r="KU47" s="134">
        <f t="shared" si="385"/>
        <v>4.9150981529302271</v>
      </c>
      <c r="KV47" s="133">
        <f t="shared" si="386"/>
        <v>7.5164635577112868</v>
      </c>
      <c r="KW47" s="133">
        <f t="shared" si="122"/>
        <v>9.8382732467579999</v>
      </c>
      <c r="KX47" s="133">
        <f t="shared" si="123"/>
        <v>11.225032316657025</v>
      </c>
      <c r="KY47" s="133">
        <f t="shared" si="124"/>
        <v>12.424938705520038</v>
      </c>
      <c r="KZ47" s="133">
        <f t="shared" si="125"/>
        <v>13.816854910318899</v>
      </c>
      <c r="LA47" s="81"/>
      <c r="LB47" s="81">
        <v>45</v>
      </c>
      <c r="LC47" s="133">
        <f t="shared" si="126"/>
        <v>-9.452975033207057</v>
      </c>
      <c r="LD47" s="133">
        <f t="shared" si="127"/>
        <v>-5.7623579257438777</v>
      </c>
      <c r="LE47" s="133">
        <f t="shared" si="128"/>
        <v>-2.5120811694297345</v>
      </c>
      <c r="LF47" s="133">
        <f t="shared" si="387"/>
        <v>1.3170357078416615</v>
      </c>
      <c r="LG47" s="133">
        <f t="shared" si="388"/>
        <v>7.8856594562974536</v>
      </c>
      <c r="LH47" s="134">
        <f t="shared" si="389"/>
        <v>15.451917096000159</v>
      </c>
      <c r="LI47" s="133">
        <f t="shared" si="390"/>
        <v>23.254001496046101</v>
      </c>
      <c r="LJ47" s="133">
        <f t="shared" si="129"/>
        <v>30.439042224238101</v>
      </c>
      <c r="LK47" s="133">
        <f t="shared" si="130"/>
        <v>34.825031832600949</v>
      </c>
      <c r="LL47" s="133">
        <f t="shared" si="131"/>
        <v>38.674984803188288</v>
      </c>
      <c r="LM47" s="133">
        <f t="shared" si="132"/>
        <v>43.203032384673016</v>
      </c>
      <c r="LN47" s="81"/>
      <c r="LO47" s="81">
        <v>45</v>
      </c>
      <c r="LP47" s="133">
        <f t="shared" si="133"/>
        <v>-5.4098092939669051</v>
      </c>
      <c r="LQ47" s="133">
        <f t="shared" si="134"/>
        <v>-1.7735096238562988</v>
      </c>
      <c r="LR47" s="133">
        <f t="shared" si="135"/>
        <v>1.4396257066358125</v>
      </c>
      <c r="LS47" s="133">
        <f t="shared" si="391"/>
        <v>5.2365792627889967</v>
      </c>
      <c r="LT47" s="133">
        <f t="shared" si="392"/>
        <v>11.776061311689578</v>
      </c>
      <c r="LU47" s="134">
        <f t="shared" si="393"/>
        <v>19.344430066745819</v>
      </c>
      <c r="LV47" s="133">
        <f t="shared" si="394"/>
        <v>27.183380371494469</v>
      </c>
      <c r="LW47" s="133">
        <f t="shared" si="136"/>
        <v>34.429784074042345</v>
      </c>
      <c r="LX47" s="133">
        <f t="shared" si="137"/>
        <v>38.864940770207681</v>
      </c>
      <c r="LY47" s="133">
        <f t="shared" si="138"/>
        <v>42.764862077042139</v>
      </c>
      <c r="LZ47" s="133">
        <f t="shared" si="139"/>
        <v>47.359390651044308</v>
      </c>
      <c r="MA47" s="81"/>
      <c r="MB47" s="81">
        <v>47</v>
      </c>
      <c r="MC47" s="133">
        <f t="shared" si="140"/>
        <v>-8.9912279599962304</v>
      </c>
      <c r="MD47" s="133">
        <f t="shared" si="141"/>
        <v>-5.6679432443979643</v>
      </c>
      <c r="ME47" s="133">
        <f t="shared" si="142"/>
        <v>-2.7732304264908265</v>
      </c>
      <c r="MF47" s="133">
        <f t="shared" si="395"/>
        <v>0.60302019363992088</v>
      </c>
      <c r="MG47" s="133">
        <f t="shared" si="396"/>
        <v>6.3202633057743682</v>
      </c>
      <c r="MH47" s="134">
        <f t="shared" si="397"/>
        <v>12.806367245173554</v>
      </c>
      <c r="MI47" s="133">
        <f t="shared" si="398"/>
        <v>19.400524387186707</v>
      </c>
      <c r="MJ47" s="133">
        <f t="shared" si="143"/>
        <v>25.400535988118556</v>
      </c>
      <c r="MK47" s="133">
        <f t="shared" si="144"/>
        <v>29.032663074242144</v>
      </c>
      <c r="ML47" s="133">
        <f t="shared" si="145"/>
        <v>32.203380457755493</v>
      </c>
      <c r="MM47" s="133">
        <f t="shared" si="146"/>
        <v>35.912920774180243</v>
      </c>
      <c r="MN47" s="81"/>
      <c r="MO47" s="81">
        <v>45</v>
      </c>
      <c r="MP47" s="133">
        <f t="shared" si="147"/>
        <v>-15.912598168983578</v>
      </c>
      <c r="MQ47" s="133">
        <f t="shared" si="148"/>
        <v>-11.649794095706564</v>
      </c>
      <c r="MR47" s="133">
        <f t="shared" si="149"/>
        <v>-7.9648937074939496</v>
      </c>
      <c r="MS47" s="133">
        <f t="shared" si="399"/>
        <v>-3.6978452206403674</v>
      </c>
      <c r="MT47" s="133">
        <f t="shared" si="400"/>
        <v>3.4585899564647136</v>
      </c>
      <c r="MU47" s="134">
        <f t="shared" si="401"/>
        <v>11.483056262064743</v>
      </c>
      <c r="MV47" s="133">
        <f t="shared" si="402"/>
        <v>19.550438101804353</v>
      </c>
      <c r="MW47" s="133">
        <f t="shared" si="150"/>
        <v>26.820141204137812</v>
      </c>
      <c r="MX47" s="133">
        <f t="shared" si="151"/>
        <v>31.190967478761102</v>
      </c>
      <c r="MY47" s="133">
        <f t="shared" si="152"/>
        <v>34.989302265225525</v>
      </c>
      <c r="MZ47" s="133">
        <f t="shared" si="153"/>
        <v>39.413753008801429</v>
      </c>
      <c r="NA47" s="81"/>
      <c r="NB47" s="81">
        <v>45</v>
      </c>
      <c r="NC47" s="133">
        <f t="shared" si="154"/>
        <v>-8.9066649132946125</v>
      </c>
      <c r="ND47" s="133">
        <f t="shared" si="155"/>
        <v>-5.0186874823681045</v>
      </c>
      <c r="NE47" s="133">
        <f t="shared" si="156"/>
        <v>-1.6512289502229613</v>
      </c>
      <c r="NF47" s="133">
        <f t="shared" si="403"/>
        <v>2.2548015236985677</v>
      </c>
      <c r="NG47" s="133">
        <f t="shared" si="404"/>
        <v>8.8193496380316638</v>
      </c>
      <c r="NH47" s="134">
        <f t="shared" si="405"/>
        <v>16.197259242810294</v>
      </c>
      <c r="NI47" s="133">
        <f t="shared" si="406"/>
        <v>23.630002326148361</v>
      </c>
      <c r="NJ47" s="133">
        <f t="shared" si="157"/>
        <v>30.339216660284439</v>
      </c>
      <c r="NK47" s="133">
        <f t="shared" si="158"/>
        <v>34.377716528079617</v>
      </c>
      <c r="NL47" s="133">
        <f t="shared" si="159"/>
        <v>37.889882463680649</v>
      </c>
      <c r="NM47" s="133">
        <f t="shared" si="160"/>
        <v>41.98389926307749</v>
      </c>
      <c r="NN47" s="81"/>
      <c r="NO47" s="81">
        <v>47</v>
      </c>
      <c r="NP47" s="133">
        <f t="shared" si="161"/>
        <v>-16.858057351002905</v>
      </c>
      <c r="NQ47" s="133">
        <f t="shared" si="162"/>
        <v>-13.021914372378721</v>
      </c>
      <c r="NR47" s="133">
        <f t="shared" si="163"/>
        <v>-9.7201404762871775</v>
      </c>
      <c r="NS47" s="133">
        <f t="shared" si="407"/>
        <v>-5.9109298691818921</v>
      </c>
      <c r="NT47" s="133">
        <f t="shared" si="408"/>
        <v>0.44858845694499649</v>
      </c>
      <c r="NU47" s="134">
        <f t="shared" si="409"/>
        <v>7.5432109810133525</v>
      </c>
      <c r="NV47" s="133">
        <f t="shared" si="410"/>
        <v>14.643511871191542</v>
      </c>
      <c r="NW47" s="133">
        <f t="shared" si="164"/>
        <v>21.018020802283303</v>
      </c>
      <c r="NX47" s="133">
        <f t="shared" si="165"/>
        <v>24.840970398721417</v>
      </c>
      <c r="NY47" s="133">
        <f t="shared" si="166"/>
        <v>28.157766184868997</v>
      </c>
      <c r="NZ47" s="133">
        <f t="shared" si="167"/>
        <v>32.015322924838976</v>
      </c>
      <c r="OA47" s="81"/>
      <c r="OB47" s="81">
        <v>45</v>
      </c>
      <c r="OC47" s="133">
        <v>14.115792364823687</v>
      </c>
      <c r="OD47" s="133">
        <v>15.556706571622364</v>
      </c>
      <c r="OE47" s="133">
        <v>16.913075971382948</v>
      </c>
      <c r="OF47" s="133">
        <v>18.624297923035538</v>
      </c>
      <c r="OG47" s="133">
        <v>21.872846656241475</v>
      </c>
      <c r="OH47" s="134">
        <v>26.165681847757327</v>
      </c>
      <c r="OI47" s="133">
        <v>31.301042672591176</v>
      </c>
      <c r="OJ47" s="133">
        <v>36.760736398619045</v>
      </c>
      <c r="OK47" s="133">
        <v>40.480094083209835</v>
      </c>
      <c r="OL47" s="133">
        <v>44.009501844493414</v>
      </c>
      <c r="OM47" s="133">
        <v>48.501911112278449</v>
      </c>
      <c r="ON47" s="81"/>
      <c r="OO47" s="81">
        <v>45</v>
      </c>
      <c r="OP47" s="133">
        <v>12.806323921831632</v>
      </c>
      <c r="OQ47" s="133">
        <v>13.945453967215359</v>
      </c>
      <c r="OR47" s="133">
        <v>15.005887350718295</v>
      </c>
      <c r="OS47" s="133">
        <v>16.328960752189424</v>
      </c>
      <c r="OT47" s="133">
        <v>25.050715010648599</v>
      </c>
      <c r="OU47" s="134">
        <v>21.999213485148161</v>
      </c>
      <c r="OV47" s="133">
        <v>25.74179954153524</v>
      </c>
      <c r="OW47" s="133">
        <v>29.638468810713093</v>
      </c>
      <c r="OX47" s="133">
        <v>32.251701125955634</v>
      </c>
      <c r="OY47" s="133">
        <v>34.704169193981663</v>
      </c>
      <c r="OZ47" s="133">
        <v>37.791125456391335</v>
      </c>
      <c r="PA47" s="81"/>
      <c r="PB47" s="81">
        <v>47</v>
      </c>
      <c r="PC47" s="133">
        <v>18.530217398257918</v>
      </c>
      <c r="PD47" s="133">
        <v>19.923361932093144</v>
      </c>
      <c r="PE47" s="133">
        <v>21.20503223599772</v>
      </c>
      <c r="PF47" s="133">
        <v>22.785377142335353</v>
      </c>
      <c r="PG47" s="133">
        <v>25.688111269439261</v>
      </c>
      <c r="PH47" s="134">
        <v>29.361318392079127</v>
      </c>
      <c r="PI47" s="133">
        <v>33.559766565892104</v>
      </c>
      <c r="PJ47" s="133">
        <v>37.83509978069582</v>
      </c>
      <c r="PK47" s="133">
        <v>40.654831745908062</v>
      </c>
      <c r="PL47" s="133">
        <v>43.270157951222508</v>
      </c>
      <c r="PM47" s="133">
        <v>46.523308345108319</v>
      </c>
      <c r="PN47" s="81"/>
      <c r="PO47" s="81">
        <v>45</v>
      </c>
      <c r="PP47" s="133">
        <v>8.7849575178469106</v>
      </c>
      <c r="PQ47" s="133">
        <v>9.5609708687248158</v>
      </c>
      <c r="PR47" s="133">
        <v>10.282993962042912</v>
      </c>
      <c r="PS47" s="133">
        <v>11.183369327254734</v>
      </c>
      <c r="PT47" s="133">
        <v>12.864202399714449</v>
      </c>
      <c r="PU47" s="134">
        <v>15.03700527586817</v>
      </c>
      <c r="PV47" s="133">
        <v>17.576801160366248</v>
      </c>
      <c r="PW47" s="133">
        <v>20.218551408781245</v>
      </c>
      <c r="PX47" s="133">
        <v>21.988880719090282</v>
      </c>
      <c r="PY47" s="133">
        <v>23.649431712644109</v>
      </c>
      <c r="PZ47" s="133">
        <v>25.738488456789312</v>
      </c>
      <c r="QA47" s="81"/>
      <c r="QB47" s="81">
        <v>45</v>
      </c>
      <c r="QC47" s="133">
        <v>8.5086973602111939</v>
      </c>
      <c r="QD47" s="133">
        <v>9.2587593153012335</v>
      </c>
      <c r="QE47" s="133">
        <v>9.956528258013277</v>
      </c>
      <c r="QF47" s="133">
        <v>10.826523347056858</v>
      </c>
      <c r="QG47" s="133">
        <v>12.450279575955413</v>
      </c>
      <c r="QH47" s="134">
        <v>14.548684236659648</v>
      </c>
      <c r="QI47" s="133">
        <v>17.000759840510351</v>
      </c>
      <c r="QJ47" s="133">
        <v>19.55052478370806</v>
      </c>
      <c r="QK47" s="133">
        <v>21.258837170243151</v>
      </c>
      <c r="QL47" s="133">
        <v>22.860969359925782</v>
      </c>
      <c r="QM47" s="133">
        <v>24.876218304322816</v>
      </c>
      <c r="QN47" s="81"/>
      <c r="QO47" s="81">
        <v>47</v>
      </c>
      <c r="QP47" s="133">
        <v>9.4426782866974275</v>
      </c>
      <c r="QQ47" s="133">
        <v>10.233413868685815</v>
      </c>
      <c r="QR47" s="133">
        <v>10.966251935670176</v>
      </c>
      <c r="QS47" s="133">
        <v>11.876535583187749</v>
      </c>
      <c r="QT47" s="133">
        <v>13.566297428904274</v>
      </c>
      <c r="QU47" s="134">
        <v>15.734501395839208</v>
      </c>
      <c r="QV47" s="133">
        <v>18.249233843877345</v>
      </c>
      <c r="QW47" s="133">
        <v>20.845686222346608</v>
      </c>
      <c r="QX47" s="133">
        <v>22.576039254613026</v>
      </c>
      <c r="QY47" s="133">
        <v>24.192760827668923</v>
      </c>
      <c r="QZ47" s="133">
        <v>26.218677228942763</v>
      </c>
      <c r="RA47" s="81"/>
      <c r="RB47" s="81">
        <v>45</v>
      </c>
      <c r="RC47" s="133">
        <f t="shared" si="168"/>
        <v>0.3128500986887961</v>
      </c>
      <c r="RD47" s="133">
        <f t="shared" si="169"/>
        <v>0.34057115272697869</v>
      </c>
      <c r="RE47" s="133">
        <f t="shared" si="170"/>
        <v>0.3666989155308979</v>
      </c>
      <c r="RF47" s="133">
        <f t="shared" si="411"/>
        <v>0.39974241772945396</v>
      </c>
      <c r="RG47" s="133">
        <f t="shared" si="412"/>
        <v>0.46282583565987434</v>
      </c>
      <c r="RH47" s="134">
        <f t="shared" si="413"/>
        <v>0.54711889740393516</v>
      </c>
      <c r="RI47" s="133">
        <f t="shared" si="414"/>
        <v>0.6496325426301327</v>
      </c>
      <c r="RJ47" s="133">
        <f t="shared" si="171"/>
        <v>0.76086395896778014</v>
      </c>
      <c r="RK47" s="133">
        <f t="shared" si="172"/>
        <v>0.83804770276419793</v>
      </c>
      <c r="RL47" s="133">
        <f t="shared" si="173"/>
        <v>0.91238226652753918</v>
      </c>
      <c r="RM47" s="133">
        <f t="shared" si="174"/>
        <v>1.0085717881333498</v>
      </c>
      <c r="RN47" s="81"/>
      <c r="RO47" s="81">
        <v>45</v>
      </c>
      <c r="RP47" s="133">
        <f t="shared" si="175"/>
        <v>0.34526077135047023</v>
      </c>
      <c r="RQ47" s="133">
        <f t="shared" si="176"/>
        <v>0.37441602336661767</v>
      </c>
      <c r="RR47" s="133">
        <f t="shared" si="177"/>
        <v>0.40191409537600442</v>
      </c>
      <c r="RS47" s="133">
        <f t="shared" si="415"/>
        <v>0.43672824597760096</v>
      </c>
      <c r="RT47" s="133">
        <f t="shared" si="416"/>
        <v>0.50334761016652019</v>
      </c>
      <c r="RU47" s="134">
        <f t="shared" si="417"/>
        <v>0.59276620772159927</v>
      </c>
      <c r="RV47" s="133">
        <f t="shared" si="418"/>
        <v>0.70224197285008361</v>
      </c>
      <c r="RW47" s="133">
        <f t="shared" si="178"/>
        <v>0.82202669838494857</v>
      </c>
      <c r="RX47" s="133">
        <f t="shared" si="179"/>
        <v>0.90578867752022452</v>
      </c>
      <c r="RY47" s="133">
        <f t="shared" si="180"/>
        <v>0.98696927473272222</v>
      </c>
      <c r="RZ47" s="133">
        <f t="shared" si="181"/>
        <v>1.0927705474921201</v>
      </c>
      <c r="SA47" s="81"/>
      <c r="SB47" s="81">
        <v>47</v>
      </c>
      <c r="SC47" s="133">
        <f t="shared" si="182"/>
        <v>0.30710363777061006</v>
      </c>
      <c r="SD47" s="133">
        <f t="shared" si="183"/>
        <v>0.33361220033087413</v>
      </c>
      <c r="SE47" s="133">
        <f t="shared" si="184"/>
        <v>0.35825960188622791</v>
      </c>
      <c r="SF47" s="133">
        <f t="shared" si="419"/>
        <v>0.3889767978903208</v>
      </c>
      <c r="SG47" s="133">
        <f t="shared" si="420"/>
        <v>0.44627843844473575</v>
      </c>
      <c r="SH47" s="134">
        <f t="shared" si="421"/>
        <v>0.52029905596253978</v>
      </c>
      <c r="SI47" s="133">
        <f t="shared" si="422"/>
        <v>0.60678298928184304</v>
      </c>
      <c r="SJ47" s="133">
        <f t="shared" si="185"/>
        <v>0.69672582160189789</v>
      </c>
      <c r="SK47" s="133">
        <f t="shared" si="186"/>
        <v>0.75700401576937537</v>
      </c>
      <c r="SL47" s="133">
        <f t="shared" si="187"/>
        <v>0.81355282935818007</v>
      </c>
      <c r="SM47" s="133">
        <f t="shared" si="188"/>
        <v>0.88471066344395999</v>
      </c>
      <c r="SN47" s="81"/>
      <c r="SO47" s="81">
        <v>45</v>
      </c>
      <c r="SP47" s="133">
        <f t="shared" si="189"/>
        <v>0.23860941199507682</v>
      </c>
      <c r="SQ47" s="133">
        <f t="shared" si="190"/>
        <v>0.25448831885824452</v>
      </c>
      <c r="SR47" s="133">
        <f t="shared" si="191"/>
        <v>0.26876512027417671</v>
      </c>
      <c r="SS47" s="133">
        <f t="shared" si="423"/>
        <v>0.28595858756918641</v>
      </c>
      <c r="ST47" s="133">
        <f t="shared" si="424"/>
        <v>0.31645218140730091</v>
      </c>
      <c r="SU47" s="134">
        <f t="shared" si="425"/>
        <v>0.35323346079115941</v>
      </c>
      <c r="SV47" s="133">
        <f t="shared" si="426"/>
        <v>0.39311805346008355</v>
      </c>
      <c r="SW47" s="133">
        <f t="shared" si="192"/>
        <v>0.43168157200532781</v>
      </c>
      <c r="SX47" s="133">
        <f t="shared" si="193"/>
        <v>0.45611288224609792</v>
      </c>
      <c r="SY47" s="133">
        <f t="shared" si="194"/>
        <v>0.47812710369969763</v>
      </c>
      <c r="SZ47" s="133">
        <f t="shared" si="195"/>
        <v>0.50471062054721794</v>
      </c>
      <c r="TA47" s="81"/>
      <c r="TB47" s="81">
        <v>45</v>
      </c>
      <c r="TC47" s="133">
        <f t="shared" si="196"/>
        <v>0.25718315209945442</v>
      </c>
      <c r="TD47" s="133">
        <f t="shared" si="197"/>
        <v>0.27296818777135362</v>
      </c>
      <c r="TE47" s="133">
        <f t="shared" si="198"/>
        <v>0.28717640033101249</v>
      </c>
      <c r="TF47" s="133">
        <f t="shared" si="427"/>
        <v>0.30431022267673519</v>
      </c>
      <c r="TG47" s="133">
        <f t="shared" si="428"/>
        <v>0.33476819659997553</v>
      </c>
      <c r="TH47" s="134">
        <f t="shared" si="429"/>
        <v>0.37164042852720403</v>
      </c>
      <c r="TI47" s="133">
        <f t="shared" si="430"/>
        <v>0.41180478750574273</v>
      </c>
      <c r="TJ47" s="133">
        <f t="shared" si="199"/>
        <v>0.45082866316627818</v>
      </c>
      <c r="TK47" s="133">
        <f t="shared" si="200"/>
        <v>0.47565127936350549</v>
      </c>
      <c r="TL47" s="133">
        <f t="shared" si="201"/>
        <v>0.49808537246076201</v>
      </c>
      <c r="TM47" s="133">
        <f t="shared" si="202"/>
        <v>0.52526165363629185</v>
      </c>
      <c r="TN47" s="81"/>
      <c r="TO47" s="81">
        <v>47</v>
      </c>
      <c r="TP47" s="133">
        <f t="shared" si="203"/>
        <v>0.23533007955406066</v>
      </c>
      <c r="TQ47" s="133">
        <f t="shared" si="204"/>
        <v>0.25063055545381413</v>
      </c>
      <c r="TR47" s="133">
        <f t="shared" si="205"/>
        <v>0.26422532947322303</v>
      </c>
      <c r="TS47" s="133">
        <f t="shared" si="431"/>
        <v>0.28040281827755992</v>
      </c>
      <c r="TT47" s="133">
        <f t="shared" si="432"/>
        <v>0.30860062368973307</v>
      </c>
      <c r="TU47" s="134">
        <f t="shared" si="433"/>
        <v>0.341833471427539</v>
      </c>
      <c r="TV47" s="133">
        <f t="shared" si="434"/>
        <v>0.3769916958164507</v>
      </c>
      <c r="TW47" s="133">
        <f t="shared" si="206"/>
        <v>0.41019360266184268</v>
      </c>
      <c r="TX47" s="133">
        <f t="shared" si="207"/>
        <v>0.43085592205365258</v>
      </c>
      <c r="TY47" s="133">
        <f t="shared" si="208"/>
        <v>0.44924163275333684</v>
      </c>
      <c r="TZ47" s="133">
        <f t="shared" si="209"/>
        <v>0.4711644310696369</v>
      </c>
      <c r="UA47" s="81"/>
      <c r="UB47" s="81">
        <v>45</v>
      </c>
      <c r="UC47" s="133">
        <f t="shared" si="210"/>
        <v>-19.517207163012309</v>
      </c>
      <c r="UD47" s="133">
        <f t="shared" si="211"/>
        <v>-16.099881401419822</v>
      </c>
      <c r="UE47" s="133">
        <f t="shared" si="212"/>
        <v>-13.240884831355189</v>
      </c>
      <c r="UF47" s="133">
        <f t="shared" si="435"/>
        <v>-10.026304026419155</v>
      </c>
      <c r="UG47" s="133">
        <f t="shared" si="436"/>
        <v>-4.8346617644533367</v>
      </c>
      <c r="UH47" s="134">
        <f t="shared" si="437"/>
        <v>0.73521367832127282</v>
      </c>
      <c r="UI47" s="133">
        <f t="shared" si="438"/>
        <v>6.1104471463077772</v>
      </c>
      <c r="UJ47" s="133">
        <f t="shared" si="213"/>
        <v>10.789471743974048</v>
      </c>
      <c r="UK47" s="133">
        <f t="shared" si="214"/>
        <v>13.536004889398995</v>
      </c>
      <c r="UL47" s="133">
        <f t="shared" si="215"/>
        <v>15.885502863722863</v>
      </c>
      <c r="UM47" s="133">
        <f t="shared" si="216"/>
        <v>18.581355125938018</v>
      </c>
      <c r="UN47" s="81"/>
      <c r="UO47" s="81">
        <v>45</v>
      </c>
      <c r="UP47" s="133">
        <f t="shared" si="217"/>
        <v>-15.320732144546611</v>
      </c>
      <c r="UQ47" s="133">
        <f t="shared" si="218"/>
        <v>-12.482151886311957</v>
      </c>
      <c r="UR47" s="133">
        <f t="shared" si="219"/>
        <v>-10.046848290610964</v>
      </c>
      <c r="US47" s="133">
        <f t="shared" si="439"/>
        <v>-7.2452092246517203</v>
      </c>
      <c r="UT47" s="133">
        <f t="shared" si="440"/>
        <v>-2.5843435089564117</v>
      </c>
      <c r="UU47" s="134">
        <f t="shared" si="441"/>
        <v>2.5943928194997028</v>
      </c>
      <c r="UV47" s="133">
        <f t="shared" si="442"/>
        <v>7.7584629220957595</v>
      </c>
      <c r="UW47" s="133">
        <f t="shared" si="220"/>
        <v>12.38069920142074</v>
      </c>
      <c r="UX47" s="133">
        <f t="shared" si="221"/>
        <v>15.147055589737995</v>
      </c>
      <c r="UY47" s="133">
        <f t="shared" si="222"/>
        <v>17.543928071964139</v>
      </c>
      <c r="UZ47" s="133">
        <f t="shared" si="223"/>
        <v>20.328020330438662</v>
      </c>
      <c r="VA47" s="81"/>
      <c r="VB47" s="81">
        <v>48</v>
      </c>
      <c r="VC47" s="133">
        <f t="shared" si="224"/>
        <v>-19.818071353018055</v>
      </c>
      <c r="VD47" s="133">
        <f t="shared" si="225"/>
        <v>-16.346169084202451</v>
      </c>
      <c r="VE47" s="133">
        <f t="shared" si="226"/>
        <v>-13.484968814421912</v>
      </c>
      <c r="VF47" s="133">
        <f t="shared" si="443"/>
        <v>-10.309781381707971</v>
      </c>
      <c r="VG47" s="133">
        <f t="shared" si="444"/>
        <v>-5.2640494564875411</v>
      </c>
      <c r="VH47" s="134">
        <f t="shared" si="445"/>
        <v>5.1335012183898243E-2</v>
      </c>
      <c r="VI47" s="133">
        <f t="shared" si="446"/>
        <v>5.0980507761821627</v>
      </c>
      <c r="VJ47" s="133">
        <f t="shared" si="227"/>
        <v>9.4327659973044717</v>
      </c>
      <c r="VK47" s="133">
        <f t="shared" si="228"/>
        <v>11.954210635090234</v>
      </c>
      <c r="VL47" s="133">
        <f t="shared" si="229"/>
        <v>14.098552888298713</v>
      </c>
      <c r="VM47" s="133">
        <f t="shared" si="230"/>
        <v>16.545399136823903</v>
      </c>
      <c r="VN47" s="81"/>
      <c r="VO47" s="81">
        <v>45</v>
      </c>
      <c r="VP47" s="133">
        <f t="shared" si="231"/>
        <v>-34.035550799636383</v>
      </c>
      <c r="VQ47" s="133">
        <f t="shared" si="232"/>
        <v>-29.567515981683936</v>
      </c>
      <c r="VR47" s="133">
        <f t="shared" si="233"/>
        <v>-25.442540594582216</v>
      </c>
      <c r="VS47" s="133">
        <f t="shared" si="447"/>
        <v>-20.371828619742566</v>
      </c>
      <c r="VT47" s="133">
        <f t="shared" si="448"/>
        <v>-11.185486154909952</v>
      </c>
      <c r="VU47" s="134">
        <f t="shared" si="449"/>
        <v>8.8045000581324473E-2</v>
      </c>
      <c r="VV47" s="133">
        <f t="shared" si="450"/>
        <v>12.411931213306524</v>
      </c>
      <c r="VW47" s="133">
        <f t="shared" si="234"/>
        <v>24.333407934663533</v>
      </c>
      <c r="VX47" s="133">
        <f t="shared" si="235"/>
        <v>31.862008999844683</v>
      </c>
      <c r="VY47" s="133">
        <f t="shared" si="236"/>
        <v>38.619711386503873</v>
      </c>
      <c r="VZ47" s="133">
        <f t="shared" si="237"/>
        <v>46.739327408770059</v>
      </c>
      <c r="WA47" s="81"/>
      <c r="WB47" s="81">
        <v>45</v>
      </c>
      <c r="WC47" s="133">
        <f t="shared" si="238"/>
        <v>-29.611639250822687</v>
      </c>
      <c r="WD47" s="133">
        <f t="shared" si="239"/>
        <v>-25.230134182903392</v>
      </c>
      <c r="WE47" s="133">
        <f t="shared" si="240"/>
        <v>-21.168674776746144</v>
      </c>
      <c r="WF47" s="133">
        <f t="shared" si="451"/>
        <v>-16.159258068166132</v>
      </c>
      <c r="WG47" s="133">
        <f t="shared" si="452"/>
        <v>-7.0480663094031257</v>
      </c>
      <c r="WH47" s="134">
        <f t="shared" si="453"/>
        <v>4.1796421430935524</v>
      </c>
      <c r="WI47" s="133">
        <f t="shared" si="454"/>
        <v>16.4957567379792</v>
      </c>
      <c r="WJ47" s="133">
        <f t="shared" si="241"/>
        <v>28.441350923962908</v>
      </c>
      <c r="WK47" s="133">
        <f t="shared" si="242"/>
        <v>35.998101654617265</v>
      </c>
      <c r="WL47" s="133">
        <f t="shared" si="243"/>
        <v>42.788366158251542</v>
      </c>
      <c r="WM47" s="133">
        <f t="shared" si="244"/>
        <v>50.955218183122533</v>
      </c>
      <c r="WN47" s="81"/>
      <c r="WO47" s="81">
        <v>48</v>
      </c>
      <c r="WP47" s="133">
        <f t="shared" si="245"/>
        <v>-34.611538260874873</v>
      </c>
      <c r="WQ47" s="133">
        <f t="shared" si="246"/>
        <v>-30.067143604797888</v>
      </c>
      <c r="WR47" s="133">
        <f t="shared" si="247"/>
        <v>-25.920859838507269</v>
      </c>
      <c r="WS47" s="133">
        <f t="shared" si="455"/>
        <v>-20.882406366368905</v>
      </c>
      <c r="WT47" s="133">
        <f t="shared" si="456"/>
        <v>-11.8986217235095</v>
      </c>
      <c r="WU47" s="134">
        <f t="shared" si="457"/>
        <v>-1.0890087501865011</v>
      </c>
      <c r="WV47" s="133">
        <f t="shared" si="458"/>
        <v>10.502308484802761</v>
      </c>
      <c r="WW47" s="133">
        <f t="shared" si="248"/>
        <v>21.526870444509406</v>
      </c>
      <c r="WX47" s="133">
        <f t="shared" si="249"/>
        <v>28.405898786763366</v>
      </c>
      <c r="WY47" s="133">
        <f t="shared" si="250"/>
        <v>34.531010133996624</v>
      </c>
      <c r="WZ47" s="133">
        <f t="shared" si="251"/>
        <v>41.833285611484264</v>
      </c>
      <c r="XA47" s="81"/>
      <c r="XB47" s="81">
        <v>45</v>
      </c>
      <c r="XC47" s="133">
        <f t="shared" si="252"/>
        <v>-39.592360440510831</v>
      </c>
      <c r="XD47" s="133">
        <f t="shared" si="253"/>
        <v>-34.664530295616373</v>
      </c>
      <c r="XE47" s="133">
        <f t="shared" si="254"/>
        <v>-30.195265726774693</v>
      </c>
      <c r="XF47" s="133">
        <f t="shared" si="459"/>
        <v>-24.805256302748624</v>
      </c>
      <c r="XG47" s="133">
        <f t="shared" si="460"/>
        <v>-15.309468608429931</v>
      </c>
      <c r="XH47" s="134">
        <f t="shared" si="461"/>
        <v>-4.0688177373579464</v>
      </c>
      <c r="XI47" s="133">
        <f t="shared" si="462"/>
        <v>7.7832356904200637</v>
      </c>
      <c r="XJ47" s="133">
        <f t="shared" si="255"/>
        <v>18.88496493537081</v>
      </c>
      <c r="XK47" s="133">
        <f t="shared" si="256"/>
        <v>25.736298840857948</v>
      </c>
      <c r="XL47" s="133">
        <f t="shared" si="257"/>
        <v>31.791568630620027</v>
      </c>
      <c r="XM47" s="133">
        <f t="shared" si="258"/>
        <v>38.958483480840634</v>
      </c>
      <c r="XN47" s="81"/>
      <c r="XO47" s="81">
        <v>45</v>
      </c>
      <c r="XP47" s="133">
        <f t="shared" si="259"/>
        <v>-32.212470454817193</v>
      </c>
      <c r="XQ47" s="133">
        <f t="shared" si="260"/>
        <v>-27.453900089076424</v>
      </c>
      <c r="XR47" s="133">
        <f t="shared" si="261"/>
        <v>-23.192485803442068</v>
      </c>
      <c r="XS47" s="133">
        <f t="shared" si="463"/>
        <v>-18.104189630090048</v>
      </c>
      <c r="XT47" s="133">
        <f t="shared" si="464"/>
        <v>-9.2404490176426037</v>
      </c>
      <c r="XU47" s="134">
        <f t="shared" si="465"/>
        <v>1.1315967527148345</v>
      </c>
      <c r="XV47" s="133">
        <f t="shared" si="466"/>
        <v>11.964688705295259</v>
      </c>
      <c r="XW47" s="133">
        <f t="shared" si="262"/>
        <v>22.038194397285501</v>
      </c>
      <c r="XX47" s="133">
        <f t="shared" si="263"/>
        <v>28.225580290183835</v>
      </c>
      <c r="XY47" s="133">
        <f t="shared" si="264"/>
        <v>33.677718944838325</v>
      </c>
      <c r="XZ47" s="133">
        <f t="shared" si="265"/>
        <v>40.112864706170093</v>
      </c>
      <c r="YA47" s="81"/>
      <c r="YB47" s="81">
        <v>48</v>
      </c>
      <c r="YC47" s="133">
        <f t="shared" si="266"/>
        <v>-41.069639814336028</v>
      </c>
      <c r="YD47" s="133">
        <f t="shared" si="267"/>
        <v>-36.145733108462352</v>
      </c>
      <c r="YE47" s="133">
        <f t="shared" si="268"/>
        <v>-31.712076567181974</v>
      </c>
      <c r="YF47" s="133">
        <f t="shared" si="467"/>
        <v>-26.40178656974631</v>
      </c>
      <c r="YG47" s="133">
        <f t="shared" si="468"/>
        <v>-17.131769017004608</v>
      </c>
      <c r="YH47" s="134">
        <f t="shared" si="469"/>
        <v>-6.27685901205043</v>
      </c>
      <c r="YI47" s="133">
        <f t="shared" si="470"/>
        <v>5.053383041760469</v>
      </c>
      <c r="YJ47" s="133">
        <f t="shared" si="269"/>
        <v>15.576083013868647</v>
      </c>
      <c r="YK47" s="133">
        <f t="shared" si="270"/>
        <v>22.031885514081118</v>
      </c>
      <c r="YL47" s="133">
        <f t="shared" si="271"/>
        <v>27.715524269648164</v>
      </c>
      <c r="YM47" s="133">
        <f t="shared" si="272"/>
        <v>34.417720134166679</v>
      </c>
      <c r="YN47" s="81"/>
      <c r="YO47" s="81">
        <v>45</v>
      </c>
      <c r="YP47" s="133">
        <v>17.628795216731714</v>
      </c>
      <c r="YQ47" s="133">
        <v>19.733096692821938</v>
      </c>
      <c r="YR47" s="133">
        <v>21.742742909497714</v>
      </c>
      <c r="YS47" s="133">
        <v>24.31503993336738</v>
      </c>
      <c r="YT47" s="133">
        <v>29.301020882829466</v>
      </c>
      <c r="YU47" s="134">
        <v>36.072252602646039</v>
      </c>
      <c r="YV47" s="133">
        <v>44.408261849730209</v>
      </c>
      <c r="YW47" s="133">
        <v>53.514508361693686</v>
      </c>
      <c r="YX47" s="133">
        <v>59.845595987832212</v>
      </c>
      <c r="YY47" s="133">
        <v>65.940355337255724</v>
      </c>
      <c r="YZ47" s="133">
        <v>73.811476724972778</v>
      </c>
      <c r="ZA47" s="81"/>
      <c r="ZB47" s="81">
        <v>45</v>
      </c>
      <c r="ZC47" s="133">
        <v>14.295308373806773</v>
      </c>
      <c r="ZD47" s="133">
        <v>16.199747207704057</v>
      </c>
      <c r="ZE47" s="133">
        <v>18.039388714439671</v>
      </c>
      <c r="ZF47" s="133">
        <v>20.421123610306225</v>
      </c>
      <c r="ZG47" s="133">
        <v>25.11446899687725</v>
      </c>
      <c r="ZH47" s="134">
        <v>31.62741566924328</v>
      </c>
      <c r="ZI47" s="133">
        <v>39.829367765628369</v>
      </c>
      <c r="ZJ47" s="133">
        <v>48.983270509672806</v>
      </c>
      <c r="ZK47" s="133">
        <v>55.450516519687177</v>
      </c>
      <c r="ZL47" s="133">
        <v>61.747471061732952</v>
      </c>
      <c r="ZM47" s="133">
        <v>69.973546268363748</v>
      </c>
      <c r="ZN47" s="81"/>
      <c r="ZO47" s="81">
        <v>48</v>
      </c>
      <c r="ZP47" s="133">
        <v>20.932518433062498</v>
      </c>
      <c r="ZQ47" s="133">
        <v>23.040042016402747</v>
      </c>
      <c r="ZR47" s="133">
        <v>25.021575293402169</v>
      </c>
      <c r="ZS47" s="133">
        <v>27.518577237017226</v>
      </c>
      <c r="ZT47" s="133">
        <v>32.250806452975958</v>
      </c>
      <c r="ZU47" s="134">
        <v>38.490376823937623</v>
      </c>
      <c r="ZV47" s="133">
        <v>45.937118199163876</v>
      </c>
      <c r="ZW47" s="133">
        <v>53.836689858218016</v>
      </c>
      <c r="ZX47" s="133">
        <v>59.209266030479192</v>
      </c>
      <c r="ZY47" s="133">
        <v>64.301493330350411</v>
      </c>
      <c r="ZZ47" s="133">
        <v>70.775483264770486</v>
      </c>
      <c r="AAA47" s="81"/>
      <c r="AAB47" s="81">
        <v>45</v>
      </c>
      <c r="AAC47" s="133">
        <v>9.452277607649215</v>
      </c>
      <c r="AAD47" s="133">
        <v>10.492040299060427</v>
      </c>
      <c r="AAE47" s="133">
        <v>11.477322601659717</v>
      </c>
      <c r="AAF47" s="133">
        <v>12.728663702526065</v>
      </c>
      <c r="AAG47" s="133">
        <v>15.127055174908827</v>
      </c>
      <c r="AAH47" s="134">
        <v>18.336524571232303</v>
      </c>
      <c r="AAI47" s="133">
        <v>22.226939048196634</v>
      </c>
      <c r="AAJ47" s="133">
        <v>26.415037839728591</v>
      </c>
      <c r="AAK47" s="133">
        <v>29.294997188872639</v>
      </c>
      <c r="AAL47" s="133">
        <v>32.046020008283364</v>
      </c>
      <c r="AAM47" s="133">
        <v>35.571123416785262</v>
      </c>
      <c r="AAN47" s="81"/>
      <c r="AAO47" s="81">
        <v>45</v>
      </c>
      <c r="AAP47" s="133">
        <v>8.5189658269035711</v>
      </c>
      <c r="AAQ47" s="133">
        <v>9.5665241526738409</v>
      </c>
      <c r="AAR47" s="133">
        <v>10.569945875748077</v>
      </c>
      <c r="AAS47" s="133">
        <v>11.858134528364291</v>
      </c>
      <c r="AAT47" s="133">
        <v>14.365844070897476</v>
      </c>
      <c r="AAU47" s="134">
        <v>17.790699839424377</v>
      </c>
      <c r="AAV47" s="133">
        <v>22.032050411690253</v>
      </c>
      <c r="AAW47" s="133">
        <v>26.691297861346992</v>
      </c>
      <c r="AAX47" s="133">
        <v>29.944240443340409</v>
      </c>
      <c r="AAY47" s="133">
        <v>33.085057406982074</v>
      </c>
      <c r="AAZ47" s="133">
        <v>37.153453506872175</v>
      </c>
      <c r="ABA47" s="81"/>
      <c r="ABB47" s="81">
        <v>48</v>
      </c>
      <c r="ABC47" s="133">
        <v>10.343911476907163</v>
      </c>
      <c r="ABD47" s="133">
        <v>11.362779265441452</v>
      </c>
      <c r="ABE47" s="133">
        <v>12.318975087744573</v>
      </c>
      <c r="ABF47" s="133">
        <v>13.521695343228604</v>
      </c>
      <c r="ABG47" s="133">
        <v>15.795008398549411</v>
      </c>
      <c r="ABH47" s="134">
        <v>18.782014146307599</v>
      </c>
      <c r="ABI47" s="133">
        <v>22.333894765418169</v>
      </c>
      <c r="ABJ47" s="133">
        <v>26.088744527789984</v>
      </c>
      <c r="ABK47" s="133">
        <v>28.63582829573566</v>
      </c>
      <c r="ABL47" s="133">
        <v>31.045578476120596</v>
      </c>
      <c r="ABM47" s="133">
        <v>34.103545470168257</v>
      </c>
      <c r="ABN47" s="81"/>
      <c r="ABO47" s="81">
        <v>45</v>
      </c>
      <c r="ABP47" s="133">
        <f t="shared" si="273"/>
        <v>0.2429276986589235</v>
      </c>
      <c r="ABQ47" s="133">
        <f t="shared" si="274"/>
        <v>0.27478569982294221</v>
      </c>
      <c r="ABR47" s="133">
        <f t="shared" si="275"/>
        <v>0.30453282654663694</v>
      </c>
      <c r="ABS47" s="133">
        <f t="shared" si="471"/>
        <v>0.34166758994661467</v>
      </c>
      <c r="ABT47" s="133">
        <f t="shared" si="472"/>
        <v>0.41081222823639874</v>
      </c>
      <c r="ABU47" s="134">
        <f t="shared" si="473"/>
        <v>0.49932477653355162</v>
      </c>
      <c r="ABV47" s="133">
        <f t="shared" si="474"/>
        <v>0.6009885157711623</v>
      </c>
      <c r="ABW47" s="133">
        <f t="shared" si="276"/>
        <v>0.70434916515844148</v>
      </c>
      <c r="ABX47" s="133">
        <f t="shared" si="277"/>
        <v>0.77219327466593224</v>
      </c>
      <c r="ABY47" s="133">
        <f t="shared" si="278"/>
        <v>0.8347916580699638</v>
      </c>
      <c r="ABZ47" s="133">
        <f t="shared" si="279"/>
        <v>0.91213677921088054</v>
      </c>
      <c r="ACA47" s="81"/>
      <c r="ACB47" s="81">
        <v>45</v>
      </c>
      <c r="ACC47" s="133">
        <f t="shared" si="280"/>
        <v>0.28043142730443654</v>
      </c>
      <c r="ACD47" s="133">
        <f t="shared" si="281"/>
        <v>0.31154930695563215</v>
      </c>
      <c r="ACE47" s="133">
        <f t="shared" si="282"/>
        <v>0.34064041667833145</v>
      </c>
      <c r="ACF47" s="133">
        <f t="shared" si="475"/>
        <v>0.37704871574923632</v>
      </c>
      <c r="ACG47" s="133">
        <f t="shared" si="476"/>
        <v>0.44523507500389431</v>
      </c>
      <c r="ACH47" s="134">
        <f t="shared" si="477"/>
        <v>0.53346849251158779</v>
      </c>
      <c r="ACI47" s="133">
        <f t="shared" si="478"/>
        <v>0.63632089391579427</v>
      </c>
      <c r="ACJ47" s="133">
        <f t="shared" si="283"/>
        <v>0.74265722936371559</v>
      </c>
      <c r="ACK47" s="133">
        <f t="shared" si="284"/>
        <v>0.81344702443553585</v>
      </c>
      <c r="ACL47" s="133">
        <f t="shared" si="285"/>
        <v>0.87946532673350475</v>
      </c>
      <c r="ACM47" s="133">
        <f t="shared" si="286"/>
        <v>0.96196529780802786</v>
      </c>
      <c r="ACN47" s="81"/>
      <c r="ACO47" s="81">
        <v>48</v>
      </c>
      <c r="ACP47" s="133">
        <f t="shared" si="287"/>
        <v>0.23200499640671554</v>
      </c>
      <c r="ACQ47" s="133">
        <f t="shared" si="288"/>
        <v>0.26584512012869405</v>
      </c>
      <c r="ACR47" s="133">
        <f t="shared" si="289"/>
        <v>0.29685408220954523</v>
      </c>
      <c r="ACS47" s="133">
        <f t="shared" si="479"/>
        <v>0.33480000474149235</v>
      </c>
      <c r="ACT47" s="133">
        <f t="shared" si="480"/>
        <v>0.40341420810984485</v>
      </c>
      <c r="ACU47" s="134">
        <f t="shared" si="481"/>
        <v>0.48754977114822279</v>
      </c>
      <c r="ACV47" s="133">
        <f t="shared" si="482"/>
        <v>0.57992726334217515</v>
      </c>
      <c r="ACW47" s="133">
        <f t="shared" si="290"/>
        <v>0.67000585520953515</v>
      </c>
      <c r="ACX47" s="133">
        <f t="shared" si="291"/>
        <v>0.72717717919931457</v>
      </c>
      <c r="ACY47" s="133">
        <f t="shared" si="292"/>
        <v>0.77872297701196591</v>
      </c>
      <c r="ACZ47" s="133">
        <f t="shared" si="293"/>
        <v>0.84094897410720126</v>
      </c>
      <c r="ADA47" s="81"/>
      <c r="ADB47" s="81">
        <v>45</v>
      </c>
      <c r="ADC47" s="133">
        <f t="shared" si="294"/>
        <v>0.19670500358993515</v>
      </c>
      <c r="ADD47" s="133">
        <f t="shared" si="295"/>
        <v>0.21694613560322673</v>
      </c>
      <c r="ADE47" s="133">
        <f t="shared" si="296"/>
        <v>0.23470294742616657</v>
      </c>
      <c r="ADF47" s="133">
        <f t="shared" si="483"/>
        <v>0.25555654208617135</v>
      </c>
      <c r="ADG47" s="133">
        <f t="shared" si="484"/>
        <v>0.29120434694094122</v>
      </c>
      <c r="ADH47" s="134">
        <f t="shared" si="485"/>
        <v>0.33212610431078299</v>
      </c>
      <c r="ADI47" s="133">
        <f t="shared" si="486"/>
        <v>0.37421682304881604</v>
      </c>
      <c r="ADJ47" s="133">
        <f t="shared" si="297"/>
        <v>0.41291366755246361</v>
      </c>
      <c r="ADK47" s="133">
        <f t="shared" si="298"/>
        <v>0.43651351386350595</v>
      </c>
      <c r="ADL47" s="133">
        <f t="shared" si="299"/>
        <v>0.45721857587745257</v>
      </c>
      <c r="ADM47" s="133">
        <f t="shared" si="300"/>
        <v>0.4815604069612594</v>
      </c>
      <c r="ADN47" s="81"/>
      <c r="ADO47" s="81">
        <v>45</v>
      </c>
      <c r="ADP47" s="133">
        <f t="shared" si="301"/>
        <v>0.22039014236689064</v>
      </c>
      <c r="ADQ47" s="133">
        <f t="shared" si="302"/>
        <v>0.23879117616735002</v>
      </c>
      <c r="ADR47" s="133">
        <f t="shared" si="303"/>
        <v>0.25507610331358122</v>
      </c>
      <c r="ADS47" s="133">
        <f t="shared" si="487"/>
        <v>0.27437021938007994</v>
      </c>
      <c r="ADT47" s="133">
        <f t="shared" si="488"/>
        <v>0.30776986661994837</v>
      </c>
      <c r="ADU47" s="134">
        <f t="shared" si="489"/>
        <v>0.34674585742703568</v>
      </c>
      <c r="ADV47" s="133">
        <f t="shared" si="490"/>
        <v>0.3875204289227826</v>
      </c>
      <c r="ADW47" s="133">
        <f t="shared" si="304"/>
        <v>0.42559850321985626</v>
      </c>
      <c r="ADX47" s="133">
        <f t="shared" si="305"/>
        <v>0.44909035637674122</v>
      </c>
      <c r="ADY47" s="133">
        <f t="shared" si="306"/>
        <v>0.46986457536214726</v>
      </c>
      <c r="ADZ47" s="133">
        <f t="shared" si="307"/>
        <v>0.49447964752864776</v>
      </c>
      <c r="AEA47" s="81"/>
      <c r="AEB47" s="81">
        <v>48</v>
      </c>
      <c r="AEC47" s="133">
        <f t="shared" si="308"/>
        <v>0.18989235560873854</v>
      </c>
      <c r="AED47" s="133">
        <f t="shared" si="309"/>
        <v>0.21167763389253114</v>
      </c>
      <c r="AEE47" s="133">
        <f t="shared" si="310"/>
        <v>0.23034221931922727</v>
      </c>
      <c r="AEF47" s="133">
        <f t="shared" si="491"/>
        <v>0.25178670516546797</v>
      </c>
      <c r="AEG47" s="133">
        <f t="shared" si="492"/>
        <v>0.28740075107438562</v>
      </c>
      <c r="AEH47" s="134">
        <f t="shared" si="493"/>
        <v>0.32688926494440823</v>
      </c>
      <c r="AEI47" s="133">
        <f t="shared" si="494"/>
        <v>0.36618739826125618</v>
      </c>
      <c r="AEJ47" s="133">
        <f t="shared" si="311"/>
        <v>0.40130151114460549</v>
      </c>
      <c r="AEK47" s="133">
        <f t="shared" si="312"/>
        <v>0.42229139161176815</v>
      </c>
      <c r="AEL47" s="133">
        <f t="shared" si="313"/>
        <v>0.44046314371989043</v>
      </c>
      <c r="AEM47" s="133">
        <f t="shared" si="314"/>
        <v>0.46155419846345003</v>
      </c>
      <c r="AEN47" s="81"/>
    </row>
    <row r="48" spans="1:820">
      <c r="A48" s="81"/>
      <c r="B48" s="81">
        <v>47</v>
      </c>
      <c r="C48" s="133">
        <f t="shared" si="0"/>
        <v>2.0269622703696122</v>
      </c>
      <c r="D48" s="133">
        <f t="shared" si="1"/>
        <v>2.4341339391002084</v>
      </c>
      <c r="E48" s="133">
        <f t="shared" si="2"/>
        <v>2.8636975704840006</v>
      </c>
      <c r="F48" s="133">
        <f t="shared" si="315"/>
        <v>3.4754712467573068</v>
      </c>
      <c r="G48" s="133">
        <f t="shared" si="316"/>
        <v>4.878831027677978</v>
      </c>
      <c r="H48" s="134">
        <f t="shared" si="317"/>
        <v>7.3133469387199419</v>
      </c>
      <c r="I48" s="133">
        <f t="shared" si="318"/>
        <v>11.325881172203736</v>
      </c>
      <c r="J48" s="133">
        <f t="shared" si="3"/>
        <v>17.320914981025773</v>
      </c>
      <c r="K48" s="133">
        <f t="shared" si="4"/>
        <v>22.725073732284407</v>
      </c>
      <c r="L48" s="133">
        <f t="shared" si="5"/>
        <v>29.093528836471517</v>
      </c>
      <c r="M48" s="133">
        <f t="shared" si="6"/>
        <v>39.355436992754861</v>
      </c>
      <c r="N48" s="81"/>
      <c r="O48" s="75">
        <v>47</v>
      </c>
      <c r="P48" s="151">
        <f t="shared" si="7"/>
        <v>2.7324113028834947</v>
      </c>
      <c r="Q48" s="151">
        <f t="shared" si="8"/>
        <v>3.124871831509473</v>
      </c>
      <c r="R48" s="151">
        <f t="shared" si="9"/>
        <v>3.5286905096326606</v>
      </c>
      <c r="S48" s="151">
        <f t="shared" si="319"/>
        <v>4.0912837351626283</v>
      </c>
      <c r="T48" s="151">
        <f t="shared" si="320"/>
        <v>5.3501960817972378</v>
      </c>
      <c r="U48" s="134">
        <f t="shared" si="321"/>
        <v>7.4999080611575861</v>
      </c>
      <c r="V48" s="151">
        <f t="shared" si="322"/>
        <v>11.089256073846293</v>
      </c>
      <c r="W48" s="151">
        <f t="shared" si="10"/>
        <v>16.75138924062</v>
      </c>
      <c r="X48" s="151">
        <f t="shared" si="11"/>
        <v>22.269816507746629</v>
      </c>
      <c r="Y48" s="151">
        <f t="shared" si="12"/>
        <v>29.364756555412988</v>
      </c>
      <c r="Z48" s="151">
        <f t="shared" si="13"/>
        <v>42.336871540371511</v>
      </c>
      <c r="AA48" s="81"/>
      <c r="AB48" s="75">
        <v>49</v>
      </c>
      <c r="AC48" s="151">
        <f t="shared" si="14"/>
        <v>1.7520846822629046</v>
      </c>
      <c r="AD48" s="151">
        <f t="shared" si="15"/>
        <v>2.1156964792776884</v>
      </c>
      <c r="AE48" s="151">
        <f t="shared" si="16"/>
        <v>2.504847914951065</v>
      </c>
      <c r="AF48" s="151">
        <f t="shared" si="323"/>
        <v>3.0685483871948214</v>
      </c>
      <c r="AG48" s="151">
        <f t="shared" si="324"/>
        <v>4.4013230152886811</v>
      </c>
      <c r="AH48" s="134">
        <f t="shared" si="325"/>
        <v>6.8330360102664667</v>
      </c>
      <c r="AI48" s="151">
        <f t="shared" si="326"/>
        <v>11.13392028963794</v>
      </c>
      <c r="AJ48" s="151">
        <f t="shared" si="17"/>
        <v>18.154671043223836</v>
      </c>
      <c r="AK48" s="151">
        <f t="shared" si="18"/>
        <v>25.030100361786356</v>
      </c>
      <c r="AL48" s="151">
        <f t="shared" si="19"/>
        <v>33.742397376959644</v>
      </c>
      <c r="AM48" s="151">
        <f t="shared" si="20"/>
        <v>49.07328029467638</v>
      </c>
      <c r="AN48" s="81"/>
      <c r="AO48" s="81">
        <v>47</v>
      </c>
      <c r="AP48" s="133">
        <f t="shared" si="21"/>
        <v>1.3774892384195967</v>
      </c>
      <c r="AQ48" s="133">
        <f t="shared" si="22"/>
        <v>3.6713298326550268</v>
      </c>
      <c r="AR48" s="133">
        <f t="shared" si="23"/>
        <v>5.8782094834282352</v>
      </c>
      <c r="AS48" s="133">
        <f t="shared" si="327"/>
        <v>8.6940406404506909</v>
      </c>
      <c r="AT48" s="133">
        <f t="shared" si="328"/>
        <v>14.045802106492737</v>
      </c>
      <c r="AU48" s="134">
        <f t="shared" si="329"/>
        <v>20.987901616572401</v>
      </c>
      <c r="AV48" s="133">
        <f t="shared" si="330"/>
        <v>28.97428774696991</v>
      </c>
      <c r="AW48" s="133">
        <f t="shared" si="24"/>
        <v>37.039248728428234</v>
      </c>
      <c r="AX48" s="133">
        <f t="shared" si="25"/>
        <v>42.285567778150302</v>
      </c>
      <c r="AY48" s="133">
        <f t="shared" si="26"/>
        <v>47.087570045560412</v>
      </c>
      <c r="AZ48" s="133">
        <f t="shared" si="27"/>
        <v>52.966334926993099</v>
      </c>
      <c r="BA48" s="81"/>
      <c r="BB48" s="81">
        <v>47</v>
      </c>
      <c r="BC48" s="133">
        <f t="shared" si="28"/>
        <v>4.2833736837935374</v>
      </c>
      <c r="BD48" s="133">
        <f t="shared" si="29"/>
        <v>6.890251387746793</v>
      </c>
      <c r="BE48" s="133">
        <f t="shared" si="30"/>
        <v>9.3083337570607867</v>
      </c>
      <c r="BF48" s="133">
        <f t="shared" si="331"/>
        <v>12.292104591214038</v>
      </c>
      <c r="BG48" s="133">
        <f t="shared" si="332"/>
        <v>17.72091768859428</v>
      </c>
      <c r="BH48" s="134">
        <f t="shared" si="333"/>
        <v>24.411886457078154</v>
      </c>
      <c r="BI48" s="133">
        <f t="shared" si="334"/>
        <v>31.750986535109472</v>
      </c>
      <c r="BJ48" s="133">
        <f t="shared" si="31"/>
        <v>38.867914849777151</v>
      </c>
      <c r="BK48" s="133">
        <f t="shared" si="32"/>
        <v>43.36916821071042</v>
      </c>
      <c r="BL48" s="133">
        <f t="shared" si="33"/>
        <v>47.413210559818829</v>
      </c>
      <c r="BM48" s="133">
        <f t="shared" si="34"/>
        <v>52.276260950436871</v>
      </c>
      <c r="BN48" s="81"/>
      <c r="BO48" s="75">
        <v>49</v>
      </c>
      <c r="BP48" s="151">
        <f t="shared" si="35"/>
        <v>3.919145792292253</v>
      </c>
      <c r="BQ48" s="151">
        <f t="shared" si="36"/>
        <v>5.0530776772673311</v>
      </c>
      <c r="BR48" s="151">
        <f t="shared" si="37"/>
        <v>6.2411485802655111</v>
      </c>
      <c r="BS48" s="151">
        <f t="shared" si="335"/>
        <v>7.8987727973383182</v>
      </c>
      <c r="BT48" s="151">
        <f t="shared" si="336"/>
        <v>11.498696148888095</v>
      </c>
      <c r="BU48" s="134">
        <f t="shared" si="337"/>
        <v>17.074362673547352</v>
      </c>
      <c r="BV48" s="151">
        <f t="shared" si="338"/>
        <v>24.805455658528206</v>
      </c>
      <c r="BW48" s="151">
        <f t="shared" si="38"/>
        <v>34.104806716806593</v>
      </c>
      <c r="BX48" s="151">
        <f t="shared" si="39"/>
        <v>40.990409777986109</v>
      </c>
      <c r="BY48" s="151">
        <f t="shared" si="40"/>
        <v>47.889114831165045</v>
      </c>
      <c r="BZ48" s="151">
        <f t="shared" si="41"/>
        <v>57.131661867094621</v>
      </c>
      <c r="CA48" s="81"/>
      <c r="CB48" s="81">
        <v>47</v>
      </c>
      <c r="CC48" s="133">
        <f t="shared" si="42"/>
        <v>-5.3623842263130408</v>
      </c>
      <c r="CD48" s="133">
        <f t="shared" si="43"/>
        <v>-3.1594964597717925</v>
      </c>
      <c r="CE48" s="133">
        <f t="shared" si="44"/>
        <v>-0.88876706864930188</v>
      </c>
      <c r="CF48" s="133">
        <f t="shared" si="339"/>
        <v>2.0744493255949434</v>
      </c>
      <c r="CG48" s="133">
        <f t="shared" si="340"/>
        <v>7.699745502914511</v>
      </c>
      <c r="CH48" s="134">
        <f t="shared" si="341"/>
        <v>14.811618770765079</v>
      </c>
      <c r="CI48" s="133">
        <f t="shared" si="342"/>
        <v>22.67906743365582</v>
      </c>
      <c r="CJ48" s="133">
        <f t="shared" si="45"/>
        <v>30.304183664647564</v>
      </c>
      <c r="CK48" s="133">
        <f t="shared" si="46"/>
        <v>35.110056535579986</v>
      </c>
      <c r="CL48" s="133">
        <f t="shared" si="47"/>
        <v>39.412589078497426</v>
      </c>
      <c r="CM48" s="133">
        <f t="shared" si="48"/>
        <v>44.565021516312342</v>
      </c>
      <c r="CN48" s="81"/>
      <c r="CO48" s="81">
        <v>47</v>
      </c>
      <c r="CP48" s="133">
        <f t="shared" si="49"/>
        <v>0.32585623561068822</v>
      </c>
      <c r="CQ48" s="133">
        <f t="shared" si="50"/>
        <v>2.7562443146132951</v>
      </c>
      <c r="CR48" s="133">
        <f t="shared" si="51"/>
        <v>5.0275488536177031</v>
      </c>
      <c r="CS48" s="133">
        <f t="shared" si="343"/>
        <v>7.8339774143347887</v>
      </c>
      <c r="CT48" s="133">
        <f t="shared" si="344"/>
        <v>12.919586347279875</v>
      </c>
      <c r="CU48" s="134">
        <f t="shared" si="345"/>
        <v>19.121803640391175</v>
      </c>
      <c r="CV48" s="133">
        <f t="shared" si="346"/>
        <v>25.829056725349755</v>
      </c>
      <c r="CW48" s="133">
        <f t="shared" si="52"/>
        <v>32.239130436516724</v>
      </c>
      <c r="CX48" s="133">
        <f t="shared" si="53"/>
        <v>36.248090869446948</v>
      </c>
      <c r="CY48" s="133">
        <f t="shared" si="54"/>
        <v>39.821616905462179</v>
      </c>
      <c r="CZ48" s="133">
        <f t="shared" si="55"/>
        <v>44.085247713870267</v>
      </c>
      <c r="DA48" s="81"/>
      <c r="DB48" s="81">
        <v>49</v>
      </c>
      <c r="DC48" s="133">
        <f t="shared" si="56"/>
        <v>-5.6252654459895322</v>
      </c>
      <c r="DD48" s="133">
        <f t="shared" si="57"/>
        <v>-4.0542892203951109</v>
      </c>
      <c r="DE48" s="133">
        <f t="shared" si="58"/>
        <v>-2.3558192600648633</v>
      </c>
      <c r="DF48" s="133">
        <f t="shared" si="347"/>
        <v>-4.0932203894619157E-2</v>
      </c>
      <c r="DG48" s="133">
        <f t="shared" si="348"/>
        <v>4.5904168051761305</v>
      </c>
      <c r="DH48" s="134">
        <f t="shared" si="349"/>
        <v>10.781938335734917</v>
      </c>
      <c r="DI48" s="133">
        <f t="shared" si="350"/>
        <v>17.965419699973499</v>
      </c>
      <c r="DJ48" s="133">
        <f t="shared" si="59"/>
        <v>25.196060149050812</v>
      </c>
      <c r="DK48" s="133">
        <f t="shared" si="60"/>
        <v>29.869029768785179</v>
      </c>
      <c r="DL48" s="133">
        <f t="shared" si="61"/>
        <v>34.120501229286141</v>
      </c>
      <c r="DM48" s="133">
        <f t="shared" si="62"/>
        <v>39.289495341776949</v>
      </c>
      <c r="DN48" s="81"/>
      <c r="DO48" s="81">
        <v>47</v>
      </c>
      <c r="DP48" s="133">
        <v>12.962007365011107</v>
      </c>
      <c r="DQ48" s="133">
        <v>14.160342783036365</v>
      </c>
      <c r="DR48" s="133">
        <v>15.279218091625454</v>
      </c>
      <c r="DS48" s="133">
        <v>16.67936841488331</v>
      </c>
      <c r="DT48" s="133">
        <v>19.306396792160083</v>
      </c>
      <c r="DU48" s="134">
        <v>22.724893136424999</v>
      </c>
      <c r="DV48" s="133">
        <v>26.748687164227533</v>
      </c>
      <c r="DW48" s="133">
        <v>30.961650058711108</v>
      </c>
      <c r="DX48" s="133">
        <v>33.798900242479462</v>
      </c>
      <c r="DY48" s="133">
        <v>36.469510376584353</v>
      </c>
      <c r="DZ48" s="133">
        <v>39.841110525514161</v>
      </c>
      <c r="EA48" s="81"/>
      <c r="EB48" s="81">
        <v>47</v>
      </c>
      <c r="EC48" s="133">
        <v>12.702293162874499</v>
      </c>
      <c r="ED48" s="133">
        <v>13.665408095423745</v>
      </c>
      <c r="EE48" s="133">
        <v>14.551947697646783</v>
      </c>
      <c r="EF48" s="133">
        <v>15.645685644325463</v>
      </c>
      <c r="EG48" s="133">
        <v>17.656227806907754</v>
      </c>
      <c r="EH48" s="134">
        <v>20.20308292402839</v>
      </c>
      <c r="EI48" s="133">
        <v>23.11731385089395</v>
      </c>
      <c r="EJ48" s="133">
        <v>26.087994410344351</v>
      </c>
      <c r="EK48" s="133">
        <v>28.04879237582557</v>
      </c>
      <c r="EL48" s="133">
        <v>29.868450088355079</v>
      </c>
      <c r="EM48" s="133">
        <v>32.13313961514654</v>
      </c>
      <c r="EN48" s="81"/>
      <c r="EO48" s="81">
        <v>49</v>
      </c>
      <c r="EP48" s="133">
        <v>14.746579956529537</v>
      </c>
      <c r="EQ48" s="133">
        <v>15.834556347765751</v>
      </c>
      <c r="ER48" s="133">
        <v>16.834263256154127</v>
      </c>
      <c r="ES48" s="133">
        <v>18.065444534896795</v>
      </c>
      <c r="ET48" s="133">
        <v>20.322907708142793</v>
      </c>
      <c r="EU48" s="134">
        <v>23.17303354445955</v>
      </c>
      <c r="EV48" s="133">
        <v>26.422866814353132</v>
      </c>
      <c r="EW48" s="133">
        <v>29.724675892439393</v>
      </c>
      <c r="EX48" s="133">
        <v>31.89860319288637</v>
      </c>
      <c r="EY48" s="133">
        <v>33.912505779072028</v>
      </c>
      <c r="EZ48" s="133">
        <v>36.4145100243991</v>
      </c>
      <c r="FA48" s="81"/>
      <c r="FB48" s="81">
        <v>47</v>
      </c>
      <c r="FC48" s="133">
        <v>8.4109319366977111</v>
      </c>
      <c r="FD48" s="133">
        <v>9.2161756443514662</v>
      </c>
      <c r="FE48" s="133">
        <v>9.9701245018280549</v>
      </c>
      <c r="FF48" s="133">
        <v>10.916243042319124</v>
      </c>
      <c r="FG48" s="133">
        <v>12.698536814126266</v>
      </c>
      <c r="FH48" s="134">
        <v>15.030054299646833</v>
      </c>
      <c r="FI48" s="133">
        <v>17.789650536669001</v>
      </c>
      <c r="FJ48" s="133">
        <v>20.694164775790853</v>
      </c>
      <c r="FK48" s="133">
        <v>22.657944964369534</v>
      </c>
      <c r="FL48" s="133">
        <v>24.511526360588242</v>
      </c>
      <c r="FM48" s="133">
        <v>26.858204768570022</v>
      </c>
      <c r="FN48" s="81"/>
      <c r="FO48" s="81">
        <v>47</v>
      </c>
      <c r="FP48" s="133">
        <v>8.3276613005454614</v>
      </c>
      <c r="FQ48" s="133">
        <v>9.0070894382440319</v>
      </c>
      <c r="FR48" s="133">
        <v>9.6356082539201644</v>
      </c>
      <c r="FS48" s="133">
        <v>10.414874335138862</v>
      </c>
      <c r="FT48" s="133">
        <v>11.857593023459749</v>
      </c>
      <c r="FU48" s="134">
        <v>13.70236023827897</v>
      </c>
      <c r="FV48" s="133">
        <v>15.83413056326893</v>
      </c>
      <c r="FW48" s="133">
        <v>18.027550794933823</v>
      </c>
      <c r="FX48" s="133">
        <v>19.485503265783144</v>
      </c>
      <c r="FY48" s="133">
        <v>20.845210585160125</v>
      </c>
      <c r="FZ48" s="133">
        <v>22.545906866705838</v>
      </c>
      <c r="GA48" s="81"/>
      <c r="GB48" s="81">
        <v>49</v>
      </c>
      <c r="GC48" s="133">
        <v>9.5793485647436079</v>
      </c>
      <c r="GD48" s="133">
        <v>10.340202448715523</v>
      </c>
      <c r="GE48" s="133">
        <v>11.042740546120012</v>
      </c>
      <c r="GF48" s="133">
        <v>11.912165424340566</v>
      </c>
      <c r="GG48" s="133">
        <v>13.517514232909159</v>
      </c>
      <c r="GH48" s="134">
        <v>15.563049289061668</v>
      </c>
      <c r="GI48" s="133">
        <v>17.918124516125353</v>
      </c>
      <c r="GJ48" s="133">
        <v>20.332869343708857</v>
      </c>
      <c r="GK48" s="133">
        <v>21.933731229324728</v>
      </c>
      <c r="GL48" s="133">
        <v>23.423961414203301</v>
      </c>
      <c r="GM48" s="133">
        <v>25.284444086855881</v>
      </c>
      <c r="GN48" s="81"/>
      <c r="GO48" s="81">
        <v>47</v>
      </c>
      <c r="GP48" s="133">
        <f t="shared" si="63"/>
        <v>0.47449234055820488</v>
      </c>
      <c r="GQ48" s="133">
        <f t="shared" si="64"/>
        <v>0.50847906350744776</v>
      </c>
      <c r="GR48" s="133">
        <f t="shared" si="65"/>
        <v>0.53589132240138615</v>
      </c>
      <c r="GS48" s="133">
        <f t="shared" si="351"/>
        <v>0.5657568735766263</v>
      </c>
      <c r="GT48" s="133">
        <f t="shared" si="352"/>
        <v>0.61347153608826743</v>
      </c>
      <c r="GU48" s="134">
        <f t="shared" si="353"/>
        <v>0.65984410233680424</v>
      </c>
      <c r="GV48" s="133">
        <f t="shared" si="354"/>
        <v>0.70299440043951367</v>
      </c>
      <c r="GW48" s="133">
        <f t="shared" si="66"/>
        <v>0.74147648729836313</v>
      </c>
      <c r="GX48" s="133">
        <f t="shared" si="67"/>
        <v>0.76294133960129074</v>
      </c>
      <c r="GY48" s="133">
        <f t="shared" si="68"/>
        <v>0.78105343136351713</v>
      </c>
      <c r="GZ48" s="133">
        <f t="shared" si="69"/>
        <v>0.8015682471497797</v>
      </c>
      <c r="HA48" s="81"/>
      <c r="HB48" s="81">
        <v>47</v>
      </c>
      <c r="HC48" s="133">
        <f t="shared" si="70"/>
        <v>0.45864952142621584</v>
      </c>
      <c r="HD48" s="133">
        <f t="shared" si="71"/>
        <v>0.49549814022627037</v>
      </c>
      <c r="HE48" s="133">
        <f t="shared" si="72"/>
        <v>0.52504850899093647</v>
      </c>
      <c r="HF48" s="133">
        <f t="shared" si="355"/>
        <v>0.55710343596485945</v>
      </c>
      <c r="HG48" s="133">
        <f t="shared" si="356"/>
        <v>0.60668113249780664</v>
      </c>
      <c r="HH48" s="134">
        <f t="shared" si="357"/>
        <v>0.6573881664751664</v>
      </c>
      <c r="HI48" s="133">
        <f t="shared" si="358"/>
        <v>0.70431961092610706</v>
      </c>
      <c r="HJ48" s="133">
        <f t="shared" si="73"/>
        <v>0.74381582960042569</v>
      </c>
      <c r="HK48" s="133">
        <f t="shared" si="74"/>
        <v>0.76647959916913666</v>
      </c>
      <c r="HL48" s="133">
        <f t="shared" si="75"/>
        <v>0.78558712022533372</v>
      </c>
      <c r="HM48" s="133">
        <f t="shared" si="76"/>
        <v>0.80721318899004835</v>
      </c>
      <c r="HN48" s="81"/>
      <c r="HO48" s="81">
        <v>49</v>
      </c>
      <c r="HP48" s="83">
        <f t="shared" si="77"/>
        <v>0.49139695164815261</v>
      </c>
      <c r="HQ48" s="83">
        <f t="shared" si="78"/>
        <v>0.52289168383309159</v>
      </c>
      <c r="HR48" s="83">
        <f t="shared" si="79"/>
        <v>0.54842511731539856</v>
      </c>
      <c r="HS48" s="83">
        <f t="shared" si="359"/>
        <v>0.57635523261412513</v>
      </c>
      <c r="HT48" s="83">
        <f t="shared" si="360"/>
        <v>0.61994611685862888</v>
      </c>
      <c r="HU48" s="84">
        <f t="shared" si="361"/>
        <v>0.66492526184716749</v>
      </c>
      <c r="HV48" s="83">
        <f t="shared" si="362"/>
        <v>0.70683556305191186</v>
      </c>
      <c r="HW48" s="83">
        <f t="shared" si="80"/>
        <v>0.7422743342089031</v>
      </c>
      <c r="HX48" s="83">
        <f t="shared" si="81"/>
        <v>0.76266854745795643</v>
      </c>
      <c r="HY48" s="83">
        <f t="shared" si="82"/>
        <v>0.77989205997423261</v>
      </c>
      <c r="HZ48" s="83">
        <f t="shared" si="83"/>
        <v>0.79941537065594737</v>
      </c>
      <c r="IA48" s="81"/>
      <c r="IB48" s="81">
        <v>47</v>
      </c>
      <c r="IC48" s="83">
        <f t="shared" si="84"/>
        <v>0.32303112388609234</v>
      </c>
      <c r="ID48" s="83">
        <f t="shared" si="85"/>
        <v>0.33773545576762926</v>
      </c>
      <c r="IE48" s="83">
        <f t="shared" si="86"/>
        <v>0.34916603614891756</v>
      </c>
      <c r="IF48" s="83">
        <f t="shared" si="363"/>
        <v>0.36123687589408232</v>
      </c>
      <c r="IG48" s="83">
        <f t="shared" si="364"/>
        <v>0.379300159883253</v>
      </c>
      <c r="IH48" s="84">
        <f t="shared" si="365"/>
        <v>0.39709655354403012</v>
      </c>
      <c r="II48" s="83">
        <f t="shared" si="366"/>
        <v>0.41302511271212017</v>
      </c>
      <c r="IJ48" s="83">
        <f t="shared" si="87"/>
        <v>0.42606520190268132</v>
      </c>
      <c r="IK48" s="83">
        <f t="shared" si="88"/>
        <v>0.4334083712388378</v>
      </c>
      <c r="IL48" s="83">
        <f t="shared" si="89"/>
        <v>0.43952443744271358</v>
      </c>
      <c r="IM48" s="83">
        <f t="shared" si="90"/>
        <v>0.44636732918916128</v>
      </c>
      <c r="IN48" s="81"/>
      <c r="IO48" s="81">
        <v>47</v>
      </c>
      <c r="IP48" s="133">
        <f t="shared" si="91"/>
        <v>0.31550925389953993</v>
      </c>
      <c r="IQ48" s="133">
        <f t="shared" si="92"/>
        <v>0.33183763578045539</v>
      </c>
      <c r="IR48" s="133">
        <f t="shared" si="93"/>
        <v>0.34439308662090667</v>
      </c>
      <c r="IS48" s="133">
        <f t="shared" si="367"/>
        <v>0.35754508888314385</v>
      </c>
      <c r="IT48" s="133">
        <f t="shared" si="368"/>
        <v>0.37705971966647783</v>
      </c>
      <c r="IU48" s="134">
        <f t="shared" si="369"/>
        <v>0.39613041776303382</v>
      </c>
      <c r="IV48" s="133">
        <f t="shared" si="370"/>
        <v>0.41309610673007036</v>
      </c>
      <c r="IW48" s="133">
        <f t="shared" si="94"/>
        <v>0.42692598309744717</v>
      </c>
      <c r="IX48" s="133">
        <f t="shared" si="95"/>
        <v>0.43469377380221946</v>
      </c>
      <c r="IY48" s="133">
        <f t="shared" si="96"/>
        <v>0.44115358650363684</v>
      </c>
      <c r="IZ48" s="133">
        <f t="shared" si="97"/>
        <v>0.44837123469934448</v>
      </c>
      <c r="JA48" s="81"/>
      <c r="JB48" s="81">
        <v>49</v>
      </c>
      <c r="JC48" s="133">
        <f t="shared" si="98"/>
        <v>0.33084845048177935</v>
      </c>
      <c r="JD48" s="133">
        <f t="shared" si="99"/>
        <v>0.34413503816287211</v>
      </c>
      <c r="JE48" s="133">
        <f t="shared" si="100"/>
        <v>0.35456418782949983</v>
      </c>
      <c r="JF48" s="133">
        <f t="shared" si="371"/>
        <v>0.36565927825748212</v>
      </c>
      <c r="JG48" s="133">
        <f t="shared" si="372"/>
        <v>0.3823953902483298</v>
      </c>
      <c r="JH48" s="134">
        <f t="shared" si="373"/>
        <v>0.3990134785598432</v>
      </c>
      <c r="JI48" s="133">
        <f t="shared" si="374"/>
        <v>0.41397648418086619</v>
      </c>
      <c r="JJ48" s="133">
        <f t="shared" si="101"/>
        <v>0.42627857583830348</v>
      </c>
      <c r="JK48" s="133">
        <f t="shared" si="102"/>
        <v>0.43322430894474201</v>
      </c>
      <c r="JL48" s="133">
        <f t="shared" si="103"/>
        <v>0.43901840459349178</v>
      </c>
      <c r="JM48" s="133">
        <f t="shared" si="104"/>
        <v>0.44551012021876191</v>
      </c>
      <c r="JN48" s="81"/>
      <c r="JO48" s="81">
        <v>46</v>
      </c>
      <c r="JP48" s="133">
        <f t="shared" si="105"/>
        <v>-3.6916077242979277</v>
      </c>
      <c r="JQ48" s="133">
        <f t="shared" si="106"/>
        <v>-2.239128363034574</v>
      </c>
      <c r="JR48" s="133">
        <f t="shared" si="107"/>
        <v>-0.97381985993934705</v>
      </c>
      <c r="JS48" s="133">
        <f t="shared" si="375"/>
        <v>0.50263242754272852</v>
      </c>
      <c r="JT48" s="133">
        <f t="shared" si="376"/>
        <v>3.0054479905509623</v>
      </c>
      <c r="JU48" s="134">
        <f t="shared" si="377"/>
        <v>5.8501345053367828</v>
      </c>
      <c r="JV48" s="133">
        <f t="shared" si="378"/>
        <v>8.748949874796871</v>
      </c>
      <c r="JW48" s="133">
        <f t="shared" si="108"/>
        <v>11.392930335918894</v>
      </c>
      <c r="JX48" s="133">
        <f t="shared" si="109"/>
        <v>12.996501138264808</v>
      </c>
      <c r="JY48" s="133">
        <f t="shared" si="110"/>
        <v>14.398246514740517</v>
      </c>
      <c r="JZ48" s="133">
        <f t="shared" si="111"/>
        <v>16.040435367750884</v>
      </c>
      <c r="KA48" s="81"/>
      <c r="KB48" s="81">
        <v>46</v>
      </c>
      <c r="KC48" s="133">
        <f t="shared" si="112"/>
        <v>-2.1045380103428357</v>
      </c>
      <c r="KD48" s="133">
        <f t="shared" si="113"/>
        <v>-0.80565657604066132</v>
      </c>
      <c r="KE48" s="133">
        <f t="shared" si="114"/>
        <v>0.35138429749241418</v>
      </c>
      <c r="KF48" s="133">
        <f t="shared" si="379"/>
        <v>1.7294305007146082</v>
      </c>
      <c r="KG48" s="133">
        <f t="shared" si="380"/>
        <v>4.1286645918056113</v>
      </c>
      <c r="KH48" s="134">
        <f t="shared" si="381"/>
        <v>6.9432509730002447</v>
      </c>
      <c r="KI48" s="133">
        <f t="shared" si="382"/>
        <v>9.8977354708502876</v>
      </c>
      <c r="KJ48" s="133">
        <f t="shared" si="115"/>
        <v>12.661588547381198</v>
      </c>
      <c r="KK48" s="133">
        <f t="shared" si="116"/>
        <v>14.367694140010963</v>
      </c>
      <c r="KL48" s="133">
        <f t="shared" si="117"/>
        <v>15.876551923765161</v>
      </c>
      <c r="KM48" s="133">
        <f t="shared" si="118"/>
        <v>17.664126188343332</v>
      </c>
      <c r="KN48" s="81"/>
      <c r="KO48" s="81">
        <v>48</v>
      </c>
      <c r="KP48" s="133">
        <f t="shared" si="119"/>
        <v>-3.8806899082651611</v>
      </c>
      <c r="KQ48" s="133">
        <f t="shared" si="120"/>
        <v>-2.4441357214725876</v>
      </c>
      <c r="KR48" s="133">
        <f t="shared" si="121"/>
        <v>-1.2139606358934714</v>
      </c>
      <c r="KS48" s="133">
        <f t="shared" si="383"/>
        <v>0.19869516894661032</v>
      </c>
      <c r="KT48" s="133">
        <f t="shared" si="384"/>
        <v>2.5429215883276335</v>
      </c>
      <c r="KU48" s="134">
        <f t="shared" si="385"/>
        <v>5.1394056691799221</v>
      </c>
      <c r="KV48" s="133">
        <f t="shared" si="386"/>
        <v>7.7204797461936678</v>
      </c>
      <c r="KW48" s="133">
        <f t="shared" si="122"/>
        <v>10.024357249933281</v>
      </c>
      <c r="KX48" s="133">
        <f t="shared" si="123"/>
        <v>11.400475159070215</v>
      </c>
      <c r="KY48" s="133">
        <f t="shared" si="124"/>
        <v>12.591211721140073</v>
      </c>
      <c r="KZ48" s="133">
        <f t="shared" si="125"/>
        <v>13.972530905192126</v>
      </c>
      <c r="LA48" s="81"/>
      <c r="LB48" s="81">
        <v>46</v>
      </c>
      <c r="LC48" s="133">
        <f t="shared" si="126"/>
        <v>-8.7775800216606008</v>
      </c>
      <c r="LD48" s="133">
        <f t="shared" si="127"/>
        <v>-5.0831723883538622</v>
      </c>
      <c r="LE48" s="133">
        <f t="shared" si="128"/>
        <v>-1.8312063724603007</v>
      </c>
      <c r="LF48" s="133">
        <f t="shared" si="387"/>
        <v>1.9982814485150726</v>
      </c>
      <c r="LG48" s="133">
        <f t="shared" si="388"/>
        <v>8.5642769759584496</v>
      </c>
      <c r="LH48" s="134">
        <f t="shared" si="389"/>
        <v>16.123553249781047</v>
      </c>
      <c r="LI48" s="133">
        <f t="shared" si="390"/>
        <v>23.915070508550919</v>
      </c>
      <c r="LJ48" s="133">
        <f t="shared" si="129"/>
        <v>31.088014417130204</v>
      </c>
      <c r="LK48" s="133">
        <f t="shared" si="130"/>
        <v>35.465696859682176</v>
      </c>
      <c r="LL48" s="133">
        <f t="shared" si="131"/>
        <v>39.307855175798416</v>
      </c>
      <c r="LM48" s="133">
        <f t="shared" si="132"/>
        <v>43.826193524930083</v>
      </c>
      <c r="LN48" s="81"/>
      <c r="LO48" s="81">
        <v>46</v>
      </c>
      <c r="LP48" s="133">
        <f t="shared" si="133"/>
        <v>-4.6917100432907759</v>
      </c>
      <c r="LQ48" s="133">
        <f t="shared" si="134"/>
        <v>-1.0440207814767994</v>
      </c>
      <c r="LR48" s="133">
        <f t="shared" si="135"/>
        <v>2.1772827283820355</v>
      </c>
      <c r="LS48" s="133">
        <f t="shared" si="391"/>
        <v>5.9820179098732034</v>
      </c>
      <c r="LT48" s="133">
        <f t="shared" si="392"/>
        <v>12.531108589792108</v>
      </c>
      <c r="LU48" s="134">
        <f t="shared" si="393"/>
        <v>20.105974854715779</v>
      </c>
      <c r="LV48" s="133">
        <f t="shared" si="394"/>
        <v>27.947693388745737</v>
      </c>
      <c r="LW48" s="133">
        <f t="shared" si="136"/>
        <v>35.193859872404843</v>
      </c>
      <c r="LX48" s="133">
        <f t="shared" si="137"/>
        <v>39.627776681650502</v>
      </c>
      <c r="LY48" s="133">
        <f t="shared" si="138"/>
        <v>43.526009834718622</v>
      </c>
      <c r="LZ48" s="133">
        <f t="shared" si="139"/>
        <v>48.117903949920901</v>
      </c>
      <c r="MA48" s="81"/>
      <c r="MB48" s="81">
        <v>48</v>
      </c>
      <c r="MC48" s="133">
        <f t="shared" si="140"/>
        <v>-8.2451761758294317</v>
      </c>
      <c r="MD48" s="133">
        <f t="shared" si="141"/>
        <v>-4.9399053233606622</v>
      </c>
      <c r="ME48" s="133">
        <f t="shared" si="142"/>
        <v>-2.0619475463216261</v>
      </c>
      <c r="MF48" s="133">
        <f t="shared" si="395"/>
        <v>1.2937231865323753</v>
      </c>
      <c r="MG48" s="133">
        <f t="shared" si="396"/>
        <v>6.9740460216552052</v>
      </c>
      <c r="MH48" s="134">
        <f t="shared" si="397"/>
        <v>13.415782946985615</v>
      </c>
      <c r="MI48" s="133">
        <f t="shared" si="398"/>
        <v>19.962741934725145</v>
      </c>
      <c r="MJ48" s="133">
        <f t="shared" si="143"/>
        <v>25.918352166514005</v>
      </c>
      <c r="MK48" s="133">
        <f t="shared" si="144"/>
        <v>29.523036159372616</v>
      </c>
      <c r="ML48" s="133">
        <f t="shared" si="145"/>
        <v>32.66949061593629</v>
      </c>
      <c r="MM48" s="133">
        <f t="shared" si="146"/>
        <v>36.35031654635663</v>
      </c>
      <c r="MN48" s="81"/>
      <c r="MO48" s="81">
        <v>46</v>
      </c>
      <c r="MP48" s="133">
        <f t="shared" si="147"/>
        <v>-15.222299114613573</v>
      </c>
      <c r="MQ48" s="133">
        <f t="shared" si="148"/>
        <v>-10.967597212813459</v>
      </c>
      <c r="MR48" s="133">
        <f t="shared" si="149"/>
        <v>-7.290233782980458</v>
      </c>
      <c r="MS48" s="133">
        <f t="shared" si="399"/>
        <v>-3.0323730357564429</v>
      </c>
      <c r="MT48" s="133">
        <f t="shared" si="400"/>
        <v>4.1078358357680358</v>
      </c>
      <c r="MU48" s="134">
        <f t="shared" si="401"/>
        <v>12.113236147975776</v>
      </c>
      <c r="MV48" s="133">
        <f t="shared" si="402"/>
        <v>20.160791160690742</v>
      </c>
      <c r="MW48" s="133">
        <f t="shared" si="150"/>
        <v>27.41220670900298</v>
      </c>
      <c r="MX48" s="133">
        <f t="shared" si="151"/>
        <v>31.771883681178416</v>
      </c>
      <c r="MY48" s="133">
        <f t="shared" si="152"/>
        <v>35.560449132191614</v>
      </c>
      <c r="MZ48" s="133">
        <f t="shared" si="153"/>
        <v>39.97343637802738</v>
      </c>
      <c r="NA48" s="81"/>
      <c r="NB48" s="81">
        <v>46</v>
      </c>
      <c r="NC48" s="133">
        <f t="shared" si="154"/>
        <v>-8.0659543285397639</v>
      </c>
      <c r="ND48" s="133">
        <f t="shared" si="155"/>
        <v>-4.1973963164336041</v>
      </c>
      <c r="NE48" s="133">
        <f t="shared" si="156"/>
        <v>-0.84770071236830091</v>
      </c>
      <c r="NF48" s="133">
        <f t="shared" si="403"/>
        <v>3.0369080620324631</v>
      </c>
      <c r="NG48" s="133">
        <f t="shared" si="404"/>
        <v>9.5639948543624591</v>
      </c>
      <c r="NH48" s="134">
        <f t="shared" si="405"/>
        <v>16.898237725706995</v>
      </c>
      <c r="NI48" s="133">
        <f t="shared" si="406"/>
        <v>24.285802286102548</v>
      </c>
      <c r="NJ48" s="133">
        <f t="shared" si="157"/>
        <v>30.953474537729452</v>
      </c>
      <c r="NK48" s="133">
        <f t="shared" si="158"/>
        <v>34.966689600277078</v>
      </c>
      <c r="NL48" s="133">
        <f t="shared" si="159"/>
        <v>38.45672023444061</v>
      </c>
      <c r="NM48" s="133">
        <f t="shared" si="160"/>
        <v>42.524782407733795</v>
      </c>
      <c r="NN48" s="81"/>
      <c r="NO48" s="81">
        <v>48</v>
      </c>
      <c r="NP48" s="133">
        <f t="shared" si="161"/>
        <v>-16.213942194702316</v>
      </c>
      <c r="NQ48" s="133">
        <f t="shared" si="162"/>
        <v>-12.387729641374037</v>
      </c>
      <c r="NR48" s="133">
        <f t="shared" si="163"/>
        <v>-9.0945740410207172</v>
      </c>
      <c r="NS48" s="133">
        <f t="shared" si="407"/>
        <v>-5.2953678301944791</v>
      </c>
      <c r="NT48" s="133">
        <f t="shared" si="408"/>
        <v>1.0473385173417995</v>
      </c>
      <c r="NU48" s="134">
        <f t="shared" si="409"/>
        <v>8.1230888183185641</v>
      </c>
      <c r="NV48" s="133">
        <f t="shared" si="410"/>
        <v>15.204413931776259</v>
      </c>
      <c r="NW48" s="133">
        <f t="shared" si="164"/>
        <v>21.561830248969805</v>
      </c>
      <c r="NX48" s="133">
        <f t="shared" si="165"/>
        <v>25.374508293492639</v>
      </c>
      <c r="NY48" s="133">
        <f t="shared" si="166"/>
        <v>28.682381680865568</v>
      </c>
      <c r="NZ48" s="133">
        <f t="shared" si="167"/>
        <v>32.529550098882559</v>
      </c>
      <c r="OA48" s="81"/>
      <c r="OB48" s="81">
        <v>46</v>
      </c>
      <c r="OC48" s="133">
        <v>14.09001177680363</v>
      </c>
      <c r="OD48" s="133">
        <v>15.52002569830667</v>
      </c>
      <c r="OE48" s="133">
        <v>16.865469242118628</v>
      </c>
      <c r="OF48" s="133">
        <v>18.562068308688616</v>
      </c>
      <c r="OG48" s="133">
        <v>21.780564429245011</v>
      </c>
      <c r="OH48" s="134">
        <v>26.029714051738228</v>
      </c>
      <c r="OI48" s="133">
        <v>31.107826237299424</v>
      </c>
      <c r="OJ48" s="133">
        <v>36.501644232076757</v>
      </c>
      <c r="OK48" s="133">
        <v>40.173564333638744</v>
      </c>
      <c r="OL48" s="133">
        <v>43.65624302343668</v>
      </c>
      <c r="OM48" s="133">
        <v>48.086972839206666</v>
      </c>
      <c r="ON48" s="81"/>
      <c r="OO48" s="81">
        <v>46</v>
      </c>
      <c r="OP48" s="133">
        <v>12.828214472140939</v>
      </c>
      <c r="OQ48" s="133">
        <v>13.957554037329926</v>
      </c>
      <c r="OR48" s="133">
        <v>15.008053358461677</v>
      </c>
      <c r="OS48" s="133">
        <v>16.317710777707273</v>
      </c>
      <c r="OT48" s="133">
        <v>25.057173386149607</v>
      </c>
      <c r="OU48" s="134">
        <v>21.919512504443365</v>
      </c>
      <c r="OV48" s="133">
        <v>25.608819967781059</v>
      </c>
      <c r="OW48" s="133">
        <v>29.444389288284526</v>
      </c>
      <c r="OX48" s="133">
        <v>32.013813980849065</v>
      </c>
      <c r="OY48" s="133">
        <v>34.423297029510316</v>
      </c>
      <c r="OZ48" s="133">
        <v>37.453772656816419</v>
      </c>
      <c r="PA48" s="81"/>
      <c r="PB48" s="81">
        <v>48</v>
      </c>
      <c r="PC48" s="133">
        <v>18.347770397897929</v>
      </c>
      <c r="PD48" s="133">
        <v>19.728020128300695</v>
      </c>
      <c r="PE48" s="133">
        <v>20.997876547032497</v>
      </c>
      <c r="PF48" s="133">
        <v>22.563715012672834</v>
      </c>
      <c r="PG48" s="133">
        <v>25.439963909541216</v>
      </c>
      <c r="PH48" s="134">
        <v>29.079921671895629</v>
      </c>
      <c r="PI48" s="133">
        <v>33.240685696351505</v>
      </c>
      <c r="PJ48" s="133">
        <v>37.47795272049099</v>
      </c>
      <c r="PK48" s="133">
        <v>40.272731509277051</v>
      </c>
      <c r="PL48" s="133">
        <v>42.865013262556211</v>
      </c>
      <c r="PM48" s="133">
        <v>46.089624303368709</v>
      </c>
      <c r="PN48" s="81"/>
      <c r="PO48" s="81">
        <v>46</v>
      </c>
      <c r="PP48" s="133">
        <v>8.8422192988976427</v>
      </c>
      <c r="PQ48" s="133">
        <v>9.6217218884079934</v>
      </c>
      <c r="PR48" s="133">
        <v>10.346881705662515</v>
      </c>
      <c r="PS48" s="133">
        <v>11.251031871432447</v>
      </c>
      <c r="PT48" s="133">
        <v>12.938544372271593</v>
      </c>
      <c r="PU48" s="134">
        <v>15.119358075472819</v>
      </c>
      <c r="PV48" s="133">
        <v>17.667751644788083</v>
      </c>
      <c r="PW48" s="133">
        <v>20.317690966176336</v>
      </c>
      <c r="PX48" s="133">
        <v>22.09312864660107</v>
      </c>
      <c r="PY48" s="133">
        <v>23.75822033369834</v>
      </c>
      <c r="PZ48" s="133">
        <v>25.852671245426354</v>
      </c>
      <c r="QA48" s="81"/>
      <c r="QB48" s="81">
        <v>46</v>
      </c>
      <c r="QC48" s="133">
        <v>8.578722398638936</v>
      </c>
      <c r="QD48" s="133">
        <v>9.3331075980481959</v>
      </c>
      <c r="QE48" s="133">
        <v>10.034769306608062</v>
      </c>
      <c r="QF48" s="133">
        <v>10.909457207452208</v>
      </c>
      <c r="QG48" s="133">
        <v>12.541540211955917</v>
      </c>
      <c r="QH48" s="134">
        <v>14.649972906671392</v>
      </c>
      <c r="QI48" s="133">
        <v>17.112866724423998</v>
      </c>
      <c r="QJ48" s="133">
        <v>19.672995831506498</v>
      </c>
      <c r="QK48" s="133">
        <v>21.387806695752733</v>
      </c>
      <c r="QL48" s="133">
        <v>22.995738976703656</v>
      </c>
      <c r="QM48" s="133">
        <v>25.017910149447999</v>
      </c>
      <c r="QN48" s="81"/>
      <c r="QO48" s="81">
        <v>48</v>
      </c>
      <c r="QP48" s="133">
        <v>9.4474425820125845</v>
      </c>
      <c r="QQ48" s="133">
        <v>10.241798781633594</v>
      </c>
      <c r="QR48" s="133">
        <v>10.978207398212538</v>
      </c>
      <c r="QS48" s="133">
        <v>11.893193090426429</v>
      </c>
      <c r="QT48" s="133">
        <v>13.592396677139337</v>
      </c>
      <c r="QU48" s="134">
        <v>15.773918786285746</v>
      </c>
      <c r="QV48" s="133">
        <v>18.305565956209598</v>
      </c>
      <c r="QW48" s="133">
        <v>20.920917703474114</v>
      </c>
      <c r="QX48" s="133">
        <v>22.664584922748897</v>
      </c>
      <c r="QY48" s="133">
        <v>24.294220105411149</v>
      </c>
      <c r="QZ48" s="133">
        <v>26.336917289137208</v>
      </c>
      <c r="RA48" s="81"/>
      <c r="RB48" s="81">
        <v>46</v>
      </c>
      <c r="RC48" s="133">
        <f t="shared" si="168"/>
        <v>0.316524632938045</v>
      </c>
      <c r="RD48" s="133">
        <f t="shared" si="169"/>
        <v>0.34461878931081269</v>
      </c>
      <c r="RE48" s="133">
        <f t="shared" si="170"/>
        <v>0.3711021674887382</v>
      </c>
      <c r="RF48" s="133">
        <f t="shared" si="411"/>
        <v>0.40460054576683024</v>
      </c>
      <c r="RG48" s="133">
        <f t="shared" si="412"/>
        <v>0.46856695622251299</v>
      </c>
      <c r="RH48" s="134">
        <f t="shared" si="413"/>
        <v>0.55406654660202481</v>
      </c>
      <c r="RI48" s="133">
        <f t="shared" si="414"/>
        <v>0.65808334999485196</v>
      </c>
      <c r="RJ48" s="133">
        <f t="shared" si="171"/>
        <v>0.77098444122111753</v>
      </c>
      <c r="RK48" s="133">
        <f t="shared" si="172"/>
        <v>0.84934780073197824</v>
      </c>
      <c r="RL48" s="133">
        <f t="shared" si="173"/>
        <v>0.9248332539458326</v>
      </c>
      <c r="RM48" s="133">
        <f t="shared" si="174"/>
        <v>1.0225319708609044</v>
      </c>
      <c r="RN48" s="81"/>
      <c r="RO48" s="81">
        <v>46</v>
      </c>
      <c r="RP48" s="133">
        <f t="shared" si="175"/>
        <v>0.34932668488117874</v>
      </c>
      <c r="RQ48" s="133">
        <f t="shared" si="176"/>
        <v>0.37897312419988</v>
      </c>
      <c r="RR48" s="133">
        <f t="shared" si="177"/>
        <v>0.40694696988558038</v>
      </c>
      <c r="RS48" s="133">
        <f t="shared" si="415"/>
        <v>0.44237986148248909</v>
      </c>
      <c r="RT48" s="133">
        <f t="shared" si="416"/>
        <v>0.51023044906654502</v>
      </c>
      <c r="RU48" s="134">
        <f t="shared" si="417"/>
        <v>0.60138965540466183</v>
      </c>
      <c r="RV48" s="133">
        <f t="shared" si="418"/>
        <v>0.71311783914355076</v>
      </c>
      <c r="RW48" s="133">
        <f t="shared" si="178"/>
        <v>0.83550192491999198</v>
      </c>
      <c r="RX48" s="133">
        <f t="shared" si="179"/>
        <v>0.92115667982047722</v>
      </c>
      <c r="RY48" s="133">
        <f t="shared" si="180"/>
        <v>1.0042258035760239</v>
      </c>
      <c r="RZ48" s="133">
        <f t="shared" si="181"/>
        <v>1.1125625818285996</v>
      </c>
      <c r="SA48" s="81"/>
      <c r="SB48" s="81">
        <v>48</v>
      </c>
      <c r="SC48" s="133">
        <f t="shared" si="182"/>
        <v>0.31140290212582766</v>
      </c>
      <c r="SD48" s="133">
        <f t="shared" si="183"/>
        <v>0.33816942985940834</v>
      </c>
      <c r="SE48" s="133">
        <f t="shared" si="184"/>
        <v>0.36304885060464687</v>
      </c>
      <c r="SF48" s="133">
        <f t="shared" si="419"/>
        <v>0.39404543077377902</v>
      </c>
      <c r="SG48" s="133">
        <f t="shared" si="420"/>
        <v>0.45184195076494416</v>
      </c>
      <c r="SH48" s="134">
        <f t="shared" si="421"/>
        <v>0.52645709620488224</v>
      </c>
      <c r="SI48" s="133">
        <f t="shared" si="422"/>
        <v>0.61358051971821659</v>
      </c>
      <c r="SJ48" s="133">
        <f t="shared" si="185"/>
        <v>0.70413398835406116</v>
      </c>
      <c r="SK48" s="133">
        <f t="shared" si="186"/>
        <v>0.76479393978003507</v>
      </c>
      <c r="SL48" s="133">
        <f t="shared" si="187"/>
        <v>0.82168267365589098</v>
      </c>
      <c r="SM48" s="133">
        <f t="shared" si="188"/>
        <v>0.89324508704351446</v>
      </c>
      <c r="SN48" s="81"/>
      <c r="SO48" s="81">
        <v>46</v>
      </c>
      <c r="SP48" s="133">
        <f t="shared" si="189"/>
        <v>0.24078699867032072</v>
      </c>
      <c r="SQ48" s="133">
        <f t="shared" si="190"/>
        <v>0.2567661979036478</v>
      </c>
      <c r="SR48" s="133">
        <f t="shared" si="191"/>
        <v>0.27113146581302056</v>
      </c>
      <c r="SS48" s="133">
        <f t="shared" si="423"/>
        <v>0.28842948392761797</v>
      </c>
      <c r="ST48" s="133">
        <f t="shared" si="424"/>
        <v>0.31910362807994347</v>
      </c>
      <c r="SU48" s="134">
        <f t="shared" si="425"/>
        <v>0.35609529043271659</v>
      </c>
      <c r="SV48" s="133">
        <f t="shared" si="426"/>
        <v>0.39620001622392509</v>
      </c>
      <c r="SW48" s="133">
        <f t="shared" si="192"/>
        <v>0.43496942288552953</v>
      </c>
      <c r="SX48" s="133">
        <f t="shared" si="193"/>
        <v>0.45952798868452571</v>
      </c>
      <c r="SY48" s="133">
        <f t="shared" si="194"/>
        <v>0.48165492710660629</v>
      </c>
      <c r="SZ48" s="133">
        <f t="shared" si="195"/>
        <v>0.5083722500997494</v>
      </c>
      <c r="TA48" s="81"/>
      <c r="TB48" s="81">
        <v>46</v>
      </c>
      <c r="TC48" s="133">
        <f t="shared" si="196"/>
        <v>0.25946215622701829</v>
      </c>
      <c r="TD48" s="133">
        <f t="shared" si="197"/>
        <v>0.27539431666766989</v>
      </c>
      <c r="TE48" s="133">
        <f t="shared" si="198"/>
        <v>0.28973524403494566</v>
      </c>
      <c r="TF48" s="133">
        <f t="shared" si="427"/>
        <v>0.30702944691463746</v>
      </c>
      <c r="TG48" s="133">
        <f t="shared" si="428"/>
        <v>0.33777336463247071</v>
      </c>
      <c r="TH48" s="134">
        <f t="shared" si="429"/>
        <v>0.37499306266624005</v>
      </c>
      <c r="TI48" s="133">
        <f t="shared" si="430"/>
        <v>0.41553735516021623</v>
      </c>
      <c r="TJ48" s="133">
        <f t="shared" si="199"/>
        <v>0.45493165992749535</v>
      </c>
      <c r="TK48" s="133">
        <f t="shared" si="200"/>
        <v>0.47999049992154241</v>
      </c>
      <c r="TL48" s="133">
        <f t="shared" si="201"/>
        <v>0.50263845821374997</v>
      </c>
      <c r="TM48" s="133">
        <f t="shared" si="202"/>
        <v>0.53007425735913871</v>
      </c>
      <c r="TN48" s="81"/>
      <c r="TO48" s="81">
        <v>48</v>
      </c>
      <c r="TP48" s="133">
        <f t="shared" si="203"/>
        <v>0.23789678525938521</v>
      </c>
      <c r="TQ48" s="133">
        <f t="shared" si="204"/>
        <v>0.25321866152934847</v>
      </c>
      <c r="TR48" s="133">
        <f t="shared" si="205"/>
        <v>0.26682846002898797</v>
      </c>
      <c r="TS48" s="133">
        <f t="shared" si="431"/>
        <v>0.28301932932422391</v>
      </c>
      <c r="TT48" s="133">
        <f t="shared" si="432"/>
        <v>0.31122988608722202</v>
      </c>
      <c r="TU48" s="134">
        <f t="shared" si="433"/>
        <v>0.34446252816613471</v>
      </c>
      <c r="TV48" s="133">
        <f t="shared" si="434"/>
        <v>0.37960496637085378</v>
      </c>
      <c r="TW48" s="133">
        <f t="shared" si="206"/>
        <v>0.41277913956608836</v>
      </c>
      <c r="TX48" s="133">
        <f t="shared" si="207"/>
        <v>0.43341856683412905</v>
      </c>
      <c r="TY48" s="133">
        <f t="shared" si="208"/>
        <v>0.45178056551458778</v>
      </c>
      <c r="TZ48" s="133">
        <f t="shared" si="209"/>
        <v>0.47367124054004772</v>
      </c>
      <c r="UA48" s="81"/>
      <c r="UB48" s="81">
        <v>46</v>
      </c>
      <c r="UC48" s="133">
        <f t="shared" si="210"/>
        <v>-19.02046138230412</v>
      </c>
      <c r="UD48" s="133">
        <f t="shared" si="211"/>
        <v>-15.625168852618643</v>
      </c>
      <c r="UE48" s="133">
        <f t="shared" si="212"/>
        <v>-12.783343532609877</v>
      </c>
      <c r="UF48" s="133">
        <f t="shared" si="435"/>
        <v>-9.5868924388357755</v>
      </c>
      <c r="UG48" s="133">
        <f t="shared" si="436"/>
        <v>-4.4223076508942825</v>
      </c>
      <c r="UH48" s="134">
        <f t="shared" si="437"/>
        <v>1.121051829444383</v>
      </c>
      <c r="UI48" s="133">
        <f t="shared" si="438"/>
        <v>6.472696963621857</v>
      </c>
      <c r="UJ48" s="133">
        <f t="shared" si="213"/>
        <v>11.13251511810499</v>
      </c>
      <c r="UK48" s="133">
        <f t="shared" si="214"/>
        <v>13.868272201675211</v>
      </c>
      <c r="UL48" s="133">
        <f t="shared" si="215"/>
        <v>16.208815204512959</v>
      </c>
      <c r="UM48" s="133">
        <f t="shared" si="216"/>
        <v>18.894668669898522</v>
      </c>
      <c r="UN48" s="81"/>
      <c r="UO48" s="81">
        <v>46</v>
      </c>
      <c r="UP48" s="133">
        <f t="shared" si="217"/>
        <v>-14.841476623817599</v>
      </c>
      <c r="UQ48" s="133">
        <f t="shared" si="218"/>
        <v>-12.013909238652307</v>
      </c>
      <c r="UR48" s="133">
        <f t="shared" si="219"/>
        <v>-9.5879019066549773</v>
      </c>
      <c r="US48" s="133">
        <f t="shared" si="439"/>
        <v>-6.7968206811879561</v>
      </c>
      <c r="UT48" s="133">
        <f t="shared" si="440"/>
        <v>-2.1532673791256407</v>
      </c>
      <c r="UU48" s="134">
        <f t="shared" si="441"/>
        <v>3.0065107809730733</v>
      </c>
      <c r="UV48" s="133">
        <f t="shared" si="442"/>
        <v>8.1518928855451449</v>
      </c>
      <c r="UW48" s="133">
        <f t="shared" si="220"/>
        <v>12.757543433988396</v>
      </c>
      <c r="UX48" s="133">
        <f t="shared" si="221"/>
        <v>15.514025983687347</v>
      </c>
      <c r="UY48" s="133">
        <f t="shared" si="222"/>
        <v>17.902371056540154</v>
      </c>
      <c r="UZ48" s="133">
        <f t="shared" si="223"/>
        <v>20.67658727071985</v>
      </c>
      <c r="VA48" s="81"/>
      <c r="VB48" s="81">
        <v>49</v>
      </c>
      <c r="VC48" s="133">
        <f t="shared" si="224"/>
        <v>-19.28226417725368</v>
      </c>
      <c r="VD48" s="133">
        <f t="shared" si="225"/>
        <v>-15.848187422138871</v>
      </c>
      <c r="VE48" s="133">
        <f t="shared" si="226"/>
        <v>-13.015639741977786</v>
      </c>
      <c r="VF48" s="133">
        <f t="shared" si="443"/>
        <v>-9.869997504230092</v>
      </c>
      <c r="VG48" s="133">
        <f t="shared" si="444"/>
        <v>-4.867151389762185</v>
      </c>
      <c r="VH48" s="134">
        <f t="shared" si="445"/>
        <v>0.40744638281962864</v>
      </c>
      <c r="VI48" s="133">
        <f t="shared" si="446"/>
        <v>5.4187855846789716</v>
      </c>
      <c r="VJ48" s="133">
        <f t="shared" si="227"/>
        <v>9.7252593803286231</v>
      </c>
      <c r="VK48" s="133">
        <f t="shared" si="228"/>
        <v>12.231062179829308</v>
      </c>
      <c r="VL48" s="133">
        <f t="shared" si="229"/>
        <v>14.362510720057969</v>
      </c>
      <c r="VM48" s="133">
        <f t="shared" si="230"/>
        <v>16.795067723625863</v>
      </c>
      <c r="VN48" s="81"/>
      <c r="VO48" s="81">
        <v>46</v>
      </c>
      <c r="VP48" s="133">
        <f t="shared" si="231"/>
        <v>-33.287697585838885</v>
      </c>
      <c r="VQ48" s="133">
        <f t="shared" si="232"/>
        <v>-28.787648171742216</v>
      </c>
      <c r="VR48" s="133">
        <f t="shared" si="233"/>
        <v>-24.640140528277097</v>
      </c>
      <c r="VS48" s="133">
        <f t="shared" si="447"/>
        <v>-19.548830945062271</v>
      </c>
      <c r="VT48" s="133">
        <f t="shared" si="448"/>
        <v>-10.340102226817805</v>
      </c>
      <c r="VU48" s="134">
        <f t="shared" si="449"/>
        <v>0.94201836555333784</v>
      </c>
      <c r="VV48" s="133">
        <f t="shared" si="450"/>
        <v>13.258516159695752</v>
      </c>
      <c r="VW48" s="133">
        <f t="shared" si="234"/>
        <v>25.160623773049046</v>
      </c>
      <c r="VX48" s="133">
        <f t="shared" si="235"/>
        <v>32.672108161935661</v>
      </c>
      <c r="VY48" s="133">
        <f t="shared" si="236"/>
        <v>39.411733535789388</v>
      </c>
      <c r="VZ48" s="133">
        <f t="shared" si="237"/>
        <v>47.506651991505073</v>
      </c>
      <c r="WA48" s="81"/>
      <c r="WB48" s="81">
        <v>46</v>
      </c>
      <c r="WC48" s="133">
        <f t="shared" si="238"/>
        <v>-28.774507782157023</v>
      </c>
      <c r="WD48" s="133">
        <f t="shared" si="239"/>
        <v>-24.356103130678626</v>
      </c>
      <c r="WE48" s="133">
        <f t="shared" si="240"/>
        <v>-20.269237975263547</v>
      </c>
      <c r="WF48" s="133">
        <f t="shared" si="451"/>
        <v>-15.237332785407631</v>
      </c>
      <c r="WG48" s="133">
        <f t="shared" si="452"/>
        <v>-6.1037572347326616</v>
      </c>
      <c r="WH48" s="134">
        <f t="shared" si="453"/>
        <v>5.1282268185909672</v>
      </c>
      <c r="WI48" s="133">
        <f t="shared" si="454"/>
        <v>17.428422956907589</v>
      </c>
      <c r="WJ48" s="133">
        <f t="shared" si="241"/>
        <v>29.343623587203929</v>
      </c>
      <c r="WK48" s="133">
        <f t="shared" si="242"/>
        <v>36.875187800743809</v>
      </c>
      <c r="WL48" s="133">
        <f t="shared" si="243"/>
        <v>43.639516403903151</v>
      </c>
      <c r="WM48" s="133">
        <f t="shared" si="244"/>
        <v>51.771552469604082</v>
      </c>
      <c r="WN48" s="81"/>
      <c r="WO48" s="81">
        <v>49</v>
      </c>
      <c r="WP48" s="133">
        <f t="shared" si="245"/>
        <v>-33.888975286110863</v>
      </c>
      <c r="WQ48" s="133">
        <f t="shared" si="246"/>
        <v>-29.324440025231183</v>
      </c>
      <c r="WR48" s="133">
        <f t="shared" si="247"/>
        <v>-25.166093260034383</v>
      </c>
      <c r="WS48" s="133">
        <f t="shared" si="455"/>
        <v>-20.119090352718118</v>
      </c>
      <c r="WT48" s="133">
        <f t="shared" si="456"/>
        <v>-11.132318108807389</v>
      </c>
      <c r="WU48" s="134">
        <f t="shared" si="457"/>
        <v>-0.33387188279215962</v>
      </c>
      <c r="WV48" s="133">
        <f t="shared" si="458"/>
        <v>11.23296315022862</v>
      </c>
      <c r="WW48" s="133">
        <f t="shared" si="248"/>
        <v>22.225477220384654</v>
      </c>
      <c r="WX48" s="133">
        <f t="shared" si="249"/>
        <v>29.08109901066809</v>
      </c>
      <c r="WY48" s="133">
        <f t="shared" si="250"/>
        <v>35.183511308214371</v>
      </c>
      <c r="WZ48" s="133">
        <f t="shared" si="251"/>
        <v>42.456717595781519</v>
      </c>
      <c r="XA48" s="81"/>
      <c r="XB48" s="81">
        <v>46</v>
      </c>
      <c r="XC48" s="133">
        <f t="shared" si="252"/>
        <v>-38.83491023473124</v>
      </c>
      <c r="XD48" s="133">
        <f t="shared" si="253"/>
        <v>-33.883066912125258</v>
      </c>
      <c r="XE48" s="133">
        <f t="shared" si="254"/>
        <v>-29.399669430684874</v>
      </c>
      <c r="XF48" s="133">
        <f t="shared" si="459"/>
        <v>-23.999288986355161</v>
      </c>
      <c r="XG48" s="133">
        <f t="shared" si="460"/>
        <v>-14.497375879065949</v>
      </c>
      <c r="XH48" s="134">
        <f t="shared" si="461"/>
        <v>-3.2627570491094815</v>
      </c>
      <c r="XI48" s="133">
        <f t="shared" si="462"/>
        <v>8.5726414455191318</v>
      </c>
      <c r="XJ48" s="133">
        <f t="shared" si="255"/>
        <v>19.652040736689678</v>
      </c>
      <c r="XK48" s="133">
        <f t="shared" si="256"/>
        <v>26.487094952580215</v>
      </c>
      <c r="XL48" s="133">
        <f t="shared" si="257"/>
        <v>32.526657436459253</v>
      </c>
      <c r="XM48" s="133">
        <f t="shared" si="258"/>
        <v>39.673589377292423</v>
      </c>
      <c r="XN48" s="81"/>
      <c r="XO48" s="81">
        <v>46</v>
      </c>
      <c r="XP48" s="133">
        <f t="shared" si="259"/>
        <v>-31.238563288833081</v>
      </c>
      <c r="XQ48" s="133">
        <f t="shared" si="260"/>
        <v>-26.475943144706175</v>
      </c>
      <c r="XR48" s="133">
        <f t="shared" si="261"/>
        <v>-22.217593245021668</v>
      </c>
      <c r="XS48" s="133">
        <f t="shared" si="463"/>
        <v>-17.139003170629962</v>
      </c>
      <c r="XT48" s="133">
        <f t="shared" si="464"/>
        <v>-8.3034830528292431</v>
      </c>
      <c r="XU48" s="134">
        <f t="shared" si="465"/>
        <v>2.0228408295638047</v>
      </c>
      <c r="XV48" s="133">
        <f t="shared" si="466"/>
        <v>12.798107207818724</v>
      </c>
      <c r="XW48" s="133">
        <f t="shared" si="262"/>
        <v>22.811149430491845</v>
      </c>
      <c r="XX48" s="133">
        <f t="shared" si="263"/>
        <v>28.958884445803939</v>
      </c>
      <c r="XY48" s="133">
        <f t="shared" si="264"/>
        <v>34.37474864217004</v>
      </c>
      <c r="XZ48" s="133">
        <f t="shared" si="265"/>
        <v>40.765665088031135</v>
      </c>
      <c r="YA48" s="81"/>
      <c r="YB48" s="81">
        <v>49</v>
      </c>
      <c r="YC48" s="133">
        <f t="shared" si="266"/>
        <v>-40.364165361270125</v>
      </c>
      <c r="YD48" s="133">
        <f t="shared" si="267"/>
        <v>-35.425259808091937</v>
      </c>
      <c r="YE48" s="133">
        <f t="shared" si="268"/>
        <v>-30.984951601692455</v>
      </c>
      <c r="YF48" s="133">
        <f t="shared" si="467"/>
        <v>-25.672398129110615</v>
      </c>
      <c r="YG48" s="133">
        <f t="shared" si="468"/>
        <v>-16.408372611176539</v>
      </c>
      <c r="YH48" s="134">
        <f t="shared" si="469"/>
        <v>-5.5709235308282103</v>
      </c>
      <c r="YI48" s="133">
        <f t="shared" si="470"/>
        <v>5.7332830618189021</v>
      </c>
      <c r="YJ48" s="133">
        <f t="shared" si="269"/>
        <v>16.226833918674082</v>
      </c>
      <c r="YK48" s="133">
        <f t="shared" si="270"/>
        <v>22.662940019340972</v>
      </c>
      <c r="YL48" s="133">
        <f t="shared" si="271"/>
        <v>28.328292449803477</v>
      </c>
      <c r="YM48" s="133">
        <f t="shared" si="272"/>
        <v>35.007935935693006</v>
      </c>
      <c r="YN48" s="81"/>
      <c r="YO48" s="81">
        <v>46</v>
      </c>
      <c r="YP48" s="133">
        <v>17.598994816012592</v>
      </c>
      <c r="YQ48" s="133">
        <v>19.688324824204656</v>
      </c>
      <c r="YR48" s="133">
        <v>21.682600581933769</v>
      </c>
      <c r="YS48" s="133">
        <v>24.233851088710061</v>
      </c>
      <c r="YT48" s="133">
        <v>29.175199700812172</v>
      </c>
      <c r="YU48" s="134">
        <v>35.878995478958224</v>
      </c>
      <c r="YV48" s="133">
        <v>44.123170699094452</v>
      </c>
      <c r="YW48" s="133">
        <v>53.120006055448059</v>
      </c>
      <c r="YX48" s="133">
        <v>59.370291479321089</v>
      </c>
      <c r="YY48" s="133">
        <v>65.384045015170955</v>
      </c>
      <c r="YZ48" s="133">
        <v>73.146354666110909</v>
      </c>
      <c r="ZA48" s="81"/>
      <c r="ZB48" s="81">
        <v>46</v>
      </c>
      <c r="ZC48" s="133">
        <v>14.311742979984555</v>
      </c>
      <c r="ZD48" s="133">
        <v>16.201596146809639</v>
      </c>
      <c r="ZE48" s="133">
        <v>18.025397193660943</v>
      </c>
      <c r="ZF48" s="133">
        <v>20.384356497308929</v>
      </c>
      <c r="ZG48" s="133">
        <v>25.02637463107077</v>
      </c>
      <c r="ZH48" s="134">
        <v>31.456400584565539</v>
      </c>
      <c r="ZI48" s="133">
        <v>39.538492982845518</v>
      </c>
      <c r="ZJ48" s="133">
        <v>48.542377968482164</v>
      </c>
      <c r="ZK48" s="133">
        <v>54.895053191096281</v>
      </c>
      <c r="ZL48" s="133">
        <v>61.074546530497535</v>
      </c>
      <c r="ZM48" s="133">
        <v>69.139387083775247</v>
      </c>
      <c r="ZN48" s="81"/>
      <c r="ZO48" s="81">
        <v>49</v>
      </c>
      <c r="ZP48" s="133">
        <v>20.851546967868906</v>
      </c>
      <c r="ZQ48" s="133">
        <v>22.945915110445707</v>
      </c>
      <c r="ZR48" s="133">
        <v>24.914681060686036</v>
      </c>
      <c r="ZS48" s="133">
        <v>27.395092678403174</v>
      </c>
      <c r="ZT48" s="133">
        <v>32.094510635681644</v>
      </c>
      <c r="ZU48" s="134">
        <v>38.288449206476784</v>
      </c>
      <c r="ZV48" s="133">
        <v>45.677759641771736</v>
      </c>
      <c r="ZW48" s="133">
        <v>53.513428840949793</v>
      </c>
      <c r="ZX48" s="133">
        <v>58.841023855217102</v>
      </c>
      <c r="ZY48" s="133">
        <v>63.889600200324139</v>
      </c>
      <c r="ZZ48" s="133">
        <v>70.306790421640514</v>
      </c>
      <c r="AAA48" s="81"/>
      <c r="AAB48" s="81">
        <v>46</v>
      </c>
      <c r="AAC48" s="133">
        <v>9.5100543495059</v>
      </c>
      <c r="AAD48" s="133">
        <v>10.554512378922214</v>
      </c>
      <c r="AAE48" s="133">
        <v>11.544099585154211</v>
      </c>
      <c r="AAF48" s="133">
        <v>12.800724639579208</v>
      </c>
      <c r="AAG48" s="133">
        <v>15.208736796586981</v>
      </c>
      <c r="AAH48" s="134">
        <v>18.430191177890791</v>
      </c>
      <c r="AAI48" s="133">
        <v>22.33400126497223</v>
      </c>
      <c r="AAJ48" s="133">
        <v>26.535368615254363</v>
      </c>
      <c r="AAK48" s="133">
        <v>29.423857993257762</v>
      </c>
      <c r="AAL48" s="133">
        <v>32.18262811761366</v>
      </c>
      <c r="AAM48" s="133">
        <v>35.717140446337332</v>
      </c>
      <c r="AAN48" s="81"/>
      <c r="AAO48" s="81">
        <v>46</v>
      </c>
      <c r="AAP48" s="133">
        <v>8.5956125271885391</v>
      </c>
      <c r="AAQ48" s="133">
        <v>9.6496951371328432</v>
      </c>
      <c r="AAR48" s="133">
        <v>10.659084822824358</v>
      </c>
      <c r="AAS48" s="133">
        <v>11.954573661584941</v>
      </c>
      <c r="AAT48" s="133">
        <v>14.475479093221132</v>
      </c>
      <c r="AAU48" s="134">
        <v>17.916540965048501</v>
      </c>
      <c r="AAV48" s="133">
        <v>22.175600412603025</v>
      </c>
      <c r="AAW48" s="133">
        <v>26.851851788221982</v>
      </c>
      <c r="AAX48" s="133">
        <v>30.115384715289693</v>
      </c>
      <c r="AAY48" s="133">
        <v>33.265552495748437</v>
      </c>
      <c r="AAZ48" s="133">
        <v>37.344917437460964</v>
      </c>
      <c r="ABA48" s="81"/>
      <c r="ABB48" s="81">
        <v>49</v>
      </c>
      <c r="ABC48" s="133">
        <v>10.353953201417029</v>
      </c>
      <c r="ABD48" s="133">
        <v>11.376809353702816</v>
      </c>
      <c r="ABE48" s="133">
        <v>12.336983113514723</v>
      </c>
      <c r="ABF48" s="133">
        <v>13.545002346508483</v>
      </c>
      <c r="ABG48" s="133">
        <v>15.829136044569736</v>
      </c>
      <c r="ABH48" s="134">
        <v>18.831747885896512</v>
      </c>
      <c r="ABI48" s="133">
        <v>22.403921947441155</v>
      </c>
      <c r="ABJ48" s="133">
        <v>26.181961388096973</v>
      </c>
      <c r="ABK48" s="133">
        <v>28.745660521288897</v>
      </c>
      <c r="ABL48" s="133">
        <v>31.171721122543449</v>
      </c>
      <c r="ABM48" s="133">
        <v>34.25114268330217</v>
      </c>
      <c r="ABN48" s="81"/>
      <c r="ABO48" s="81">
        <v>46</v>
      </c>
      <c r="ABP48" s="133">
        <f t="shared" si="273"/>
        <v>0.2462079259657379</v>
      </c>
      <c r="ABQ48" s="133">
        <f t="shared" si="274"/>
        <v>0.27840616831617004</v>
      </c>
      <c r="ABR48" s="133">
        <f t="shared" si="275"/>
        <v>0.30846462002750252</v>
      </c>
      <c r="ABS48" s="133">
        <f t="shared" si="471"/>
        <v>0.34598055091583846</v>
      </c>
      <c r="ABT48" s="133">
        <f t="shared" si="472"/>
        <v>0.41581630920504314</v>
      </c>
      <c r="ABU48" s="134">
        <f t="shared" si="473"/>
        <v>0.50518497794727213</v>
      </c>
      <c r="ABV48" s="133">
        <f t="shared" si="474"/>
        <v>0.60780086774931841</v>
      </c>
      <c r="ABW48" s="133">
        <f t="shared" si="276"/>
        <v>0.71210234279865958</v>
      </c>
      <c r="ABX48" s="133">
        <f t="shared" si="277"/>
        <v>0.78055156236050971</v>
      </c>
      <c r="ABY48" s="133">
        <f t="shared" si="278"/>
        <v>0.84370065355976465</v>
      </c>
      <c r="ABZ48" s="133">
        <f t="shared" si="279"/>
        <v>0.92171716975567308</v>
      </c>
      <c r="ACA48" s="81"/>
      <c r="ACB48" s="81">
        <v>46</v>
      </c>
      <c r="ACC48" s="133">
        <f t="shared" si="280"/>
        <v>0.28529172040970757</v>
      </c>
      <c r="ACD48" s="133">
        <f t="shared" si="281"/>
        <v>0.31676533370947912</v>
      </c>
      <c r="ACE48" s="133">
        <f t="shared" si="282"/>
        <v>0.3461756032762508</v>
      </c>
      <c r="ACF48" s="133">
        <f t="shared" si="475"/>
        <v>0.38296703832315659</v>
      </c>
      <c r="ACG48" s="133">
        <f t="shared" si="476"/>
        <v>0.45182847171331464</v>
      </c>
      <c r="ACH48" s="134">
        <f t="shared" si="477"/>
        <v>0.54086632194203199</v>
      </c>
      <c r="ACI48" s="133">
        <f t="shared" si="478"/>
        <v>0.64457585615167168</v>
      </c>
      <c r="ACJ48" s="133">
        <f t="shared" si="283"/>
        <v>0.75172326736847916</v>
      </c>
      <c r="ACK48" s="133">
        <f t="shared" si="284"/>
        <v>0.82301689739532069</v>
      </c>
      <c r="ACL48" s="133">
        <f t="shared" si="285"/>
        <v>0.88948205031056005</v>
      </c>
      <c r="ACM48" s="133">
        <f t="shared" si="286"/>
        <v>0.9725121299595243</v>
      </c>
      <c r="ACN48" s="81"/>
      <c r="ACO48" s="81">
        <v>49</v>
      </c>
      <c r="ACP48" s="133">
        <f t="shared" si="287"/>
        <v>0.23476947067375434</v>
      </c>
      <c r="ACQ48" s="133">
        <f t="shared" si="288"/>
        <v>0.26886359867953963</v>
      </c>
      <c r="ACR48" s="133">
        <f t="shared" si="289"/>
        <v>0.30009748560212801</v>
      </c>
      <c r="ACS48" s="133">
        <f t="shared" si="479"/>
        <v>0.33831015115608987</v>
      </c>
      <c r="ACT48" s="133">
        <f t="shared" si="480"/>
        <v>0.40738739774971239</v>
      </c>
      <c r="ACU48" s="134">
        <f t="shared" si="481"/>
        <v>0.49206428764839166</v>
      </c>
      <c r="ACV48" s="133">
        <f t="shared" si="482"/>
        <v>0.58501053905043476</v>
      </c>
      <c r="ACW48" s="133">
        <f t="shared" si="290"/>
        <v>0.67562363424573668</v>
      </c>
      <c r="ACX48" s="133">
        <f t="shared" si="291"/>
        <v>0.73312573004979387</v>
      </c>
      <c r="ACY48" s="133">
        <f t="shared" si="292"/>
        <v>0.7849648734990079</v>
      </c>
      <c r="ACZ48" s="133">
        <f t="shared" si="293"/>
        <v>0.84753948816159563</v>
      </c>
      <c r="ADA48" s="81"/>
      <c r="ADB48" s="81">
        <v>46</v>
      </c>
      <c r="ADC48" s="133">
        <f t="shared" si="294"/>
        <v>0.19892221885639463</v>
      </c>
      <c r="ADD48" s="133">
        <f t="shared" si="295"/>
        <v>0.21922161531731113</v>
      </c>
      <c r="ADE48" s="133">
        <f t="shared" si="296"/>
        <v>0.23702684182258985</v>
      </c>
      <c r="ADF48" s="133">
        <f t="shared" si="483"/>
        <v>0.2579345348121786</v>
      </c>
      <c r="ADG48" s="133">
        <f t="shared" si="484"/>
        <v>0.29366901996975425</v>
      </c>
      <c r="ADH48" s="134">
        <f t="shared" si="485"/>
        <v>0.3346829421127801</v>
      </c>
      <c r="ADI48" s="133">
        <f t="shared" si="486"/>
        <v>0.37686192294061205</v>
      </c>
      <c r="ADJ48" s="133">
        <f t="shared" si="297"/>
        <v>0.41563515193003786</v>
      </c>
      <c r="ADK48" s="133">
        <f t="shared" si="298"/>
        <v>0.43927967536402318</v>
      </c>
      <c r="ADL48" s="133">
        <f t="shared" si="299"/>
        <v>0.46002287656782959</v>
      </c>
      <c r="ADM48" s="133">
        <f t="shared" si="300"/>
        <v>0.48440839123568447</v>
      </c>
      <c r="ADN48" s="81"/>
      <c r="ADO48" s="81">
        <v>46</v>
      </c>
      <c r="ADP48" s="133">
        <f t="shared" si="301"/>
        <v>0.22339928410885493</v>
      </c>
      <c r="ADQ48" s="133">
        <f t="shared" si="302"/>
        <v>0.24182663804689233</v>
      </c>
      <c r="ADR48" s="133">
        <f t="shared" si="303"/>
        <v>0.25812957056290348</v>
      </c>
      <c r="ADS48" s="133">
        <f t="shared" si="487"/>
        <v>0.27743930312553849</v>
      </c>
      <c r="ADT48" s="133">
        <f t="shared" si="488"/>
        <v>0.31085320026307084</v>
      </c>
      <c r="ADU48" s="134">
        <f t="shared" si="489"/>
        <v>0.34982845093681991</v>
      </c>
      <c r="ADV48" s="133">
        <f t="shared" si="490"/>
        <v>0.3905856036365728</v>
      </c>
      <c r="ADW48" s="133">
        <f t="shared" si="304"/>
        <v>0.4286344841162511</v>
      </c>
      <c r="ADX48" s="133">
        <f t="shared" si="305"/>
        <v>0.45210289953420457</v>
      </c>
      <c r="ADY48" s="133">
        <f t="shared" si="306"/>
        <v>0.4728532781961825</v>
      </c>
      <c r="ADZ48" s="133">
        <f t="shared" si="307"/>
        <v>0.49743661091435615</v>
      </c>
      <c r="AEA48" s="81"/>
      <c r="AEB48" s="81">
        <v>49</v>
      </c>
      <c r="AEC48" s="133">
        <f t="shared" si="308"/>
        <v>0.19181650119501778</v>
      </c>
      <c r="AED48" s="133">
        <f t="shared" si="309"/>
        <v>0.21361437727121288</v>
      </c>
      <c r="AEE48" s="133">
        <f t="shared" si="310"/>
        <v>0.23229036978824172</v>
      </c>
      <c r="AEF48" s="133">
        <f t="shared" si="491"/>
        <v>0.25374853965549632</v>
      </c>
      <c r="AEG48" s="133">
        <f t="shared" si="492"/>
        <v>0.28938642048685903</v>
      </c>
      <c r="AEH48" s="134">
        <f t="shared" si="493"/>
        <v>0.32890263816763199</v>
      </c>
      <c r="AEI48" s="133">
        <f t="shared" si="494"/>
        <v>0.36822937544180412</v>
      </c>
      <c r="AEJ48" s="133">
        <f t="shared" si="311"/>
        <v>0.40336974296361178</v>
      </c>
      <c r="AEK48" s="133">
        <f t="shared" si="312"/>
        <v>0.42437558138889325</v>
      </c>
      <c r="AEL48" s="133">
        <f t="shared" si="313"/>
        <v>0.44256128970237907</v>
      </c>
      <c r="AEM48" s="133">
        <f t="shared" si="314"/>
        <v>0.46366869171646707</v>
      </c>
      <c r="AEN48" s="81"/>
    </row>
    <row r="49" spans="1:820">
      <c r="A49" s="81"/>
      <c r="B49" s="81">
        <v>48</v>
      </c>
      <c r="C49" s="133">
        <f t="shared" si="0"/>
        <v>2.0449790874833096</v>
      </c>
      <c r="D49" s="133">
        <f t="shared" si="1"/>
        <v>2.4569571066714091</v>
      </c>
      <c r="E49" s="133">
        <f t="shared" si="2"/>
        <v>2.8918292372908656</v>
      </c>
      <c r="F49" s="133">
        <f t="shared" si="315"/>
        <v>3.5115273124517663</v>
      </c>
      <c r="G49" s="133">
        <f t="shared" si="316"/>
        <v>4.9343960896301171</v>
      </c>
      <c r="H49" s="134">
        <f t="shared" si="317"/>
        <v>7.4061350051817296</v>
      </c>
      <c r="I49" s="133">
        <f t="shared" si="318"/>
        <v>11.486778054559892</v>
      </c>
      <c r="J49" s="133">
        <f t="shared" si="3"/>
        <v>17.594685533338573</v>
      </c>
      <c r="K49" s="133">
        <f t="shared" si="4"/>
        <v>23.10907074081959</v>
      </c>
      <c r="L49" s="133">
        <f t="shared" si="5"/>
        <v>29.615481691052828</v>
      </c>
      <c r="M49" s="133">
        <f t="shared" si="6"/>
        <v>40.114369230219673</v>
      </c>
      <c r="N49" s="81"/>
      <c r="O49" s="75">
        <v>48</v>
      </c>
      <c r="P49" s="151">
        <f t="shared" si="7"/>
        <v>2.7513293609550677</v>
      </c>
      <c r="Q49" s="151">
        <f t="shared" si="8"/>
        <v>3.1491673330003631</v>
      </c>
      <c r="R49" s="151">
        <f t="shared" si="9"/>
        <v>3.5589930420409575</v>
      </c>
      <c r="S49" s="151">
        <f t="shared" si="319"/>
        <v>4.1306957265569144</v>
      </c>
      <c r="T49" s="151">
        <f t="shared" si="320"/>
        <v>5.4127964561537949</v>
      </c>
      <c r="U49" s="134">
        <f t="shared" si="321"/>
        <v>7.6098013356450291</v>
      </c>
      <c r="V49" s="151">
        <f t="shared" si="322"/>
        <v>11.295865942179645</v>
      </c>
      <c r="W49" s="151">
        <f t="shared" si="10"/>
        <v>17.146673445915955</v>
      </c>
      <c r="X49" s="151">
        <f t="shared" si="11"/>
        <v>22.883655443240116</v>
      </c>
      <c r="Y49" s="151">
        <f t="shared" si="12"/>
        <v>30.301551134840015</v>
      </c>
      <c r="Z49" s="151">
        <f t="shared" si="13"/>
        <v>43.966224114639324</v>
      </c>
      <c r="AA49" s="81"/>
      <c r="AB49" s="75">
        <v>50</v>
      </c>
      <c r="AC49" s="151">
        <f t="shared" si="14"/>
        <v>1.7722501275863571</v>
      </c>
      <c r="AD49" s="151">
        <f t="shared" si="15"/>
        <v>2.1395783591747231</v>
      </c>
      <c r="AE49" s="151">
        <f t="shared" si="16"/>
        <v>2.5326056316086341</v>
      </c>
      <c r="AF49" s="151">
        <f t="shared" si="323"/>
        <v>3.1017592772467029</v>
      </c>
      <c r="AG49" s="151">
        <f t="shared" si="324"/>
        <v>4.4468040614371089</v>
      </c>
      <c r="AH49" s="134">
        <f t="shared" si="325"/>
        <v>6.8991843595303139</v>
      </c>
      <c r="AI49" s="151">
        <f t="shared" si="326"/>
        <v>11.232755534513707</v>
      </c>
      <c r="AJ49" s="151">
        <f t="shared" si="17"/>
        <v>18.29953570732604</v>
      </c>
      <c r="AK49" s="151">
        <f t="shared" si="18"/>
        <v>25.213683881063822</v>
      </c>
      <c r="AL49" s="151">
        <f t="shared" si="19"/>
        <v>33.968197755691023</v>
      </c>
      <c r="AM49" s="151">
        <f t="shared" si="20"/>
        <v>49.359048578771805</v>
      </c>
      <c r="AN49" s="81"/>
      <c r="AO49" s="81">
        <v>48</v>
      </c>
      <c r="AP49" s="133">
        <f t="shared" si="21"/>
        <v>1.4155313641442246</v>
      </c>
      <c r="AQ49" s="133">
        <f t="shared" si="22"/>
        <v>3.7401932020270516</v>
      </c>
      <c r="AR49" s="133">
        <f t="shared" si="23"/>
        <v>5.978594704463231</v>
      </c>
      <c r="AS49" s="133">
        <f t="shared" si="327"/>
        <v>8.8366038748979641</v>
      </c>
      <c r="AT49" s="133">
        <f t="shared" si="328"/>
        <v>14.272843940778838</v>
      </c>
      <c r="AU49" s="134">
        <f t="shared" si="329"/>
        <v>21.330254459365033</v>
      </c>
      <c r="AV49" s="133">
        <f t="shared" si="330"/>
        <v>29.454632153908552</v>
      </c>
      <c r="AW49" s="133">
        <f t="shared" si="24"/>
        <v>37.662986812000646</v>
      </c>
      <c r="AX49" s="133">
        <f t="shared" si="25"/>
        <v>43.004244657464305</v>
      </c>
      <c r="AY49" s="133">
        <f t="shared" si="26"/>
        <v>47.894086531345756</v>
      </c>
      <c r="AZ49" s="133">
        <f t="shared" si="27"/>
        <v>53.881440075433957</v>
      </c>
      <c r="BA49" s="81"/>
      <c r="BB49" s="81">
        <v>48</v>
      </c>
      <c r="BC49" s="133">
        <f t="shared" si="28"/>
        <v>4.3181500297344693</v>
      </c>
      <c r="BD49" s="133">
        <f t="shared" si="29"/>
        <v>6.965431470316898</v>
      </c>
      <c r="BE49" s="133">
        <f t="shared" si="30"/>
        <v>9.4229528271772622</v>
      </c>
      <c r="BF49" s="133">
        <f t="shared" si="331"/>
        <v>12.457350092160112</v>
      </c>
      <c r="BG49" s="133">
        <f t="shared" si="332"/>
        <v>17.982357506026396</v>
      </c>
      <c r="BH49" s="134">
        <f t="shared" si="333"/>
        <v>24.796993058865848</v>
      </c>
      <c r="BI49" s="133">
        <f t="shared" si="334"/>
        <v>32.276230020394259</v>
      </c>
      <c r="BJ49" s="133">
        <f t="shared" si="31"/>
        <v>39.532296776949686</v>
      </c>
      <c r="BK49" s="133">
        <f t="shared" si="32"/>
        <v>44.122839842320552</v>
      </c>
      <c r="BL49" s="133">
        <f t="shared" si="33"/>
        <v>48.247815236371864</v>
      </c>
      <c r="BM49" s="133">
        <f t="shared" si="34"/>
        <v>53.208969630155728</v>
      </c>
      <c r="BN49" s="81"/>
      <c r="BO49" s="75">
        <v>50</v>
      </c>
      <c r="BP49" s="151">
        <f t="shared" si="35"/>
        <v>3.9952308541240287</v>
      </c>
      <c r="BQ49" s="151">
        <f t="shared" si="36"/>
        <v>5.1504717598479637</v>
      </c>
      <c r="BR49" s="151">
        <f t="shared" si="37"/>
        <v>6.3607430239978182</v>
      </c>
      <c r="BS49" s="151">
        <f t="shared" si="335"/>
        <v>8.0491767631578632</v>
      </c>
      <c r="BT49" s="151">
        <f t="shared" si="336"/>
        <v>11.715531031399026</v>
      </c>
      <c r="BU49" s="134">
        <f t="shared" si="337"/>
        <v>17.39321465183189</v>
      </c>
      <c r="BV49" s="151">
        <f t="shared" si="338"/>
        <v>25.264629158021567</v>
      </c>
      <c r="BW49" s="151">
        <f t="shared" si="38"/>
        <v>34.73160987802823</v>
      </c>
      <c r="BX49" s="151">
        <f t="shared" si="39"/>
        <v>41.740744922593564</v>
      </c>
      <c r="BY49" s="151">
        <f t="shared" si="40"/>
        <v>48.762824792424041</v>
      </c>
      <c r="BZ49" s="151">
        <f t="shared" si="41"/>
        <v>58.170158183432832</v>
      </c>
      <c r="CA49" s="81"/>
      <c r="CB49" s="81">
        <v>48</v>
      </c>
      <c r="CC49" s="133">
        <f t="shared" si="42"/>
        <v>-5.24725169425861</v>
      </c>
      <c r="CD49" s="133">
        <f t="shared" si="43"/>
        <v>-3.0051665713173388</v>
      </c>
      <c r="CE49" s="133">
        <f t="shared" si="44"/>
        <v>-0.70506178567559274</v>
      </c>
      <c r="CF49" s="133">
        <f t="shared" si="339"/>
        <v>2.2897920230555338</v>
      </c>
      <c r="CG49" s="133">
        <f t="shared" si="340"/>
        <v>7.9654212022538937</v>
      </c>
      <c r="CH49" s="134">
        <f t="shared" si="341"/>
        <v>15.132075732880608</v>
      </c>
      <c r="CI49" s="133">
        <f t="shared" si="342"/>
        <v>23.05417869380075</v>
      </c>
      <c r="CJ49" s="133">
        <f t="shared" si="45"/>
        <v>30.728722279354226</v>
      </c>
      <c r="CK49" s="133">
        <f t="shared" si="46"/>
        <v>35.564505787230978</v>
      </c>
      <c r="CL49" s="133">
        <f t="shared" si="47"/>
        <v>39.893182351867743</v>
      </c>
      <c r="CM49" s="133">
        <f t="shared" si="48"/>
        <v>45.076267491339706</v>
      </c>
      <c r="CN49" s="81"/>
      <c r="CO49" s="81">
        <v>48</v>
      </c>
      <c r="CP49" s="133">
        <f t="shared" si="49"/>
        <v>0.46596912186675432</v>
      </c>
      <c r="CQ49" s="133">
        <f t="shared" si="50"/>
        <v>2.9197378867851969</v>
      </c>
      <c r="CR49" s="133">
        <f t="shared" si="51"/>
        <v>5.2110806241939125</v>
      </c>
      <c r="CS49" s="133">
        <f t="shared" si="343"/>
        <v>8.040706317268878</v>
      </c>
      <c r="CT49" s="133">
        <f t="shared" si="344"/>
        <v>13.165514789353303</v>
      </c>
      <c r="CU49" s="134">
        <f t="shared" si="345"/>
        <v>19.412439440732541</v>
      </c>
      <c r="CV49" s="133">
        <f t="shared" si="346"/>
        <v>26.165637367476922</v>
      </c>
      <c r="CW49" s="133">
        <f t="shared" si="52"/>
        <v>32.618045579365777</v>
      </c>
      <c r="CX49" s="133">
        <f t="shared" si="53"/>
        <v>36.652897015353439</v>
      </c>
      <c r="CY49" s="133">
        <f t="shared" si="54"/>
        <v>40.249191979918542</v>
      </c>
      <c r="CZ49" s="133">
        <f t="shared" si="55"/>
        <v>44.539660587090083</v>
      </c>
      <c r="DA49" s="81"/>
      <c r="DB49" s="81">
        <v>50</v>
      </c>
      <c r="DC49" s="133">
        <f t="shared" si="56"/>
        <v>-5.5235163112877661</v>
      </c>
      <c r="DD49" s="133">
        <f t="shared" si="57"/>
        <v>-3.9118488417254986</v>
      </c>
      <c r="DE49" s="133">
        <f t="shared" si="58"/>
        <v>-2.1797950732933042</v>
      </c>
      <c r="DF49" s="133">
        <f t="shared" si="347"/>
        <v>0.17327511392972905</v>
      </c>
      <c r="DG49" s="133">
        <f t="shared" si="348"/>
        <v>4.8684405704489953</v>
      </c>
      <c r="DH49" s="134">
        <f t="shared" si="349"/>
        <v>11.132529526708964</v>
      </c>
      <c r="DI49" s="133">
        <f t="shared" si="350"/>
        <v>18.390855086307287</v>
      </c>
      <c r="DJ49" s="133">
        <f t="shared" si="59"/>
        <v>25.690897407393667</v>
      </c>
      <c r="DK49" s="133">
        <f t="shared" si="60"/>
        <v>30.406556655144964</v>
      </c>
      <c r="DL49" s="133">
        <f t="shared" si="61"/>
        <v>34.695732726484387</v>
      </c>
      <c r="DM49" s="133">
        <f t="shared" si="62"/>
        <v>39.909369489861419</v>
      </c>
      <c r="DN49" s="81"/>
      <c r="DO49" s="81">
        <v>48</v>
      </c>
      <c r="DP49" s="133">
        <v>12.983456794574904</v>
      </c>
      <c r="DQ49" s="133">
        <v>14.177577672134534</v>
      </c>
      <c r="DR49" s="133">
        <v>15.292065746451133</v>
      </c>
      <c r="DS49" s="133">
        <v>16.686160638750319</v>
      </c>
      <c r="DT49" s="133">
        <v>19.300301013729399</v>
      </c>
      <c r="DU49" s="134">
        <v>22.699420126645709</v>
      </c>
      <c r="DV49" s="133">
        <v>26.697183309184243</v>
      </c>
      <c r="DW49" s="133">
        <v>30.879702361810523</v>
      </c>
      <c r="DX49" s="133">
        <v>33.694837743262156</v>
      </c>
      <c r="DY49" s="133">
        <v>36.34356206693181</v>
      </c>
      <c r="DZ49" s="133">
        <v>39.686170042270199</v>
      </c>
      <c r="EA49" s="81"/>
      <c r="EB49" s="81">
        <v>48</v>
      </c>
      <c r="EC49" s="133">
        <v>12.69814249943987</v>
      </c>
      <c r="ED49" s="133">
        <v>13.667990421157379</v>
      </c>
      <c r="EE49" s="133">
        <v>14.561155283030613</v>
      </c>
      <c r="EF49" s="133">
        <v>15.663594062450743</v>
      </c>
      <c r="EG49" s="133">
        <v>17.691524723912242</v>
      </c>
      <c r="EH49" s="134">
        <v>20.262730373287845</v>
      </c>
      <c r="EI49" s="133">
        <v>23.207623344392434</v>
      </c>
      <c r="EJ49" s="133">
        <v>26.21226268655753</v>
      </c>
      <c r="EK49" s="133">
        <v>28.196817779908191</v>
      </c>
      <c r="EL49" s="133">
        <v>30.03940078455182</v>
      </c>
      <c r="EM49" s="133">
        <v>32.333724574178682</v>
      </c>
      <c r="EN49" s="81"/>
      <c r="EO49" s="81">
        <v>50</v>
      </c>
      <c r="EP49" s="133">
        <v>14.58558018435181</v>
      </c>
      <c r="EQ49" s="133">
        <v>15.679224425941159</v>
      </c>
      <c r="ER49" s="133">
        <v>16.685184598977873</v>
      </c>
      <c r="ES49" s="133">
        <v>17.925353996529118</v>
      </c>
      <c r="ET49" s="133">
        <v>20.202694950947258</v>
      </c>
      <c r="EU49" s="134">
        <v>23.083565896121613</v>
      </c>
      <c r="EV49" s="133">
        <v>26.375244281734023</v>
      </c>
      <c r="EW49" s="133">
        <v>29.726108314723621</v>
      </c>
      <c r="EX49" s="133">
        <v>31.935578016513571</v>
      </c>
      <c r="EY49" s="133">
        <v>33.984526275355208</v>
      </c>
      <c r="EZ49" s="133">
        <v>36.532726689354433</v>
      </c>
      <c r="FA49" s="81"/>
      <c r="FB49" s="81">
        <v>48</v>
      </c>
      <c r="FC49" s="133">
        <v>8.4748646543164856</v>
      </c>
      <c r="FD49" s="133">
        <v>9.2775897854838423</v>
      </c>
      <c r="FE49" s="133">
        <v>10.028531552671941</v>
      </c>
      <c r="FF49" s="133">
        <v>10.970063228921097</v>
      </c>
      <c r="FG49" s="133">
        <v>12.741511854755656</v>
      </c>
      <c r="FH49" s="134">
        <v>15.055062198624512</v>
      </c>
      <c r="FI49" s="133">
        <v>17.788697321649131</v>
      </c>
      <c r="FJ49" s="133">
        <v>20.661220730880341</v>
      </c>
      <c r="FK49" s="133">
        <v>22.601005602267268</v>
      </c>
      <c r="FL49" s="133">
        <v>24.430364248167951</v>
      </c>
      <c r="FM49" s="133">
        <v>26.744367851232976</v>
      </c>
      <c r="FN49" s="81"/>
      <c r="FO49" s="81">
        <v>48</v>
      </c>
      <c r="FP49" s="133">
        <v>8.3952149593192651</v>
      </c>
      <c r="FQ49" s="133">
        <v>9.0762276819757268</v>
      </c>
      <c r="FR49" s="133">
        <v>9.7059594221289593</v>
      </c>
      <c r="FS49" s="133">
        <v>10.486416187700346</v>
      </c>
      <c r="FT49" s="133">
        <v>11.930505566774722</v>
      </c>
      <c r="FU49" s="134">
        <v>13.775625597928592</v>
      </c>
      <c r="FV49" s="133">
        <v>15.906103857223806</v>
      </c>
      <c r="FW49" s="133">
        <v>18.096541012446806</v>
      </c>
      <c r="FX49" s="133">
        <v>19.551684935097406</v>
      </c>
      <c r="FY49" s="133">
        <v>20.908230518628468</v>
      </c>
      <c r="FZ49" s="133">
        <v>22.604288458826183</v>
      </c>
      <c r="GA49" s="81"/>
      <c r="GB49" s="81">
        <v>50</v>
      </c>
      <c r="GC49" s="133">
        <v>9.527486226779601</v>
      </c>
      <c r="GD49" s="133">
        <v>10.289693062729267</v>
      </c>
      <c r="GE49" s="133">
        <v>10.993828064190259</v>
      </c>
      <c r="GF49" s="133">
        <v>11.865659176448776</v>
      </c>
      <c r="GG49" s="133">
        <v>13.476593788075304</v>
      </c>
      <c r="GH49" s="134">
        <v>15.531161466723734</v>
      </c>
      <c r="GI49" s="133">
        <v>17.898957280947645</v>
      </c>
      <c r="GJ49" s="133">
        <v>20.328999250561406</v>
      </c>
      <c r="GK49" s="133">
        <v>21.941126884742744</v>
      </c>
      <c r="GL49" s="133">
        <v>23.442582303952921</v>
      </c>
      <c r="GM49" s="133">
        <v>25.318008419412667</v>
      </c>
      <c r="GN49" s="81"/>
      <c r="GO49" s="81">
        <v>48</v>
      </c>
      <c r="GP49" s="133">
        <f t="shared" si="63"/>
        <v>0.47719751680229044</v>
      </c>
      <c r="GQ49" s="133">
        <f t="shared" si="64"/>
        <v>0.51102935919933901</v>
      </c>
      <c r="GR49" s="133">
        <f t="shared" si="65"/>
        <v>0.53833300624160429</v>
      </c>
      <c r="GS49" s="133">
        <f t="shared" si="351"/>
        <v>0.56809410000501881</v>
      </c>
      <c r="GT49" s="133">
        <f t="shared" si="352"/>
        <v>0.6156667065496082</v>
      </c>
      <c r="GU49" s="134">
        <f t="shared" si="353"/>
        <v>0.66192491753437532</v>
      </c>
      <c r="GV49" s="133">
        <f t="shared" si="354"/>
        <v>0.70498564604061387</v>
      </c>
      <c r="GW49" s="133">
        <f t="shared" si="66"/>
        <v>0.74339915176493054</v>
      </c>
      <c r="GX49" s="133">
        <f t="shared" si="67"/>
        <v>0.76482974397882375</v>
      </c>
      <c r="GY49" s="133">
        <f t="shared" si="68"/>
        <v>0.78291492610972901</v>
      </c>
      <c r="GZ49" s="133">
        <f t="shared" si="69"/>
        <v>0.80340130421389699</v>
      </c>
      <c r="HA49" s="81"/>
      <c r="HB49" s="81">
        <v>48</v>
      </c>
      <c r="HC49" s="133">
        <f t="shared" si="70"/>
        <v>0.46195611322541125</v>
      </c>
      <c r="HD49" s="133">
        <f t="shared" si="71"/>
        <v>0.49855554505298078</v>
      </c>
      <c r="HE49" s="133">
        <f t="shared" si="72"/>
        <v>0.52793183346547901</v>
      </c>
      <c r="HF49" s="133">
        <f t="shared" si="355"/>
        <v>0.55981925874391292</v>
      </c>
      <c r="HG49" s="133">
        <f t="shared" si="356"/>
        <v>0.60917357722713716</v>
      </c>
      <c r="HH49" s="134">
        <f t="shared" si="357"/>
        <v>0.65968792533777021</v>
      </c>
      <c r="HI49" s="133">
        <f t="shared" si="358"/>
        <v>0.70646650157256274</v>
      </c>
      <c r="HJ49" s="133">
        <f t="shared" si="73"/>
        <v>0.74584952568473006</v>
      </c>
      <c r="HK49" s="133">
        <f t="shared" si="74"/>
        <v>0.76845380613807612</v>
      </c>
      <c r="HL49" s="133">
        <f t="shared" si="75"/>
        <v>0.78751394588963131</v>
      </c>
      <c r="HM49" s="133">
        <f t="shared" si="76"/>
        <v>0.80908920650636229</v>
      </c>
      <c r="HN49" s="81"/>
      <c r="HO49" s="81">
        <v>50</v>
      </c>
      <c r="HP49" s="83">
        <f t="shared" si="77"/>
        <v>0.49337273663464842</v>
      </c>
      <c r="HQ49" s="83">
        <f t="shared" si="78"/>
        <v>0.52481337622673874</v>
      </c>
      <c r="HR49" s="83">
        <f t="shared" si="79"/>
        <v>0.55031087023116176</v>
      </c>
      <c r="HS49" s="83">
        <f t="shared" si="359"/>
        <v>0.57820856882481952</v>
      </c>
      <c r="HT49" s="83">
        <f t="shared" si="360"/>
        <v>0.62176095893849304</v>
      </c>
      <c r="HU49" s="84">
        <f t="shared" si="361"/>
        <v>0.66671308046339317</v>
      </c>
      <c r="HV49" s="83">
        <f t="shared" si="362"/>
        <v>0.70860762086912099</v>
      </c>
      <c r="HW49" s="83">
        <f t="shared" si="80"/>
        <v>0.74403896132757008</v>
      </c>
      <c r="HX49" s="83">
        <f t="shared" si="81"/>
        <v>0.76443102679857355</v>
      </c>
      <c r="HY49" s="83">
        <f t="shared" si="82"/>
        <v>0.78165382047663545</v>
      </c>
      <c r="HZ49" s="83">
        <f t="shared" si="83"/>
        <v>0.80117744014871972</v>
      </c>
      <c r="IA49" s="81"/>
      <c r="IB49" s="81">
        <v>48</v>
      </c>
      <c r="IC49" s="83">
        <f t="shared" si="84"/>
        <v>0.32425929457314528</v>
      </c>
      <c r="ID49" s="83">
        <f t="shared" si="85"/>
        <v>0.33883851688521299</v>
      </c>
      <c r="IE49" s="83">
        <f t="shared" si="86"/>
        <v>0.35018474887751211</v>
      </c>
      <c r="IF49" s="83">
        <f t="shared" si="363"/>
        <v>0.36217686060614668</v>
      </c>
      <c r="IG49" s="83">
        <f t="shared" si="364"/>
        <v>0.38013898252391159</v>
      </c>
      <c r="IH49" s="84">
        <f t="shared" si="365"/>
        <v>0.39785176700319963</v>
      </c>
      <c r="II49" s="83">
        <f t="shared" si="366"/>
        <v>0.41371651251127528</v>
      </c>
      <c r="IJ49" s="83">
        <f t="shared" si="87"/>
        <v>0.42671084851693358</v>
      </c>
      <c r="IK49" s="83">
        <f t="shared" si="88"/>
        <v>0.43403050195800702</v>
      </c>
      <c r="IL49" s="83">
        <f t="shared" si="89"/>
        <v>0.44012810644171291</v>
      </c>
      <c r="IM49" s="83">
        <f t="shared" si="90"/>
        <v>0.44695147068801255</v>
      </c>
      <c r="IN49" s="81"/>
      <c r="IO49" s="81">
        <v>48</v>
      </c>
      <c r="IP49" s="133">
        <f t="shared" si="91"/>
        <v>0.31703668408267077</v>
      </c>
      <c r="IQ49" s="133">
        <f t="shared" si="92"/>
        <v>0.33317618901728258</v>
      </c>
      <c r="IR49" s="133">
        <f t="shared" si="93"/>
        <v>0.345607063571857</v>
      </c>
      <c r="IS49" s="133">
        <f t="shared" si="367"/>
        <v>0.35864454069831847</v>
      </c>
      <c r="IT49" s="133">
        <f t="shared" si="368"/>
        <v>0.37801411395434448</v>
      </c>
      <c r="IU49" s="134">
        <f t="shared" si="369"/>
        <v>0.39696632704221491</v>
      </c>
      <c r="IV49" s="133">
        <f t="shared" si="370"/>
        <v>0.41384216189314998</v>
      </c>
      <c r="IW49" s="133">
        <f t="shared" si="94"/>
        <v>0.42760777198060512</v>
      </c>
      <c r="IX49" s="133">
        <f t="shared" si="95"/>
        <v>0.4353425393832171</v>
      </c>
      <c r="IY49" s="133">
        <f t="shared" si="96"/>
        <v>0.44177641337130863</v>
      </c>
      <c r="IZ49" s="133">
        <f t="shared" si="97"/>
        <v>0.44896659980047054</v>
      </c>
      <c r="JA49" s="81"/>
      <c r="JB49" s="81">
        <v>50</v>
      </c>
      <c r="JC49" s="133">
        <f t="shared" si="98"/>
        <v>0.33173509457254335</v>
      </c>
      <c r="JD49" s="133">
        <f t="shared" si="99"/>
        <v>0.34495891421301028</v>
      </c>
      <c r="JE49" s="133">
        <f t="shared" si="100"/>
        <v>0.35534528170577284</v>
      </c>
      <c r="JF49" s="133">
        <f t="shared" si="371"/>
        <v>0.36640022817250756</v>
      </c>
      <c r="JG49" s="133">
        <f t="shared" si="372"/>
        <v>0.38308469489283736</v>
      </c>
      <c r="JH49" s="134">
        <f t="shared" si="373"/>
        <v>0.39966034362230107</v>
      </c>
      <c r="JI49" s="133">
        <f t="shared" si="374"/>
        <v>0.41459136080720693</v>
      </c>
      <c r="JJ49" s="133">
        <f t="shared" si="101"/>
        <v>0.426870888091123</v>
      </c>
      <c r="JK49" s="133">
        <f t="shared" si="102"/>
        <v>0.43380519233575671</v>
      </c>
      <c r="JL49" s="133">
        <f t="shared" si="103"/>
        <v>0.43959041503988033</v>
      </c>
      <c r="JM49" s="133">
        <f t="shared" si="104"/>
        <v>0.44607285650019979</v>
      </c>
      <c r="JN49" s="81"/>
      <c r="JO49" s="81">
        <v>47</v>
      </c>
      <c r="JP49" s="133">
        <f t="shared" si="105"/>
        <v>-3.4500847617003494</v>
      </c>
      <c r="JQ49" s="133">
        <f t="shared" si="106"/>
        <v>-1.9972210577183169</v>
      </c>
      <c r="JR49" s="133">
        <f t="shared" si="107"/>
        <v>-0.7317819997260635</v>
      </c>
      <c r="JS49" s="133">
        <f t="shared" si="375"/>
        <v>0.74461175023539994</v>
      </c>
      <c r="JT49" s="133">
        <f t="shared" si="376"/>
        <v>3.2468814954382772</v>
      </c>
      <c r="JU49" s="134">
        <f t="shared" si="377"/>
        <v>6.090376923196164</v>
      </c>
      <c r="JV49" s="133">
        <f t="shared" si="378"/>
        <v>8.9874653483268077</v>
      </c>
      <c r="JW49" s="133">
        <f t="shared" si="108"/>
        <v>11.629493794024423</v>
      </c>
      <c r="JX49" s="133">
        <f t="shared" si="109"/>
        <v>13.231728766424038</v>
      </c>
      <c r="JY49" s="133">
        <f t="shared" si="110"/>
        <v>14.632221832118287</v>
      </c>
      <c r="JZ49" s="133">
        <f t="shared" si="111"/>
        <v>16.27285100468244</v>
      </c>
      <c r="KA49" s="81"/>
      <c r="KB49" s="81">
        <v>47</v>
      </c>
      <c r="KC49" s="133">
        <f t="shared" si="112"/>
        <v>-1.8767827073407712</v>
      </c>
      <c r="KD49" s="133">
        <f t="shared" si="113"/>
        <v>-0.56999655264396587</v>
      </c>
      <c r="KE49" s="133">
        <f t="shared" si="114"/>
        <v>0.59347202530167031</v>
      </c>
      <c r="KF49" s="133">
        <f t="shared" si="379"/>
        <v>1.9785450480272768</v>
      </c>
      <c r="KG49" s="133">
        <f t="shared" si="380"/>
        <v>4.3886853399240753</v>
      </c>
      <c r="KH49" s="134">
        <f t="shared" si="381"/>
        <v>7.2143757103063724</v>
      </c>
      <c r="KI49" s="133">
        <f t="shared" si="382"/>
        <v>10.179003312642406</v>
      </c>
      <c r="KJ49" s="133">
        <f t="shared" si="115"/>
        <v>12.951237676364068</v>
      </c>
      <c r="KK49" s="133">
        <f t="shared" si="116"/>
        <v>14.662072193884102</v>
      </c>
      <c r="KL49" s="133">
        <f t="shared" si="117"/>
        <v>16.174864776787025</v>
      </c>
      <c r="KM49" s="133">
        <f t="shared" si="118"/>
        <v>17.966829646059274</v>
      </c>
      <c r="KN49" s="81"/>
      <c r="KO49" s="81">
        <v>49</v>
      </c>
      <c r="KP49" s="133">
        <f t="shared" si="119"/>
        <v>-3.5814692254223246</v>
      </c>
      <c r="KQ49" s="133">
        <f t="shared" si="120"/>
        <v>-2.1571135569561015</v>
      </c>
      <c r="KR49" s="133">
        <f t="shared" si="121"/>
        <v>-0.93725946796078929</v>
      </c>
      <c r="KS49" s="133">
        <f t="shared" si="383"/>
        <v>0.46366748242885691</v>
      </c>
      <c r="KT49" s="133">
        <f t="shared" si="384"/>
        <v>2.7886774911252026</v>
      </c>
      <c r="KU49" s="134">
        <f t="shared" si="385"/>
        <v>5.3641749173512352</v>
      </c>
      <c r="KV49" s="133">
        <f t="shared" si="386"/>
        <v>7.924639103791872</v>
      </c>
      <c r="KW49" s="133">
        <f t="shared" si="122"/>
        <v>10.210296230875965</v>
      </c>
      <c r="KX49" s="133">
        <f t="shared" si="123"/>
        <v>11.575599511506436</v>
      </c>
      <c r="KY49" s="133">
        <f t="shared" si="124"/>
        <v>12.757015486677904</v>
      </c>
      <c r="KZ49" s="133">
        <f t="shared" si="125"/>
        <v>14.127562099142491</v>
      </c>
      <c r="LA49" s="81"/>
      <c r="LB49" s="81">
        <v>47</v>
      </c>
      <c r="LC49" s="133">
        <f t="shared" si="126"/>
        <v>-8.0953073466370107</v>
      </c>
      <c r="LD49" s="133">
        <f t="shared" si="127"/>
        <v>-4.3975643045228061</v>
      </c>
      <c r="LE49" s="133">
        <f t="shared" si="128"/>
        <v>-1.1442642234528222</v>
      </c>
      <c r="LF49" s="133">
        <f t="shared" si="387"/>
        <v>2.685216607632114</v>
      </c>
      <c r="LG49" s="133">
        <f t="shared" si="388"/>
        <v>9.2480087137186615</v>
      </c>
      <c r="LH49" s="134">
        <f t="shared" si="389"/>
        <v>16.799718771762926</v>
      </c>
      <c r="LI49" s="133">
        <f t="shared" si="390"/>
        <v>24.580123029162529</v>
      </c>
      <c r="LJ49" s="133">
        <f t="shared" si="129"/>
        <v>31.740502534778678</v>
      </c>
      <c r="LK49" s="133">
        <f t="shared" si="130"/>
        <v>36.109604684357031</v>
      </c>
      <c r="LL49" s="133">
        <f t="shared" si="131"/>
        <v>39.943734788872312</v>
      </c>
      <c r="LM49" s="133">
        <f t="shared" si="132"/>
        <v>44.452095485738575</v>
      </c>
      <c r="LN49" s="81"/>
      <c r="LO49" s="81">
        <v>47</v>
      </c>
      <c r="LP49" s="133">
        <f t="shared" si="133"/>
        <v>-3.9662867209646642</v>
      </c>
      <c r="LQ49" s="133">
        <f t="shared" si="134"/>
        <v>-0.30765661929975607</v>
      </c>
      <c r="LR49" s="133">
        <f t="shared" si="135"/>
        <v>2.92147083471421</v>
      </c>
      <c r="LS49" s="133">
        <f t="shared" si="391"/>
        <v>6.7336277543848944</v>
      </c>
      <c r="LT49" s="133">
        <f t="shared" si="392"/>
        <v>13.291792839110766</v>
      </c>
      <c r="LU49" s="134">
        <f t="shared" si="393"/>
        <v>20.872630537324245</v>
      </c>
      <c r="LV49" s="133">
        <f t="shared" si="394"/>
        <v>28.716641330224267</v>
      </c>
      <c r="LW49" s="133">
        <f t="shared" si="136"/>
        <v>35.962173498297332</v>
      </c>
      <c r="LX49" s="133">
        <f t="shared" si="137"/>
        <v>40.394622584608371</v>
      </c>
      <c r="LY49" s="133">
        <f t="shared" si="138"/>
        <v>44.290974964704603</v>
      </c>
      <c r="LZ49" s="133">
        <f t="shared" si="139"/>
        <v>48.880015580486429</v>
      </c>
      <c r="MA49" s="81"/>
      <c r="MB49" s="81">
        <v>49</v>
      </c>
      <c r="MC49" s="133">
        <f t="shared" si="140"/>
        <v>-7.4935615332251437</v>
      </c>
      <c r="MD49" s="133">
        <f t="shared" si="141"/>
        <v>-4.2067449359481088</v>
      </c>
      <c r="ME49" s="133">
        <f t="shared" si="142"/>
        <v>-1.3458744230851565</v>
      </c>
      <c r="MF49" s="133">
        <f t="shared" si="395"/>
        <v>1.9888748361709006</v>
      </c>
      <c r="MG49" s="133">
        <f t="shared" si="396"/>
        <v>7.6317822260645372</v>
      </c>
      <c r="MH49" s="134">
        <f t="shared" si="397"/>
        <v>14.028679638795673</v>
      </c>
      <c r="MI49" s="133">
        <f t="shared" si="398"/>
        <v>20.528026688164957</v>
      </c>
      <c r="MJ49" s="133">
        <f t="shared" si="143"/>
        <v>26.438900510544414</v>
      </c>
      <c r="MK49" s="133">
        <f t="shared" si="144"/>
        <v>30.015953333595881</v>
      </c>
      <c r="ML49" s="133">
        <f t="shared" si="145"/>
        <v>33.137988181538368</v>
      </c>
      <c r="MM49" s="133">
        <f t="shared" si="146"/>
        <v>36.789924087878227</v>
      </c>
      <c r="MN49" s="81"/>
      <c r="MO49" s="81">
        <v>47</v>
      </c>
      <c r="MP49" s="133">
        <f t="shared" si="147"/>
        <v>-14.52430171704944</v>
      </c>
      <c r="MQ49" s="133">
        <f t="shared" si="148"/>
        <v>-10.277998502091126</v>
      </c>
      <c r="MR49" s="133">
        <f t="shared" si="149"/>
        <v>-6.6084045797292355</v>
      </c>
      <c r="MS49" s="133">
        <f t="shared" si="399"/>
        <v>-2.3599836765491062</v>
      </c>
      <c r="MT49" s="133">
        <f t="shared" si="400"/>
        <v>4.763601394460558</v>
      </c>
      <c r="MU49" s="134">
        <f t="shared" si="401"/>
        <v>12.749511726584245</v>
      </c>
      <c r="MV49" s="133">
        <f t="shared" si="402"/>
        <v>20.776826506105252</v>
      </c>
      <c r="MW49" s="133">
        <f t="shared" si="150"/>
        <v>28.009588486599846</v>
      </c>
      <c r="MX49" s="133">
        <f t="shared" si="151"/>
        <v>32.35789806680463</v>
      </c>
      <c r="MY49" s="133">
        <f t="shared" si="152"/>
        <v>36.136505548095947</v>
      </c>
      <c r="MZ49" s="133">
        <f t="shared" si="153"/>
        <v>40.537810395202776</v>
      </c>
      <c r="NA49" s="81"/>
      <c r="NB49" s="81">
        <v>47</v>
      </c>
      <c r="NC49" s="133">
        <f t="shared" si="154"/>
        <v>-7.2172990646797786</v>
      </c>
      <c r="ND49" s="133">
        <f t="shared" si="155"/>
        <v>-3.3686045705910992</v>
      </c>
      <c r="NE49" s="133">
        <f t="shared" si="156"/>
        <v>-3.6991688147416824E-2</v>
      </c>
      <c r="NF49" s="133">
        <f t="shared" si="403"/>
        <v>3.8258727605109577</v>
      </c>
      <c r="NG49" s="133">
        <f t="shared" si="404"/>
        <v>10.315029713583318</v>
      </c>
      <c r="NH49" s="134">
        <f t="shared" si="405"/>
        <v>17.605145383866262</v>
      </c>
      <c r="NI49" s="133">
        <f t="shared" si="406"/>
        <v>24.94710892884223</v>
      </c>
      <c r="NJ49" s="133">
        <f t="shared" si="157"/>
        <v>31.572880076315638</v>
      </c>
      <c r="NK49" s="133">
        <f t="shared" si="158"/>
        <v>35.560601393191234</v>
      </c>
      <c r="NL49" s="133">
        <f t="shared" si="159"/>
        <v>39.028318412763269</v>
      </c>
      <c r="NM49" s="133">
        <f t="shared" si="160"/>
        <v>43.070221400131658</v>
      </c>
      <c r="NN49" s="81"/>
      <c r="NO49" s="81">
        <v>49</v>
      </c>
      <c r="NP49" s="133">
        <f t="shared" si="161"/>
        <v>-15.563739460408858</v>
      </c>
      <c r="NQ49" s="133">
        <f t="shared" si="162"/>
        <v>-11.747546845487754</v>
      </c>
      <c r="NR49" s="133">
        <f t="shared" si="163"/>
        <v>-8.4630831916250031</v>
      </c>
      <c r="NS49" s="133">
        <f t="shared" si="407"/>
        <v>-4.6739638587609846</v>
      </c>
      <c r="NT49" s="133">
        <f t="shared" si="408"/>
        <v>1.6517965236156087</v>
      </c>
      <c r="NU49" s="134">
        <f t="shared" si="409"/>
        <v>8.7085283726850804</v>
      </c>
      <c r="NV49" s="133">
        <f t="shared" si="410"/>
        <v>15.770733326532678</v>
      </c>
      <c r="NW49" s="133">
        <f t="shared" si="164"/>
        <v>22.110928425883699</v>
      </c>
      <c r="NX49" s="133">
        <f t="shared" si="165"/>
        <v>25.91325810765445</v>
      </c>
      <c r="NY49" s="133">
        <f t="shared" si="166"/>
        <v>29.212142600614335</v>
      </c>
      <c r="NZ49" s="133">
        <f t="shared" si="167"/>
        <v>33.048845497507052</v>
      </c>
      <c r="OA49" s="81"/>
      <c r="OB49" s="81">
        <v>47</v>
      </c>
      <c r="OC49" s="133">
        <v>14.069899986784506</v>
      </c>
      <c r="OD49" s="133">
        <v>15.489500812857402</v>
      </c>
      <c r="OE49" s="133">
        <v>16.824477555027453</v>
      </c>
      <c r="OF49" s="133">
        <v>18.507034316604837</v>
      </c>
      <c r="OG49" s="133">
        <v>21.696586801142061</v>
      </c>
      <c r="OH49" s="134">
        <v>25.903534588008728</v>
      </c>
      <c r="OI49" s="133">
        <v>30.92620559639569</v>
      </c>
      <c r="OJ49" s="133">
        <v>36.256111739639323</v>
      </c>
      <c r="OK49" s="133">
        <v>39.881957817564427</v>
      </c>
      <c r="OL49" s="133">
        <v>43.319220694006617</v>
      </c>
      <c r="OM49" s="133">
        <v>47.689969707134452</v>
      </c>
      <c r="ON49" s="81"/>
      <c r="OO49" s="81">
        <v>47</v>
      </c>
      <c r="OP49" s="133">
        <v>12.861016320745158</v>
      </c>
      <c r="OQ49" s="133">
        <v>13.981215276320219</v>
      </c>
      <c r="OR49" s="133">
        <v>15.02238069913883</v>
      </c>
      <c r="OS49" s="133">
        <v>16.31936662557596</v>
      </c>
      <c r="OT49" s="133">
        <v>25.066688602505192</v>
      </c>
      <c r="OU49" s="134">
        <v>21.855895905592625</v>
      </c>
      <c r="OV49" s="133">
        <v>25.494043407147501</v>
      </c>
      <c r="OW49" s="133">
        <v>29.270755219597376</v>
      </c>
      <c r="OX49" s="133">
        <v>31.797901770888028</v>
      </c>
      <c r="OY49" s="133">
        <v>34.165855856975504</v>
      </c>
      <c r="OZ49" s="133">
        <v>37.141713681335588</v>
      </c>
      <c r="PA49" s="81"/>
      <c r="PB49" s="81">
        <v>49</v>
      </c>
      <c r="PC49" s="133">
        <v>18.161548864541587</v>
      </c>
      <c r="PD49" s="133">
        <v>19.530147849213375</v>
      </c>
      <c r="PE49" s="133">
        <v>20.789426529735916</v>
      </c>
      <c r="PF49" s="133">
        <v>22.342395645628674</v>
      </c>
      <c r="PG49" s="133">
        <v>25.195464521606798</v>
      </c>
      <c r="PH49" s="134">
        <v>28.806851785176526</v>
      </c>
      <c r="PI49" s="133">
        <v>32.935876576575495</v>
      </c>
      <c r="PJ49" s="133">
        <v>37.141706866850086</v>
      </c>
      <c r="PK49" s="133">
        <v>39.916190501271572</v>
      </c>
      <c r="PL49" s="133">
        <v>42.489934852518388</v>
      </c>
      <c r="PM49" s="133">
        <v>45.691846877294054</v>
      </c>
      <c r="PN49" s="81"/>
      <c r="PO49" s="81">
        <v>47</v>
      </c>
      <c r="PP49" s="133">
        <v>8.9013162431848158</v>
      </c>
      <c r="PQ49" s="133">
        <v>9.6844502260696324</v>
      </c>
      <c r="PR49" s="133">
        <v>10.412878078559423</v>
      </c>
      <c r="PS49" s="133">
        <v>11.32096564728746</v>
      </c>
      <c r="PT49" s="133">
        <v>13.015458189565495</v>
      </c>
      <c r="PU49" s="134">
        <v>15.204666645527386</v>
      </c>
      <c r="PV49" s="133">
        <v>17.762101374729301</v>
      </c>
      <c r="PW49" s="133">
        <v>20.420686273966826</v>
      </c>
      <c r="PX49" s="133">
        <v>22.201536026588723</v>
      </c>
      <c r="PY49" s="133">
        <v>23.871451905374343</v>
      </c>
      <c r="PZ49" s="133">
        <v>25.971651999064136</v>
      </c>
      <c r="QA49" s="81"/>
      <c r="QB49" s="81">
        <v>47</v>
      </c>
      <c r="QC49" s="133">
        <v>8.6515091743650476</v>
      </c>
      <c r="QD49" s="133">
        <v>9.4104028270736055</v>
      </c>
      <c r="QE49" s="133">
        <v>10.116126183259357</v>
      </c>
      <c r="QF49" s="133">
        <v>10.995713270248878</v>
      </c>
      <c r="QG49" s="133">
        <v>12.636497174750104</v>
      </c>
      <c r="QH49" s="134">
        <v>14.755423086641345</v>
      </c>
      <c r="QI49" s="133">
        <v>17.229656878397872</v>
      </c>
      <c r="QJ49" s="133">
        <v>19.800671872272318</v>
      </c>
      <c r="QK49" s="133">
        <v>21.522320552514053</v>
      </c>
      <c r="QL49" s="133">
        <v>23.136364560229399</v>
      </c>
      <c r="QM49" s="133">
        <v>25.165841713595309</v>
      </c>
      <c r="QN49" s="81"/>
      <c r="QO49" s="81">
        <v>49</v>
      </c>
      <c r="QP49" s="133">
        <v>9.4508569649351504</v>
      </c>
      <c r="QQ49" s="133">
        <v>10.249015225285818</v>
      </c>
      <c r="QR49" s="133">
        <v>10.989184187008084</v>
      </c>
      <c r="QS49" s="133">
        <v>11.909134719337009</v>
      </c>
      <c r="QT49" s="133">
        <v>13.618340745780886</v>
      </c>
      <c r="QU49" s="134">
        <v>15.814024659031023</v>
      </c>
      <c r="QV49" s="133">
        <v>18.363718501750654</v>
      </c>
      <c r="QW49" s="133">
        <v>20.999290192794426</v>
      </c>
      <c r="QX49" s="133">
        <v>22.75722853131365</v>
      </c>
      <c r="QY49" s="133">
        <v>24.400722451797019</v>
      </c>
      <c r="QZ49" s="133">
        <v>26.461449670046633</v>
      </c>
      <c r="RA49" s="81"/>
      <c r="RB49" s="81">
        <v>47</v>
      </c>
      <c r="RC49" s="133">
        <f t="shared" si="168"/>
        <v>0.32027911480552568</v>
      </c>
      <c r="RD49" s="133">
        <f t="shared" si="169"/>
        <v>0.34875295600186829</v>
      </c>
      <c r="RE49" s="133">
        <f t="shared" si="170"/>
        <v>0.37559812490309696</v>
      </c>
      <c r="RF49" s="133">
        <f t="shared" si="411"/>
        <v>0.40955915353218925</v>
      </c>
      <c r="RG49" s="133">
        <f t="shared" si="412"/>
        <v>0.47442330346491074</v>
      </c>
      <c r="RH49" s="134">
        <f t="shared" si="413"/>
        <v>0.56114896947562731</v>
      </c>
      <c r="RI49" s="133">
        <f t="shared" si="414"/>
        <v>0.66669251625190928</v>
      </c>
      <c r="RJ49" s="133">
        <f t="shared" si="171"/>
        <v>0.78128870012590468</v>
      </c>
      <c r="RK49" s="133">
        <f t="shared" si="172"/>
        <v>0.86084923233436705</v>
      </c>
      <c r="RL49" s="133">
        <f t="shared" si="173"/>
        <v>0.93750243497855112</v>
      </c>
      <c r="RM49" s="133">
        <f t="shared" si="174"/>
        <v>1.0367321073104143</v>
      </c>
      <c r="RN49" s="81"/>
      <c r="RO49" s="81">
        <v>47</v>
      </c>
      <c r="RP49" s="133">
        <f t="shared" si="175"/>
        <v>0.353475399291313</v>
      </c>
      <c r="RQ49" s="133">
        <f t="shared" si="176"/>
        <v>0.38362332297451784</v>
      </c>
      <c r="RR49" s="133">
        <f t="shared" si="177"/>
        <v>0.41208306122171856</v>
      </c>
      <c r="RS49" s="133">
        <f t="shared" si="415"/>
        <v>0.44814805651878908</v>
      </c>
      <c r="RT49" s="133">
        <f t="shared" si="416"/>
        <v>0.51725709588971269</v>
      </c>
      <c r="RU49" s="134">
        <f t="shared" si="417"/>
        <v>0.61019671988448632</v>
      </c>
      <c r="RV49" s="133">
        <f t="shared" si="418"/>
        <v>0.72423085531517384</v>
      </c>
      <c r="RW49" s="133">
        <f t="shared" si="178"/>
        <v>0.84927855307462474</v>
      </c>
      <c r="RX49" s="133">
        <f t="shared" si="179"/>
        <v>0.93687434951170656</v>
      </c>
      <c r="RY49" s="133">
        <f t="shared" si="180"/>
        <v>1.0218812833222608</v>
      </c>
      <c r="RZ49" s="133">
        <f t="shared" si="181"/>
        <v>1.1328213579968534</v>
      </c>
      <c r="SA49" s="81"/>
      <c r="SB49" s="81">
        <v>49</v>
      </c>
      <c r="SC49" s="133">
        <f t="shared" si="182"/>
        <v>0.31579389656253315</v>
      </c>
      <c r="SD49" s="133">
        <f t="shared" si="183"/>
        <v>0.34282105086180303</v>
      </c>
      <c r="SE49" s="133">
        <f t="shared" si="184"/>
        <v>0.3679346701390645</v>
      </c>
      <c r="SF49" s="133">
        <f t="shared" si="419"/>
        <v>0.39921298888539941</v>
      </c>
      <c r="SG49" s="133">
        <f t="shared" si="420"/>
        <v>0.45750782932755479</v>
      </c>
      <c r="SH49" s="134">
        <f t="shared" si="421"/>
        <v>0.53272037800726701</v>
      </c>
      <c r="SI49" s="133">
        <f t="shared" si="422"/>
        <v>0.62048478732736845</v>
      </c>
      <c r="SJ49" s="133">
        <f t="shared" si="185"/>
        <v>0.71164867771232532</v>
      </c>
      <c r="SK49" s="133">
        <f t="shared" si="186"/>
        <v>0.77268937849788288</v>
      </c>
      <c r="SL49" s="133">
        <f t="shared" si="187"/>
        <v>0.82991652962661688</v>
      </c>
      <c r="SM49" s="133">
        <f t="shared" si="188"/>
        <v>0.90188093832453997</v>
      </c>
      <c r="SN49" s="81"/>
      <c r="SO49" s="81">
        <v>47</v>
      </c>
      <c r="SP49" s="133">
        <f t="shared" si="189"/>
        <v>0.24299682774465439</v>
      </c>
      <c r="SQ49" s="133">
        <f t="shared" si="190"/>
        <v>0.25907632867386809</v>
      </c>
      <c r="SR49" s="133">
        <f t="shared" si="191"/>
        <v>0.27352999961206026</v>
      </c>
      <c r="SS49" s="133">
        <f t="shared" si="423"/>
        <v>0.29093240872740705</v>
      </c>
      <c r="ST49" s="133">
        <f t="shared" si="424"/>
        <v>0.32178661624517801</v>
      </c>
      <c r="SU49" s="134">
        <f t="shared" si="425"/>
        <v>0.35898776735160876</v>
      </c>
      <c r="SV49" s="133">
        <f t="shared" si="426"/>
        <v>0.39931132688447746</v>
      </c>
      <c r="SW49" s="133">
        <f t="shared" si="192"/>
        <v>0.43828508055386101</v>
      </c>
      <c r="SX49" s="133">
        <f t="shared" si="193"/>
        <v>0.46296979594007032</v>
      </c>
      <c r="SY49" s="133">
        <f t="shared" si="194"/>
        <v>0.48520837569175618</v>
      </c>
      <c r="SZ49" s="133">
        <f t="shared" si="195"/>
        <v>0.51205811261026091</v>
      </c>
      <c r="TA49" s="81"/>
      <c r="TB49" s="81">
        <v>47</v>
      </c>
      <c r="TC49" s="133">
        <f t="shared" si="196"/>
        <v>0.26177117056831278</v>
      </c>
      <c r="TD49" s="133">
        <f t="shared" si="197"/>
        <v>0.27785148599219495</v>
      </c>
      <c r="TE49" s="133">
        <f t="shared" si="198"/>
        <v>0.29232602355319182</v>
      </c>
      <c r="TF49" s="133">
        <f t="shared" si="427"/>
        <v>0.30978164907300776</v>
      </c>
      <c r="TG49" s="133">
        <f t="shared" si="428"/>
        <v>0.34081326933874445</v>
      </c>
      <c r="TH49" s="134">
        <f t="shared" si="429"/>
        <v>0.37838241761439884</v>
      </c>
      <c r="TI49" s="133">
        <f t="shared" si="430"/>
        <v>0.4193086444530848</v>
      </c>
      <c r="TJ49" s="133">
        <f t="shared" si="199"/>
        <v>0.45907517972279438</v>
      </c>
      <c r="TK49" s="133">
        <f t="shared" si="200"/>
        <v>0.4843713229217429</v>
      </c>
      <c r="TL49" s="133">
        <f t="shared" si="201"/>
        <v>0.50723408068625986</v>
      </c>
      <c r="TM49" s="133">
        <f t="shared" si="202"/>
        <v>0.53493048014549571</v>
      </c>
      <c r="TN49" s="81"/>
      <c r="TO49" s="81">
        <v>49</v>
      </c>
      <c r="TP49" s="133">
        <f t="shared" si="203"/>
        <v>0.24049717403811777</v>
      </c>
      <c r="TQ49" s="133">
        <f t="shared" si="204"/>
        <v>0.2558392104033424</v>
      </c>
      <c r="TR49" s="133">
        <f t="shared" si="205"/>
        <v>0.26946291202362682</v>
      </c>
      <c r="TS49" s="133">
        <f t="shared" si="431"/>
        <v>0.28566580619278958</v>
      </c>
      <c r="TT49" s="133">
        <f t="shared" si="432"/>
        <v>0.31388670315959377</v>
      </c>
      <c r="TU49" s="134">
        <f t="shared" si="433"/>
        <v>0.34711623110535222</v>
      </c>
      <c r="TV49" s="133">
        <f t="shared" si="434"/>
        <v>0.38223974102207808</v>
      </c>
      <c r="TW49" s="133">
        <f t="shared" si="206"/>
        <v>0.41538316203050807</v>
      </c>
      <c r="TX49" s="133">
        <f t="shared" si="207"/>
        <v>0.43599779697319013</v>
      </c>
      <c r="TY49" s="133">
        <f t="shared" si="208"/>
        <v>0.45433438028525958</v>
      </c>
      <c r="TZ49" s="133">
        <f t="shared" si="209"/>
        <v>0.47619088688017935</v>
      </c>
      <c r="UA49" s="81"/>
      <c r="UB49" s="81">
        <v>47</v>
      </c>
      <c r="UC49" s="133">
        <f t="shared" si="210"/>
        <v>-18.522264173208029</v>
      </c>
      <c r="UD49" s="133">
        <f t="shared" si="211"/>
        <v>-15.149225511136109</v>
      </c>
      <c r="UE49" s="133">
        <f t="shared" si="212"/>
        <v>-12.324789361467069</v>
      </c>
      <c r="UF49" s="133">
        <f t="shared" si="435"/>
        <v>-9.1467398865393363</v>
      </c>
      <c r="UG49" s="133">
        <f t="shared" si="436"/>
        <v>-4.009694634527122</v>
      </c>
      <c r="UH49" s="134">
        <f t="shared" si="437"/>
        <v>1.5065924075763064</v>
      </c>
      <c r="UI49" s="133">
        <f t="shared" si="438"/>
        <v>6.8340880267717097</v>
      </c>
      <c r="UJ49" s="133">
        <f t="shared" si="213"/>
        <v>11.474199031456962</v>
      </c>
      <c r="UK49" s="133">
        <f t="shared" si="214"/>
        <v>14.19888256553493</v>
      </c>
      <c r="UL49" s="133">
        <f t="shared" si="215"/>
        <v>16.530214577711718</v>
      </c>
      <c r="UM49" s="133">
        <f t="shared" si="216"/>
        <v>19.205774141381127</v>
      </c>
      <c r="UN49" s="81"/>
      <c r="UO49" s="81">
        <v>47</v>
      </c>
      <c r="UP49" s="133">
        <f t="shared" si="217"/>
        <v>-14.359775916994817</v>
      </c>
      <c r="UQ49" s="133">
        <f t="shared" si="218"/>
        <v>-11.543538697360635</v>
      </c>
      <c r="UR49" s="133">
        <f t="shared" si="219"/>
        <v>-9.1271062698254077</v>
      </c>
      <c r="US49" s="133">
        <f t="shared" si="439"/>
        <v>-6.3469084465865677</v>
      </c>
      <c r="UT49" s="133">
        <f t="shared" si="440"/>
        <v>-1.7212170541462726</v>
      </c>
      <c r="UU49" s="134">
        <f t="shared" si="441"/>
        <v>3.4189851397633717</v>
      </c>
      <c r="UV49" s="133">
        <f t="shared" si="442"/>
        <v>8.545058599055821</v>
      </c>
      <c r="UW49" s="133">
        <f t="shared" si="220"/>
        <v>13.13356541038209</v>
      </c>
      <c r="UX49" s="133">
        <f t="shared" si="221"/>
        <v>15.87983937280142</v>
      </c>
      <c r="UY49" s="133">
        <f t="shared" si="222"/>
        <v>18.259366628761782</v>
      </c>
      <c r="UZ49" s="133">
        <f t="shared" si="223"/>
        <v>21.023369121927743</v>
      </c>
      <c r="VA49" s="81"/>
      <c r="VB49" s="81">
        <v>50</v>
      </c>
      <c r="VC49" s="133">
        <f t="shared" si="224"/>
        <v>-18.747284188227049</v>
      </c>
      <c r="VD49" s="133">
        <f t="shared" si="225"/>
        <v>-15.350782081224317</v>
      </c>
      <c r="VE49" s="133">
        <f t="shared" si="226"/>
        <v>-12.546792705280644</v>
      </c>
      <c r="VF49" s="133">
        <f t="shared" si="443"/>
        <v>-9.4306788230647669</v>
      </c>
      <c r="VG49" s="133">
        <f t="shared" si="444"/>
        <v>-4.4708283136212899</v>
      </c>
      <c r="VH49" s="134">
        <f t="shared" si="445"/>
        <v>0.76274367682256639</v>
      </c>
      <c r="VI49" s="133">
        <f t="shared" si="446"/>
        <v>5.7384026372166232</v>
      </c>
      <c r="VJ49" s="133">
        <f t="shared" si="227"/>
        <v>10.016333845042467</v>
      </c>
      <c r="VK49" s="133">
        <f t="shared" si="228"/>
        <v>12.506307068752562</v>
      </c>
      <c r="VL49" s="133">
        <f t="shared" si="229"/>
        <v>14.624696472125734</v>
      </c>
      <c r="VM49" s="133">
        <f t="shared" si="230"/>
        <v>17.042770061512911</v>
      </c>
      <c r="VN49" s="81"/>
      <c r="VO49" s="81">
        <v>47</v>
      </c>
      <c r="VP49" s="133">
        <f t="shared" si="231"/>
        <v>-32.526223795154131</v>
      </c>
      <c r="VQ49" s="133">
        <f t="shared" si="232"/>
        <v>-27.995515975802384</v>
      </c>
      <c r="VR49" s="133">
        <f t="shared" si="233"/>
        <v>-23.826611092156043</v>
      </c>
      <c r="VS49" s="133">
        <f t="shared" si="447"/>
        <v>-18.715989748740803</v>
      </c>
      <c r="VT49" s="133">
        <f t="shared" si="448"/>
        <v>-9.4869926476211361</v>
      </c>
      <c r="VU49" s="134">
        <f t="shared" si="449"/>
        <v>1.8013620454483146</v>
      </c>
      <c r="VV49" s="133">
        <f t="shared" si="450"/>
        <v>14.108092840309361</v>
      </c>
      <c r="VW49" s="133">
        <f t="shared" si="234"/>
        <v>25.988661576947813</v>
      </c>
      <c r="VX49" s="133">
        <f t="shared" si="235"/>
        <v>33.481708179802702</v>
      </c>
      <c r="VY49" s="133">
        <f t="shared" si="236"/>
        <v>40.202096777275592</v>
      </c>
      <c r="VZ49" s="133">
        <f t="shared" si="237"/>
        <v>48.270951825064209</v>
      </c>
      <c r="WA49" s="81"/>
      <c r="WB49" s="81">
        <v>47</v>
      </c>
      <c r="WC49" s="133">
        <f t="shared" si="238"/>
        <v>-27.920135888416912</v>
      </c>
      <c r="WD49" s="133">
        <f t="shared" si="239"/>
        <v>-23.466651353080483</v>
      </c>
      <c r="WE49" s="133">
        <f t="shared" si="240"/>
        <v>-19.355867085545636</v>
      </c>
      <c r="WF49" s="133">
        <f t="shared" si="451"/>
        <v>-14.303119333632935</v>
      </c>
      <c r="WG49" s="133">
        <f t="shared" si="452"/>
        <v>-5.1497882395424313</v>
      </c>
      <c r="WH49" s="134">
        <f t="shared" si="453"/>
        <v>6.0836570197840416</v>
      </c>
      <c r="WI49" s="133">
        <f t="shared" si="454"/>
        <v>18.365192912230903</v>
      </c>
      <c r="WJ49" s="133">
        <f t="shared" si="241"/>
        <v>30.24757425716593</v>
      </c>
      <c r="WK49" s="133">
        <f t="shared" si="242"/>
        <v>37.752505807759299</v>
      </c>
      <c r="WL49" s="133">
        <f t="shared" si="243"/>
        <v>44.489646292597051</v>
      </c>
      <c r="WM49" s="133">
        <f t="shared" si="244"/>
        <v>52.58541074894044</v>
      </c>
      <c r="WN49" s="81"/>
      <c r="WO49" s="81">
        <v>50</v>
      </c>
      <c r="WP49" s="133">
        <f t="shared" si="245"/>
        <v>-33.156093987647601</v>
      </c>
      <c r="WQ49" s="133">
        <f t="shared" si="246"/>
        <v>-28.572822750467353</v>
      </c>
      <c r="WR49" s="133">
        <f t="shared" si="247"/>
        <v>-24.403524424411604</v>
      </c>
      <c r="WS49" s="133">
        <f t="shared" si="455"/>
        <v>-19.349174217703556</v>
      </c>
      <c r="WT49" s="133">
        <f t="shared" si="456"/>
        <v>-10.361290698954861</v>
      </c>
      <c r="WU49" s="134">
        <f t="shared" si="457"/>
        <v>0.42401578512968285</v>
      </c>
      <c r="WV49" s="133">
        <f t="shared" si="458"/>
        <v>11.964464829374897</v>
      </c>
      <c r="WW49" s="133">
        <f t="shared" si="248"/>
        <v>22.923252824681704</v>
      </c>
      <c r="WX49" s="133">
        <f t="shared" si="249"/>
        <v>29.754468238328592</v>
      </c>
      <c r="WY49" s="133">
        <f t="shared" si="250"/>
        <v>35.833315495472895</v>
      </c>
      <c r="WZ49" s="133">
        <f t="shared" si="251"/>
        <v>43.076445220933998</v>
      </c>
      <c r="XA49" s="81"/>
      <c r="XB49" s="81">
        <v>47</v>
      </c>
      <c r="XC49" s="133">
        <f t="shared" si="252"/>
        <v>-38.062945791944742</v>
      </c>
      <c r="XD49" s="133">
        <f t="shared" si="253"/>
        <v>-33.08873986522606</v>
      </c>
      <c r="XE49" s="133">
        <f t="shared" si="254"/>
        <v>-28.592424992585826</v>
      </c>
      <c r="XF49" s="133">
        <f t="shared" si="459"/>
        <v>-23.18293645903865</v>
      </c>
      <c r="XG49" s="133">
        <f t="shared" si="460"/>
        <v>-13.676819781037842</v>
      </c>
      <c r="XH49" s="134">
        <f t="shared" si="461"/>
        <v>-2.4502439443778101</v>
      </c>
      <c r="XI49" s="133">
        <f t="shared" si="462"/>
        <v>9.3665381368768905</v>
      </c>
      <c r="XJ49" s="133">
        <f t="shared" si="255"/>
        <v>20.42185219725004</v>
      </c>
      <c r="XK49" s="133">
        <f t="shared" si="256"/>
        <v>27.239568621366622</v>
      </c>
      <c r="XL49" s="133">
        <f t="shared" si="257"/>
        <v>33.26250012650474</v>
      </c>
      <c r="XM49" s="133">
        <f t="shared" si="258"/>
        <v>40.388366735154101</v>
      </c>
      <c r="XN49" s="81"/>
      <c r="XO49" s="81">
        <v>47</v>
      </c>
      <c r="XP49" s="133">
        <f t="shared" si="259"/>
        <v>-30.248553342459712</v>
      </c>
      <c r="XQ49" s="133">
        <f t="shared" si="260"/>
        <v>-25.483989341883934</v>
      </c>
      <c r="XR49" s="133">
        <f t="shared" si="261"/>
        <v>-21.230232554393677</v>
      </c>
      <c r="XS49" s="133">
        <f t="shared" si="463"/>
        <v>-16.162892923147211</v>
      </c>
      <c r="XT49" s="133">
        <f t="shared" si="464"/>
        <v>-7.3578280860925318</v>
      </c>
      <c r="XU49" s="134">
        <f t="shared" si="465"/>
        <v>2.9205939304357571</v>
      </c>
      <c r="XV49" s="133">
        <f t="shared" si="466"/>
        <v>13.63604826045259</v>
      </c>
      <c r="XW49" s="133">
        <f t="shared" si="262"/>
        <v>23.586945522871567</v>
      </c>
      <c r="XX49" s="133">
        <f t="shared" si="263"/>
        <v>29.694052203937524</v>
      </c>
      <c r="XY49" s="133">
        <f t="shared" si="264"/>
        <v>35.072807689168151</v>
      </c>
      <c r="XZ49" s="133">
        <f t="shared" si="265"/>
        <v>41.418537070428108</v>
      </c>
      <c r="YA49" s="81"/>
      <c r="YB49" s="81">
        <v>50</v>
      </c>
      <c r="YC49" s="133">
        <f t="shared" si="266"/>
        <v>-39.647088724319772</v>
      </c>
      <c r="YD49" s="133">
        <f t="shared" si="267"/>
        <v>-34.694773368549562</v>
      </c>
      <c r="YE49" s="133">
        <f t="shared" si="268"/>
        <v>-30.248941868231331</v>
      </c>
      <c r="YF49" s="133">
        <f t="shared" si="467"/>
        <v>-24.935271856367802</v>
      </c>
      <c r="YG49" s="133">
        <f t="shared" si="468"/>
        <v>-15.678951298403639</v>
      </c>
      <c r="YH49" s="134">
        <f t="shared" si="469"/>
        <v>-4.8607289675503296</v>
      </c>
      <c r="YI49" s="133">
        <f t="shared" si="470"/>
        <v>6.415737614696539</v>
      </c>
      <c r="YJ49" s="133">
        <f t="shared" si="269"/>
        <v>16.878625967800154</v>
      </c>
      <c r="YK49" s="133">
        <f t="shared" si="270"/>
        <v>23.294128245683005</v>
      </c>
      <c r="YL49" s="133">
        <f t="shared" si="271"/>
        <v>28.940405010442113</v>
      </c>
      <c r="YM49" s="133">
        <f t="shared" si="272"/>
        <v>35.596574278117167</v>
      </c>
      <c r="YN49" s="81"/>
      <c r="YO49" s="81">
        <v>47</v>
      </c>
      <c r="YP49" s="133">
        <v>17.576770784696503</v>
      </c>
      <c r="YQ49" s="133">
        <v>19.65151409667228</v>
      </c>
      <c r="YR49" s="133">
        <v>21.630750537685202</v>
      </c>
      <c r="YS49" s="133">
        <v>24.161333501893925</v>
      </c>
      <c r="YT49" s="133">
        <v>29.05866448682465</v>
      </c>
      <c r="YU49" s="134">
        <v>35.695658687500533</v>
      </c>
      <c r="YV49" s="133">
        <v>43.848541274574131</v>
      </c>
      <c r="YW49" s="133">
        <v>52.736329682906543</v>
      </c>
      <c r="YX49" s="133">
        <v>58.905956449113958</v>
      </c>
      <c r="YY49" s="133">
        <v>64.83877236463411</v>
      </c>
      <c r="YZ49" s="133">
        <v>72.492272030077217</v>
      </c>
      <c r="ZA49" s="81"/>
      <c r="ZB49" s="81">
        <v>47</v>
      </c>
      <c r="ZC49" s="133">
        <v>14.342147017600837</v>
      </c>
      <c r="ZD49" s="133">
        <v>16.217907133936677</v>
      </c>
      <c r="ZE49" s="133">
        <v>18.026235393216698</v>
      </c>
      <c r="ZF49" s="133">
        <v>20.362759993989403</v>
      </c>
      <c r="ZG49" s="133">
        <v>24.953755863501264</v>
      </c>
      <c r="ZH49" s="134">
        <v>31.300659534459452</v>
      </c>
      <c r="ZI49" s="133">
        <v>39.261876755200454</v>
      </c>
      <c r="ZJ49" s="133">
        <v>48.113874915843454</v>
      </c>
      <c r="ZK49" s="133">
        <v>54.350299212270436</v>
      </c>
      <c r="ZL49" s="133">
        <v>60.410463520414226</v>
      </c>
      <c r="ZM49" s="133">
        <v>68.311340421333725</v>
      </c>
      <c r="ZN49" s="81"/>
      <c r="ZO49" s="81">
        <v>50</v>
      </c>
      <c r="ZP49" s="133">
        <v>20.772045429509227</v>
      </c>
      <c r="ZQ49" s="133">
        <v>22.853859237002652</v>
      </c>
      <c r="ZR49" s="133">
        <v>24.810460765375144</v>
      </c>
      <c r="ZS49" s="133">
        <v>27.275089512132261</v>
      </c>
      <c r="ZT49" s="133">
        <v>31.943357346388357</v>
      </c>
      <c r="ZU49" s="134">
        <v>38.09408208690197</v>
      </c>
      <c r="ZV49" s="133">
        <v>45.42913489986362</v>
      </c>
      <c r="ZW49" s="133">
        <v>53.204558298447914</v>
      </c>
      <c r="ZX49" s="133">
        <v>58.489808140477081</v>
      </c>
      <c r="ZY49" s="133">
        <v>63.497332113346374</v>
      </c>
      <c r="ZZ49" s="133">
        <v>69.861155222685852</v>
      </c>
      <c r="AAA49" s="81"/>
      <c r="AAB49" s="81">
        <v>47</v>
      </c>
      <c r="AAC49" s="133">
        <v>9.5694896850967766</v>
      </c>
      <c r="AAD49" s="133">
        <v>10.61864684531756</v>
      </c>
      <c r="AAE49" s="133">
        <v>11.61252753573765</v>
      </c>
      <c r="AAF49" s="133">
        <v>12.87440303540007</v>
      </c>
      <c r="AAG49" s="133">
        <v>15.291919351156258</v>
      </c>
      <c r="AAH49" s="134">
        <v>18.525111514236599</v>
      </c>
      <c r="AAI49" s="133">
        <v>22.441902074833578</v>
      </c>
      <c r="AAJ49" s="133">
        <v>26.655974313626658</v>
      </c>
      <c r="AAK49" s="133">
        <v>29.552546210010064</v>
      </c>
      <c r="AAL49" s="133">
        <v>32.318595920367301</v>
      </c>
      <c r="AAM49" s="133">
        <v>35.86186598323615</v>
      </c>
      <c r="AAN49" s="81"/>
      <c r="AAO49" s="81">
        <v>47</v>
      </c>
      <c r="AAP49" s="133">
        <v>8.6767534901989016</v>
      </c>
      <c r="AAQ49" s="133">
        <v>9.7374175893633854</v>
      </c>
      <c r="AAR49" s="133">
        <v>10.752783888646112</v>
      </c>
      <c r="AAS49" s="133">
        <v>12.055525012119393</v>
      </c>
      <c r="AAT49" s="133">
        <v>14.589368225322778</v>
      </c>
      <c r="AAU49" s="134">
        <v>18.045990897123545</v>
      </c>
      <c r="AAV49" s="133">
        <v>22.321582568175995</v>
      </c>
      <c r="AAW49" s="133">
        <v>27.013156800030082</v>
      </c>
      <c r="AAX49" s="133">
        <v>30.285904639349116</v>
      </c>
      <c r="AAY49" s="133">
        <v>33.443958264129087</v>
      </c>
      <c r="AAZ49" s="133">
        <v>37.532216148231321</v>
      </c>
      <c r="ABA49" s="81"/>
      <c r="ABB49" s="81">
        <v>50</v>
      </c>
      <c r="ABC49" s="133">
        <v>10.362229199170576</v>
      </c>
      <c r="ABD49" s="133">
        <v>11.389167906441759</v>
      </c>
      <c r="ABE49" s="133">
        <v>12.353430558657733</v>
      </c>
      <c r="ABF49" s="133">
        <v>13.566916871313321</v>
      </c>
      <c r="ABG49" s="133">
        <v>15.862267263647404</v>
      </c>
      <c r="ABH49" s="134">
        <v>18.881141944818278</v>
      </c>
      <c r="ABI49" s="133">
        <v>22.474562760481589</v>
      </c>
      <c r="ABJ49" s="133">
        <v>26.276973944918556</v>
      </c>
      <c r="ABK49" s="133">
        <v>28.858179875429787</v>
      </c>
      <c r="ABL49" s="133">
        <v>31.301454510890093</v>
      </c>
      <c r="ABM49" s="133">
        <v>34.403554900031651</v>
      </c>
      <c r="ABN49" s="81"/>
      <c r="ABO49" s="81">
        <v>47</v>
      </c>
      <c r="ABP49" s="133">
        <f t="shared" si="273"/>
        <v>0.24952500210438705</v>
      </c>
      <c r="ABQ49" s="133">
        <f t="shared" si="274"/>
        <v>0.28206514666343441</v>
      </c>
      <c r="ABR49" s="133">
        <f t="shared" si="275"/>
        <v>0.31243628485830255</v>
      </c>
      <c r="ABS49" s="133">
        <f t="shared" si="471"/>
        <v>0.35033486264012892</v>
      </c>
      <c r="ABT49" s="133">
        <f t="shared" si="472"/>
        <v>0.4208639530040913</v>
      </c>
      <c r="ABU49" s="134">
        <f t="shared" si="473"/>
        <v>0.5110907509262459</v>
      </c>
      <c r="ABV49" s="133">
        <f t="shared" si="474"/>
        <v>0.61466021350169886</v>
      </c>
      <c r="ABW49" s="133">
        <f t="shared" si="276"/>
        <v>0.71990319727024432</v>
      </c>
      <c r="ABX49" s="133">
        <f t="shared" si="277"/>
        <v>0.78895763026035282</v>
      </c>
      <c r="ABY49" s="133">
        <f t="shared" si="278"/>
        <v>0.85265731486571517</v>
      </c>
      <c r="ABZ49" s="133">
        <f t="shared" si="279"/>
        <v>0.93134483697724313</v>
      </c>
      <c r="ACA49" s="81"/>
      <c r="ACB49" s="81">
        <v>47</v>
      </c>
      <c r="ACC49" s="133">
        <f t="shared" si="280"/>
        <v>0.29023213993223923</v>
      </c>
      <c r="ACD49" s="133">
        <f t="shared" si="281"/>
        <v>0.32206317846777316</v>
      </c>
      <c r="ACE49" s="133">
        <f t="shared" si="282"/>
        <v>0.35179382089445194</v>
      </c>
      <c r="ACF49" s="133">
        <f t="shared" si="475"/>
        <v>0.38896947480726557</v>
      </c>
      <c r="ACG49" s="133">
        <f t="shared" si="476"/>
        <v>0.4585069160926491</v>
      </c>
      <c r="ACH49" s="134">
        <f t="shared" si="477"/>
        <v>0.54834870617945841</v>
      </c>
      <c r="ACI49" s="133">
        <f t="shared" si="478"/>
        <v>0.65291292076947383</v>
      </c>
      <c r="ACJ49" s="133">
        <f t="shared" si="283"/>
        <v>0.76086721593941053</v>
      </c>
      <c r="ACK49" s="133">
        <f t="shared" si="284"/>
        <v>0.83266113004264475</v>
      </c>
      <c r="ACL49" s="133">
        <f t="shared" si="285"/>
        <v>0.89956935466963117</v>
      </c>
      <c r="ACM49" s="133">
        <f t="shared" si="286"/>
        <v>0.98312426304016087</v>
      </c>
      <c r="ACN49" s="81"/>
      <c r="ACO49" s="81">
        <v>50</v>
      </c>
      <c r="ACP49" s="133">
        <f t="shared" si="287"/>
        <v>0.23755068876395607</v>
      </c>
      <c r="ACQ49" s="133">
        <f t="shared" si="288"/>
        <v>0.27189845585761535</v>
      </c>
      <c r="ACR49" s="133">
        <f t="shared" si="289"/>
        <v>0.30335685022763431</v>
      </c>
      <c r="ACS49" s="133">
        <f t="shared" si="479"/>
        <v>0.3418356584504133</v>
      </c>
      <c r="ACT49" s="133">
        <f t="shared" si="480"/>
        <v>0.41137466006537171</v>
      </c>
      <c r="ACU49" s="134">
        <f t="shared" si="481"/>
        <v>0.49659102008642569</v>
      </c>
      <c r="ACV49" s="133">
        <f t="shared" si="482"/>
        <v>0.590103724946339</v>
      </c>
      <c r="ACW49" s="133">
        <f t="shared" si="290"/>
        <v>0.68124886593374601</v>
      </c>
      <c r="ACX49" s="133">
        <f t="shared" si="291"/>
        <v>0.73908008587348528</v>
      </c>
      <c r="ACY49" s="133">
        <f t="shared" si="292"/>
        <v>0.79121103882803867</v>
      </c>
      <c r="ACZ49" s="133">
        <f t="shared" si="293"/>
        <v>0.8541323595978273</v>
      </c>
      <c r="ADA49" s="81"/>
      <c r="ADB49" s="81">
        <v>47</v>
      </c>
      <c r="ADC49" s="133">
        <f t="shared" si="294"/>
        <v>0.20114805835518138</v>
      </c>
      <c r="ADD49" s="133">
        <f t="shared" si="295"/>
        <v>0.22150476219591184</v>
      </c>
      <c r="ADE49" s="133">
        <f t="shared" si="296"/>
        <v>0.23935757633344887</v>
      </c>
      <c r="ADF49" s="133">
        <f t="shared" si="483"/>
        <v>0.26031840725974192</v>
      </c>
      <c r="ADG49" s="133">
        <f t="shared" si="484"/>
        <v>0.29613794963050466</v>
      </c>
      <c r="ADH49" s="134">
        <f t="shared" si="485"/>
        <v>0.33724219106659231</v>
      </c>
      <c r="ADI49" s="133">
        <f t="shared" si="486"/>
        <v>0.37950754632358896</v>
      </c>
      <c r="ADJ49" s="133">
        <f t="shared" si="297"/>
        <v>0.41835542881597604</v>
      </c>
      <c r="ADK49" s="133">
        <f t="shared" si="298"/>
        <v>0.44204357456734877</v>
      </c>
      <c r="ADL49" s="133">
        <f t="shared" si="299"/>
        <v>0.46282398966035343</v>
      </c>
      <c r="ADM49" s="133">
        <f t="shared" si="300"/>
        <v>0.48725209993470736</v>
      </c>
      <c r="ADN49" s="81"/>
      <c r="ADO49" s="81">
        <v>47</v>
      </c>
      <c r="ADP49" s="133">
        <f t="shared" si="301"/>
        <v>0.22642904444506654</v>
      </c>
      <c r="ADQ49" s="133">
        <f t="shared" si="302"/>
        <v>0.24488093567504782</v>
      </c>
      <c r="ADR49" s="133">
        <f t="shared" si="303"/>
        <v>0.26120033616531185</v>
      </c>
      <c r="ADS49" s="133">
        <f t="shared" si="487"/>
        <v>0.28052390546186118</v>
      </c>
      <c r="ADT49" s="133">
        <f t="shared" si="488"/>
        <v>0.31394906001722472</v>
      </c>
      <c r="ADU49" s="134">
        <f t="shared" si="489"/>
        <v>0.35292019102452854</v>
      </c>
      <c r="ADV49" s="133">
        <f t="shared" si="490"/>
        <v>0.39365648961800265</v>
      </c>
      <c r="ADW49" s="133">
        <f t="shared" si="304"/>
        <v>0.43167304069336043</v>
      </c>
      <c r="ADX49" s="133">
        <f t="shared" si="305"/>
        <v>0.45511611269254626</v>
      </c>
      <c r="ADY49" s="133">
        <f t="shared" si="306"/>
        <v>0.4758409816446531</v>
      </c>
      <c r="ADZ49" s="133">
        <f t="shared" si="307"/>
        <v>0.5003906140657044</v>
      </c>
      <c r="AEA49" s="81"/>
      <c r="AEB49" s="81">
        <v>50</v>
      </c>
      <c r="AEC49" s="133">
        <f t="shared" si="308"/>
        <v>0.19373975595490106</v>
      </c>
      <c r="AED49" s="133">
        <f t="shared" si="309"/>
        <v>0.2155496522678487</v>
      </c>
      <c r="AEE49" s="133">
        <f t="shared" si="310"/>
        <v>0.23423654803000091</v>
      </c>
      <c r="AEF49" s="133">
        <f t="shared" si="491"/>
        <v>0.2557078154753557</v>
      </c>
      <c r="AEG49" s="133">
        <f t="shared" si="492"/>
        <v>0.29136854454375499</v>
      </c>
      <c r="AEH49" s="134">
        <f t="shared" si="493"/>
        <v>0.33091135941339073</v>
      </c>
      <c r="AEI49" s="133">
        <f t="shared" si="494"/>
        <v>0.37026559075800319</v>
      </c>
      <c r="AEJ49" s="133">
        <f t="shared" si="311"/>
        <v>0.40543121626398959</v>
      </c>
      <c r="AEK49" s="133">
        <f t="shared" si="312"/>
        <v>0.42645241523994692</v>
      </c>
      <c r="AEL49" s="133">
        <f t="shared" si="313"/>
        <v>0.4446515617627424</v>
      </c>
      <c r="AEM49" s="133">
        <f t="shared" si="314"/>
        <v>0.46577470905160689</v>
      </c>
      <c r="AEN49" s="81"/>
    </row>
    <row r="50" spans="1:820">
      <c r="A50" s="81"/>
      <c r="B50" s="81">
        <v>49</v>
      </c>
      <c r="C50" s="133">
        <f t="shared" si="0"/>
        <v>2.0632156896504674</v>
      </c>
      <c r="D50" s="133">
        <f t="shared" si="1"/>
        <v>2.480044530169955</v>
      </c>
      <c r="E50" s="133">
        <f t="shared" si="2"/>
        <v>2.9202735210469855</v>
      </c>
      <c r="F50" s="133">
        <f t="shared" si="315"/>
        <v>3.5479675637841632</v>
      </c>
      <c r="G50" s="133">
        <f t="shared" si="316"/>
        <v>4.9905217729015252</v>
      </c>
      <c r="H50" s="134">
        <f t="shared" si="317"/>
        <v>7.4998296598938259</v>
      </c>
      <c r="I50" s="133">
        <f t="shared" si="318"/>
        <v>11.649254817588471</v>
      </c>
      <c r="J50" s="133">
        <f t="shared" si="3"/>
        <v>17.871255405128931</v>
      </c>
      <c r="K50" s="133">
        <f t="shared" si="4"/>
        <v>23.497160773137782</v>
      </c>
      <c r="L50" s="133">
        <f t="shared" si="5"/>
        <v>30.143263640597667</v>
      </c>
      <c r="M50" s="133">
        <f t="shared" si="6"/>
        <v>40.882359120160736</v>
      </c>
      <c r="N50" s="81"/>
      <c r="O50" s="75">
        <v>49</v>
      </c>
      <c r="P50" s="151">
        <f t="shared" si="7"/>
        <v>2.7704365983280956</v>
      </c>
      <c r="Q50" s="151">
        <f t="shared" si="8"/>
        <v>3.1737225962882167</v>
      </c>
      <c r="R50" s="151">
        <f t="shared" si="9"/>
        <v>3.5896424086792202</v>
      </c>
      <c r="S50" s="151">
        <f t="shared" si="319"/>
        <v>4.1706008767747784</v>
      </c>
      <c r="T50" s="151">
        <f t="shared" si="320"/>
        <v>5.4763256629396455</v>
      </c>
      <c r="U50" s="134">
        <f t="shared" si="321"/>
        <v>7.7217221209640945</v>
      </c>
      <c r="V50" s="151">
        <f t="shared" si="322"/>
        <v>11.507353521752966</v>
      </c>
      <c r="W50" s="151">
        <f t="shared" si="10"/>
        <v>17.553930824381158</v>
      </c>
      <c r="X50" s="151">
        <f t="shared" si="11"/>
        <v>23.519433356236181</v>
      </c>
      <c r="Y50" s="151">
        <f t="shared" si="12"/>
        <v>31.277482838384966</v>
      </c>
      <c r="Z50" s="151">
        <f t="shared" si="13"/>
        <v>45.678751965179281</v>
      </c>
      <c r="AA50" s="81"/>
      <c r="AB50" s="75">
        <v>51</v>
      </c>
      <c r="AC50" s="151">
        <f t="shared" si="14"/>
        <v>1.7927239954040377</v>
      </c>
      <c r="AD50" s="151">
        <f t="shared" si="15"/>
        <v>2.1637909185251103</v>
      </c>
      <c r="AE50" s="151">
        <f t="shared" si="16"/>
        <v>2.5607090891887045</v>
      </c>
      <c r="AF50" s="151">
        <f t="shared" si="323"/>
        <v>3.1353239577397414</v>
      </c>
      <c r="AG50" s="151">
        <f t="shared" si="324"/>
        <v>4.4926053390191321</v>
      </c>
      <c r="AH50" s="134">
        <f t="shared" si="325"/>
        <v>6.9654490881804403</v>
      </c>
      <c r="AI50" s="151">
        <f t="shared" si="326"/>
        <v>11.331034098992042</v>
      </c>
      <c r="AJ50" s="151">
        <f t="shared" si="17"/>
        <v>18.442171076228298</v>
      </c>
      <c r="AK50" s="151">
        <f t="shared" si="18"/>
        <v>25.392917900024774</v>
      </c>
      <c r="AL50" s="151">
        <f t="shared" si="19"/>
        <v>34.18645839147915</v>
      </c>
      <c r="AM50" s="151">
        <f t="shared" si="20"/>
        <v>49.630642748323112</v>
      </c>
      <c r="AN50" s="81"/>
      <c r="AO50" s="81">
        <v>49</v>
      </c>
      <c r="AP50" s="133">
        <f t="shared" si="21"/>
        <v>1.4548384494756847</v>
      </c>
      <c r="AQ50" s="133">
        <f t="shared" si="22"/>
        <v>3.8105646860189148</v>
      </c>
      <c r="AR50" s="133">
        <f t="shared" si="23"/>
        <v>6.0807413098881034</v>
      </c>
      <c r="AS50" s="133">
        <f t="shared" si="327"/>
        <v>8.9812721928144832</v>
      </c>
      <c r="AT50" s="133">
        <f t="shared" si="328"/>
        <v>14.502689978058076</v>
      </c>
      <c r="AU50" s="134">
        <f t="shared" si="329"/>
        <v>21.676380124291892</v>
      </c>
      <c r="AV50" s="133">
        <f t="shared" si="330"/>
        <v>29.939921941429962</v>
      </c>
      <c r="AW50" s="133">
        <f t="shared" si="24"/>
        <v>38.292898955890003</v>
      </c>
      <c r="AX50" s="133">
        <f t="shared" si="25"/>
        <v>43.72991328679143</v>
      </c>
      <c r="AY50" s="133">
        <f t="shared" si="26"/>
        <v>48.708353698913811</v>
      </c>
      <c r="AZ50" s="133">
        <f t="shared" si="27"/>
        <v>54.805236785458916</v>
      </c>
      <c r="BA50" s="81"/>
      <c r="BB50" s="81">
        <v>49</v>
      </c>
      <c r="BC50" s="133">
        <f t="shared" si="28"/>
        <v>4.3540161940096391</v>
      </c>
      <c r="BD50" s="133">
        <f t="shared" si="29"/>
        <v>7.0419120551213803</v>
      </c>
      <c r="BE50" s="133">
        <f t="shared" si="30"/>
        <v>9.5391075829922016</v>
      </c>
      <c r="BF50" s="133">
        <f t="shared" si="331"/>
        <v>12.624460004878006</v>
      </c>
      <c r="BG50" s="133">
        <f t="shared" si="332"/>
        <v>18.246337592151509</v>
      </c>
      <c r="BH50" s="134">
        <f t="shared" si="333"/>
        <v>25.185567147205564</v>
      </c>
      <c r="BI50" s="133">
        <f t="shared" si="334"/>
        <v>32.806038347601962</v>
      </c>
      <c r="BJ50" s="133">
        <f t="shared" si="31"/>
        <v>40.202364279809558</v>
      </c>
      <c r="BK50" s="133">
        <f t="shared" si="32"/>
        <v>44.882927978417591</v>
      </c>
      <c r="BL50" s="133">
        <f t="shared" si="33"/>
        <v>49.089505185075915</v>
      </c>
      <c r="BM50" s="133">
        <f t="shared" si="34"/>
        <v>54.149580904210083</v>
      </c>
      <c r="BN50" s="81"/>
      <c r="BO50" s="75">
        <v>51</v>
      </c>
      <c r="BP50" s="151">
        <f t="shared" si="35"/>
        <v>4.0733707846325853</v>
      </c>
      <c r="BQ50" s="151">
        <f t="shared" si="36"/>
        <v>5.2503861022441587</v>
      </c>
      <c r="BR50" s="151">
        <f t="shared" si="37"/>
        <v>6.4833224237933615</v>
      </c>
      <c r="BS50" s="151">
        <f t="shared" si="335"/>
        <v>8.2031840902969222</v>
      </c>
      <c r="BT50" s="151">
        <f t="shared" si="336"/>
        <v>11.937225381714741</v>
      </c>
      <c r="BU50" s="134">
        <f t="shared" si="337"/>
        <v>17.71871352280796</v>
      </c>
      <c r="BV50" s="151">
        <f t="shared" si="338"/>
        <v>25.732723148975865</v>
      </c>
      <c r="BW50" s="151">
        <f t="shared" si="38"/>
        <v>35.369859663602831</v>
      </c>
      <c r="BX50" s="151">
        <f t="shared" si="39"/>
        <v>42.504291217005878</v>
      </c>
      <c r="BY50" s="151">
        <f t="shared" si="40"/>
        <v>49.651443138739758</v>
      </c>
      <c r="BZ50" s="151">
        <f t="shared" si="41"/>
        <v>59.225745822488811</v>
      </c>
      <c r="CA50" s="81"/>
      <c r="CB50" s="81">
        <v>49</v>
      </c>
      <c r="CC50" s="133">
        <f t="shared" si="42"/>
        <v>-5.1266434185696053</v>
      </c>
      <c r="CD50" s="133">
        <f t="shared" si="43"/>
        <v>-2.8451222279730999</v>
      </c>
      <c r="CE50" s="133">
        <f t="shared" si="44"/>
        <v>-0.51538889860535519</v>
      </c>
      <c r="CF50" s="133">
        <f t="shared" si="339"/>
        <v>2.5113634941558809</v>
      </c>
      <c r="CG50" s="133">
        <f t="shared" si="340"/>
        <v>8.2376639328046011</v>
      </c>
      <c r="CH50" s="134">
        <f t="shared" si="341"/>
        <v>15.459347182863191</v>
      </c>
      <c r="CI50" s="133">
        <f t="shared" si="342"/>
        <v>23.436239518072313</v>
      </c>
      <c r="CJ50" s="133">
        <f t="shared" si="45"/>
        <v>31.160252309070163</v>
      </c>
      <c r="CK50" s="133">
        <f t="shared" si="46"/>
        <v>36.025940292451281</v>
      </c>
      <c r="CL50" s="133">
        <f t="shared" si="47"/>
        <v>40.380738351454617</v>
      </c>
      <c r="CM50" s="133">
        <f t="shared" si="48"/>
        <v>45.594431349286758</v>
      </c>
      <c r="CN50" s="81"/>
      <c r="CO50" s="81">
        <v>49</v>
      </c>
      <c r="CP50" s="133">
        <f t="shared" si="49"/>
        <v>0.61040770083973239</v>
      </c>
      <c r="CQ50" s="133">
        <f t="shared" si="50"/>
        <v>3.0878678492116061</v>
      </c>
      <c r="CR50" s="133">
        <f t="shared" si="51"/>
        <v>5.39949630880984</v>
      </c>
      <c r="CS50" s="133">
        <f t="shared" si="343"/>
        <v>8.2525851522557936</v>
      </c>
      <c r="CT50" s="133">
        <f t="shared" si="344"/>
        <v>13.416998631900022</v>
      </c>
      <c r="CU50" s="134">
        <f t="shared" si="345"/>
        <v>19.709037280135792</v>
      </c>
      <c r="CV50" s="133">
        <f t="shared" si="346"/>
        <v>26.508548924200884</v>
      </c>
      <c r="CW50" s="133">
        <f t="shared" si="52"/>
        <v>33.003596446927986</v>
      </c>
      <c r="CX50" s="133">
        <f t="shared" si="53"/>
        <v>37.064511464554933</v>
      </c>
      <c r="CY50" s="133">
        <f t="shared" si="54"/>
        <v>40.683719535662149</v>
      </c>
      <c r="CZ50" s="133">
        <f t="shared" si="55"/>
        <v>45.001187664240142</v>
      </c>
      <c r="DA50" s="81"/>
      <c r="DB50" s="81">
        <v>51</v>
      </c>
      <c r="DC50" s="133">
        <f t="shared" si="56"/>
        <v>-5.4165502033173922</v>
      </c>
      <c r="DD50" s="133">
        <f t="shared" si="57"/>
        <v>-3.7637083746733668</v>
      </c>
      <c r="DE50" s="133">
        <f t="shared" si="58"/>
        <v>-1.997655074215805</v>
      </c>
      <c r="DF50" s="133">
        <f t="shared" si="347"/>
        <v>0.3940463537295722</v>
      </c>
      <c r="DG50" s="133">
        <f t="shared" si="348"/>
        <v>5.1536866029371042</v>
      </c>
      <c r="DH50" s="134">
        <f t="shared" si="349"/>
        <v>11.49094954001125</v>
      </c>
      <c r="DI50" s="133">
        <f t="shared" si="350"/>
        <v>18.824604810426035</v>
      </c>
      <c r="DJ50" s="133">
        <f t="shared" si="59"/>
        <v>26.194392122757034</v>
      </c>
      <c r="DK50" s="133">
        <f t="shared" si="60"/>
        <v>30.952908128622848</v>
      </c>
      <c r="DL50" s="133">
        <f t="shared" si="61"/>
        <v>35.279911729076915</v>
      </c>
      <c r="DM50" s="133">
        <f t="shared" si="62"/>
        <v>40.538309448914852</v>
      </c>
      <c r="DN50" s="81"/>
      <c r="DO50" s="81">
        <v>49</v>
      </c>
      <c r="DP50" s="133">
        <v>13.007718181317321</v>
      </c>
      <c r="DQ50" s="133">
        <v>14.198013322260492</v>
      </c>
      <c r="DR50" s="133">
        <v>15.308491097615327</v>
      </c>
      <c r="DS50" s="133">
        <v>16.697020097096271</v>
      </c>
      <c r="DT50" s="133">
        <v>19.299240658803225</v>
      </c>
      <c r="DU50" s="134">
        <v>22.680330563846589</v>
      </c>
      <c r="DV50" s="133">
        <v>26.65376340859892</v>
      </c>
      <c r="DW50" s="133">
        <v>30.807736440037647</v>
      </c>
      <c r="DX50" s="133">
        <v>33.602096457794175</v>
      </c>
      <c r="DY50" s="133">
        <v>36.230237485328374</v>
      </c>
      <c r="DZ50" s="133">
        <v>39.545551903497632</v>
      </c>
      <c r="EA50" s="81"/>
      <c r="EB50" s="81">
        <v>49</v>
      </c>
      <c r="EC50" s="133">
        <v>12.697081494703459</v>
      </c>
      <c r="ED50" s="133">
        <v>13.674388052599619</v>
      </c>
      <c r="EE50" s="133">
        <v>14.574882796808291</v>
      </c>
      <c r="EF50" s="133">
        <v>15.686937497243459</v>
      </c>
      <c r="EG50" s="133">
        <v>17.734061790478819</v>
      </c>
      <c r="EH50" s="134">
        <v>20.332113609689131</v>
      </c>
      <c r="EI50" s="133">
        <v>23.310781744273164</v>
      </c>
      <c r="EJ50" s="133">
        <v>26.352807481380513</v>
      </c>
      <c r="EK50" s="133">
        <v>28.363510677961266</v>
      </c>
      <c r="EL50" s="133">
        <v>30.231323131035165</v>
      </c>
      <c r="EM50" s="133">
        <v>32.558257108907434</v>
      </c>
      <c r="EN50" s="81"/>
      <c r="EO50" s="81">
        <v>51</v>
      </c>
      <c r="EP50" s="133">
        <v>14.42046756039618</v>
      </c>
      <c r="EQ50" s="133">
        <v>15.521658799180759</v>
      </c>
      <c r="ER50" s="133">
        <v>16.535769731875099</v>
      </c>
      <c r="ES50" s="133">
        <v>17.787477798817235</v>
      </c>
      <c r="ET50" s="133">
        <v>20.089948422370568</v>
      </c>
      <c r="EU50" s="134">
        <v>23.009175341171474</v>
      </c>
      <c r="EV50" s="133">
        <v>26.352588804620883</v>
      </c>
      <c r="EW50" s="133">
        <v>29.763756046176312</v>
      </c>
      <c r="EX50" s="133">
        <v>32.016782917594405</v>
      </c>
      <c r="EY50" s="133">
        <v>34.108606350032417</v>
      </c>
      <c r="EZ50" s="133">
        <v>36.713244398174588</v>
      </c>
      <c r="FA50" s="81"/>
      <c r="FB50" s="81">
        <v>49</v>
      </c>
      <c r="FC50" s="133">
        <v>8.5398658607082982</v>
      </c>
      <c r="FD50" s="133">
        <v>9.3401773616719499</v>
      </c>
      <c r="FE50" s="133">
        <v>10.088224192425484</v>
      </c>
      <c r="FF50" s="133">
        <v>11.02532855822537</v>
      </c>
      <c r="FG50" s="133">
        <v>12.786288293327001</v>
      </c>
      <c r="FH50" s="134">
        <v>15.082443326364041</v>
      </c>
      <c r="FI50" s="133">
        <v>17.790940691654992</v>
      </c>
      <c r="FJ50" s="133">
        <v>20.632500473037901</v>
      </c>
      <c r="FK50" s="133">
        <v>22.549072299937745</v>
      </c>
      <c r="FL50" s="133">
        <v>24.35500824925051</v>
      </c>
      <c r="FM50" s="133">
        <v>26.63743206314437</v>
      </c>
      <c r="FN50" s="81"/>
      <c r="FO50" s="81">
        <v>49</v>
      </c>
      <c r="FP50" s="133">
        <v>8.4636206273906769</v>
      </c>
      <c r="FQ50" s="133">
        <v>9.1464918059247147</v>
      </c>
      <c r="FR50" s="133">
        <v>9.7777056219506857</v>
      </c>
      <c r="FS50" s="133">
        <v>10.559706574695706</v>
      </c>
      <c r="FT50" s="133">
        <v>12.005874583387827</v>
      </c>
      <c r="FU50" s="134">
        <v>13.852344077441199</v>
      </c>
      <c r="FV50" s="133">
        <v>15.982795347981499</v>
      </c>
      <c r="FW50" s="133">
        <v>18.171663680470186</v>
      </c>
      <c r="FX50" s="133">
        <v>19.624996278169611</v>
      </c>
      <c r="FY50" s="133">
        <v>20.979348203813348</v>
      </c>
      <c r="FZ50" s="133">
        <v>22.672027124989288</v>
      </c>
      <c r="GA50" s="81"/>
      <c r="GB50" s="81">
        <v>51</v>
      </c>
      <c r="GC50" s="133">
        <v>9.4706169152416297</v>
      </c>
      <c r="GD50" s="133">
        <v>10.235355859335684</v>
      </c>
      <c r="GE50" s="133">
        <v>10.942284130190266</v>
      </c>
      <c r="GF50" s="133">
        <v>11.818135756830538</v>
      </c>
      <c r="GG50" s="133">
        <v>13.437994405538728</v>
      </c>
      <c r="GH50" s="134">
        <v>15.506452098078826</v>
      </c>
      <c r="GI50" s="133">
        <v>17.893299358043127</v>
      </c>
      <c r="GJ50" s="133">
        <v>20.345853323866258</v>
      </c>
      <c r="GK50" s="133">
        <v>21.974393445569611</v>
      </c>
      <c r="GL50" s="133">
        <v>23.492105206161288</v>
      </c>
      <c r="GM50" s="133">
        <v>25.389059532441092</v>
      </c>
      <c r="GN50" s="81"/>
      <c r="GO50" s="81">
        <v>49</v>
      </c>
      <c r="GP50" s="133">
        <f t="shared" si="63"/>
        <v>0.47986573206506961</v>
      </c>
      <c r="GQ50" s="133">
        <f t="shared" si="64"/>
        <v>0.51354674751353913</v>
      </c>
      <c r="GR50" s="133">
        <f t="shared" si="65"/>
        <v>0.54074445274599481</v>
      </c>
      <c r="GS50" s="133">
        <f t="shared" si="351"/>
        <v>0.57040353094916374</v>
      </c>
      <c r="GT50" s="133">
        <f t="shared" si="352"/>
        <v>0.61783721797771707</v>
      </c>
      <c r="GU50" s="134">
        <f t="shared" si="353"/>
        <v>0.66398345825894589</v>
      </c>
      <c r="GV50" s="133">
        <f t="shared" si="354"/>
        <v>0.70695640800419135</v>
      </c>
      <c r="GW50" s="133">
        <f t="shared" si="66"/>
        <v>0.74530266468150796</v>
      </c>
      <c r="GX50" s="133">
        <f t="shared" si="67"/>
        <v>0.76669965154987774</v>
      </c>
      <c r="GY50" s="133">
        <f t="shared" si="68"/>
        <v>0.78475843412725321</v>
      </c>
      <c r="GZ50" s="133">
        <f t="shared" si="69"/>
        <v>0.80521691025207576</v>
      </c>
      <c r="HA50" s="81"/>
      <c r="HB50" s="81">
        <v>49</v>
      </c>
      <c r="HC50" s="133">
        <f t="shared" si="70"/>
        <v>0.46522879738744966</v>
      </c>
      <c r="HD50" s="133">
        <f t="shared" si="71"/>
        <v>0.50158345587611175</v>
      </c>
      <c r="HE50" s="133">
        <f t="shared" si="72"/>
        <v>0.53078823361155114</v>
      </c>
      <c r="HF50" s="133">
        <f t="shared" si="355"/>
        <v>0.56251023810702161</v>
      </c>
      <c r="HG50" s="133">
        <f t="shared" si="356"/>
        <v>0.61164336055075186</v>
      </c>
      <c r="HH50" s="134">
        <f t="shared" si="357"/>
        <v>0.66196635695578854</v>
      </c>
      <c r="HI50" s="133">
        <f t="shared" si="358"/>
        <v>0.7085927527667264</v>
      </c>
      <c r="HJ50" s="133">
        <f t="shared" si="73"/>
        <v>0.7478628712740415</v>
      </c>
      <c r="HK50" s="133">
        <f t="shared" si="74"/>
        <v>0.77040773592733924</v>
      </c>
      <c r="HL50" s="133">
        <f t="shared" si="75"/>
        <v>0.78942051253309331</v>
      </c>
      <c r="HM50" s="133">
        <f t="shared" si="76"/>
        <v>0.81094494351120439</v>
      </c>
      <c r="HN50" s="81"/>
      <c r="HO50" s="81">
        <v>51</v>
      </c>
      <c r="HP50" s="83">
        <f t="shared" si="77"/>
        <v>0.49531081109952818</v>
      </c>
      <c r="HQ50" s="83">
        <f t="shared" si="78"/>
        <v>0.52670111429977706</v>
      </c>
      <c r="HR50" s="83">
        <f t="shared" si="79"/>
        <v>0.55216536706072183</v>
      </c>
      <c r="HS50" s="83">
        <f t="shared" si="359"/>
        <v>0.5800333089917874</v>
      </c>
      <c r="HT50" s="83">
        <f t="shared" si="360"/>
        <v>0.62355086313779673</v>
      </c>
      <c r="HU50" s="84">
        <f t="shared" si="361"/>
        <v>0.66847923699501188</v>
      </c>
      <c r="HV50" s="83">
        <f t="shared" si="362"/>
        <v>0.71036071197283468</v>
      </c>
      <c r="HW50" s="83">
        <f t="shared" si="80"/>
        <v>0.74578668385545166</v>
      </c>
      <c r="HX50" s="83">
        <f t="shared" si="81"/>
        <v>0.76617771149024994</v>
      </c>
      <c r="HY50" s="83">
        <f t="shared" si="82"/>
        <v>0.78340068475230673</v>
      </c>
      <c r="HZ50" s="83">
        <f t="shared" si="83"/>
        <v>0.80292559220689663</v>
      </c>
      <c r="IA50" s="81"/>
      <c r="IB50" s="81">
        <v>49</v>
      </c>
      <c r="IC50" s="83">
        <f t="shared" si="84"/>
        <v>0.32546590034998646</v>
      </c>
      <c r="ID50" s="83">
        <f t="shared" si="85"/>
        <v>0.33992375124802221</v>
      </c>
      <c r="IE50" s="83">
        <f t="shared" si="86"/>
        <v>0.35118793646036761</v>
      </c>
      <c r="IF50" s="83">
        <f t="shared" si="363"/>
        <v>0.36310331471870522</v>
      </c>
      <c r="IG50" s="83">
        <f t="shared" si="364"/>
        <v>0.38096662706405154</v>
      </c>
      <c r="IH50" s="84">
        <f t="shared" si="365"/>
        <v>0.39859757507452526</v>
      </c>
      <c r="II50" s="83">
        <f t="shared" si="366"/>
        <v>0.41439975997041356</v>
      </c>
      <c r="IJ50" s="83">
        <f t="shared" si="87"/>
        <v>0.42734919008605904</v>
      </c>
      <c r="IK50" s="83">
        <f t="shared" si="88"/>
        <v>0.43464574704969744</v>
      </c>
      <c r="IL50" s="83">
        <f t="shared" si="89"/>
        <v>0.4407252116295976</v>
      </c>
      <c r="IM50" s="83">
        <f t="shared" si="90"/>
        <v>0.44752938176825335</v>
      </c>
      <c r="IN50" s="81"/>
      <c r="IO50" s="81">
        <v>49</v>
      </c>
      <c r="IP50" s="133">
        <f t="shared" si="91"/>
        <v>0.31854085170600871</v>
      </c>
      <c r="IQ50" s="133">
        <f t="shared" si="92"/>
        <v>0.33449647080241374</v>
      </c>
      <c r="IR50" s="133">
        <f t="shared" si="93"/>
        <v>0.34680556267221274</v>
      </c>
      <c r="IS50" s="133">
        <f t="shared" si="367"/>
        <v>0.35973074207097988</v>
      </c>
      <c r="IT50" s="133">
        <f t="shared" si="368"/>
        <v>0.37895762060189364</v>
      </c>
      <c r="IU50" s="134">
        <f t="shared" si="369"/>
        <v>0.39779290569616249</v>
      </c>
      <c r="IV50" s="133">
        <f t="shared" si="370"/>
        <v>0.41457984642917395</v>
      </c>
      <c r="IW50" s="133">
        <f t="shared" si="94"/>
        <v>0.42828176035435517</v>
      </c>
      <c r="IX50" s="133">
        <f t="shared" si="95"/>
        <v>0.43598375946177043</v>
      </c>
      <c r="IY50" s="133">
        <f t="shared" si="96"/>
        <v>0.44239187684772924</v>
      </c>
      <c r="IZ50" s="133">
        <f t="shared" si="97"/>
        <v>0.44955477674413852</v>
      </c>
      <c r="JA50" s="81"/>
      <c r="JB50" s="81">
        <v>51</v>
      </c>
      <c r="JC50" s="133">
        <f t="shared" si="98"/>
        <v>0.33260254251890792</v>
      </c>
      <c r="JD50" s="133">
        <f t="shared" si="99"/>
        <v>0.34576634868953493</v>
      </c>
      <c r="JE50" s="133">
        <f t="shared" si="100"/>
        <v>0.35611178314188741</v>
      </c>
      <c r="JF50" s="133">
        <f t="shared" si="371"/>
        <v>0.36712830744486596</v>
      </c>
      <c r="JG50" s="133">
        <f t="shared" si="372"/>
        <v>0.3837633398224975</v>
      </c>
      <c r="JH50" s="134">
        <f t="shared" si="373"/>
        <v>0.40029838134412082</v>
      </c>
      <c r="JI50" s="133">
        <f t="shared" si="374"/>
        <v>0.41519881772519551</v>
      </c>
      <c r="JJ50" s="133">
        <f t="shared" si="101"/>
        <v>0.42745679865251202</v>
      </c>
      <c r="JK50" s="133">
        <f t="shared" si="102"/>
        <v>0.43438020137131067</v>
      </c>
      <c r="JL50" s="133">
        <f t="shared" si="103"/>
        <v>0.44015696759320549</v>
      </c>
      <c r="JM50" s="133">
        <f t="shared" si="104"/>
        <v>0.44663057817315116</v>
      </c>
      <c r="JN50" s="81"/>
      <c r="JO50" s="81">
        <v>48</v>
      </c>
      <c r="JP50" s="133">
        <f t="shared" si="105"/>
        <v>-3.2064472492971525</v>
      </c>
      <c r="JQ50" s="133">
        <f t="shared" si="106"/>
        <v>-1.7533973872563529</v>
      </c>
      <c r="JR50" s="133">
        <f t="shared" si="107"/>
        <v>-0.48799901512125388</v>
      </c>
      <c r="JS50" s="133">
        <f t="shared" si="375"/>
        <v>0.98813759200418971</v>
      </c>
      <c r="JT50" s="133">
        <f t="shared" si="376"/>
        <v>3.4895268761042928</v>
      </c>
      <c r="JU50" s="134">
        <f t="shared" si="377"/>
        <v>6.3314526832970195</v>
      </c>
      <c r="JV50" s="133">
        <f t="shared" si="378"/>
        <v>9.2264293578053653</v>
      </c>
      <c r="JW50" s="133">
        <f t="shared" si="108"/>
        <v>11.866155051062517</v>
      </c>
      <c r="JX50" s="133">
        <f t="shared" si="109"/>
        <v>13.466841438020591</v>
      </c>
      <c r="JY50" s="133">
        <f t="shared" si="110"/>
        <v>14.865896145099608</v>
      </c>
      <c r="JZ50" s="133">
        <f t="shared" si="111"/>
        <v>16.504747559065532</v>
      </c>
      <c r="KA50" s="81"/>
      <c r="KB50" s="81">
        <v>48</v>
      </c>
      <c r="KC50" s="133">
        <f t="shared" si="112"/>
        <v>-1.6462594886747297</v>
      </c>
      <c r="KD50" s="133">
        <f t="shared" si="113"/>
        <v>-0.33174845311424939</v>
      </c>
      <c r="KE50" s="133">
        <f t="shared" si="114"/>
        <v>0.83799142715069763</v>
      </c>
      <c r="KF50" s="133">
        <f t="shared" si="379"/>
        <v>2.2299081719459615</v>
      </c>
      <c r="KG50" s="133">
        <f t="shared" si="380"/>
        <v>4.6506410540491867</v>
      </c>
      <c r="KH50" s="134">
        <f t="shared" si="381"/>
        <v>7.4870719759974538</v>
      </c>
      <c r="KI50" s="133">
        <f t="shared" si="382"/>
        <v>10.461463289919363</v>
      </c>
      <c r="KJ50" s="133">
        <f t="shared" si="115"/>
        <v>13.241724429701145</v>
      </c>
      <c r="KK50" s="133">
        <f t="shared" si="116"/>
        <v>14.957068867152964</v>
      </c>
      <c r="KL50" s="133">
        <f t="shared" si="117"/>
        <v>16.473602345230759</v>
      </c>
      <c r="KM50" s="133">
        <f t="shared" si="118"/>
        <v>18.269727757756684</v>
      </c>
      <c r="KN50" s="81"/>
      <c r="KO50" s="81">
        <v>50</v>
      </c>
      <c r="KP50" s="133">
        <f t="shared" si="119"/>
        <v>-3.2808988491419804</v>
      </c>
      <c r="KQ50" s="133">
        <f t="shared" si="120"/>
        <v>-1.8688826606790343</v>
      </c>
      <c r="KR50" s="133">
        <f t="shared" si="121"/>
        <v>-0.65947536111410798</v>
      </c>
      <c r="KS50" s="133">
        <f t="shared" si="383"/>
        <v>0.72957370939525035</v>
      </c>
      <c r="KT50" s="133">
        <f t="shared" si="384"/>
        <v>3.0351117227930438</v>
      </c>
      <c r="KU50" s="134">
        <f t="shared" si="385"/>
        <v>5.5893305770912178</v>
      </c>
      <c r="KV50" s="133">
        <f t="shared" si="386"/>
        <v>8.1288881815834522</v>
      </c>
      <c r="KW50" s="133">
        <f t="shared" si="122"/>
        <v>10.396056125579094</v>
      </c>
      <c r="KX50" s="133">
        <f t="shared" si="123"/>
        <v>11.750382828802625</v>
      </c>
      <c r="KY50" s="133">
        <f t="shared" si="124"/>
        <v>12.922337389594478</v>
      </c>
      <c r="KZ50" s="133">
        <f t="shared" si="125"/>
        <v>14.281947363733824</v>
      </c>
      <c r="LA50" s="81"/>
      <c r="LB50" s="81">
        <v>48</v>
      </c>
      <c r="LC50" s="133">
        <f t="shared" si="126"/>
        <v>-7.4064906105868857</v>
      </c>
      <c r="LD50" s="133">
        <f t="shared" si="127"/>
        <v>-3.7058601092126011</v>
      </c>
      <c r="LE50" s="133">
        <f t="shared" si="128"/>
        <v>-0.45157543725384386</v>
      </c>
      <c r="LF50" s="133">
        <f t="shared" si="387"/>
        <v>3.3775269722316779</v>
      </c>
      <c r="LG50" s="133">
        <f t="shared" si="388"/>
        <v>9.9365517420264382</v>
      </c>
      <c r="LH50" s="134">
        <f t="shared" si="389"/>
        <v>17.480124567512703</v>
      </c>
      <c r="LI50" s="133">
        <f t="shared" si="390"/>
        <v>25.248885415905946</v>
      </c>
      <c r="LJ50" s="133">
        <f t="shared" si="129"/>
        <v>32.396248228508149</v>
      </c>
      <c r="LK50" s="133">
        <f t="shared" si="130"/>
        <v>36.756506762257551</v>
      </c>
      <c r="LL50" s="133">
        <f t="shared" si="131"/>
        <v>40.582383977011155</v>
      </c>
      <c r="LM50" s="133">
        <f t="shared" si="132"/>
        <v>45.080509350813593</v>
      </c>
      <c r="LN50" s="81"/>
      <c r="LO50" s="81">
        <v>48</v>
      </c>
      <c r="LP50" s="133">
        <f t="shared" si="133"/>
        <v>-3.2338664250565863</v>
      </c>
      <c r="LQ50" s="133">
        <f t="shared" si="134"/>
        <v>0.43526148298215972</v>
      </c>
      <c r="LR50" s="133">
        <f t="shared" si="135"/>
        <v>3.6718725659445717</v>
      </c>
      <c r="LS50" s="133">
        <f t="shared" si="391"/>
        <v>7.4910952547244172</v>
      </c>
      <c r="LT50" s="133">
        <f t="shared" si="392"/>
        <v>14.057806545433532</v>
      </c>
      <c r="LU50" s="134">
        <f t="shared" si="393"/>
        <v>21.644096519406194</v>
      </c>
      <c r="LV50" s="133">
        <f t="shared" si="394"/>
        <v>29.489931315495742</v>
      </c>
      <c r="LW50" s="133">
        <f t="shared" si="136"/>
        <v>36.73443988312745</v>
      </c>
      <c r="LX50" s="133">
        <f t="shared" si="137"/>
        <v>41.165198529240584</v>
      </c>
      <c r="LY50" s="133">
        <f t="shared" si="138"/>
        <v>45.059482226146599</v>
      </c>
      <c r="LZ50" s="133">
        <f t="shared" si="139"/>
        <v>49.645456090996746</v>
      </c>
      <c r="MA50" s="81"/>
      <c r="MB50" s="81">
        <v>50</v>
      </c>
      <c r="MC50" s="133">
        <f t="shared" si="140"/>
        <v>-6.7367156192580921</v>
      </c>
      <c r="MD50" s="133">
        <f t="shared" si="141"/>
        <v>-3.4687778107585245</v>
      </c>
      <c r="ME50" s="133">
        <f t="shared" si="142"/>
        <v>-0.62531498764968774</v>
      </c>
      <c r="MF50" s="133">
        <f t="shared" si="395"/>
        <v>2.6881835100659615</v>
      </c>
      <c r="MG50" s="133">
        <f t="shared" si="396"/>
        <v>8.2931990880416251</v>
      </c>
      <c r="MH50" s="134">
        <f t="shared" si="397"/>
        <v>14.644804386045358</v>
      </c>
      <c r="MI50" s="133">
        <f t="shared" si="398"/>
        <v>21.09614544021867</v>
      </c>
      <c r="MJ50" s="133">
        <f t="shared" si="143"/>
        <v>26.961965755747222</v>
      </c>
      <c r="MK50" s="133">
        <f t="shared" si="144"/>
        <v>30.511210273099486</v>
      </c>
      <c r="ML50" s="133">
        <f t="shared" si="145"/>
        <v>33.608678451019152</v>
      </c>
      <c r="MM50" s="133">
        <f t="shared" si="146"/>
        <v>37.231560043599991</v>
      </c>
      <c r="MN50" s="81"/>
      <c r="MO50" s="81">
        <v>48</v>
      </c>
      <c r="MP50" s="133">
        <f t="shared" si="147"/>
        <v>-13.819129772509818</v>
      </c>
      <c r="MQ50" s="133">
        <f t="shared" si="148"/>
        <v>-9.5815083132020149</v>
      </c>
      <c r="MR50" s="133">
        <f t="shared" si="149"/>
        <v>-5.9199057286940224</v>
      </c>
      <c r="MS50" s="133">
        <f t="shared" si="399"/>
        <v>-1.6811647542914869</v>
      </c>
      <c r="MT50" s="133">
        <f t="shared" si="400"/>
        <v>5.425418982033932</v>
      </c>
      <c r="MU50" s="134">
        <f t="shared" si="401"/>
        <v>13.391437930103571</v>
      </c>
      <c r="MV50" s="133">
        <f t="shared" si="402"/>
        <v>21.398122146056146</v>
      </c>
      <c r="MW50" s="133">
        <f t="shared" si="150"/>
        <v>28.611885657725061</v>
      </c>
      <c r="MX50" s="133">
        <f t="shared" si="151"/>
        <v>32.948622582342075</v>
      </c>
      <c r="MY50" s="133">
        <f t="shared" si="152"/>
        <v>36.717094678732316</v>
      </c>
      <c r="MZ50" s="133">
        <f t="shared" si="153"/>
        <v>41.106511373388422</v>
      </c>
      <c r="NA50" s="81"/>
      <c r="NB50" s="81">
        <v>48</v>
      </c>
      <c r="NC50" s="133">
        <f t="shared" si="154"/>
        <v>-6.3612496081065224</v>
      </c>
      <c r="ND50" s="133">
        <f t="shared" si="155"/>
        <v>-2.5328378697558307</v>
      </c>
      <c r="NE50" s="133">
        <f t="shared" si="156"/>
        <v>0.78038930276742491</v>
      </c>
      <c r="NF50" s="133">
        <f t="shared" si="403"/>
        <v>4.6212035583638134</v>
      </c>
      <c r="NG50" s="133">
        <f t="shared" si="404"/>
        <v>11.071987257089891</v>
      </c>
      <c r="NH50" s="134">
        <f t="shared" si="405"/>
        <v>18.3175417447321</v>
      </c>
      <c r="NI50" s="133">
        <f t="shared" si="406"/>
        <v>25.613508023792786</v>
      </c>
      <c r="NJ50" s="133">
        <f t="shared" si="157"/>
        <v>32.197042785745239</v>
      </c>
      <c r="NK50" s="133">
        <f t="shared" si="158"/>
        <v>36.159075793840614</v>
      </c>
      <c r="NL50" s="133">
        <f t="shared" si="159"/>
        <v>39.604313454405954</v>
      </c>
      <c r="NM50" s="133">
        <f t="shared" si="160"/>
        <v>43.619867427624413</v>
      </c>
      <c r="NN50" s="81"/>
      <c r="NO50" s="81">
        <v>50</v>
      </c>
      <c r="NP50" s="133">
        <f t="shared" si="161"/>
        <v>-14.907885168267534</v>
      </c>
      <c r="NQ50" s="133">
        <f t="shared" si="162"/>
        <v>-11.101795849855463</v>
      </c>
      <c r="NR50" s="133">
        <f t="shared" si="163"/>
        <v>-7.8260926541179359</v>
      </c>
      <c r="NS50" s="133">
        <f t="shared" si="407"/>
        <v>-4.0471368336512157</v>
      </c>
      <c r="NT50" s="133">
        <f t="shared" si="408"/>
        <v>2.2615532866627461</v>
      </c>
      <c r="NU50" s="134">
        <f t="shared" si="409"/>
        <v>9.2991312489616504</v>
      </c>
      <c r="NV50" s="133">
        <f t="shared" si="410"/>
        <v>16.342082484777727</v>
      </c>
      <c r="NW50" s="133">
        <f t="shared" si="164"/>
        <v>22.664937507088574</v>
      </c>
      <c r="NX50" s="133">
        <f t="shared" si="165"/>
        <v>26.456847871757439</v>
      </c>
      <c r="NY50" s="133">
        <f t="shared" si="166"/>
        <v>29.746682062903623</v>
      </c>
      <c r="NZ50" s="133">
        <f t="shared" si="167"/>
        <v>33.572848165204455</v>
      </c>
      <c r="OA50" s="81"/>
      <c r="OB50" s="81">
        <v>48</v>
      </c>
      <c r="OC50" s="133">
        <v>14.05545543590687</v>
      </c>
      <c r="OD50" s="133">
        <v>15.465125844554787</v>
      </c>
      <c r="OE50" s="133">
        <v>16.790090530142713</v>
      </c>
      <c r="OF50" s="133">
        <v>18.459180068042816</v>
      </c>
      <c r="OG50" s="133">
        <v>21.620887333759502</v>
      </c>
      <c r="OH50" s="134">
        <v>25.787102950327796</v>
      </c>
      <c r="OI50" s="133">
        <v>30.756123386873817</v>
      </c>
      <c r="OJ50" s="133">
        <v>36.024063697283729</v>
      </c>
      <c r="OK50" s="133">
        <v>39.605187201164682</v>
      </c>
      <c r="OL50" s="133">
        <v>42.998336079168702</v>
      </c>
      <c r="OM50" s="133">
        <v>47.310788441050597</v>
      </c>
      <c r="ON50" s="81"/>
      <c r="OO50" s="81">
        <v>48</v>
      </c>
      <c r="OP50" s="133">
        <v>12.904760996216003</v>
      </c>
      <c r="OQ50" s="133">
        <v>14.016444093190122</v>
      </c>
      <c r="OR50" s="133">
        <v>15.048851771109341</v>
      </c>
      <c r="OS50" s="133">
        <v>16.333880025951103</v>
      </c>
      <c r="OT50" s="133">
        <v>25.07907740570321</v>
      </c>
      <c r="OU50" s="134">
        <v>21.808177641046274</v>
      </c>
      <c r="OV50" s="133">
        <v>25.39718914523112</v>
      </c>
      <c r="OW50" s="133">
        <v>29.117185339172782</v>
      </c>
      <c r="OX50" s="133">
        <v>31.603514956302323</v>
      </c>
      <c r="OY50" s="133">
        <v>33.931331574639465</v>
      </c>
      <c r="OZ50" s="133">
        <v>36.854352603886838</v>
      </c>
      <c r="PA50" s="81"/>
      <c r="PB50" s="81">
        <v>50</v>
      </c>
      <c r="PC50" s="133">
        <v>17.971941463781732</v>
      </c>
      <c r="PD50" s="133">
        <v>19.330134563491235</v>
      </c>
      <c r="PE50" s="133">
        <v>20.580071637703416</v>
      </c>
      <c r="PF50" s="133">
        <v>22.121807625990048</v>
      </c>
      <c r="PG50" s="133">
        <v>24.9549981040925</v>
      </c>
      <c r="PH50" s="134">
        <v>28.542486425152045</v>
      </c>
      <c r="PI50" s="133">
        <v>32.645705999728605</v>
      </c>
      <c r="PJ50" s="133">
        <v>36.826716202561151</v>
      </c>
      <c r="PK50" s="133">
        <v>39.585553717776101</v>
      </c>
      <c r="PL50" s="133">
        <v>42.145259188658734</v>
      </c>
      <c r="PM50" s="133">
        <v>45.330301847008236</v>
      </c>
      <c r="PN50" s="81"/>
      <c r="PO50" s="81">
        <v>48</v>
      </c>
      <c r="PP50" s="133">
        <v>8.9622864211272422</v>
      </c>
      <c r="PQ50" s="133">
        <v>9.7491973349699439</v>
      </c>
      <c r="PR50" s="133">
        <v>10.481027690416008</v>
      </c>
      <c r="PS50" s="133">
        <v>11.393219212219403</v>
      </c>
      <c r="PT50" s="133">
        <v>13.094999811300053</v>
      </c>
      <c r="PU50" s="134">
        <v>15.292996573072703</v>
      </c>
      <c r="PV50" s="133">
        <v>17.859927266451376</v>
      </c>
      <c r="PW50" s="133">
        <v>20.527626110553388</v>
      </c>
      <c r="PX50" s="133">
        <v>22.31419962737743</v>
      </c>
      <c r="PY50" s="133">
        <v>23.98923071801115</v>
      </c>
      <c r="PZ50" s="133">
        <v>26.095544506665906</v>
      </c>
      <c r="QA50" s="81"/>
      <c r="QB50" s="81">
        <v>48</v>
      </c>
      <c r="QC50" s="133">
        <v>8.7271002813547405</v>
      </c>
      <c r="QD50" s="133">
        <v>9.4906912807057413</v>
      </c>
      <c r="QE50" s="133">
        <v>10.200648631909107</v>
      </c>
      <c r="QF50" s="133">
        <v>11.085345651525596</v>
      </c>
      <c r="QG50" s="133">
        <v>12.735212889837262</v>
      </c>
      <c r="QH50" s="134">
        <v>14.865108219335525</v>
      </c>
      <c r="QI50" s="133">
        <v>17.351216998413303</v>
      </c>
      <c r="QJ50" s="133">
        <v>19.933653791133331</v>
      </c>
      <c r="QK50" s="133">
        <v>21.662489352032566</v>
      </c>
      <c r="QL50" s="133">
        <v>23.282965996563828</v>
      </c>
      <c r="QM50" s="133">
        <v>25.320144750101846</v>
      </c>
      <c r="QN50" s="81"/>
      <c r="QO50" s="81">
        <v>50</v>
      </c>
      <c r="QP50" s="133">
        <v>9.4529855177957334</v>
      </c>
      <c r="QQ50" s="133">
        <v>10.255126694397074</v>
      </c>
      <c r="QR50" s="133">
        <v>10.999245364597606</v>
      </c>
      <c r="QS50" s="133">
        <v>11.924423184910307</v>
      </c>
      <c r="QT50" s="133">
        <v>13.644192376132535</v>
      </c>
      <c r="QU50" s="134">
        <v>15.854883281660451</v>
      </c>
      <c r="QV50" s="133">
        <v>18.423759863926026</v>
      </c>
      <c r="QW50" s="133">
        <v>21.080879131594397</v>
      </c>
      <c r="QX50" s="133">
        <v>22.854051850153667</v>
      </c>
      <c r="QY50" s="133">
        <v>24.512356732990629</v>
      </c>
      <c r="QZ50" s="133">
        <v>26.592373742860946</v>
      </c>
      <c r="RA50" s="81"/>
      <c r="RB50" s="81">
        <v>48</v>
      </c>
      <c r="RC50" s="133">
        <f t="shared" si="168"/>
        <v>0.32411309261768545</v>
      </c>
      <c r="RD50" s="133">
        <f t="shared" si="169"/>
        <v>0.35297321604022341</v>
      </c>
      <c r="RE50" s="133">
        <f t="shared" si="170"/>
        <v>0.3801863688087942</v>
      </c>
      <c r="RF50" s="133">
        <f t="shared" si="411"/>
        <v>0.4146178493101168</v>
      </c>
      <c r="RG50" s="133">
        <f t="shared" si="412"/>
        <v>0.48039455080458648</v>
      </c>
      <c r="RH50" s="134">
        <f t="shared" si="413"/>
        <v>0.56836594953666675</v>
      </c>
      <c r="RI50" s="133">
        <f t="shared" si="414"/>
        <v>0.67545998833748355</v>
      </c>
      <c r="RJ50" s="133">
        <f t="shared" si="171"/>
        <v>0.79177689020948994</v>
      </c>
      <c r="RK50" s="133">
        <f t="shared" si="172"/>
        <v>0.87255231184372084</v>
      </c>
      <c r="RL50" s="133">
        <f t="shared" si="173"/>
        <v>0.95039028838611794</v>
      </c>
      <c r="RM50" s="133">
        <f t="shared" si="174"/>
        <v>1.0511729029272596</v>
      </c>
      <c r="RN50" s="81"/>
      <c r="RO50" s="81">
        <v>48</v>
      </c>
      <c r="RP50" s="133">
        <f t="shared" si="175"/>
        <v>0.35770671030148538</v>
      </c>
      <c r="RQ50" s="133">
        <f t="shared" si="176"/>
        <v>0.38836652038394431</v>
      </c>
      <c r="RR50" s="133">
        <f t="shared" si="177"/>
        <v>0.41732238354467793</v>
      </c>
      <c r="RS50" s="133">
        <f t="shared" si="415"/>
        <v>0.4540330087202753</v>
      </c>
      <c r="RT50" s="133">
        <f t="shared" si="416"/>
        <v>0.52442810162322462</v>
      </c>
      <c r="RU50" s="134">
        <f t="shared" si="417"/>
        <v>0.61918857523191828</v>
      </c>
      <c r="RV50" s="133">
        <f t="shared" si="418"/>
        <v>0.73558314330011121</v>
      </c>
      <c r="RW50" s="133">
        <f t="shared" si="178"/>
        <v>0.86335996888998456</v>
      </c>
      <c r="RX50" s="133">
        <f t="shared" si="179"/>
        <v>0.95294609433841071</v>
      </c>
      <c r="RY50" s="133">
        <f t="shared" si="180"/>
        <v>1.0399412182014118</v>
      </c>
      <c r="RZ50" s="133">
        <f t="shared" si="181"/>
        <v>1.1535539639241792</v>
      </c>
      <c r="SA50" s="81"/>
      <c r="SB50" s="81">
        <v>50</v>
      </c>
      <c r="SC50" s="133">
        <f t="shared" si="182"/>
        <v>0.32027631807596191</v>
      </c>
      <c r="SD50" s="133">
        <f t="shared" si="183"/>
        <v>0.3475666768357194</v>
      </c>
      <c r="SE50" s="133">
        <f t="shared" si="184"/>
        <v>0.37291659885449824</v>
      </c>
      <c r="SF50" s="133">
        <f t="shared" si="419"/>
        <v>0.40447892061046598</v>
      </c>
      <c r="SG50" s="133">
        <f t="shared" si="420"/>
        <v>0.46327536625252314</v>
      </c>
      <c r="SH50" s="134">
        <f t="shared" si="421"/>
        <v>0.53908801509888027</v>
      </c>
      <c r="SI50" s="133">
        <f t="shared" si="422"/>
        <v>0.62749473170170411</v>
      </c>
      <c r="SJ50" s="133">
        <f t="shared" si="185"/>
        <v>0.71926868717967818</v>
      </c>
      <c r="SK50" s="133">
        <f t="shared" si="186"/>
        <v>0.78068905603102312</v>
      </c>
      <c r="SL50" s="133">
        <f t="shared" si="187"/>
        <v>0.83825306808181244</v>
      </c>
      <c r="SM50" s="133">
        <f t="shared" si="188"/>
        <v>0.91061684191881498</v>
      </c>
      <c r="SN50" s="81"/>
      <c r="SO50" s="81">
        <v>48</v>
      </c>
      <c r="SP50" s="133">
        <f t="shared" si="189"/>
        <v>0.24523790113384125</v>
      </c>
      <c r="SQ50" s="133">
        <f t="shared" si="190"/>
        <v>0.26141769617557253</v>
      </c>
      <c r="SR50" s="133">
        <f t="shared" si="191"/>
        <v>0.27595969444901336</v>
      </c>
      <c r="SS50" s="133">
        <f t="shared" si="423"/>
        <v>0.29346632351776886</v>
      </c>
      <c r="ST50" s="133">
        <f t="shared" si="424"/>
        <v>0.32450009621307946</v>
      </c>
      <c r="SU50" s="134">
        <f t="shared" si="425"/>
        <v>0.36190984163878354</v>
      </c>
      <c r="SV50" s="133">
        <f t="shared" si="426"/>
        <v>0.40245094994193237</v>
      </c>
      <c r="SW50" s="133">
        <f t="shared" si="192"/>
        <v>0.44162753635454916</v>
      </c>
      <c r="SX50" s="133">
        <f t="shared" si="193"/>
        <v>0.46643731833796875</v>
      </c>
      <c r="SY50" s="133">
        <f t="shared" si="194"/>
        <v>0.48878648817757742</v>
      </c>
      <c r="SZ50" s="133">
        <f t="shared" si="195"/>
        <v>0.51576728065802302</v>
      </c>
      <c r="TA50" s="81"/>
      <c r="TB50" s="81">
        <v>48</v>
      </c>
      <c r="TC50" s="133">
        <f t="shared" si="196"/>
        <v>0.26410935468668006</v>
      </c>
      <c r="TD50" s="133">
        <f t="shared" si="197"/>
        <v>0.28033883212106186</v>
      </c>
      <c r="TE50" s="133">
        <f t="shared" si="198"/>
        <v>0.29494785543615731</v>
      </c>
      <c r="TF50" s="133">
        <f t="shared" si="427"/>
        <v>0.31256592302415515</v>
      </c>
      <c r="TG50" s="133">
        <f t="shared" si="428"/>
        <v>0.34388696733099733</v>
      </c>
      <c r="TH50" s="134">
        <f t="shared" si="429"/>
        <v>0.38180750958270715</v>
      </c>
      <c r="TI50" s="133">
        <f t="shared" si="430"/>
        <v>0.42311763277216702</v>
      </c>
      <c r="TJ50" s="133">
        <f t="shared" si="199"/>
        <v>0.46325816680880982</v>
      </c>
      <c r="TK50" s="133">
        <f t="shared" si="200"/>
        <v>0.48879267367719026</v>
      </c>
      <c r="TL50" s="133">
        <f t="shared" si="201"/>
        <v>0.51187114939070077</v>
      </c>
      <c r="TM50" s="133">
        <f t="shared" si="202"/>
        <v>0.53982921394484795</v>
      </c>
      <c r="TN50" s="81"/>
      <c r="TO50" s="81">
        <v>50</v>
      </c>
      <c r="TP50" s="133">
        <f t="shared" si="203"/>
        <v>0.24313014326346619</v>
      </c>
      <c r="TQ50" s="133">
        <f t="shared" si="204"/>
        <v>0.25849109400519493</v>
      </c>
      <c r="TR50" s="133">
        <f t="shared" si="205"/>
        <v>0.27212757709359514</v>
      </c>
      <c r="TS50" s="133">
        <f t="shared" si="431"/>
        <v>0.28834114529896787</v>
      </c>
      <c r="TT50" s="133">
        <f t="shared" si="432"/>
        <v>0.31656999171852801</v>
      </c>
      <c r="TU50" s="134">
        <f t="shared" si="433"/>
        <v>0.34979353850973394</v>
      </c>
      <c r="TV50" s="133">
        <f t="shared" si="434"/>
        <v>0.38489503971997935</v>
      </c>
      <c r="TW50" s="133">
        <f t="shared" si="206"/>
        <v>0.41800476297442563</v>
      </c>
      <c r="TX50" s="133">
        <f t="shared" si="207"/>
        <v>0.43859275727371078</v>
      </c>
      <c r="TY50" s="133">
        <f t="shared" si="208"/>
        <v>0.45690227188027271</v>
      </c>
      <c r="TZ50" s="133">
        <f t="shared" si="209"/>
        <v>0.47872262897126733</v>
      </c>
      <c r="UA50" s="81"/>
      <c r="UB50" s="81">
        <v>48</v>
      </c>
      <c r="UC50" s="133">
        <f t="shared" si="210"/>
        <v>-18.022927527515968</v>
      </c>
      <c r="UD50" s="133">
        <f t="shared" si="211"/>
        <v>-14.672327742403347</v>
      </c>
      <c r="UE50" s="133">
        <f t="shared" si="212"/>
        <v>-11.865469555911048</v>
      </c>
      <c r="UF50" s="133">
        <f t="shared" si="435"/>
        <v>-8.7060617337296193</v>
      </c>
      <c r="UG50" s="133">
        <f t="shared" si="436"/>
        <v>-3.5969886346617059</v>
      </c>
      <c r="UH50" s="134">
        <f t="shared" si="437"/>
        <v>1.8917198838429101</v>
      </c>
      <c r="UI50" s="133">
        <f t="shared" si="438"/>
        <v>7.1945511082178228</v>
      </c>
      <c r="UJ50" s="133">
        <f t="shared" si="213"/>
        <v>11.814492936138933</v>
      </c>
      <c r="UK50" s="133">
        <f t="shared" si="214"/>
        <v>14.52782751290367</v>
      </c>
      <c r="UL50" s="133">
        <f t="shared" si="215"/>
        <v>16.849711069184195</v>
      </c>
      <c r="UM50" s="133">
        <f t="shared" si="216"/>
        <v>19.514702562979025</v>
      </c>
      <c r="UN50" s="81"/>
      <c r="UO50" s="81">
        <v>48</v>
      </c>
      <c r="UP50" s="133">
        <f t="shared" si="217"/>
        <v>-13.875876762141804</v>
      </c>
      <c r="UQ50" s="133">
        <f t="shared" si="218"/>
        <v>-11.071266506775139</v>
      </c>
      <c r="UR50" s="133">
        <f t="shared" si="219"/>
        <v>-8.6646698381003375</v>
      </c>
      <c r="US50" s="133">
        <f t="shared" si="439"/>
        <v>-5.8956604160385275</v>
      </c>
      <c r="UT50" s="133">
        <f t="shared" si="440"/>
        <v>-1.2883461544820847</v>
      </c>
      <c r="UU50" s="134">
        <f t="shared" si="441"/>
        <v>3.8317003221001613</v>
      </c>
      <c r="UV50" s="133">
        <f t="shared" si="442"/>
        <v>8.937882335304657</v>
      </c>
      <c r="UW50" s="133">
        <f t="shared" si="220"/>
        <v>13.508721192624527</v>
      </c>
      <c r="UX50" s="133">
        <f t="shared" si="221"/>
        <v>16.244472004387909</v>
      </c>
      <c r="UY50" s="133">
        <f t="shared" si="222"/>
        <v>18.614908504069518</v>
      </c>
      <c r="UZ50" s="133">
        <f t="shared" si="223"/>
        <v>21.368379866512448</v>
      </c>
      <c r="VA50" s="81"/>
      <c r="VB50" s="81">
        <v>51</v>
      </c>
      <c r="VC50" s="133">
        <f t="shared" si="224"/>
        <v>-18.213359697542465</v>
      </c>
      <c r="VD50" s="133">
        <f t="shared" si="225"/>
        <v>-14.854159918444914</v>
      </c>
      <c r="VE50" s="133">
        <f t="shared" si="226"/>
        <v>-12.078613875335598</v>
      </c>
      <c r="VF50" s="133">
        <f t="shared" si="443"/>
        <v>-8.9919870886326336</v>
      </c>
      <c r="VG50" s="133">
        <f t="shared" si="444"/>
        <v>-4.0752023154239154</v>
      </c>
      <c r="VH50" s="134">
        <f t="shared" si="445"/>
        <v>1.1171458761536854</v>
      </c>
      <c r="VI50" s="133">
        <f t="shared" si="446"/>
        <v>6.0568584049820942</v>
      </c>
      <c r="VJ50" s="133">
        <f t="shared" si="227"/>
        <v>10.30597672026029</v>
      </c>
      <c r="VK50" s="133">
        <f t="shared" si="228"/>
        <v>12.779950011465687</v>
      </c>
      <c r="VL50" s="133">
        <f t="shared" si="229"/>
        <v>14.885129317983967</v>
      </c>
      <c r="VM50" s="133">
        <f t="shared" si="230"/>
        <v>17.288541486059273</v>
      </c>
      <c r="VN50" s="81"/>
      <c r="VO50" s="81">
        <v>48</v>
      </c>
      <c r="VP50" s="133">
        <f t="shared" si="231"/>
        <v>-31.751397547113591</v>
      </c>
      <c r="VQ50" s="133">
        <f t="shared" si="232"/>
        <v>-27.191391279080307</v>
      </c>
      <c r="VR50" s="133">
        <f t="shared" si="233"/>
        <v>-23.002223687163784</v>
      </c>
      <c r="VS50" s="133">
        <f t="shared" si="447"/>
        <v>-17.873571256577208</v>
      </c>
      <c r="VT50" s="133">
        <f t="shared" si="448"/>
        <v>-8.6264036073653045</v>
      </c>
      <c r="VU50" s="134">
        <f t="shared" si="449"/>
        <v>2.6658690749229663</v>
      </c>
      <c r="VV50" s="133">
        <f t="shared" si="450"/>
        <v>14.960510996949772</v>
      </c>
      <c r="VW50" s="133">
        <f t="shared" si="234"/>
        <v>26.817436409131723</v>
      </c>
      <c r="VX50" s="133">
        <f t="shared" si="235"/>
        <v>34.290769642108337</v>
      </c>
      <c r="VY50" s="133">
        <f t="shared" si="236"/>
        <v>40.990804967511515</v>
      </c>
      <c r="VZ50" s="133">
        <f t="shared" si="237"/>
        <v>49.032285412282555</v>
      </c>
      <c r="WA50" s="81"/>
      <c r="WB50" s="81">
        <v>48</v>
      </c>
      <c r="WC50" s="133">
        <f t="shared" si="238"/>
        <v>-27.048827109510714</v>
      </c>
      <c r="WD50" s="133">
        <f t="shared" si="239"/>
        <v>-22.562081922711233</v>
      </c>
      <c r="WE50" s="133">
        <f t="shared" si="240"/>
        <v>-18.428862558611982</v>
      </c>
      <c r="WF50" s="133">
        <f t="shared" si="451"/>
        <v>-13.356911595995413</v>
      </c>
      <c r="WG50" s="133">
        <f t="shared" si="452"/>
        <v>-4.1864322598693775</v>
      </c>
      <c r="WH50" s="134">
        <f t="shared" si="453"/>
        <v>7.0456992159425837</v>
      </c>
      <c r="WI50" s="133">
        <f t="shared" si="454"/>
        <v>19.305889940088996</v>
      </c>
      <c r="WJ50" s="133">
        <f t="shared" si="241"/>
        <v>31.153092109431448</v>
      </c>
      <c r="WK50" s="133">
        <f t="shared" si="242"/>
        <v>38.62999094564605</v>
      </c>
      <c r="WL50" s="133">
        <f t="shared" si="243"/>
        <v>45.338735038574448</v>
      </c>
      <c r="WM50" s="133">
        <f t="shared" si="244"/>
        <v>53.396827900027013</v>
      </c>
      <c r="WN50" s="81"/>
      <c r="WO50" s="81">
        <v>51</v>
      </c>
      <c r="WP50" s="133">
        <f t="shared" si="245"/>
        <v>-32.413167540978449</v>
      </c>
      <c r="WQ50" s="133">
        <f t="shared" si="246"/>
        <v>-27.812547093096235</v>
      </c>
      <c r="WR50" s="133">
        <f t="shared" si="247"/>
        <v>-23.633393728791621</v>
      </c>
      <c r="WS50" s="133">
        <f t="shared" si="455"/>
        <v>-18.572880197074113</v>
      </c>
      <c r="WT50" s="133">
        <f t="shared" si="456"/>
        <v>-9.5857270289636816</v>
      </c>
      <c r="WU50" s="134">
        <f t="shared" si="457"/>
        <v>1.1845135740935788</v>
      </c>
      <c r="WV50" s="133">
        <f t="shared" si="458"/>
        <v>12.696728937641517</v>
      </c>
      <c r="WW50" s="133">
        <f t="shared" si="248"/>
        <v>23.620170807203273</v>
      </c>
      <c r="WX50" s="133">
        <f t="shared" si="249"/>
        <v>30.426018307869221</v>
      </c>
      <c r="WY50" s="133">
        <f t="shared" si="250"/>
        <v>36.480469771185319</v>
      </c>
      <c r="WZ50" s="133">
        <f t="shared" si="251"/>
        <v>43.692558841980635</v>
      </c>
      <c r="XA50" s="81"/>
      <c r="XB50" s="81">
        <v>48</v>
      </c>
      <c r="XC50" s="133">
        <f t="shared" si="252"/>
        <v>-37.276971633562795</v>
      </c>
      <c r="XD50" s="133">
        <f t="shared" si="253"/>
        <v>-32.282027744151719</v>
      </c>
      <c r="XE50" s="133">
        <f t="shared" si="254"/>
        <v>-27.773994336977328</v>
      </c>
      <c r="XF50" s="133">
        <f t="shared" si="459"/>
        <v>-22.356641833500468</v>
      </c>
      <c r="XG50" s="133">
        <f t="shared" si="460"/>
        <v>-12.848206773346909</v>
      </c>
      <c r="XH50" s="134">
        <f t="shared" si="461"/>
        <v>-1.6316329385965389</v>
      </c>
      <c r="XI50" s="133">
        <f t="shared" si="462"/>
        <v>10.164635099392278</v>
      </c>
      <c r="XJ50" s="133">
        <f t="shared" si="255"/>
        <v>21.194175260599771</v>
      </c>
      <c r="XK50" s="133">
        <f t="shared" si="256"/>
        <v>27.993539581665907</v>
      </c>
      <c r="XL50" s="133">
        <f t="shared" si="257"/>
        <v>33.998956596537731</v>
      </c>
      <c r="XM50" s="133">
        <f t="shared" si="258"/>
        <v>41.102724547983904</v>
      </c>
      <c r="XN50" s="81"/>
      <c r="XO50" s="81">
        <v>48</v>
      </c>
      <c r="XP50" s="133">
        <f t="shared" si="259"/>
        <v>-29.24306896562074</v>
      </c>
      <c r="XQ50" s="133">
        <f t="shared" si="260"/>
        <v>-24.478604633083268</v>
      </c>
      <c r="XR50" s="133">
        <f t="shared" si="261"/>
        <v>-20.230930841827924</v>
      </c>
      <c r="XS50" s="133">
        <f t="shared" si="463"/>
        <v>-15.176348951400918</v>
      </c>
      <c r="XT50" s="133">
        <f t="shared" si="464"/>
        <v>-6.4039185403304444</v>
      </c>
      <c r="XU50" s="134">
        <f t="shared" si="465"/>
        <v>3.8244844871142476</v>
      </c>
      <c r="XV50" s="133">
        <f t="shared" si="466"/>
        <v>14.478208672853135</v>
      </c>
      <c r="XW50" s="133">
        <f t="shared" si="262"/>
        <v>24.365346685283818</v>
      </c>
      <c r="XX50" s="133">
        <f t="shared" si="263"/>
        <v>30.430890582352028</v>
      </c>
      <c r="XY50" s="133">
        <f t="shared" si="264"/>
        <v>35.771742028325853</v>
      </c>
      <c r="XZ50" s="133">
        <f t="shared" si="265"/>
        <v>42.071373698353447</v>
      </c>
      <c r="YA50" s="81"/>
      <c r="YB50" s="81">
        <v>51</v>
      </c>
      <c r="YC50" s="133">
        <f t="shared" si="266"/>
        <v>-38.918856406073324</v>
      </c>
      <c r="YD50" s="133">
        <f t="shared" si="267"/>
        <v>-33.954678690465059</v>
      </c>
      <c r="YE50" s="133">
        <f t="shared" si="268"/>
        <v>-29.504427184313347</v>
      </c>
      <c r="YF50" s="133">
        <f t="shared" si="467"/>
        <v>-24.190761989019126</v>
      </c>
      <c r="YG50" s="133">
        <f t="shared" si="468"/>
        <v>-14.94381586634195</v>
      </c>
      <c r="YH50" s="134">
        <f t="shared" si="469"/>
        <v>-4.1465316087571935</v>
      </c>
      <c r="YI50" s="133">
        <f t="shared" si="470"/>
        <v>7.1005523870046332</v>
      </c>
      <c r="YJ50" s="133">
        <f t="shared" si="269"/>
        <v>17.531326433846353</v>
      </c>
      <c r="YK50" s="133">
        <f t="shared" si="270"/>
        <v>23.925356860863154</v>
      </c>
      <c r="YL50" s="133">
        <f t="shared" si="271"/>
        <v>29.551804179532034</v>
      </c>
      <c r="YM50" s="133">
        <f t="shared" si="272"/>
        <v>36.183620260552551</v>
      </c>
      <c r="YN50" s="81"/>
      <c r="YO50" s="81">
        <v>48</v>
      </c>
      <c r="YP50" s="133">
        <v>17.562079368210483</v>
      </c>
      <c r="YQ50" s="133">
        <v>19.622615252444522</v>
      </c>
      <c r="YR50" s="133">
        <v>21.587139931540673</v>
      </c>
      <c r="YS50" s="133">
        <v>24.097432059516059</v>
      </c>
      <c r="YT50" s="133">
        <v>28.951362864996202</v>
      </c>
      <c r="YU50" s="134">
        <v>35.522207676208637</v>
      </c>
      <c r="YV50" s="133">
        <v>43.584381297549029</v>
      </c>
      <c r="YW50" s="133">
        <v>52.363556211102662</v>
      </c>
      <c r="YX50" s="133">
        <v>58.452728902176531</v>
      </c>
      <c r="YY50" s="133">
        <v>64.304743376879983</v>
      </c>
      <c r="YZ50" s="133">
        <v>71.849535111187265</v>
      </c>
      <c r="ZA50" s="81"/>
      <c r="ZB50" s="81">
        <v>48</v>
      </c>
      <c r="ZC50" s="133">
        <v>14.386469937507869</v>
      </c>
      <c r="ZD50" s="133">
        <v>16.248591076890992</v>
      </c>
      <c r="ZE50" s="133">
        <v>18.041781598166267</v>
      </c>
      <c r="ZF50" s="133">
        <v>20.356177086454725</v>
      </c>
      <c r="ZG50" s="133">
        <v>24.896409179686827</v>
      </c>
      <c r="ZH50" s="134">
        <v>31.159973835454196</v>
      </c>
      <c r="ZI50" s="133">
        <v>38.99935779567727</v>
      </c>
      <c r="ZJ50" s="133">
        <v>47.697756081728599</v>
      </c>
      <c r="ZK50" s="133">
        <v>53.816412982455965</v>
      </c>
      <c r="ZL50" s="133">
        <v>59.755579104152744</v>
      </c>
      <c r="ZM50" s="133">
        <v>67.490077388253582</v>
      </c>
      <c r="ZN50" s="81"/>
      <c r="ZO50" s="81">
        <v>51</v>
      </c>
      <c r="ZP50" s="133">
        <v>20.694087693087582</v>
      </c>
      <c r="ZQ50" s="133">
        <v>22.763945446533686</v>
      </c>
      <c r="ZR50" s="133">
        <v>24.708981539651781</v>
      </c>
      <c r="ZS50" s="133">
        <v>27.158628292775902</v>
      </c>
      <c r="ZT50" s="133">
        <v>31.797390028037</v>
      </c>
      <c r="ZU50" s="134">
        <v>37.907287936440603</v>
      </c>
      <c r="ZV50" s="133">
        <v>45.191208379970469</v>
      </c>
      <c r="ZW50" s="133">
        <v>52.90997995942385</v>
      </c>
      <c r="ZX50" s="133">
        <v>58.155471782203861</v>
      </c>
      <c r="ZY50" s="133">
        <v>63.124491405553968</v>
      </c>
      <c r="ZZ50" s="133">
        <v>69.438310110969567</v>
      </c>
      <c r="AAA50" s="81"/>
      <c r="AAB50" s="81">
        <v>48</v>
      </c>
      <c r="AAC50" s="133">
        <v>9.6306284104275797</v>
      </c>
      <c r="AAD50" s="133">
        <v>10.68449248482886</v>
      </c>
      <c r="AAE50" s="133">
        <v>11.682659091410653</v>
      </c>
      <c r="AAF50" s="133">
        <v>12.949756525996168</v>
      </c>
      <c r="AAG50" s="133">
        <v>15.376670409170769</v>
      </c>
      <c r="AAH50" s="134">
        <v>18.621367203665116</v>
      </c>
      <c r="AAI50" s="133">
        <v>22.550741305278112</v>
      </c>
      <c r="AAJ50" s="133">
        <v>26.776975755307525</v>
      </c>
      <c r="AAK50" s="133">
        <v>29.681197903709872</v>
      </c>
      <c r="AAL50" s="133">
        <v>32.454074634438662</v>
      </c>
      <c r="AAM50" s="133">
        <v>36.005471476636465</v>
      </c>
      <c r="AAN50" s="81"/>
      <c r="AAO50" s="81">
        <v>48</v>
      </c>
      <c r="AAP50" s="133">
        <v>8.7624707949267968</v>
      </c>
      <c r="AAQ50" s="133">
        <v>9.8297737315751093</v>
      </c>
      <c r="AAR50" s="133">
        <v>10.851125328224773</v>
      </c>
      <c r="AAS50" s="133">
        <v>12.161070854901643</v>
      </c>
      <c r="AAT50" s="133">
        <v>14.707594106376774</v>
      </c>
      <c r="AAU50" s="134">
        <v>18.179134238996429</v>
      </c>
      <c r="AAV50" s="133">
        <v>22.470087173276411</v>
      </c>
      <c r="AAW50" s="133">
        <v>27.175314215544486</v>
      </c>
      <c r="AAX50" s="133">
        <v>30.455912330110234</v>
      </c>
      <c r="AAY50" s="133">
        <v>33.620399686097002</v>
      </c>
      <c r="AAZ50" s="133">
        <v>37.715494797516548</v>
      </c>
      <c r="ABA50" s="81"/>
      <c r="ABB50" s="81">
        <v>51</v>
      </c>
      <c r="ABC50" s="133">
        <v>10.368806368645391</v>
      </c>
      <c r="ABD50" s="133">
        <v>11.399923655410944</v>
      </c>
      <c r="ABE50" s="133">
        <v>12.368387894262129</v>
      </c>
      <c r="ABF50" s="133">
        <v>13.58751164443659</v>
      </c>
      <c r="ABG50" s="133">
        <v>15.894479381071839</v>
      </c>
      <c r="ABH50" s="134">
        <v>18.930280601252321</v>
      </c>
      <c r="ABI50" s="133">
        <v>22.545911385364558</v>
      </c>
      <c r="ABJ50" s="133">
        <v>26.373888981274852</v>
      </c>
      <c r="ABK50" s="133">
        <v>28.973502990506642</v>
      </c>
      <c r="ABL50" s="133">
        <v>31.434905572552434</v>
      </c>
      <c r="ABM50" s="133">
        <v>34.560923495089476</v>
      </c>
      <c r="ABN50" s="81"/>
      <c r="ABO50" s="81">
        <v>48</v>
      </c>
      <c r="ABP50" s="133">
        <f t="shared" si="273"/>
        <v>0.25287825628544119</v>
      </c>
      <c r="ABQ50" s="133">
        <f t="shared" si="274"/>
        <v>0.28576191291588399</v>
      </c>
      <c r="ABR50" s="133">
        <f t="shared" si="275"/>
        <v>0.31644705613288665</v>
      </c>
      <c r="ABS50" s="133">
        <f t="shared" si="471"/>
        <v>0.35472971234261258</v>
      </c>
      <c r="ABT50" s="133">
        <f t="shared" si="472"/>
        <v>0.42595427236336397</v>
      </c>
      <c r="ABU50" s="134">
        <f t="shared" si="473"/>
        <v>0.51704113589525669</v>
      </c>
      <c r="ABV50" s="133">
        <f t="shared" si="474"/>
        <v>0.6215655362102116</v>
      </c>
      <c r="ABW50" s="133">
        <f t="shared" si="276"/>
        <v>0.72775067661405735</v>
      </c>
      <c r="ABX50" s="133">
        <f t="shared" si="277"/>
        <v>0.79741041405652613</v>
      </c>
      <c r="ABY50" s="133">
        <f t="shared" si="278"/>
        <v>0.86166057293059894</v>
      </c>
      <c r="ABZ50" s="133">
        <f t="shared" si="279"/>
        <v>0.9410187139227405</v>
      </c>
      <c r="ACA50" s="81"/>
      <c r="ACB50" s="81">
        <v>48</v>
      </c>
      <c r="ACC50" s="133">
        <f t="shared" si="280"/>
        <v>0.29525237328857445</v>
      </c>
      <c r="ACD50" s="133">
        <f t="shared" si="281"/>
        <v>0.32744244675512635</v>
      </c>
      <c r="ACE50" s="133">
        <f t="shared" si="282"/>
        <v>0.35749460510515441</v>
      </c>
      <c r="ACF50" s="133">
        <f t="shared" si="475"/>
        <v>0.39505548185205075</v>
      </c>
      <c r="ACG50" s="133">
        <f t="shared" si="476"/>
        <v>0.46526974125473758</v>
      </c>
      <c r="ACH50" s="134">
        <f t="shared" si="477"/>
        <v>0.555914861472113</v>
      </c>
      <c r="ACI50" s="133">
        <f t="shared" si="478"/>
        <v>0.66133122240210407</v>
      </c>
      <c r="ACJ50" s="133">
        <f t="shared" si="283"/>
        <v>0.77008818005717194</v>
      </c>
      <c r="ACK50" s="133">
        <f t="shared" si="284"/>
        <v>0.84237883537299441</v>
      </c>
      <c r="ACL50" s="133">
        <f t="shared" si="285"/>
        <v>0.90972637864853811</v>
      </c>
      <c r="ACM50" s="133">
        <f t="shared" si="286"/>
        <v>0.99380089139666905</v>
      </c>
      <c r="ACN50" s="81"/>
      <c r="ACO50" s="81">
        <v>51</v>
      </c>
      <c r="ACP50" s="133">
        <f t="shared" si="287"/>
        <v>0.24034810324907932</v>
      </c>
      <c r="ACQ50" s="133">
        <f t="shared" si="288"/>
        <v>0.27494912756150147</v>
      </c>
      <c r="ACR50" s="133">
        <f t="shared" si="289"/>
        <v>0.30663160133291245</v>
      </c>
      <c r="ACS50" s="133">
        <f t="shared" si="479"/>
        <v>0.34537594386177273</v>
      </c>
      <c r="ACT50" s="133">
        <f t="shared" si="480"/>
        <v>0.41537540921840882</v>
      </c>
      <c r="ACU50" s="134">
        <f t="shared" si="481"/>
        <v>0.50112939451516669</v>
      </c>
      <c r="ACV50" s="133">
        <f t="shared" si="482"/>
        <v>0.59520627529892334</v>
      </c>
      <c r="ACW50" s="133">
        <f t="shared" si="290"/>
        <v>0.68688104396962757</v>
      </c>
      <c r="ACX50" s="133">
        <f t="shared" si="291"/>
        <v>0.74503977041097358</v>
      </c>
      <c r="ACY50" s="133">
        <f t="shared" si="292"/>
        <v>0.79746102672160779</v>
      </c>
      <c r="ACZ50" s="133">
        <f t="shared" si="293"/>
        <v>0.86072718160072204</v>
      </c>
      <c r="ADA50" s="81"/>
      <c r="ADB50" s="81">
        <v>48</v>
      </c>
      <c r="ADC50" s="133">
        <f t="shared" si="294"/>
        <v>0.20338184759080888</v>
      </c>
      <c r="ADD50" s="133">
        <f t="shared" si="295"/>
        <v>0.22379492341666671</v>
      </c>
      <c r="ADE50" s="133">
        <f t="shared" si="296"/>
        <v>0.24169451857681487</v>
      </c>
      <c r="ADF50" s="133">
        <f t="shared" si="483"/>
        <v>0.26270755255485995</v>
      </c>
      <c r="ADG50" s="133">
        <f t="shared" si="484"/>
        <v>0.29861057589208362</v>
      </c>
      <c r="ADH50" s="134">
        <f t="shared" si="485"/>
        <v>0.33980334911260718</v>
      </c>
      <c r="ADI50" s="133">
        <f t="shared" si="486"/>
        <v>0.38215325457746663</v>
      </c>
      <c r="ADJ50" s="133">
        <f t="shared" si="297"/>
        <v>0.42107412072719336</v>
      </c>
      <c r="ADK50" s="133">
        <f t="shared" si="298"/>
        <v>0.44480487241136041</v>
      </c>
      <c r="ADL50" s="133">
        <f t="shared" si="299"/>
        <v>0.46562161043370598</v>
      </c>
      <c r="ADM50" s="133">
        <f t="shared" si="300"/>
        <v>0.49009126940205056</v>
      </c>
      <c r="ADN50" s="81"/>
      <c r="ADO50" s="81">
        <v>48</v>
      </c>
      <c r="ADP50" s="133">
        <f t="shared" si="301"/>
        <v>0.22947851793927854</v>
      </c>
      <c r="ADQ50" s="133">
        <f t="shared" si="302"/>
        <v>0.24795319036839927</v>
      </c>
      <c r="ADR50" s="133">
        <f t="shared" si="303"/>
        <v>0.26428754832679852</v>
      </c>
      <c r="ADS50" s="133">
        <f t="shared" si="487"/>
        <v>0.28362320997914203</v>
      </c>
      <c r="ADT50" s="133">
        <f t="shared" si="488"/>
        <v>0.31705669873033526</v>
      </c>
      <c r="ADU50" s="134">
        <f t="shared" si="489"/>
        <v>0.35602042240443305</v>
      </c>
      <c r="ADV50" s="133">
        <f t="shared" si="490"/>
        <v>0.39673253842375666</v>
      </c>
      <c r="ADW50" s="133">
        <f t="shared" si="304"/>
        <v>0.43471373271466029</v>
      </c>
      <c r="ADX50" s="133">
        <f t="shared" si="305"/>
        <v>0.45812962593693685</v>
      </c>
      <c r="ADY50" s="133">
        <f t="shared" si="306"/>
        <v>0.47882738003416742</v>
      </c>
      <c r="ADZ50" s="133">
        <f t="shared" si="307"/>
        <v>0.50334142973922802</v>
      </c>
      <c r="AEA50" s="81"/>
      <c r="AEB50" s="81">
        <v>51</v>
      </c>
      <c r="AEC50" s="133">
        <f t="shared" si="308"/>
        <v>0.19566175153546553</v>
      </c>
      <c r="AED50" s="133">
        <f t="shared" si="309"/>
        <v>0.21748311920388014</v>
      </c>
      <c r="AEE50" s="133">
        <f t="shared" si="310"/>
        <v>0.2361804389412224</v>
      </c>
      <c r="AEF50" s="133">
        <f t="shared" si="491"/>
        <v>0.25766424572409541</v>
      </c>
      <c r="AEG50" s="133">
        <f t="shared" si="492"/>
        <v>0.29334688304949808</v>
      </c>
      <c r="AEH50" s="134">
        <f t="shared" si="493"/>
        <v>0.33291524004990092</v>
      </c>
      <c r="AEI50" s="133">
        <f t="shared" si="494"/>
        <v>0.37229590666482376</v>
      </c>
      <c r="AEJ50" s="133">
        <f t="shared" si="311"/>
        <v>0.40748583897230245</v>
      </c>
      <c r="AEK50" s="133">
        <f t="shared" si="312"/>
        <v>0.42852182820076279</v>
      </c>
      <c r="AEL50" s="133">
        <f t="shared" si="313"/>
        <v>0.44673391836632703</v>
      </c>
      <c r="AEM50" s="133">
        <f t="shared" si="314"/>
        <v>0.46787223608416356</v>
      </c>
      <c r="AEN50" s="81"/>
    </row>
    <row r="51" spans="1:820">
      <c r="A51" s="81"/>
      <c r="B51" s="81">
        <v>50</v>
      </c>
      <c r="C51" s="133">
        <f t="shared" si="0"/>
        <v>2.0816699856056999</v>
      </c>
      <c r="D51" s="133">
        <f t="shared" si="1"/>
        <v>2.5033944299353657</v>
      </c>
      <c r="E51" s="133">
        <f t="shared" si="2"/>
        <v>2.9490290840003075</v>
      </c>
      <c r="F51" s="133">
        <f t="shared" si="315"/>
        <v>3.584791458214823</v>
      </c>
      <c r="G51" s="133">
        <f t="shared" si="316"/>
        <v>5.047209934867376</v>
      </c>
      <c r="H51" s="134">
        <f t="shared" si="317"/>
        <v>7.5944383073906305</v>
      </c>
      <c r="I51" s="133">
        <f t="shared" si="318"/>
        <v>11.813330683775689</v>
      </c>
      <c r="J51" s="133">
        <f t="shared" si="3"/>
        <v>18.150665967736821</v>
      </c>
      <c r="K51" s="133">
        <f t="shared" si="4"/>
        <v>23.889408852692473</v>
      </c>
      <c r="L51" s="133">
        <f t="shared" si="5"/>
        <v>30.676971459710053</v>
      </c>
      <c r="M51" s="133">
        <f t="shared" si="6"/>
        <v>41.65956256648181</v>
      </c>
      <c r="N51" s="81"/>
      <c r="O51" s="75">
        <v>50</v>
      </c>
      <c r="P51" s="151">
        <f t="shared" si="7"/>
        <v>2.7897312090505051</v>
      </c>
      <c r="Q51" s="151">
        <f t="shared" si="8"/>
        <v>3.1985363131714397</v>
      </c>
      <c r="R51" s="151">
        <f t="shared" si="9"/>
        <v>3.6206381444859241</v>
      </c>
      <c r="S51" s="151">
        <f t="shared" si="319"/>
        <v>4.2110005391050587</v>
      </c>
      <c r="T51" s="151">
        <f t="shared" si="320"/>
        <v>5.5407923710784219</v>
      </c>
      <c r="U51" s="134">
        <f t="shared" si="321"/>
        <v>7.8357046158031052</v>
      </c>
      <c r="V51" s="151">
        <f t="shared" si="322"/>
        <v>11.723843263563721</v>
      </c>
      <c r="W51" s="151">
        <f t="shared" si="10"/>
        <v>17.973585331391032</v>
      </c>
      <c r="X51" s="151">
        <f t="shared" si="11"/>
        <v>24.17809490928704</v>
      </c>
      <c r="Y51" s="151">
        <f t="shared" si="12"/>
        <v>32.294561028949325</v>
      </c>
      <c r="Z51" s="151">
        <f t="shared" si="13"/>
        <v>47.479769354295662</v>
      </c>
      <c r="AA51" s="81"/>
      <c r="AB51" s="75">
        <v>52</v>
      </c>
      <c r="AC51" s="151">
        <f t="shared" si="14"/>
        <v>1.8135069170554314</v>
      </c>
      <c r="AD51" s="151">
        <f t="shared" si="15"/>
        <v>2.1883348765803521</v>
      </c>
      <c r="AE51" s="151">
        <f t="shared" si="16"/>
        <v>2.5891591571885639</v>
      </c>
      <c r="AF51" s="151">
        <f t="shared" si="323"/>
        <v>3.1692436300985856</v>
      </c>
      <c r="AG51" s="151">
        <f t="shared" si="324"/>
        <v>4.5387294123277391</v>
      </c>
      <c r="AH51" s="134">
        <f t="shared" si="325"/>
        <v>7.0318373909297422</v>
      </c>
      <c r="AI51" s="151">
        <f t="shared" si="326"/>
        <v>11.428777857877993</v>
      </c>
      <c r="AJ51" s="151">
        <f t="shared" si="17"/>
        <v>18.582639024438954</v>
      </c>
      <c r="AK51" s="151">
        <f t="shared" si="18"/>
        <v>25.5679204878581</v>
      </c>
      <c r="AL51" s="151">
        <f t="shared" si="19"/>
        <v>34.397389930948037</v>
      </c>
      <c r="AM51" s="151">
        <f t="shared" si="20"/>
        <v>49.888487272388815</v>
      </c>
      <c r="AN51" s="81"/>
      <c r="AO51" s="81">
        <v>50</v>
      </c>
      <c r="AP51" s="133">
        <f t="shared" si="21"/>
        <v>1.4953517779467598</v>
      </c>
      <c r="AQ51" s="133">
        <f t="shared" si="22"/>
        <v>3.882378475227072</v>
      </c>
      <c r="AR51" s="133">
        <f t="shared" si="23"/>
        <v>6.1845765905484837</v>
      </c>
      <c r="AS51" s="133">
        <f t="shared" si="327"/>
        <v>9.1279639989538381</v>
      </c>
      <c r="AT51" s="133">
        <f t="shared" si="328"/>
        <v>14.735241544585545</v>
      </c>
      <c r="AU51" s="134">
        <f t="shared" si="329"/>
        <v>22.026157520193266</v>
      </c>
      <c r="AV51" s="133">
        <f t="shared" si="330"/>
        <v>30.430009971186966</v>
      </c>
      <c r="AW51" s="133">
        <f t="shared" si="24"/>
        <v>38.928811515290654</v>
      </c>
      <c r="AX51" s="133">
        <f t="shared" si="25"/>
        <v>44.462382693015684</v>
      </c>
      <c r="AY51" s="133">
        <f t="shared" si="26"/>
        <v>49.530164664909762</v>
      </c>
      <c r="AZ51" s="133">
        <f t="shared" si="27"/>
        <v>55.737498639804578</v>
      </c>
      <c r="BA51" s="81"/>
      <c r="BB51" s="81">
        <v>50</v>
      </c>
      <c r="BC51" s="133">
        <f t="shared" si="28"/>
        <v>4.3909161814640489</v>
      </c>
      <c r="BD51" s="133">
        <f t="shared" si="29"/>
        <v>7.1196276643033825</v>
      </c>
      <c r="BE51" s="133">
        <f t="shared" si="30"/>
        <v>9.6567232308157926</v>
      </c>
      <c r="BF51" s="133">
        <f t="shared" si="331"/>
        <v>12.79334750701446</v>
      </c>
      <c r="BG51" s="133">
        <f t="shared" si="332"/>
        <v>18.51274811157846</v>
      </c>
      <c r="BH51" s="134">
        <f t="shared" si="333"/>
        <v>25.577469102625667</v>
      </c>
      <c r="BI51" s="133">
        <f t="shared" si="334"/>
        <v>33.340237979955766</v>
      </c>
      <c r="BJ51" s="133">
        <f t="shared" si="31"/>
        <v>40.877910034511409</v>
      </c>
      <c r="BK51" s="133">
        <f t="shared" si="32"/>
        <v>45.649203571931153</v>
      </c>
      <c r="BL51" s="133">
        <f t="shared" si="33"/>
        <v>49.938031647455958</v>
      </c>
      <c r="BM51" s="133">
        <f t="shared" si="34"/>
        <v>55.097822098581275</v>
      </c>
      <c r="BN51" s="81"/>
      <c r="BO51" s="75">
        <v>52</v>
      </c>
      <c r="BP51" s="151">
        <f t="shared" si="35"/>
        <v>4.1535678301724639</v>
      </c>
      <c r="BQ51" s="151">
        <f t="shared" si="36"/>
        <v>5.3528228638756632</v>
      </c>
      <c r="BR51" s="151">
        <f t="shared" si="37"/>
        <v>6.6088887970743349</v>
      </c>
      <c r="BS51" s="151">
        <f t="shared" si="335"/>
        <v>8.3607965468701835</v>
      </c>
      <c r="BT51" s="151">
        <f t="shared" si="336"/>
        <v>12.163780328813647</v>
      </c>
      <c r="BU51" s="134">
        <f t="shared" si="337"/>
        <v>18.05085935625447</v>
      </c>
      <c r="BV51" s="151">
        <f t="shared" si="338"/>
        <v>26.209736293394684</v>
      </c>
      <c r="BW51" s="151">
        <f t="shared" si="38"/>
        <v>36.01955324207902</v>
      </c>
      <c r="BX51" s="151">
        <f t="shared" si="39"/>
        <v>43.281044878958383</v>
      </c>
      <c r="BY51" s="151">
        <f t="shared" si="40"/>
        <v>50.554965264493532</v>
      </c>
      <c r="BZ51" s="151">
        <f t="shared" si="41"/>
        <v>60.298419267551388</v>
      </c>
      <c r="CA51" s="81"/>
      <c r="CB51" s="81">
        <v>50</v>
      </c>
      <c r="CC51" s="133">
        <f t="shared" si="42"/>
        <v>-5.0006296654188276</v>
      </c>
      <c r="CD51" s="133">
        <f t="shared" si="43"/>
        <v>-2.6794934897876095</v>
      </c>
      <c r="CE51" s="133">
        <f t="shared" si="44"/>
        <v>-0.31991793729362428</v>
      </c>
      <c r="CF51" s="133">
        <f t="shared" si="339"/>
        <v>2.7389589149900813</v>
      </c>
      <c r="CG51" s="133">
        <f t="shared" si="340"/>
        <v>8.5162254141306732</v>
      </c>
      <c r="CH51" s="134">
        <f t="shared" si="341"/>
        <v>15.793150580406511</v>
      </c>
      <c r="CI51" s="133">
        <f t="shared" si="342"/>
        <v>23.824942749300373</v>
      </c>
      <c r="CJ51" s="133">
        <f t="shared" si="45"/>
        <v>31.59845036468386</v>
      </c>
      <c r="CK51" s="133">
        <f t="shared" si="46"/>
        <v>36.494029037312046</v>
      </c>
      <c r="CL51" s="133">
        <f t="shared" si="47"/>
        <v>40.874920545355394</v>
      </c>
      <c r="CM51" s="133">
        <f t="shared" si="48"/>
        <v>46.119171287967923</v>
      </c>
      <c r="CN51" s="81"/>
      <c r="CO51" s="81">
        <v>50</v>
      </c>
      <c r="CP51" s="133">
        <f t="shared" si="49"/>
        <v>0.75902934376284836</v>
      </c>
      <c r="CQ51" s="133">
        <f t="shared" si="50"/>
        <v>3.2604668883259906</v>
      </c>
      <c r="CR51" s="133">
        <f t="shared" si="51"/>
        <v>5.5926098037057743</v>
      </c>
      <c r="CS51" s="133">
        <f t="shared" si="343"/>
        <v>8.4694081726237265</v>
      </c>
      <c r="CT51" s="133">
        <f t="shared" si="344"/>
        <v>13.673802822568462</v>
      </c>
      <c r="CU51" s="134">
        <f t="shared" si="345"/>
        <v>20.011333016254312</v>
      </c>
      <c r="CV51" s="133">
        <f t="shared" si="346"/>
        <v>26.857500791628429</v>
      </c>
      <c r="CW51" s="133">
        <f t="shared" si="52"/>
        <v>33.395470341473604</v>
      </c>
      <c r="CX51" s="133">
        <f t="shared" si="53"/>
        <v>37.482608870042924</v>
      </c>
      <c r="CY51" s="133">
        <f t="shared" si="54"/>
        <v>41.124863561865602</v>
      </c>
      <c r="CZ51" s="133">
        <f t="shared" si="55"/>
        <v>45.469480853880512</v>
      </c>
      <c r="DA51" s="81"/>
      <c r="DB51" s="81">
        <v>52</v>
      </c>
      <c r="DC51" s="133">
        <f t="shared" si="56"/>
        <v>-5.3043573807969535</v>
      </c>
      <c r="DD51" s="133">
        <f t="shared" si="57"/>
        <v>-3.6099078991753424</v>
      </c>
      <c r="DE51" s="133">
        <f t="shared" si="58"/>
        <v>-1.809476457315939</v>
      </c>
      <c r="DF51" s="133">
        <f t="shared" si="347"/>
        <v>0.62126715118291287</v>
      </c>
      <c r="DG51" s="133">
        <f t="shared" si="348"/>
        <v>5.445988527950937</v>
      </c>
      <c r="DH51" s="134">
        <f t="shared" si="349"/>
        <v>11.856984697472164</v>
      </c>
      <c r="DI51" s="133">
        <f t="shared" si="350"/>
        <v>19.266416165260775</v>
      </c>
      <c r="DJ51" s="133">
        <f t="shared" si="59"/>
        <v>26.706262118399781</v>
      </c>
      <c r="DK51" s="133">
        <f t="shared" si="60"/>
        <v>31.507786482487308</v>
      </c>
      <c r="DL51" s="133">
        <f t="shared" si="61"/>
        <v>35.872728223533819</v>
      </c>
      <c r="DM51" s="133">
        <f t="shared" si="62"/>
        <v>41.175992153143468</v>
      </c>
      <c r="DN51" s="81"/>
      <c r="DO51" s="81">
        <v>50</v>
      </c>
      <c r="DP51" s="133">
        <v>13.034803438351044</v>
      </c>
      <c r="DQ51" s="133">
        <v>14.22166361667886</v>
      </c>
      <c r="DR51" s="133">
        <v>15.328509616242819</v>
      </c>
      <c r="DS51" s="133">
        <v>16.711963895423427</v>
      </c>
      <c r="DT51" s="133">
        <v>19.303234818041894</v>
      </c>
      <c r="DU51" s="134">
        <v>22.667643988250433</v>
      </c>
      <c r="DV51" s="133">
        <v>26.618444463920568</v>
      </c>
      <c r="DW51" s="133">
        <v>30.74576316663633</v>
      </c>
      <c r="DX51" s="133">
        <v>33.520681190922545</v>
      </c>
      <c r="DY51" s="133">
        <v>36.129534337703383</v>
      </c>
      <c r="DZ51" s="133">
        <v>39.419242983465089</v>
      </c>
      <c r="EA51" s="81"/>
      <c r="EB51" s="81">
        <v>50</v>
      </c>
      <c r="EC51" s="133">
        <v>12.699112015095388</v>
      </c>
      <c r="ED51" s="133">
        <v>13.684601878124338</v>
      </c>
      <c r="EE51" s="133">
        <v>14.593131535894667</v>
      </c>
      <c r="EF51" s="133">
        <v>15.715719494059028</v>
      </c>
      <c r="EG51" s="133">
        <v>17.783851731308438</v>
      </c>
      <c r="EH51" s="134">
        <v>20.411266328315484</v>
      </c>
      <c r="EI51" s="133">
        <v>23.426859345209628</v>
      </c>
      <c r="EJ51" s="133">
        <v>26.509749889778789</v>
      </c>
      <c r="EK51" s="133">
        <v>28.549032954350302</v>
      </c>
      <c r="EL51" s="133">
        <v>30.444421901043196</v>
      </c>
      <c r="EM51" s="133">
        <v>32.80700198802807</v>
      </c>
      <c r="EN51" s="81"/>
      <c r="EO51" s="81">
        <v>52</v>
      </c>
      <c r="EP51" s="133">
        <v>14.251530615266551</v>
      </c>
      <c r="EQ51" s="133">
        <v>15.362103369756387</v>
      </c>
      <c r="ER51" s="133">
        <v>16.386233135157408</v>
      </c>
      <c r="ES51" s="133">
        <v>17.652009981110453</v>
      </c>
      <c r="ET51" s="133">
        <v>19.984871430134127</v>
      </c>
      <c r="EU51" s="134">
        <v>22.950165563743852</v>
      </c>
      <c r="EV51" s="133">
        <v>26.355440976670781</v>
      </c>
      <c r="EW51" s="133">
        <v>29.838533966777188</v>
      </c>
      <c r="EX51" s="133">
        <v>32.143452070944463</v>
      </c>
      <c r="EY51" s="133">
        <v>34.286326990885676</v>
      </c>
      <c r="EZ51" s="133">
        <v>36.958142505692045</v>
      </c>
      <c r="FA51" s="81"/>
      <c r="FB51" s="81">
        <v>50</v>
      </c>
      <c r="FC51" s="133">
        <v>8.6059647833248665</v>
      </c>
      <c r="FD51" s="133">
        <v>9.403973387305566</v>
      </c>
      <c r="FE51" s="133">
        <v>10.149242737446496</v>
      </c>
      <c r="FF51" s="133">
        <v>11.08208577538751</v>
      </c>
      <c r="FG51" s="133">
        <v>12.832924099070425</v>
      </c>
      <c r="FH51" s="134">
        <v>15.112268168519854</v>
      </c>
      <c r="FI51" s="133">
        <v>17.796462243067548</v>
      </c>
      <c r="FJ51" s="133">
        <v>20.608092540167398</v>
      </c>
      <c r="FK51" s="133">
        <v>22.502235398768097</v>
      </c>
      <c r="FL51" s="133">
        <v>24.285548224280369</v>
      </c>
      <c r="FM51" s="133">
        <v>26.537483588100955</v>
      </c>
      <c r="FN51" s="81"/>
      <c r="FO51" s="81">
        <v>50</v>
      </c>
      <c r="FP51" s="133">
        <v>8.5329014979919933</v>
      </c>
      <c r="FQ51" s="133">
        <v>9.2179106656585503</v>
      </c>
      <c r="FR51" s="133">
        <v>9.8508806974487317</v>
      </c>
      <c r="FS51" s="133">
        <v>10.634785169490295</v>
      </c>
      <c r="FT51" s="133">
        <v>12.083749437651189</v>
      </c>
      <c r="FU51" s="134">
        <v>13.932575249465476</v>
      </c>
      <c r="FV51" s="133">
        <v>16.064273269121166</v>
      </c>
      <c r="FW51" s="133">
        <v>18.252992419528262</v>
      </c>
      <c r="FX51" s="133">
        <v>19.705512536791971</v>
      </c>
      <c r="FY51" s="133">
        <v>21.058639004303028</v>
      </c>
      <c r="FZ51" s="133">
        <v>22.749196522155859</v>
      </c>
      <c r="GA51" s="81"/>
      <c r="GB51" s="81">
        <v>52</v>
      </c>
      <c r="GC51" s="133">
        <v>9.4088850245202824</v>
      </c>
      <c r="GD51" s="133">
        <v>10.177331923592133</v>
      </c>
      <c r="GE51" s="133">
        <v>10.888251560300516</v>
      </c>
      <c r="GF51" s="133">
        <v>11.769746577741499</v>
      </c>
      <c r="GG51" s="133">
        <v>13.401902282787848</v>
      </c>
      <c r="GH51" s="134">
        <v>15.489187202847077</v>
      </c>
      <c r="GI51" s="133">
        <v>17.901557192590932</v>
      </c>
      <c r="GJ51" s="133">
        <v>20.384034492175033</v>
      </c>
      <c r="GK51" s="133">
        <v>22.034292546986304</v>
      </c>
      <c r="GL51" s="133">
        <v>23.573459331585074</v>
      </c>
      <c r="GM51" s="133">
        <v>25.498762029677778</v>
      </c>
      <c r="GN51" s="81"/>
      <c r="GO51" s="81">
        <v>50</v>
      </c>
      <c r="GP51" s="133">
        <f t="shared" si="63"/>
        <v>0.48249812192500857</v>
      </c>
      <c r="GQ51" s="133">
        <f t="shared" si="64"/>
        <v>0.51603219145491142</v>
      </c>
      <c r="GR51" s="133">
        <f t="shared" si="65"/>
        <v>0.54312651741195239</v>
      </c>
      <c r="GS51" s="133">
        <f t="shared" si="351"/>
        <v>0.57268592779029825</v>
      </c>
      <c r="GT51" s="133">
        <f t="shared" si="352"/>
        <v>0.61998371655316231</v>
      </c>
      <c r="GU51" s="134">
        <f t="shared" si="353"/>
        <v>0.66602028713093353</v>
      </c>
      <c r="GV51" s="133">
        <f t="shared" si="354"/>
        <v>0.70890718826195809</v>
      </c>
      <c r="GW51" s="133">
        <f t="shared" si="66"/>
        <v>0.74718748384107159</v>
      </c>
      <c r="GX51" s="133">
        <f t="shared" si="67"/>
        <v>0.76855149868167272</v>
      </c>
      <c r="GY51" s="133">
        <f t="shared" si="68"/>
        <v>0.78658437519681057</v>
      </c>
      <c r="GZ51" s="133">
        <f t="shared" si="69"/>
        <v>0.80701546771046018</v>
      </c>
      <c r="HA51" s="81"/>
      <c r="HB51" s="81">
        <v>50</v>
      </c>
      <c r="HC51" s="133">
        <f t="shared" si="70"/>
        <v>0.46846810768202052</v>
      </c>
      <c r="HD51" s="133">
        <f t="shared" si="71"/>
        <v>0.50458230370241863</v>
      </c>
      <c r="HE51" s="133">
        <f t="shared" si="72"/>
        <v>0.53361810012603217</v>
      </c>
      <c r="HF51" s="133">
        <f t="shared" si="355"/>
        <v>0.56517674740737511</v>
      </c>
      <c r="HG51" s="133">
        <f t="shared" si="356"/>
        <v>0.61409086196192586</v>
      </c>
      <c r="HH51" s="134">
        <f t="shared" si="357"/>
        <v>0.66422387064910282</v>
      </c>
      <c r="HI51" s="133">
        <f t="shared" si="358"/>
        <v>0.71069881283743097</v>
      </c>
      <c r="HJ51" s="133">
        <f t="shared" si="73"/>
        <v>0.74985635231829584</v>
      </c>
      <c r="HK51" s="133">
        <f t="shared" si="74"/>
        <v>0.77234189731926073</v>
      </c>
      <c r="HL51" s="133">
        <f t="shared" si="75"/>
        <v>0.7913073486839064</v>
      </c>
      <c r="HM51" s="133">
        <f t="shared" si="76"/>
        <v>0.81278095129609662</v>
      </c>
      <c r="HN51" s="81"/>
      <c r="HO51" s="81">
        <v>52</v>
      </c>
      <c r="HP51" s="83">
        <f t="shared" si="77"/>
        <v>0.49721268493573789</v>
      </c>
      <c r="HQ51" s="83">
        <f t="shared" si="78"/>
        <v>0.52855619939172949</v>
      </c>
      <c r="HR51" s="83">
        <f t="shared" si="79"/>
        <v>0.55398976183502935</v>
      </c>
      <c r="HS51" s="83">
        <f t="shared" si="359"/>
        <v>0.58183046365120283</v>
      </c>
      <c r="HT51" s="83">
        <f t="shared" si="360"/>
        <v>0.62531664486701399</v>
      </c>
      <c r="HU51" s="84">
        <f t="shared" si="361"/>
        <v>0.6702243735966863</v>
      </c>
      <c r="HV51" s="83">
        <f t="shared" si="362"/>
        <v>0.71209533644972045</v>
      </c>
      <c r="HW51" s="83">
        <f t="shared" si="80"/>
        <v>0.74751789317825856</v>
      </c>
      <c r="HX51" s="83">
        <f t="shared" si="81"/>
        <v>0.76790893432102547</v>
      </c>
      <c r="HY51" s="83">
        <f t="shared" si="82"/>
        <v>0.78513293808145657</v>
      </c>
      <c r="HZ51" s="83">
        <f t="shared" si="83"/>
        <v>0.80466006025076442</v>
      </c>
      <c r="IA51" s="81"/>
      <c r="IB51" s="81">
        <v>50</v>
      </c>
      <c r="IC51" s="83">
        <f t="shared" si="84"/>
        <v>0.32665171895530781</v>
      </c>
      <c r="ID51" s="83">
        <f t="shared" si="85"/>
        <v>0.34099175681909122</v>
      </c>
      <c r="IE51" s="83">
        <f t="shared" si="86"/>
        <v>0.35217609459743826</v>
      </c>
      <c r="IF51" s="83">
        <f t="shared" si="363"/>
        <v>0.36401665069998346</v>
      </c>
      <c r="IG51" s="83">
        <f t="shared" si="364"/>
        <v>0.38178341441260455</v>
      </c>
      <c r="IH51" s="84">
        <f t="shared" si="365"/>
        <v>0.39933423448887168</v>
      </c>
      <c r="II51" s="83">
        <f t="shared" si="366"/>
        <v>0.41507506896546376</v>
      </c>
      <c r="IJ51" s="83">
        <f t="shared" si="87"/>
        <v>0.42798041267349868</v>
      </c>
      <c r="IK51" s="83">
        <f t="shared" si="88"/>
        <v>0.43525427915135906</v>
      </c>
      <c r="IL51" s="83">
        <f t="shared" si="89"/>
        <v>0.44131591549237048</v>
      </c>
      <c r="IM51" s="83">
        <f t="shared" si="90"/>
        <v>0.44810121453423002</v>
      </c>
      <c r="IN51" s="81"/>
      <c r="IO51" s="81">
        <v>50</v>
      </c>
      <c r="IP51" s="133">
        <f t="shared" si="91"/>
        <v>0.3200223782536265</v>
      </c>
      <c r="IQ51" s="133">
        <f t="shared" si="92"/>
        <v>0.33579890675060342</v>
      </c>
      <c r="IR51" s="133">
        <f t="shared" si="93"/>
        <v>0.34798891925309522</v>
      </c>
      <c r="IS51" s="133">
        <f t="shared" si="367"/>
        <v>0.36080396842228657</v>
      </c>
      <c r="IT51" s="133">
        <f t="shared" si="368"/>
        <v>0.37989046619176081</v>
      </c>
      <c r="IU51" s="134">
        <f t="shared" si="369"/>
        <v>0.39861035940788386</v>
      </c>
      <c r="IV51" s="133">
        <f t="shared" si="370"/>
        <v>0.41530935989629769</v>
      </c>
      <c r="IW51" s="133">
        <f t="shared" si="94"/>
        <v>0.42894814798535663</v>
      </c>
      <c r="IX51" s="133">
        <f t="shared" si="95"/>
        <v>0.4366176353020767</v>
      </c>
      <c r="IY51" s="133">
        <f t="shared" si="96"/>
        <v>0.44300018001146074</v>
      </c>
      <c r="IZ51" s="133">
        <f t="shared" si="97"/>
        <v>0.45013597112969483</v>
      </c>
      <c r="JA51" s="81"/>
      <c r="JB51" s="81">
        <v>52</v>
      </c>
      <c r="JC51" s="133">
        <f t="shared" si="98"/>
        <v>0.333451620814606</v>
      </c>
      <c r="JD51" s="133">
        <f t="shared" si="99"/>
        <v>0.34655801287648297</v>
      </c>
      <c r="JE51" s="133">
        <f t="shared" si="100"/>
        <v>0.3568642628623227</v>
      </c>
      <c r="JF51" s="133">
        <f t="shared" si="371"/>
        <v>0.36784399570197135</v>
      </c>
      <c r="JG51" s="133">
        <f t="shared" si="372"/>
        <v>0.38443169110262643</v>
      </c>
      <c r="JH51" s="134">
        <f t="shared" si="373"/>
        <v>0.40092786636135264</v>
      </c>
      <c r="JI51" s="133">
        <f t="shared" si="374"/>
        <v>0.41579906080584234</v>
      </c>
      <c r="JJ51" s="133">
        <f t="shared" si="101"/>
        <v>0.4280364643505602</v>
      </c>
      <c r="JK51" s="133">
        <f t="shared" si="102"/>
        <v>0.43494946767103443</v>
      </c>
      <c r="JL51" s="133">
        <f t="shared" si="103"/>
        <v>0.44071817404732311</v>
      </c>
      <c r="JM51" s="133">
        <f t="shared" si="104"/>
        <v>0.44718337599957503</v>
      </c>
      <c r="JN51" s="81"/>
      <c r="JO51" s="81">
        <v>49</v>
      </c>
      <c r="JP51" s="133">
        <f t="shared" si="105"/>
        <v>-2.9608207236630228</v>
      </c>
      <c r="JQ51" s="133">
        <f t="shared" si="106"/>
        <v>-1.5077760500528647</v>
      </c>
      <c r="JR51" s="133">
        <f t="shared" si="107"/>
        <v>-0.24258339018866693</v>
      </c>
      <c r="JS51" s="133">
        <f t="shared" si="375"/>
        <v>1.2331049910021896</v>
      </c>
      <c r="JT51" s="133">
        <f t="shared" si="376"/>
        <v>3.7332925050917325</v>
      </c>
      <c r="JU51" s="134">
        <f t="shared" si="377"/>
        <v>6.5732860691636645</v>
      </c>
      <c r="JV51" s="133">
        <f t="shared" si="378"/>
        <v>9.4657830857361098</v>
      </c>
      <c r="JW51" s="133">
        <f t="shared" si="108"/>
        <v>12.102871208129532</v>
      </c>
      <c r="JX51" s="133">
        <f t="shared" si="109"/>
        <v>13.701806112556465</v>
      </c>
      <c r="JY51" s="133">
        <f t="shared" si="110"/>
        <v>15.099245144226277</v>
      </c>
      <c r="JZ51" s="133">
        <f t="shared" si="111"/>
        <v>16.73611107406035</v>
      </c>
      <c r="KA51" s="81"/>
      <c r="KB51" s="81">
        <v>49</v>
      </c>
      <c r="KC51" s="133">
        <f t="shared" si="112"/>
        <v>-1.4130662785785368</v>
      </c>
      <c r="KD51" s="133">
        <f t="shared" si="113"/>
        <v>-9.1009024466579547E-2</v>
      </c>
      <c r="KE51" s="133">
        <f t="shared" si="114"/>
        <v>1.0848473477268836</v>
      </c>
      <c r="KF51" s="133">
        <f t="shared" si="379"/>
        <v>2.4834271937593897</v>
      </c>
      <c r="KG51" s="133">
        <f t="shared" si="380"/>
        <v>4.9144446400019302</v>
      </c>
      <c r="KH51" s="134">
        <f t="shared" si="381"/>
        <v>7.7612608993859222</v>
      </c>
      <c r="KI51" s="133">
        <f t="shared" si="382"/>
        <v>10.745046697674608</v>
      </c>
      <c r="KJ51" s="133">
        <f t="shared" si="115"/>
        <v>13.532990751428157</v>
      </c>
      <c r="KK51" s="133">
        <f t="shared" si="116"/>
        <v>15.252633138654099</v>
      </c>
      <c r="KL51" s="133">
        <f t="shared" si="117"/>
        <v>16.772720087007272</v>
      </c>
      <c r="KM51" s="133">
        <f t="shared" si="118"/>
        <v>18.572783940051764</v>
      </c>
      <c r="KN51" s="81"/>
      <c r="KO51" s="81">
        <v>51</v>
      </c>
      <c r="KP51" s="133">
        <f t="shared" si="119"/>
        <v>-2.9791193002473371</v>
      </c>
      <c r="KQ51" s="133">
        <f t="shared" si="120"/>
        <v>-1.5795722791146787</v>
      </c>
      <c r="KR51" s="133">
        <f t="shared" si="121"/>
        <v>-0.38072782849886266</v>
      </c>
      <c r="KS51" s="133">
        <f t="shared" si="383"/>
        <v>0.99630555165429868</v>
      </c>
      <c r="KT51" s="133">
        <f t="shared" si="384"/>
        <v>3.2821345993339825</v>
      </c>
      <c r="KU51" s="134">
        <f t="shared" si="385"/>
        <v>5.8148035042489283</v>
      </c>
      <c r="KV51" s="133">
        <f t="shared" si="386"/>
        <v>8.3331781289147777</v>
      </c>
      <c r="KW51" s="133">
        <f t="shared" si="122"/>
        <v>10.581606082218912</v>
      </c>
      <c r="KX51" s="133">
        <f t="shared" si="123"/>
        <v>11.924804958414807</v>
      </c>
      <c r="KY51" s="133">
        <f t="shared" si="124"/>
        <v>13.087166505191011</v>
      </c>
      <c r="KZ51" s="133">
        <f t="shared" si="125"/>
        <v>14.435686445351156</v>
      </c>
      <c r="LA51" s="81"/>
      <c r="LB51" s="81">
        <v>49</v>
      </c>
      <c r="LC51" s="133">
        <f t="shared" si="126"/>
        <v>-6.7114428636043755</v>
      </c>
      <c r="LD51" s="133">
        <f t="shared" si="127"/>
        <v>-3.0083653292077202</v>
      </c>
      <c r="LE51" s="133">
        <f t="shared" si="128"/>
        <v>0.24656039525305573</v>
      </c>
      <c r="LF51" s="133">
        <f t="shared" si="387"/>
        <v>4.0749195941627576</v>
      </c>
      <c r="LG51" s="133">
        <f t="shared" si="388"/>
        <v>10.629624388257696</v>
      </c>
      <c r="LH51" s="134">
        <f t="shared" si="389"/>
        <v>18.164502465490074</v>
      </c>
      <c r="LI51" s="133">
        <f t="shared" si="390"/>
        <v>25.921104330054547</v>
      </c>
      <c r="LJ51" s="133">
        <f t="shared" si="129"/>
        <v>33.055012689316065</v>
      </c>
      <c r="LK51" s="133">
        <f t="shared" si="130"/>
        <v>37.406173548521004</v>
      </c>
      <c r="LL51" s="133">
        <f t="shared" si="131"/>
        <v>41.22358156044033</v>
      </c>
      <c r="LM51" s="133">
        <f t="shared" si="132"/>
        <v>45.71122404285196</v>
      </c>
      <c r="LN51" s="81"/>
      <c r="LO51" s="81">
        <v>49</v>
      </c>
      <c r="LP51" s="133">
        <f t="shared" si="133"/>
        <v>-2.4947573284237912</v>
      </c>
      <c r="LQ51" s="133">
        <f t="shared" si="134"/>
        <v>1.184431591139262</v>
      </c>
      <c r="LR51" s="133">
        <f t="shared" si="135"/>
        <v>4.4281903160286724</v>
      </c>
      <c r="LS51" s="133">
        <f t="shared" si="391"/>
        <v>8.2541271282092374</v>
      </c>
      <c r="LT51" s="133">
        <f t="shared" si="392"/>
        <v>14.828862956640403</v>
      </c>
      <c r="LU51" s="134">
        <f t="shared" si="393"/>
        <v>22.420093279322703</v>
      </c>
      <c r="LV51" s="133">
        <f t="shared" si="394"/>
        <v>30.267291611496777</v>
      </c>
      <c r="LW51" s="133">
        <f t="shared" si="136"/>
        <v>37.510394994181738</v>
      </c>
      <c r="LX51" s="133">
        <f t="shared" si="137"/>
        <v>41.939245462772661</v>
      </c>
      <c r="LY51" s="133">
        <f t="shared" si="138"/>
        <v>45.831277114803271</v>
      </c>
      <c r="LZ51" s="133">
        <f t="shared" si="139"/>
        <v>50.413976536060417</v>
      </c>
      <c r="MA51" s="81"/>
      <c r="MB51" s="81">
        <v>51</v>
      </c>
      <c r="MC51" s="133">
        <f t="shared" si="140"/>
        <v>-5.9749487862476904</v>
      </c>
      <c r="MD51" s="133">
        <f t="shared" si="141"/>
        <v>-2.7262989218198044</v>
      </c>
      <c r="ME51" s="133">
        <f t="shared" si="142"/>
        <v>9.9447218287004091E-2</v>
      </c>
      <c r="MF51" s="133">
        <f t="shared" si="395"/>
        <v>3.3913775452627206</v>
      </c>
      <c r="MG51" s="133">
        <f t="shared" si="396"/>
        <v>8.9580429822924543</v>
      </c>
      <c r="MH51" s="134">
        <f t="shared" si="397"/>
        <v>15.263922470797709</v>
      </c>
      <c r="MI51" s="133">
        <f t="shared" si="398"/>
        <v>21.666882060909685</v>
      </c>
      <c r="MJ51" s="133">
        <f t="shared" si="143"/>
        <v>27.48734857597983</v>
      </c>
      <c r="MK51" s="133">
        <f t="shared" si="144"/>
        <v>31.008617862112523</v>
      </c>
      <c r="ML51" s="133">
        <f t="shared" si="145"/>
        <v>34.081381269183403</v>
      </c>
      <c r="MM51" s="133">
        <f t="shared" si="146"/>
        <v>37.675054811231981</v>
      </c>
      <c r="MN51" s="81"/>
      <c r="MO51" s="81">
        <v>49</v>
      </c>
      <c r="MP51" s="133">
        <f t="shared" si="147"/>
        <v>-13.10726938760612</v>
      </c>
      <c r="MQ51" s="133">
        <f t="shared" si="148"/>
        <v>-8.8785998977359455</v>
      </c>
      <c r="MR51" s="133">
        <f t="shared" si="149"/>
        <v>-5.2252002846036376</v>
      </c>
      <c r="MS51" s="133">
        <f t="shared" si="399"/>
        <v>-0.99636795025618596</v>
      </c>
      <c r="MT51" s="133">
        <f t="shared" si="400"/>
        <v>6.0928556908899267</v>
      </c>
      <c r="MU51" s="134">
        <f t="shared" si="401"/>
        <v>14.038602979316124</v>
      </c>
      <c r="MV51" s="133">
        <f t="shared" si="402"/>
        <v>22.024287820966435</v>
      </c>
      <c r="MW51" s="133">
        <f t="shared" si="150"/>
        <v>29.218727615412085</v>
      </c>
      <c r="MX51" s="133">
        <f t="shared" si="151"/>
        <v>33.543698548520489</v>
      </c>
      <c r="MY51" s="133">
        <f t="shared" si="152"/>
        <v>37.301868273143022</v>
      </c>
      <c r="MZ51" s="133">
        <f t="shared" si="153"/>
        <v>41.679203277400056</v>
      </c>
      <c r="NA51" s="81"/>
      <c r="NB51" s="81">
        <v>49</v>
      </c>
      <c r="NC51" s="133">
        <f t="shared" si="154"/>
        <v>-5.4983174360147977</v>
      </c>
      <c r="ND51" s="133">
        <f t="shared" si="155"/>
        <v>-1.6905842492180057</v>
      </c>
      <c r="NE51" s="133">
        <f t="shared" si="156"/>
        <v>1.6039701884288959</v>
      </c>
      <c r="NF51" s="133">
        <f t="shared" si="403"/>
        <v>5.4224443059068257</v>
      </c>
      <c r="NG51" s="133">
        <f t="shared" si="404"/>
        <v>11.834435074241721</v>
      </c>
      <c r="NH51" s="134">
        <f t="shared" si="405"/>
        <v>19.035019262945202</v>
      </c>
      <c r="NI51" s="133">
        <f t="shared" si="406"/>
        <v>26.284616515498382</v>
      </c>
      <c r="NJ51" s="133">
        <f t="shared" si="157"/>
        <v>32.82560168170933</v>
      </c>
      <c r="NK51" s="133">
        <f t="shared" si="158"/>
        <v>36.76176515762873</v>
      </c>
      <c r="NL51" s="133">
        <f t="shared" si="159"/>
        <v>40.184369364068601</v>
      </c>
      <c r="NM51" s="133">
        <f t="shared" si="160"/>
        <v>44.173398137172043</v>
      </c>
      <c r="NN51" s="81"/>
      <c r="NO51" s="81">
        <v>51</v>
      </c>
      <c r="NP51" s="133">
        <f t="shared" si="161"/>
        <v>-14.246783933352525</v>
      </c>
      <c r="NQ51" s="133">
        <f t="shared" si="162"/>
        <v>-10.450875521997435</v>
      </c>
      <c r="NR51" s="133">
        <f t="shared" si="163"/>
        <v>-7.1839965039162372</v>
      </c>
      <c r="NS51" s="133">
        <f t="shared" si="407"/>
        <v>-3.4152753855172051</v>
      </c>
      <c r="NT51" s="133">
        <f t="shared" si="408"/>
        <v>2.8762291845724732</v>
      </c>
      <c r="NU51" s="134">
        <f t="shared" si="409"/>
        <v>9.8945278470585478</v>
      </c>
      <c r="NV51" s="133">
        <f t="shared" si="410"/>
        <v>16.91810184791354</v>
      </c>
      <c r="NW51" s="133">
        <f t="shared" si="164"/>
        <v>23.223506969294021</v>
      </c>
      <c r="NX51" s="133">
        <f t="shared" si="165"/>
        <v>27.004932491217907</v>
      </c>
      <c r="NY51" s="133">
        <f t="shared" si="166"/>
        <v>30.285659689072965</v>
      </c>
      <c r="NZ51" s="133">
        <f t="shared" si="167"/>
        <v>34.101223214809686</v>
      </c>
      <c r="OA51" s="81"/>
      <c r="OB51" s="81">
        <v>49</v>
      </c>
      <c r="OC51" s="133">
        <v>14.046673936024261</v>
      </c>
      <c r="OD51" s="133">
        <v>15.446891219461135</v>
      </c>
      <c r="OE51" s="133">
        <v>16.762293416253641</v>
      </c>
      <c r="OF51" s="133">
        <v>18.418484159907948</v>
      </c>
      <c r="OG51" s="133">
        <v>21.553431714064498</v>
      </c>
      <c r="OH51" s="134">
        <v>25.680367364624747</v>
      </c>
      <c r="OI51" s="133">
        <v>30.597506547031447</v>
      </c>
      <c r="OJ51" s="133">
        <v>35.805404085185025</v>
      </c>
      <c r="OK51" s="133">
        <v>39.34314067922319</v>
      </c>
      <c r="OL51" s="133">
        <v>42.693462303354636</v>
      </c>
      <c r="OM51" s="133">
        <v>46.949282868364335</v>
      </c>
      <c r="ON51" s="81"/>
      <c r="OO51" s="81">
        <v>49</v>
      </c>
      <c r="OP51" s="133">
        <v>12.959497976105627</v>
      </c>
      <c r="OQ51" s="133">
        <v>14.063264978799461</v>
      </c>
      <c r="OR51" s="133">
        <v>15.087467181784588</v>
      </c>
      <c r="OS51" s="133">
        <v>16.361221083058449</v>
      </c>
      <c r="OT51" s="133">
        <v>25.09409997298145</v>
      </c>
      <c r="OU51" s="134">
        <v>21.776190838415722</v>
      </c>
      <c r="OV51" s="133">
        <v>25.317996250763013</v>
      </c>
      <c r="OW51" s="133">
        <v>28.983318850334651</v>
      </c>
      <c r="OX51" s="133">
        <v>31.430224948798244</v>
      </c>
      <c r="OY51" s="133">
        <v>33.719231497519715</v>
      </c>
      <c r="OZ51" s="133">
        <v>36.591115512763103</v>
      </c>
      <c r="PA51" s="81"/>
      <c r="PB51" s="81">
        <v>51</v>
      </c>
      <c r="PC51" s="133">
        <v>17.779314530307619</v>
      </c>
      <c r="PD51" s="133">
        <v>19.128342593279278</v>
      </c>
      <c r="PE51" s="133">
        <v>20.370170167576013</v>
      </c>
      <c r="PF51" s="133">
        <v>21.902304005399461</v>
      </c>
      <c r="PG51" s="133">
        <v>24.718907756151705</v>
      </c>
      <c r="PH51" s="134">
        <v>28.287156473501884</v>
      </c>
      <c r="PI51" s="133">
        <v>32.370492630575306</v>
      </c>
      <c r="PJ51" s="133">
        <v>36.533289883982938</v>
      </c>
      <c r="PK51" s="133">
        <v>39.281126017789965</v>
      </c>
      <c r="PL51" s="133">
        <v>41.831288699184839</v>
      </c>
      <c r="PM51" s="133">
        <v>45.005290839102706</v>
      </c>
      <c r="PN51" s="81"/>
      <c r="PO51" s="81">
        <v>49</v>
      </c>
      <c r="PP51" s="133">
        <v>9.0251667073845425</v>
      </c>
      <c r="PQ51" s="133">
        <v>9.8160032754740367</v>
      </c>
      <c r="PR51" s="133">
        <v>10.55137356769489</v>
      </c>
      <c r="PS51" s="133">
        <v>11.467839294414613</v>
      </c>
      <c r="PT51" s="133">
        <v>13.177222885309417</v>
      </c>
      <c r="PU51" s="134">
        <v>15.384410469194226</v>
      </c>
      <c r="PV51" s="133">
        <v>17.961302434105058</v>
      </c>
      <c r="PW51" s="133">
        <v>20.638594543256946</v>
      </c>
      <c r="PX51" s="133">
        <v>22.431210871852326</v>
      </c>
      <c r="PY51" s="133">
        <v>24.1116551046814</v>
      </c>
      <c r="PZ51" s="133">
        <v>26.224455808777183</v>
      </c>
      <c r="QA51" s="81"/>
      <c r="QB51" s="81">
        <v>49</v>
      </c>
      <c r="QC51" s="133">
        <v>8.805539121255693</v>
      </c>
      <c r="QD51" s="133">
        <v>9.574019920593269</v>
      </c>
      <c r="QE51" s="133">
        <v>10.288386949832823</v>
      </c>
      <c r="QF51" s="133">
        <v>11.178408840701701</v>
      </c>
      <c r="QG51" s="133">
        <v>12.837749771582921</v>
      </c>
      <c r="QH51" s="134">
        <v>14.97910115627395</v>
      </c>
      <c r="QI51" s="133">
        <v>17.477632407709873</v>
      </c>
      <c r="QJ51" s="133">
        <v>20.072040184549468</v>
      </c>
      <c r="QK51" s="133">
        <v>21.808420750886857</v>
      </c>
      <c r="QL51" s="133">
        <v>23.435659556887984</v>
      </c>
      <c r="QM51" s="133">
        <v>25.480946522430695</v>
      </c>
      <c r="QN51" s="81"/>
      <c r="QO51" s="81">
        <v>51</v>
      </c>
      <c r="QP51" s="133">
        <v>9.4538887081319913</v>
      </c>
      <c r="QQ51" s="133">
        <v>10.260192745445488</v>
      </c>
      <c r="QR51" s="133">
        <v>11.008449782555099</v>
      </c>
      <c r="QS51" s="133">
        <v>11.939116690106795</v>
      </c>
      <c r="QT51" s="133">
        <v>13.670009352871853</v>
      </c>
      <c r="QU51" s="134">
        <v>15.896553617966971</v>
      </c>
      <c r="QV51" s="133">
        <v>18.485753038333542</v>
      </c>
      <c r="QW51" s="133">
        <v>21.165754845020995</v>
      </c>
      <c r="QX51" s="133">
        <v>22.95513191415461</v>
      </c>
      <c r="QY51" s="133">
        <v>24.629207579075238</v>
      </c>
      <c r="QZ51" s="133">
        <v>26.729785459768788</v>
      </c>
      <c r="RA51" s="81"/>
      <c r="RB51" s="81">
        <v>49</v>
      </c>
      <c r="RC51" s="133">
        <f t="shared" si="168"/>
        <v>0.32802623025551253</v>
      </c>
      <c r="RD51" s="133">
        <f t="shared" si="169"/>
        <v>0.35727925429043889</v>
      </c>
      <c r="RE51" s="133">
        <f t="shared" si="170"/>
        <v>0.38486660731869393</v>
      </c>
      <c r="RF51" s="133">
        <f t="shared" si="411"/>
        <v>0.41977637502279164</v>
      </c>
      <c r="RG51" s="133">
        <f t="shared" si="412"/>
        <v>0.48648051689416993</v>
      </c>
      <c r="RH51" s="134">
        <f t="shared" si="413"/>
        <v>0.57571742941841986</v>
      </c>
      <c r="RI51" s="133">
        <f t="shared" si="414"/>
        <v>0.68438588716252091</v>
      </c>
      <c r="RJ51" s="133">
        <f t="shared" si="171"/>
        <v>0.80244935403607676</v>
      </c>
      <c r="RK51" s="133">
        <f t="shared" si="172"/>
        <v>0.8844575502759271</v>
      </c>
      <c r="RL51" s="133">
        <f t="shared" si="173"/>
        <v>0.96349749735343826</v>
      </c>
      <c r="RM51" s="133">
        <f t="shared" si="174"/>
        <v>1.0658552766137743</v>
      </c>
      <c r="RN51" s="81"/>
      <c r="RO51" s="81">
        <v>49</v>
      </c>
      <c r="RP51" s="133">
        <f t="shared" si="175"/>
        <v>0.3620205225333038</v>
      </c>
      <c r="RQ51" s="133">
        <f t="shared" si="176"/>
        <v>0.39320273488438795</v>
      </c>
      <c r="RR51" s="133">
        <f t="shared" si="177"/>
        <v>0.42266507734662767</v>
      </c>
      <c r="RS51" s="133">
        <f t="shared" si="415"/>
        <v>0.46003503322421307</v>
      </c>
      <c r="RT51" s="133">
        <f t="shared" si="416"/>
        <v>0.53174417724799816</v>
      </c>
      <c r="RU51" s="134">
        <f t="shared" si="417"/>
        <v>0.62836658826705782</v>
      </c>
      <c r="RV51" s="133">
        <f t="shared" si="418"/>
        <v>0.7471770623617886</v>
      </c>
      <c r="RW51" s="133">
        <f t="shared" si="178"/>
        <v>0.87774985070961686</v>
      </c>
      <c r="RX51" s="133">
        <f t="shared" si="179"/>
        <v>0.96937665690636898</v>
      </c>
      <c r="RY51" s="133">
        <f t="shared" si="180"/>
        <v>1.058411491945215</v>
      </c>
      <c r="RZ51" s="133">
        <f t="shared" si="181"/>
        <v>1.1747679304234018</v>
      </c>
      <c r="SA51" s="81"/>
      <c r="SB51" s="81">
        <v>51</v>
      </c>
      <c r="SC51" s="133">
        <f t="shared" si="182"/>
        <v>0.32484996691377832</v>
      </c>
      <c r="SD51" s="133">
        <f t="shared" si="183"/>
        <v>0.35240602840905733</v>
      </c>
      <c r="SE51" s="133">
        <f t="shared" si="184"/>
        <v>0.37799428558664705</v>
      </c>
      <c r="SF51" s="133">
        <f t="shared" si="419"/>
        <v>0.40984278863149065</v>
      </c>
      <c r="SG51" s="133">
        <f t="shared" si="420"/>
        <v>0.46914397416657161</v>
      </c>
      <c r="SH51" s="134">
        <f t="shared" si="421"/>
        <v>0.54555924809671008</v>
      </c>
      <c r="SI51" s="133">
        <f t="shared" si="422"/>
        <v>0.63460942465072412</v>
      </c>
      <c r="SJ51" s="133">
        <f t="shared" si="185"/>
        <v>0.72699294979900642</v>
      </c>
      <c r="SK51" s="133">
        <f t="shared" si="186"/>
        <v>0.78879183307588063</v>
      </c>
      <c r="SL51" s="133">
        <f t="shared" si="187"/>
        <v>0.8466910965907708</v>
      </c>
      <c r="SM51" s="133">
        <f t="shared" si="188"/>
        <v>0.91945155835785797</v>
      </c>
      <c r="SN51" s="81"/>
      <c r="SO51" s="81">
        <v>49</v>
      </c>
      <c r="SP51" s="133">
        <f t="shared" si="189"/>
        <v>0.24750929733335705</v>
      </c>
      <c r="SQ51" s="133">
        <f t="shared" si="190"/>
        <v>0.26378936298392919</v>
      </c>
      <c r="SR51" s="133">
        <f t="shared" si="191"/>
        <v>0.27841960137518329</v>
      </c>
      <c r="SS51" s="133">
        <f t="shared" si="423"/>
        <v>0.29603026875485355</v>
      </c>
      <c r="ST51" s="133">
        <f t="shared" si="424"/>
        <v>0.32724309779060134</v>
      </c>
      <c r="SU51" s="134">
        <f t="shared" si="425"/>
        <v>0.36486054277676355</v>
      </c>
      <c r="SV51" s="133">
        <f t="shared" si="426"/>
        <v>0.40561792828039933</v>
      </c>
      <c r="SW51" s="133">
        <f t="shared" si="192"/>
        <v>0.44499585825667048</v>
      </c>
      <c r="SX51" s="133">
        <f t="shared" si="193"/>
        <v>0.46992964535176474</v>
      </c>
      <c r="SY51" s="133">
        <f t="shared" si="194"/>
        <v>0.49238837688114984</v>
      </c>
      <c r="SZ51" s="133">
        <f t="shared" si="195"/>
        <v>0.5194988982753308</v>
      </c>
      <c r="TA51" s="81"/>
      <c r="TB51" s="81">
        <v>49</v>
      </c>
      <c r="TC51" s="133">
        <f t="shared" si="196"/>
        <v>0.2664759344785223</v>
      </c>
      <c r="TD51" s="133">
        <f t="shared" si="197"/>
        <v>0.28285555954661235</v>
      </c>
      <c r="TE51" s="133">
        <f t="shared" si="198"/>
        <v>0.29759992587942613</v>
      </c>
      <c r="TF51" s="133">
        <f t="shared" si="427"/>
        <v>0.3153814340402335</v>
      </c>
      <c r="TG51" s="133">
        <f t="shared" si="428"/>
        <v>0.34699358952026177</v>
      </c>
      <c r="TH51" s="134">
        <f t="shared" si="429"/>
        <v>0.38526743225329946</v>
      </c>
      <c r="TI51" s="133">
        <f t="shared" si="430"/>
        <v>0.42696337806302348</v>
      </c>
      <c r="TJ51" s="133">
        <f t="shared" si="199"/>
        <v>0.4674796486747263</v>
      </c>
      <c r="TK51" s="133">
        <f t="shared" si="200"/>
        <v>0.49325356228531592</v>
      </c>
      <c r="TL51" s="133">
        <f t="shared" si="201"/>
        <v>0.5165486599340412</v>
      </c>
      <c r="TM51" s="133">
        <f t="shared" si="202"/>
        <v>0.54476943827852942</v>
      </c>
      <c r="TN51" s="81"/>
      <c r="TO51" s="81">
        <v>51</v>
      </c>
      <c r="TP51" s="133">
        <f t="shared" si="203"/>
        <v>0.24579466598428221</v>
      </c>
      <c r="TQ51" s="133">
        <f t="shared" si="204"/>
        <v>0.26117328054884353</v>
      </c>
      <c r="TR51" s="133">
        <f t="shared" si="205"/>
        <v>0.27482142340035165</v>
      </c>
      <c r="TS51" s="133">
        <f t="shared" si="431"/>
        <v>0.29104431952855453</v>
      </c>
      <c r="TT51" s="133">
        <f t="shared" si="432"/>
        <v>0.31927874414249174</v>
      </c>
      <c r="TU51" s="134">
        <f t="shared" si="433"/>
        <v>0.35249348197181091</v>
      </c>
      <c r="TV51" s="133">
        <f t="shared" si="434"/>
        <v>0.38756995216213375</v>
      </c>
      <c r="TW51" s="133">
        <f t="shared" si="206"/>
        <v>0.42064310067664085</v>
      </c>
      <c r="TX51" s="133">
        <f t="shared" si="207"/>
        <v>0.44120265472173881</v>
      </c>
      <c r="TY51" s="133">
        <f t="shared" si="208"/>
        <v>0.45948349420578594</v>
      </c>
      <c r="TZ51" s="133">
        <f t="shared" si="209"/>
        <v>0.48126578079191329</v>
      </c>
      <c r="UA51" s="81"/>
      <c r="UB51" s="81">
        <v>49</v>
      </c>
      <c r="UC51" s="133">
        <f t="shared" si="210"/>
        <v>-17.522734363139762</v>
      </c>
      <c r="UD51" s="133">
        <f t="shared" si="211"/>
        <v>-14.194726442374147</v>
      </c>
      <c r="UE51" s="133">
        <f t="shared" si="212"/>
        <v>-11.405608654843469</v>
      </c>
      <c r="UF51" s="133">
        <f t="shared" si="435"/>
        <v>-8.2650535362267163</v>
      </c>
      <c r="UG51" s="133">
        <f t="shared" si="436"/>
        <v>-3.1843400230257544</v>
      </c>
      <c r="UH51" s="134">
        <f t="shared" si="437"/>
        <v>2.2763301414794626</v>
      </c>
      <c r="UI51" s="133">
        <f t="shared" si="438"/>
        <v>7.5540247249395804</v>
      </c>
      <c r="UJ51" s="133">
        <f t="shared" si="213"/>
        <v>12.153371036522827</v>
      </c>
      <c r="UK51" s="133">
        <f t="shared" si="214"/>
        <v>14.855101642789862</v>
      </c>
      <c r="UL51" s="133">
        <f t="shared" si="215"/>
        <v>17.167316426547615</v>
      </c>
      <c r="UM51" s="133">
        <f t="shared" si="216"/>
        <v>19.821485043478603</v>
      </c>
      <c r="UN51" s="81"/>
      <c r="UO51" s="81">
        <v>49</v>
      </c>
      <c r="UP51" s="133">
        <f t="shared" si="217"/>
        <v>-13.390005976761007</v>
      </c>
      <c r="UQ51" s="133">
        <f t="shared" si="218"/>
        <v>-10.597300542428091</v>
      </c>
      <c r="UR51" s="133">
        <f t="shared" si="219"/>
        <v>-8.2007840280279574</v>
      </c>
      <c r="US51" s="133">
        <f t="shared" si="439"/>
        <v>-5.443248960595195</v>
      </c>
      <c r="UT51" s="133">
        <f t="shared" si="440"/>
        <v>-0.85479527617501816</v>
      </c>
      <c r="UU51" s="134">
        <f t="shared" si="441"/>
        <v>4.2445510319098219</v>
      </c>
      <c r="UV51" s="133">
        <f t="shared" si="442"/>
        <v>9.3302939304592485</v>
      </c>
      <c r="UW51" s="133">
        <f t="shared" si="220"/>
        <v>13.882971992678847</v>
      </c>
      <c r="UX51" s="133">
        <f t="shared" si="221"/>
        <v>16.607903836929751</v>
      </c>
      <c r="UY51" s="133">
        <f t="shared" si="222"/>
        <v>18.968992865408119</v>
      </c>
      <c r="UZ51" s="133">
        <f t="shared" si="223"/>
        <v>21.711634512841052</v>
      </c>
      <c r="VA51" s="81"/>
      <c r="VB51" s="81">
        <v>52</v>
      </c>
      <c r="VC51" s="133">
        <f t="shared" si="224"/>
        <v>-17.680693528870783</v>
      </c>
      <c r="VD51" s="133">
        <f t="shared" si="225"/>
        <v>-14.358505860120296</v>
      </c>
      <c r="VE51" s="133">
        <f t="shared" si="226"/>
        <v>-11.611270250684058</v>
      </c>
      <c r="VF51" s="133">
        <f t="shared" si="443"/>
        <v>-8.5540677182452569</v>
      </c>
      <c r="VG51" s="133">
        <f t="shared" si="444"/>
        <v>-3.6803831975519401</v>
      </c>
      <c r="VH51" s="134">
        <f t="shared" si="445"/>
        <v>1.470580511464604</v>
      </c>
      <c r="VI51" s="133">
        <f t="shared" si="446"/>
        <v>6.3741147581083339</v>
      </c>
      <c r="VJ51" s="133">
        <f t="shared" si="227"/>
        <v>10.594178271444051</v>
      </c>
      <c r="VK51" s="133">
        <f t="shared" si="228"/>
        <v>13.051997306757613</v>
      </c>
      <c r="VL51" s="133">
        <f t="shared" si="229"/>
        <v>15.143828916752412</v>
      </c>
      <c r="VM51" s="133">
        <f t="shared" si="230"/>
        <v>17.532416601794907</v>
      </c>
      <c r="VN51" s="81"/>
      <c r="VO51" s="81">
        <v>49</v>
      </c>
      <c r="VP51" s="133">
        <f t="shared" si="231"/>
        <v>-30.963477653190182</v>
      </c>
      <c r="VQ51" s="133">
        <f t="shared" si="232"/>
        <v>-26.375534531547711</v>
      </c>
      <c r="VR51" s="133">
        <f t="shared" si="233"/>
        <v>-22.167236924890496</v>
      </c>
      <c r="VS51" s="133">
        <f t="shared" si="447"/>
        <v>-17.021827871106581</v>
      </c>
      <c r="VT51" s="133">
        <f t="shared" si="448"/>
        <v>-7.7585669350800046</v>
      </c>
      <c r="VU51" s="134">
        <f t="shared" si="449"/>
        <v>3.5353458295002511</v>
      </c>
      <c r="VV51" s="133">
        <f t="shared" si="450"/>
        <v>15.815631126451287</v>
      </c>
      <c r="VW51" s="133">
        <f t="shared" si="234"/>
        <v>27.646870533928769</v>
      </c>
      <c r="VX51" s="133">
        <f t="shared" si="235"/>
        <v>35.099257680946941</v>
      </c>
      <c r="VY51" s="133">
        <f t="shared" si="236"/>
        <v>41.777863893200298</v>
      </c>
      <c r="VZ51" s="133">
        <f t="shared" si="237"/>
        <v>49.79070979889044</v>
      </c>
      <c r="WA51" s="81"/>
      <c r="WB51" s="81">
        <v>49</v>
      </c>
      <c r="WC51" s="133">
        <f t="shared" si="238"/>
        <v>-26.160877568338922</v>
      </c>
      <c r="WD51" s="133">
        <f t="shared" si="239"/>
        <v>-21.642687943675686</v>
      </c>
      <c r="WE51" s="133">
        <f t="shared" si="240"/>
        <v>-17.488513120838348</v>
      </c>
      <c r="WF51" s="133">
        <f t="shared" si="451"/>
        <v>-12.398990237789917</v>
      </c>
      <c r="WG51" s="133">
        <f t="shared" si="452"/>
        <v>-3.2139477825178986</v>
      </c>
      <c r="WH51" s="134">
        <f t="shared" si="453"/>
        <v>8.0141339251469361</v>
      </c>
      <c r="WI51" s="133">
        <f t="shared" si="454"/>
        <v>20.250349282625486</v>
      </c>
      <c r="WJ51" s="133">
        <f t="shared" si="241"/>
        <v>32.060074921361768</v>
      </c>
      <c r="WK51" s="133">
        <f t="shared" si="242"/>
        <v>39.507584512749084</v>
      </c>
      <c r="WL51" s="133">
        <f t="shared" si="243"/>
        <v>46.186765306725455</v>
      </c>
      <c r="WM51" s="133">
        <f t="shared" si="244"/>
        <v>54.205838863526246</v>
      </c>
      <c r="WN51" s="81"/>
      <c r="WO51" s="81">
        <v>52</v>
      </c>
      <c r="WP51" s="133">
        <f t="shared" si="245"/>
        <v>-31.660458777015442</v>
      </c>
      <c r="WQ51" s="133">
        <f t="shared" si="246"/>
        <v>-27.043857331421975</v>
      </c>
      <c r="WR51" s="133">
        <f t="shared" si="247"/>
        <v>-22.855930176307574</v>
      </c>
      <c r="WS51" s="133">
        <f t="shared" si="455"/>
        <v>-17.79041903693021</v>
      </c>
      <c r="WT51" s="133">
        <f t="shared" si="456"/>
        <v>-8.8058037536358924</v>
      </c>
      <c r="WU51" s="134">
        <f t="shared" si="457"/>
        <v>1.9474899521600548</v>
      </c>
      <c r="WV51" s="133">
        <f t="shared" si="458"/>
        <v>13.429677319984982</v>
      </c>
      <c r="WW51" s="133">
        <f t="shared" si="248"/>
        <v>24.316207966259476</v>
      </c>
      <c r="WX51" s="133">
        <f t="shared" si="249"/>
        <v>31.095762093102358</v>
      </c>
      <c r="WY51" s="133">
        <f t="shared" si="250"/>
        <v>37.125020153837575</v>
      </c>
      <c r="WZ51" s="133">
        <f t="shared" si="251"/>
        <v>44.305145131713552</v>
      </c>
      <c r="XA51" s="81"/>
      <c r="XB51" s="81">
        <v>49</v>
      </c>
      <c r="XC51" s="133">
        <f t="shared" si="252"/>
        <v>-36.477470163507164</v>
      </c>
      <c r="XD51" s="133">
        <f t="shared" si="253"/>
        <v>-31.463385148577892</v>
      </c>
      <c r="XE51" s="133">
        <f t="shared" si="254"/>
        <v>-26.944814072642625</v>
      </c>
      <c r="XF51" s="133">
        <f t="shared" si="459"/>
        <v>-21.520822007344137</v>
      </c>
      <c r="XG51" s="133">
        <f t="shared" si="460"/>
        <v>-12.011917079396333</v>
      </c>
      <c r="XH51" s="134">
        <f t="shared" si="461"/>
        <v>-0.80725409391063607</v>
      </c>
      <c r="XI51" s="133">
        <f t="shared" si="462"/>
        <v>10.966662870753133</v>
      </c>
      <c r="XJ51" s="133">
        <f t="shared" si="255"/>
        <v>21.968803174887192</v>
      </c>
      <c r="XK51" s="133">
        <f t="shared" si="256"/>
        <v>28.748842163979425</v>
      </c>
      <c r="XL51" s="133">
        <f t="shared" si="257"/>
        <v>34.735898790091092</v>
      </c>
      <c r="XM51" s="133">
        <f t="shared" si="258"/>
        <v>41.816580682132205</v>
      </c>
      <c r="XN51" s="81"/>
      <c r="XO51" s="81">
        <v>49</v>
      </c>
      <c r="XP51" s="133">
        <f t="shared" si="259"/>
        <v>-28.222708615939709</v>
      </c>
      <c r="XQ51" s="133">
        <f t="shared" si="260"/>
        <v>-23.460326161322755</v>
      </c>
      <c r="XR51" s="133">
        <f t="shared" si="261"/>
        <v>-19.220186540175078</v>
      </c>
      <c r="XS51" s="133">
        <f t="shared" si="463"/>
        <v>-14.179832743367314</v>
      </c>
      <c r="XT51" s="133">
        <f t="shared" si="464"/>
        <v>-5.442161090122724</v>
      </c>
      <c r="XU51" s="134">
        <f t="shared" si="465"/>
        <v>4.7341664973119819</v>
      </c>
      <c r="XV51" s="133">
        <f t="shared" si="466"/>
        <v>15.324307412834308</v>
      </c>
      <c r="XW51" s="133">
        <f t="shared" si="262"/>
        <v>25.146135149567606</v>
      </c>
      <c r="XX51" s="133">
        <f t="shared" si="263"/>
        <v>31.169222117568914</v>
      </c>
      <c r="XY51" s="133">
        <f t="shared" si="264"/>
        <v>36.471410592247487</v>
      </c>
      <c r="XZ51" s="133">
        <f t="shared" si="265"/>
        <v>42.724077869303194</v>
      </c>
      <c r="YA51" s="81"/>
      <c r="YB51" s="81">
        <v>52</v>
      </c>
      <c r="YC51" s="133">
        <f t="shared" si="266"/>
        <v>-38.179894211394725</v>
      </c>
      <c r="YD51" s="133">
        <f t="shared" si="267"/>
        <v>-33.205360177731244</v>
      </c>
      <c r="YE51" s="133">
        <f t="shared" si="268"/>
        <v>-28.751766691539562</v>
      </c>
      <c r="YF51" s="133">
        <f t="shared" si="467"/>
        <v>-23.43920215114526</v>
      </c>
      <c r="YG51" s="133">
        <f t="shared" si="468"/>
        <v>-14.203257514468625</v>
      </c>
      <c r="YH51" s="134">
        <f t="shared" si="469"/>
        <v>-3.4285704926085074</v>
      </c>
      <c r="YI51" s="133">
        <f t="shared" si="470"/>
        <v>7.7875470071642212</v>
      </c>
      <c r="YJ51" s="133">
        <f t="shared" si="269"/>
        <v>18.184812933545182</v>
      </c>
      <c r="YK51" s="133">
        <f t="shared" si="270"/>
        <v>24.556540486250562</v>
      </c>
      <c r="YL51" s="133">
        <f t="shared" si="271"/>
        <v>30.162437941937618</v>
      </c>
      <c r="YM51" s="133">
        <f t="shared" si="272"/>
        <v>36.769062054995722</v>
      </c>
      <c r="YN51" s="81"/>
      <c r="YO51" s="81">
        <v>49</v>
      </c>
      <c r="YP51" s="133">
        <v>17.554878222096729</v>
      </c>
      <c r="YQ51" s="133">
        <v>19.601578919873191</v>
      </c>
      <c r="YR51" s="133">
        <v>21.551714240961012</v>
      </c>
      <c r="YS51" s="133">
        <v>24.042087829975621</v>
      </c>
      <c r="YT51" s="133">
        <v>28.853234093283501</v>
      </c>
      <c r="YU51" s="134">
        <v>35.358592616697742</v>
      </c>
      <c r="YV51" s="133">
        <v>43.33067370512277</v>
      </c>
      <c r="YW51" s="133">
        <v>52.001726334050211</v>
      </c>
      <c r="YX51" s="133">
        <v>58.010701972718913</v>
      </c>
      <c r="YY51" s="133">
        <v>63.782110458767065</v>
      </c>
      <c r="YZ51" s="133">
        <v>71.218384771242583</v>
      </c>
      <c r="ZA51" s="81"/>
      <c r="ZB51" s="81">
        <v>49</v>
      </c>
      <c r="ZC51" s="133">
        <v>14.44469503451022</v>
      </c>
      <c r="ZD51" s="133">
        <v>16.293589837621408</v>
      </c>
      <c r="ZE51" s="133">
        <v>18.071942106282698</v>
      </c>
      <c r="ZF51" s="133">
        <v>20.364474788975297</v>
      </c>
      <c r="ZG51" s="133">
        <v>24.854146773945185</v>
      </c>
      <c r="ZH51" s="134">
        <v>31.034128120572518</v>
      </c>
      <c r="ZI51" s="133">
        <v>38.750761269896159</v>
      </c>
      <c r="ZJ51" s="133">
        <v>47.293982201078499</v>
      </c>
      <c r="ZK51" s="133">
        <v>53.293503406547693</v>
      </c>
      <c r="ZL51" s="133">
        <v>59.110184913351702</v>
      </c>
      <c r="ZM51" s="133">
        <v>66.676181525681216</v>
      </c>
      <c r="ZN51" s="81"/>
      <c r="ZO51" s="81">
        <v>52</v>
      </c>
      <c r="ZP51" s="133">
        <v>20.617737629912902</v>
      </c>
      <c r="ZQ51" s="133">
        <v>22.676233897433967</v>
      </c>
      <c r="ZR51" s="133">
        <v>24.610298849115093</v>
      </c>
      <c r="ZS51" s="133">
        <v>27.045757014867114</v>
      </c>
      <c r="ZT51" s="133">
        <v>31.656638116587001</v>
      </c>
      <c r="ZU51" s="134">
        <v>37.728063784413699</v>
      </c>
      <c r="ZV51" s="133">
        <v>44.963927997615514</v>
      </c>
      <c r="ZW51" s="133">
        <v>52.629578685423326</v>
      </c>
      <c r="ZX51" s="133">
        <v>57.83785096018736</v>
      </c>
      <c r="ZY51" s="133">
        <v>62.770864128450384</v>
      </c>
      <c r="ZZ51" s="133">
        <v>69.037972180597691</v>
      </c>
      <c r="AAA51" s="81"/>
      <c r="AAB51" s="81">
        <v>49</v>
      </c>
      <c r="AAC51" s="133">
        <v>9.6935132486496549</v>
      </c>
      <c r="AAD51" s="133">
        <v>10.752095600363502</v>
      </c>
      <c r="AAE51" s="133">
        <v>11.754544013894918</v>
      </c>
      <c r="AAF51" s="133">
        <v>13.026839369574208</v>
      </c>
      <c r="AAG51" s="133">
        <v>15.463053198489705</v>
      </c>
      <c r="AAH51" s="134">
        <v>18.71903423889173</v>
      </c>
      <c r="AAI51" s="133">
        <v>22.660611610068379</v>
      </c>
      <c r="AAJ51" s="133">
        <v>26.898484958309123</v>
      </c>
      <c r="AAK51" s="133">
        <v>29.809939239037611</v>
      </c>
      <c r="AAL51" s="133">
        <v>32.58920454771205</v>
      </c>
      <c r="AAM51" s="133">
        <v>36.148116152377803</v>
      </c>
      <c r="AAN51" s="81"/>
      <c r="AAO51" s="81">
        <v>49</v>
      </c>
      <c r="AAP51" s="133">
        <v>8.8528503510496019</v>
      </c>
      <c r="AAQ51" s="133">
        <v>9.9268488207606111</v>
      </c>
      <c r="AAR51" s="133">
        <v>10.954193669417277</v>
      </c>
      <c r="AAS51" s="133">
        <v>12.271294774004941</v>
      </c>
      <c r="AAT51" s="133">
        <v>14.830238896607696</v>
      </c>
      <c r="AAU51" s="134">
        <v>18.316052935796204</v>
      </c>
      <c r="AAV51" s="133">
        <v>22.621199664128579</v>
      </c>
      <c r="AAW51" s="133">
        <v>27.338418750851979</v>
      </c>
      <c r="AAX51" s="133">
        <v>30.625512499701383</v>
      </c>
      <c r="AAY51" s="133">
        <v>33.79499388016103</v>
      </c>
      <c r="AAZ51" s="133">
        <v>37.894890554330225</v>
      </c>
      <c r="ABA51" s="81"/>
      <c r="ABB51" s="81">
        <v>52</v>
      </c>
      <c r="ABC51" s="133">
        <v>10.373748478317117</v>
      </c>
      <c r="ABD51" s="133">
        <v>11.409141772382625</v>
      </c>
      <c r="ABE51" s="133">
        <v>12.381921640717799</v>
      </c>
      <c r="ABF51" s="133">
        <v>13.606854969945786</v>
      </c>
      <c r="ABG51" s="133">
        <v>15.925844471599166</v>
      </c>
      <c r="ABH51" s="134">
        <v>18.979241932456237</v>
      </c>
      <c r="ABI51" s="133">
        <v>22.61805488387612</v>
      </c>
      <c r="ABJ51" s="133">
        <v>26.472805444485473</v>
      </c>
      <c r="ABK51" s="133">
        <v>29.091738324861748</v>
      </c>
      <c r="ABL51" s="133">
        <v>31.572192853510344</v>
      </c>
      <c r="ABM51" s="133">
        <v>34.723381339311246</v>
      </c>
      <c r="ABN51" s="81"/>
      <c r="ABO51" s="81">
        <v>49</v>
      </c>
      <c r="ABP51" s="133">
        <f t="shared" si="273"/>
        <v>0.25626706871543453</v>
      </c>
      <c r="ABQ51" s="133">
        <f t="shared" si="274"/>
        <v>0.28949579965139438</v>
      </c>
      <c r="ABR51" s="133">
        <f t="shared" si="275"/>
        <v>0.32049622646828335</v>
      </c>
      <c r="ABS51" s="133">
        <f t="shared" si="471"/>
        <v>0.35916434815194115</v>
      </c>
      <c r="ABT51" s="133">
        <f t="shared" si="472"/>
        <v>0.43108644630704396</v>
      </c>
      <c r="ABU51" s="134">
        <f t="shared" si="473"/>
        <v>0.52303524504434884</v>
      </c>
      <c r="ABV51" s="133">
        <f t="shared" si="474"/>
        <v>0.6285158955123098</v>
      </c>
      <c r="ABW51" s="133">
        <f t="shared" si="276"/>
        <v>0.73564380867422297</v>
      </c>
      <c r="ABX51" s="133">
        <f t="shared" si="277"/>
        <v>0.80590893078129544</v>
      </c>
      <c r="ABY51" s="133">
        <f t="shared" si="278"/>
        <v>0.87070944104877912</v>
      </c>
      <c r="ABZ51" s="133">
        <f t="shared" si="279"/>
        <v>0.95073781674951263</v>
      </c>
      <c r="ACA51" s="81"/>
      <c r="ACB51" s="81">
        <v>49</v>
      </c>
      <c r="ACC51" s="133">
        <f t="shared" si="280"/>
        <v>0.30035216960675359</v>
      </c>
      <c r="ACD51" s="133">
        <f t="shared" si="281"/>
        <v>0.33290280929181332</v>
      </c>
      <c r="ACE51" s="133">
        <f t="shared" si="282"/>
        <v>0.36327755960787622</v>
      </c>
      <c r="ACF51" s="133">
        <f t="shared" si="475"/>
        <v>0.4012245874816574</v>
      </c>
      <c r="ACG51" s="133">
        <f t="shared" si="476"/>
        <v>0.47211635657883522</v>
      </c>
      <c r="ACH51" s="134">
        <f t="shared" si="477"/>
        <v>0.56356408455535723</v>
      </c>
      <c r="ACI51" s="133">
        <f t="shared" si="478"/>
        <v>0.66982997838239</v>
      </c>
      <c r="ACJ51" s="133">
        <f t="shared" si="283"/>
        <v>0.77938534693977546</v>
      </c>
      <c r="ACK51" s="133">
        <f t="shared" si="284"/>
        <v>0.85216920689765963</v>
      </c>
      <c r="ACL51" s="133">
        <f t="shared" si="285"/>
        <v>0.91995233904924067</v>
      </c>
      <c r="ACM51" s="133">
        <f t="shared" si="286"/>
        <v>1.0045412829437865</v>
      </c>
      <c r="ACN51" s="81"/>
      <c r="ACO51" s="81">
        <v>52</v>
      </c>
      <c r="ACP51" s="133">
        <f t="shared" si="287"/>
        <v>0.24316120193155216</v>
      </c>
      <c r="ACQ51" s="133">
        <f t="shared" si="288"/>
        <v>0.2780150866563747</v>
      </c>
      <c r="ACR51" s="133">
        <f t="shared" si="289"/>
        <v>0.3099212024217563</v>
      </c>
      <c r="ACS51" s="133">
        <f t="shared" si="479"/>
        <v>0.34893046413683032</v>
      </c>
      <c r="ACT51" s="133">
        <f t="shared" si="480"/>
        <v>0.41938910040205818</v>
      </c>
      <c r="ACU51" s="134">
        <f t="shared" si="481"/>
        <v>0.50567887886518337</v>
      </c>
      <c r="ACV51" s="133">
        <f t="shared" si="482"/>
        <v>0.60031768619482062</v>
      </c>
      <c r="ACW51" s="133">
        <f t="shared" si="290"/>
        <v>0.69251970303035626</v>
      </c>
      <c r="ACX51" s="133">
        <f t="shared" si="291"/>
        <v>0.75100434752455936</v>
      </c>
      <c r="ACY51" s="133">
        <f t="shared" si="292"/>
        <v>0.80371443006009902</v>
      </c>
      <c r="ACZ51" s="133">
        <f t="shared" si="293"/>
        <v>0.86732358513555341</v>
      </c>
      <c r="ADA51" s="81"/>
      <c r="ADB51" s="81">
        <v>49</v>
      </c>
      <c r="ADC51" s="133">
        <f t="shared" si="294"/>
        <v>0.2056229633912475</v>
      </c>
      <c r="ADD51" s="133">
        <f t="shared" si="295"/>
        <v>0.22609149679344356</v>
      </c>
      <c r="ADE51" s="133">
        <f t="shared" si="296"/>
        <v>0.24403708603249594</v>
      </c>
      <c r="ADF51" s="133">
        <f t="shared" si="483"/>
        <v>0.26510141260282871</v>
      </c>
      <c r="ADG51" s="133">
        <f t="shared" si="484"/>
        <v>0.3010863852955194</v>
      </c>
      <c r="ADH51" s="134">
        <f t="shared" si="485"/>
        <v>0.34236595778729906</v>
      </c>
      <c r="ADI51" s="133">
        <f t="shared" si="486"/>
        <v>0.38479864923207274</v>
      </c>
      <c r="ADJ51" s="133">
        <f t="shared" si="297"/>
        <v>0.42379088688792738</v>
      </c>
      <c r="ADK51" s="133">
        <f t="shared" si="298"/>
        <v>0.44756326433331584</v>
      </c>
      <c r="ADL51" s="133">
        <f t="shared" si="299"/>
        <v>0.46841546666943173</v>
      </c>
      <c r="ADM51" s="133">
        <f t="shared" si="300"/>
        <v>0.49292566607279564</v>
      </c>
      <c r="ADN51" s="81"/>
      <c r="ADO51" s="81">
        <v>49</v>
      </c>
      <c r="ADP51" s="133">
        <f t="shared" si="301"/>
        <v>0.23254686061376784</v>
      </c>
      <c r="ADQ51" s="133">
        <f t="shared" si="302"/>
        <v>0.25104258445772376</v>
      </c>
      <c r="ADR51" s="133">
        <f t="shared" si="303"/>
        <v>0.26739041552128157</v>
      </c>
      <c r="ADS51" s="133">
        <f t="shared" si="487"/>
        <v>0.28673645927235958</v>
      </c>
      <c r="ADT51" s="133">
        <f t="shared" si="488"/>
        <v>0.32017542522877018</v>
      </c>
      <c r="ADU51" s="134">
        <f t="shared" si="489"/>
        <v>0.35912854110842368</v>
      </c>
      <c r="ADV51" s="133">
        <f t="shared" si="490"/>
        <v>0.39981324698350934</v>
      </c>
      <c r="ADW51" s="133">
        <f t="shared" si="304"/>
        <v>0.43775615894464842</v>
      </c>
      <c r="ADX51" s="133">
        <f t="shared" si="305"/>
        <v>0.46114310408115128</v>
      </c>
      <c r="ADY51" s="133">
        <f t="shared" si="306"/>
        <v>0.48181219844724565</v>
      </c>
      <c r="ADZ51" s="133">
        <f t="shared" si="307"/>
        <v>0.50628885652321054</v>
      </c>
      <c r="AEA51" s="81"/>
      <c r="AEB51" s="81">
        <v>52</v>
      </c>
      <c r="AEC51" s="133">
        <f t="shared" si="308"/>
        <v>0.19758215299412332</v>
      </c>
      <c r="AED51" s="133">
        <f t="shared" si="309"/>
        <v>0.2194144699190024</v>
      </c>
      <c r="AEE51" s="133">
        <f t="shared" si="310"/>
        <v>0.23812175733727231</v>
      </c>
      <c r="AEF51" s="133">
        <f t="shared" si="491"/>
        <v>0.25961757160257209</v>
      </c>
      <c r="AEG51" s="133">
        <f t="shared" si="492"/>
        <v>0.29532122093412533</v>
      </c>
      <c r="AEH51" s="134">
        <f t="shared" si="493"/>
        <v>0.33491411331859483</v>
      </c>
      <c r="AEI51" s="133">
        <f t="shared" si="494"/>
        <v>0.37432020429201784</v>
      </c>
      <c r="AEJ51" s="133">
        <f t="shared" si="311"/>
        <v>0.40953353485743016</v>
      </c>
      <c r="AEK51" s="133">
        <f t="shared" si="312"/>
        <v>0.43058376946586957</v>
      </c>
      <c r="AEL51" s="133">
        <f t="shared" si="313"/>
        <v>0.44880833068462284</v>
      </c>
      <c r="AEM51" s="133">
        <f t="shared" si="314"/>
        <v>0.46996126945494426</v>
      </c>
      <c r="AEN51" s="81"/>
    </row>
    <row r="52" spans="1:820">
      <c r="A52" s="81"/>
      <c r="B52" s="81">
        <v>51</v>
      </c>
      <c r="C52" s="133">
        <f t="shared" si="0"/>
        <v>2.1003401584314374</v>
      </c>
      <c r="D52" s="133">
        <f t="shared" si="1"/>
        <v>2.5270053146878362</v>
      </c>
      <c r="E52" s="133">
        <f t="shared" si="2"/>
        <v>2.9780948868831532</v>
      </c>
      <c r="F52" s="133">
        <f t="shared" si="315"/>
        <v>3.6219987598453742</v>
      </c>
      <c r="G52" s="133">
        <f t="shared" si="316"/>
        <v>5.1044627399722993</v>
      </c>
      <c r="H52" s="134">
        <f t="shared" si="317"/>
        <v>7.6899686284255209</v>
      </c>
      <c r="I52" s="133">
        <f t="shared" si="318"/>
        <v>11.979025072730462</v>
      </c>
      <c r="J52" s="133">
        <f t="shared" si="3"/>
        <v>18.432958682586339</v>
      </c>
      <c r="K52" s="133">
        <f t="shared" si="4"/>
        <v>24.28588004198749</v>
      </c>
      <c r="L52" s="133">
        <f t="shared" si="5"/>
        <v>31.216701974035871</v>
      </c>
      <c r="M52" s="133">
        <f t="shared" si="6"/>
        <v>42.446135723097221</v>
      </c>
      <c r="N52" s="81"/>
      <c r="O52" s="75">
        <v>51</v>
      </c>
      <c r="P52" s="151">
        <f t="shared" si="7"/>
        <v>2.809211636488512</v>
      </c>
      <c r="Q52" s="151">
        <f t="shared" si="8"/>
        <v>3.2236074655433411</v>
      </c>
      <c r="R52" s="151">
        <f t="shared" si="9"/>
        <v>3.6519801226699706</v>
      </c>
      <c r="S52" s="151">
        <f t="shared" si="319"/>
        <v>4.2518964864866247</v>
      </c>
      <c r="T52" s="151">
        <f t="shared" si="320"/>
        <v>5.6062059392755295</v>
      </c>
      <c r="U52" s="134">
        <f t="shared" si="321"/>
        <v>7.9517846227706057</v>
      </c>
      <c r="V52" s="151">
        <f t="shared" si="322"/>
        <v>11.945464931974891</v>
      </c>
      <c r="W52" s="151">
        <f t="shared" si="10"/>
        <v>18.406081592775781</v>
      </c>
      <c r="X52" s="151">
        <f t="shared" si="11"/>
        <v>24.860637765244814</v>
      </c>
      <c r="Y52" s="151">
        <f t="shared" si="12"/>
        <v>33.354925956820551</v>
      </c>
      <c r="Z52" s="151">
        <f t="shared" si="13"/>
        <v>49.37501475332293</v>
      </c>
      <c r="AA52" s="81"/>
      <c r="AB52" s="75">
        <v>53</v>
      </c>
      <c r="AC52" s="151">
        <f t="shared" si="14"/>
        <v>1.8345997779643135</v>
      </c>
      <c r="AD52" s="151">
        <f t="shared" si="15"/>
        <v>2.2132112022819448</v>
      </c>
      <c r="AE52" s="151">
        <f t="shared" si="16"/>
        <v>2.6179569407644672</v>
      </c>
      <c r="AF52" s="151">
        <f t="shared" si="323"/>
        <v>3.2035196972711195</v>
      </c>
      <c r="AG52" s="151">
        <f t="shared" si="324"/>
        <v>4.5851789179425539</v>
      </c>
      <c r="AH52" s="134">
        <f t="shared" si="325"/>
        <v>7.0983561823584918</v>
      </c>
      <c r="AI52" s="151">
        <f t="shared" si="326"/>
        <v>11.526007564156997</v>
      </c>
      <c r="AJ52" s="151">
        <f t="shared" si="17"/>
        <v>18.720998587348042</v>
      </c>
      <c r="AK52" s="151">
        <f t="shared" si="18"/>
        <v>25.738804929610264</v>
      </c>
      <c r="AL52" s="151">
        <f t="shared" si="19"/>
        <v>34.601195498216654</v>
      </c>
      <c r="AM52" s="151">
        <f t="shared" si="20"/>
        <v>50.132993674919128</v>
      </c>
      <c r="AN52" s="81"/>
      <c r="AO52" s="81">
        <v>51</v>
      </c>
      <c r="AP52" s="133">
        <f t="shared" si="21"/>
        <v>1.5370167973121669</v>
      </c>
      <c r="AQ52" s="133">
        <f t="shared" si="22"/>
        <v>3.9555734083720386</v>
      </c>
      <c r="AR52" s="133">
        <f t="shared" si="23"/>
        <v>6.2900329383207447</v>
      </c>
      <c r="AS52" s="133">
        <f t="shared" si="327"/>
        <v>9.2766033637595982</v>
      </c>
      <c r="AT52" s="133">
        <f t="shared" si="328"/>
        <v>14.970406676499842</v>
      </c>
      <c r="AU52" s="134">
        <f t="shared" si="329"/>
        <v>22.37947358205183</v>
      </c>
      <c r="AV52" s="133">
        <f t="shared" si="330"/>
        <v>30.924758609944579</v>
      </c>
      <c r="AW52" s="133">
        <f t="shared" si="24"/>
        <v>39.570561817499524</v>
      </c>
      <c r="AX52" s="133">
        <f t="shared" si="25"/>
        <v>45.201473818596249</v>
      </c>
      <c r="AY52" s="133">
        <f t="shared" si="26"/>
        <v>50.359325319020861</v>
      </c>
      <c r="AZ52" s="133">
        <f t="shared" si="27"/>
        <v>56.678013037189899</v>
      </c>
      <c r="BA52" s="81"/>
      <c r="BB52" s="81">
        <v>51</v>
      </c>
      <c r="BC52" s="133">
        <f t="shared" si="28"/>
        <v>4.4287978805035921</v>
      </c>
      <c r="BD52" s="133">
        <f t="shared" si="29"/>
        <v>7.1985173939606346</v>
      </c>
      <c r="BE52" s="133">
        <f t="shared" si="30"/>
        <v>9.7757301885720409</v>
      </c>
      <c r="BF52" s="133">
        <f t="shared" si="331"/>
        <v>12.963931773304633</v>
      </c>
      <c r="BG52" s="133">
        <f t="shared" si="332"/>
        <v>18.781486654881274</v>
      </c>
      <c r="BH52" s="134">
        <f t="shared" si="333"/>
        <v>25.972568495345197</v>
      </c>
      <c r="BI52" s="133">
        <f t="shared" si="334"/>
        <v>33.878666509411737</v>
      </c>
      <c r="BJ52" s="133">
        <f t="shared" si="31"/>
        <v>41.558739730538946</v>
      </c>
      <c r="BK52" s="133">
        <f t="shared" si="32"/>
        <v>46.421451783000471</v>
      </c>
      <c r="BL52" s="133">
        <f t="shared" si="33"/>
        <v>50.793161146000635</v>
      </c>
      <c r="BM52" s="133">
        <f t="shared" si="34"/>
        <v>56.053437112727551</v>
      </c>
      <c r="BN52" s="81"/>
      <c r="BO52" s="75">
        <v>53</v>
      </c>
      <c r="BP52" s="151">
        <f t="shared" si="35"/>
        <v>4.2358260766091274</v>
      </c>
      <c r="BQ52" s="151">
        <f t="shared" si="36"/>
        <v>5.4577863595076543</v>
      </c>
      <c r="BR52" s="151">
        <f t="shared" si="37"/>
        <v>6.7374466170249123</v>
      </c>
      <c r="BS52" s="151">
        <f t="shared" si="335"/>
        <v>8.5220187375033039</v>
      </c>
      <c r="BT52" s="151">
        <f t="shared" si="336"/>
        <v>12.395200558458733</v>
      </c>
      <c r="BU52" s="134">
        <f t="shared" si="337"/>
        <v>18.389656710608786</v>
      </c>
      <c r="BV52" s="151">
        <f t="shared" si="338"/>
        <v>26.695672810123341</v>
      </c>
      <c r="BW52" s="151">
        <f t="shared" si="38"/>
        <v>36.68069440836625</v>
      </c>
      <c r="BX52" s="151">
        <f t="shared" si="39"/>
        <v>44.071009440096944</v>
      </c>
      <c r="BY52" s="151">
        <f t="shared" si="40"/>
        <v>51.473394499609562</v>
      </c>
      <c r="BZ52" s="151">
        <f t="shared" si="41"/>
        <v>61.388181686103422</v>
      </c>
      <c r="CA52" s="81"/>
      <c r="CB52" s="81">
        <v>51</v>
      </c>
      <c r="CC52" s="133">
        <f t="shared" si="42"/>
        <v>-4.8692822253605561</v>
      </c>
      <c r="CD52" s="133">
        <f t="shared" si="43"/>
        <v>-2.5084046106538365</v>
      </c>
      <c r="CE52" s="133">
        <f t="shared" si="44"/>
        <v>-0.11880886565422433</v>
      </c>
      <c r="CF52" s="133">
        <f t="shared" si="339"/>
        <v>2.97238603494272</v>
      </c>
      <c r="CG52" s="133">
        <f t="shared" si="340"/>
        <v>8.8008733818876657</v>
      </c>
      <c r="CH52" s="134">
        <f t="shared" si="341"/>
        <v>16.133222018974056</v>
      </c>
      <c r="CI52" s="133">
        <f t="shared" si="342"/>
        <v>24.220001745478399</v>
      </c>
      <c r="CJ52" s="133">
        <f t="shared" si="45"/>
        <v>32.043014843164514</v>
      </c>
      <c r="CK52" s="133">
        <f t="shared" si="46"/>
        <v>36.968463411459517</v>
      </c>
      <c r="CL52" s="133">
        <f t="shared" si="47"/>
        <v>41.375415267328137</v>
      </c>
      <c r="CM52" s="133">
        <f t="shared" si="48"/>
        <v>46.650168832314733</v>
      </c>
      <c r="CN52" s="81"/>
      <c r="CO52" s="81">
        <v>51</v>
      </c>
      <c r="CP52" s="133">
        <f t="shared" si="49"/>
        <v>0.91170051956324638</v>
      </c>
      <c r="CQ52" s="133">
        <f t="shared" si="50"/>
        <v>3.4373786262848318</v>
      </c>
      <c r="CR52" s="133">
        <f t="shared" si="51"/>
        <v>5.7902473051671519</v>
      </c>
      <c r="CS52" s="133">
        <f t="shared" si="343"/>
        <v>8.6909833391233846</v>
      </c>
      <c r="CT52" s="133">
        <f t="shared" si="344"/>
        <v>13.935708098260204</v>
      </c>
      <c r="CU52" s="134">
        <f t="shared" si="345"/>
        <v>20.319080357515773</v>
      </c>
      <c r="CV52" s="133">
        <f t="shared" si="346"/>
        <v>27.212222097325704</v>
      </c>
      <c r="CW52" s="133">
        <f t="shared" si="52"/>
        <v>33.793375875066921</v>
      </c>
      <c r="CX52" s="133">
        <f t="shared" si="53"/>
        <v>37.906886102437532</v>
      </c>
      <c r="CY52" s="133">
        <f t="shared" si="54"/>
        <v>41.572311033313639</v>
      </c>
      <c r="CZ52" s="133">
        <f t="shared" si="55"/>
        <v>45.944215923301478</v>
      </c>
      <c r="DA52" s="81"/>
      <c r="DB52" s="81">
        <v>53</v>
      </c>
      <c r="DC52" s="133">
        <f t="shared" si="56"/>
        <v>-5.1869325364778831</v>
      </c>
      <c r="DD52" s="133">
        <f t="shared" si="57"/>
        <v>-3.4504873226106412</v>
      </c>
      <c r="DE52" s="133">
        <f t="shared" si="58"/>
        <v>-1.6153332663346589</v>
      </c>
      <c r="DF52" s="133">
        <f t="shared" si="347"/>
        <v>0.85482906183413832</v>
      </c>
      <c r="DG52" s="133">
        <f t="shared" si="348"/>
        <v>5.7451895589537498</v>
      </c>
      <c r="DH52" s="134">
        <f t="shared" si="349"/>
        <v>12.230434135931965</v>
      </c>
      <c r="DI52" s="133">
        <f t="shared" si="350"/>
        <v>19.716051892243129</v>
      </c>
      <c r="DJ52" s="133">
        <f t="shared" si="59"/>
        <v>27.226242658829424</v>
      </c>
      <c r="DK52" s="133">
        <f t="shared" si="60"/>
        <v>32.07091250906609</v>
      </c>
      <c r="DL52" s="133">
        <f t="shared" si="61"/>
        <v>36.473891540130339</v>
      </c>
      <c r="DM52" s="133">
        <f t="shared" si="62"/>
        <v>41.822114785310568</v>
      </c>
      <c r="DN52" s="81"/>
      <c r="DO52" s="81">
        <v>51</v>
      </c>
      <c r="DP52" s="133">
        <v>13.064723287793468</v>
      </c>
      <c r="DQ52" s="133">
        <v>14.248540800927886</v>
      </c>
      <c r="DR52" s="133">
        <v>15.352134695530165</v>
      </c>
      <c r="DS52" s="133">
        <v>16.731006482683384</v>
      </c>
      <c r="DT52" s="133">
        <v>19.31229876901595</v>
      </c>
      <c r="DU52" s="134">
        <v>22.661374510732543</v>
      </c>
      <c r="DV52" s="133">
        <v>26.591236023107864</v>
      </c>
      <c r="DW52" s="133">
        <v>30.693783739023175</v>
      </c>
      <c r="DX52" s="133">
        <v>33.450585530961852</v>
      </c>
      <c r="DY52" s="133">
        <v>36.041437638458824</v>
      </c>
      <c r="DZ52" s="133">
        <v>39.307215576121948</v>
      </c>
      <c r="EA52" s="81"/>
      <c r="EB52" s="81">
        <v>51</v>
      </c>
      <c r="EC52" s="133">
        <v>12.704234259124309</v>
      </c>
      <c r="ED52" s="133">
        <v>13.698631802909199</v>
      </c>
      <c r="EE52" s="133">
        <v>14.615902569044479</v>
      </c>
      <c r="EF52" s="133">
        <v>15.749944467561029</v>
      </c>
      <c r="EG52" s="133">
        <v>17.840910638329031</v>
      </c>
      <c r="EH52" s="134">
        <v>20.500229649545354</v>
      </c>
      <c r="EI52" s="133">
        <v>23.555939727718961</v>
      </c>
      <c r="EJ52" s="133">
        <v>26.683231585335122</v>
      </c>
      <c r="EK52" s="133">
        <v>28.753572603458665</v>
      </c>
      <c r="EL52" s="133">
        <v>30.678933614001316</v>
      </c>
      <c r="EM52" s="133">
        <v>33.080263407632309</v>
      </c>
      <c r="EN52" s="81"/>
      <c r="EO52" s="81">
        <v>53</v>
      </c>
      <c r="EP52" s="133">
        <v>14.079049209577029</v>
      </c>
      <c r="EQ52" s="133">
        <v>15.200788228195355</v>
      </c>
      <c r="ER52" s="133">
        <v>16.236772156780795</v>
      </c>
      <c r="ES52" s="133">
        <v>17.519125402421</v>
      </c>
      <c r="ET52" s="133">
        <v>19.887650810667107</v>
      </c>
      <c r="EU52" s="134">
        <v>22.906840374980714</v>
      </c>
      <c r="EV52" s="133">
        <v>26.384379983351351</v>
      </c>
      <c r="EW52" s="133">
        <v>29.951457273793707</v>
      </c>
      <c r="EX52" s="133">
        <v>32.316973527630111</v>
      </c>
      <c r="EY52" s="133">
        <v>34.519482022093925</v>
      </c>
      <c r="EZ52" s="133">
        <v>37.269799128758827</v>
      </c>
      <c r="FA52" s="81"/>
      <c r="FB52" s="81">
        <v>51</v>
      </c>
      <c r="FC52" s="133">
        <v>8.6731895888419519</v>
      </c>
      <c r="FD52" s="133">
        <v>9.4690113264078377</v>
      </c>
      <c r="FE52" s="133">
        <v>10.211625449350034</v>
      </c>
      <c r="FF52" s="133">
        <v>11.140378881501718</v>
      </c>
      <c r="FG52" s="133">
        <v>12.881473051452746</v>
      </c>
      <c r="FH52" s="134">
        <v>15.144600894017291</v>
      </c>
      <c r="FI52" s="133">
        <v>17.805334477115778</v>
      </c>
      <c r="FJ52" s="133">
        <v>20.588073231505017</v>
      </c>
      <c r="FK52" s="133">
        <v>22.460570785395181</v>
      </c>
      <c r="FL52" s="133">
        <v>24.222057439029253</v>
      </c>
      <c r="FM52" s="133">
        <v>26.444589258620532</v>
      </c>
      <c r="FN52" s="81"/>
      <c r="FO52" s="81">
        <v>51</v>
      </c>
      <c r="FP52" s="133">
        <v>8.6030799427032747</v>
      </c>
      <c r="FQ52" s="133">
        <v>9.2905121202741547</v>
      </c>
      <c r="FR52" s="133">
        <v>9.925517356113696</v>
      </c>
      <c r="FS52" s="133">
        <v>10.711690365771082</v>
      </c>
      <c r="FT52" s="133">
        <v>12.164178043751429</v>
      </c>
      <c r="FU52" s="134">
        <v>14.016377205984099</v>
      </c>
      <c r="FV52" s="133">
        <v>16.150604609190903</v>
      </c>
      <c r="FW52" s="133">
        <v>18.34060015478132</v>
      </c>
      <c r="FX52" s="133">
        <v>19.79330879507458</v>
      </c>
      <c r="FY52" s="133">
        <v>21.146178750653561</v>
      </c>
      <c r="FZ52" s="133">
        <v>22.835871721389466</v>
      </c>
      <c r="GA52" s="81"/>
      <c r="GB52" s="81">
        <v>53</v>
      </c>
      <c r="GC52" s="133">
        <v>9.3424382112798146</v>
      </c>
      <c r="GD52" s="133">
        <v>10.115760174289004</v>
      </c>
      <c r="GE52" s="133">
        <v>10.831866950351944</v>
      </c>
      <c r="GF52" s="133">
        <v>11.720633154855619</v>
      </c>
      <c r="GG52" s="133">
        <v>13.368491019286761</v>
      </c>
      <c r="GH52" s="134">
        <v>15.479624762118492</v>
      </c>
      <c r="GI52" s="133">
        <v>17.924145846400567</v>
      </c>
      <c r="GJ52" s="133">
        <v>20.444184167364963</v>
      </c>
      <c r="GK52" s="133">
        <v>22.121651223587687</v>
      </c>
      <c r="GL52" s="133">
        <v>23.687669403731579</v>
      </c>
      <c r="GM52" s="133">
        <v>25.648420397009708</v>
      </c>
      <c r="GN52" s="81"/>
      <c r="GO52" s="81">
        <v>51</v>
      </c>
      <c r="GP52" s="133">
        <f t="shared" si="63"/>
        <v>0.48509576881288702</v>
      </c>
      <c r="GQ52" s="133">
        <f t="shared" si="64"/>
        <v>0.51848661101166327</v>
      </c>
      <c r="GR52" s="133">
        <f t="shared" si="65"/>
        <v>0.54548001872392837</v>
      </c>
      <c r="GS52" s="133">
        <f t="shared" si="351"/>
        <v>0.5749420199576698</v>
      </c>
      <c r="GT52" s="133">
        <f t="shared" si="352"/>
        <v>0.62210682245768545</v>
      </c>
      <c r="GU52" s="134">
        <f t="shared" si="353"/>
        <v>0.66803594493538854</v>
      </c>
      <c r="GV52" s="133">
        <f t="shared" si="354"/>
        <v>0.71083846986415711</v>
      </c>
      <c r="GW52" s="133">
        <f t="shared" si="66"/>
        <v>0.74905405027445648</v>
      </c>
      <c r="GX52" s="133">
        <f t="shared" si="67"/>
        <v>0.7703857060016589</v>
      </c>
      <c r="GY52" s="133">
        <f t="shared" si="68"/>
        <v>0.78839315414888467</v>
      </c>
      <c r="GZ52" s="133">
        <f t="shared" si="69"/>
        <v>0.80879736490903065</v>
      </c>
      <c r="HA52" s="81"/>
      <c r="HB52" s="81">
        <v>51</v>
      </c>
      <c r="HC52" s="133">
        <f t="shared" si="70"/>
        <v>0.47167458431389708</v>
      </c>
      <c r="HD52" s="133">
        <f t="shared" si="71"/>
        <v>0.50755252622697278</v>
      </c>
      <c r="HE52" s="133">
        <f t="shared" si="72"/>
        <v>0.53642182867901689</v>
      </c>
      <c r="HF52" s="133">
        <f t="shared" si="355"/>
        <v>0.56781916217784523</v>
      </c>
      <c r="HG52" s="133">
        <f t="shared" si="356"/>
        <v>0.61651645799537358</v>
      </c>
      <c r="HH52" s="134">
        <f t="shared" si="357"/>
        <v>0.66646086724617382</v>
      </c>
      <c r="HI52" s="133">
        <f t="shared" si="358"/>
        <v>0.71278511656107246</v>
      </c>
      <c r="HJ52" s="133">
        <f t="shared" si="73"/>
        <v>0.75183043707673169</v>
      </c>
      <c r="HK52" s="133">
        <f t="shared" si="74"/>
        <v>0.77425677908872592</v>
      </c>
      <c r="HL52" s="133">
        <f t="shared" si="75"/>
        <v>0.79317496094290874</v>
      </c>
      <c r="HM52" s="133">
        <f t="shared" si="76"/>
        <v>0.8145977570884485</v>
      </c>
      <c r="HN52" s="81"/>
      <c r="HO52" s="81">
        <v>53</v>
      </c>
      <c r="HP52" s="83">
        <f t="shared" si="77"/>
        <v>0.49907977838475365</v>
      </c>
      <c r="HQ52" s="83">
        <f t="shared" si="78"/>
        <v>0.53037985799283638</v>
      </c>
      <c r="HR52" s="83">
        <f t="shared" si="79"/>
        <v>0.55578514396514445</v>
      </c>
      <c r="HS52" s="83">
        <f t="shared" si="359"/>
        <v>0.58360098851897346</v>
      </c>
      <c r="HT52" s="83">
        <f t="shared" si="360"/>
        <v>0.62705907780898784</v>
      </c>
      <c r="HU52" s="84">
        <f t="shared" si="361"/>
        <v>0.67194910212916137</v>
      </c>
      <c r="HV52" s="83">
        <f t="shared" si="362"/>
        <v>0.71381197336014901</v>
      </c>
      <c r="HW52" s="83">
        <f t="shared" si="80"/>
        <v>0.74923296669514639</v>
      </c>
      <c r="HX52" s="83">
        <f t="shared" si="81"/>
        <v>0.76962501787278936</v>
      </c>
      <c r="HY52" s="83">
        <f t="shared" si="82"/>
        <v>0.78685085859701898</v>
      </c>
      <c r="HZ52" s="83">
        <f t="shared" si="83"/>
        <v>0.80638107388725166</v>
      </c>
      <c r="IA52" s="81"/>
      <c r="IB52" s="81">
        <v>51</v>
      </c>
      <c r="IC52" s="83">
        <f t="shared" si="84"/>
        <v>0.32781748648392928</v>
      </c>
      <c r="ID52" s="83">
        <f t="shared" si="85"/>
        <v>0.34204310167859692</v>
      </c>
      <c r="IE52" s="83">
        <f t="shared" si="86"/>
        <v>0.35314969532737617</v>
      </c>
      <c r="IF52" s="83">
        <f t="shared" si="363"/>
        <v>0.36491726214498055</v>
      </c>
      <c r="IG52" s="83">
        <f t="shared" si="364"/>
        <v>0.38258965156495889</v>
      </c>
      <c r="IH52" s="84">
        <f t="shared" si="365"/>
        <v>0.40006199133704684</v>
      </c>
      <c r="II52" s="83">
        <f t="shared" si="366"/>
        <v>0.41574264482253498</v>
      </c>
      <c r="IJ52" s="83">
        <f t="shared" si="87"/>
        <v>0.42860469510889565</v>
      </c>
      <c r="IK52" s="83">
        <f t="shared" si="88"/>
        <v>0.43585626429089225</v>
      </c>
      <c r="IL52" s="83">
        <f t="shared" si="89"/>
        <v>0.44190037437389773</v>
      </c>
      <c r="IM52" s="83">
        <f t="shared" si="90"/>
        <v>0.44866711542224463</v>
      </c>
      <c r="IN52" s="81"/>
      <c r="IO52" s="81">
        <v>51</v>
      </c>
      <c r="IP52" s="133">
        <f t="shared" si="91"/>
        <v>0.3214818675319091</v>
      </c>
      <c r="IQ52" s="133">
        <f t="shared" si="92"/>
        <v>0.33708391379468056</v>
      </c>
      <c r="IR52" s="133">
        <f t="shared" si="93"/>
        <v>0.34915746289952426</v>
      </c>
      <c r="IS52" s="133">
        <f t="shared" si="367"/>
        <v>0.36186449059668518</v>
      </c>
      <c r="IT52" s="133">
        <f t="shared" si="368"/>
        <v>0.38081287266434993</v>
      </c>
      <c r="IU52" s="134">
        <f t="shared" si="369"/>
        <v>0.39941888823474658</v>
      </c>
      <c r="IV52" s="133">
        <f t="shared" si="370"/>
        <v>0.41603089507020991</v>
      </c>
      <c r="IW52" s="133">
        <f t="shared" si="94"/>
        <v>0.42960712685404756</v>
      </c>
      <c r="IX52" s="133">
        <f t="shared" si="95"/>
        <v>0.43724435981512305</v>
      </c>
      <c r="IY52" s="133">
        <f t="shared" si="96"/>
        <v>0.44360151711926443</v>
      </c>
      <c r="IZ52" s="133">
        <f t="shared" si="97"/>
        <v>0.45071037921667906</v>
      </c>
      <c r="JA52" s="81"/>
      <c r="JB52" s="81">
        <v>53</v>
      </c>
      <c r="JC52" s="133">
        <f t="shared" si="98"/>
        <v>0.33428310402757966</v>
      </c>
      <c r="JD52" s="133">
        <f t="shared" si="99"/>
        <v>0.34733453761778388</v>
      </c>
      <c r="JE52" s="133">
        <f t="shared" si="100"/>
        <v>0.35760325832753265</v>
      </c>
      <c r="JF52" s="133">
        <f t="shared" si="371"/>
        <v>0.36854774562636072</v>
      </c>
      <c r="JG52" s="133">
        <f t="shared" si="372"/>
        <v>0.38509009549119316</v>
      </c>
      <c r="JH52" s="134">
        <f t="shared" si="373"/>
        <v>0.40154905996384443</v>
      </c>
      <c r="JI52" s="133">
        <f t="shared" si="374"/>
        <v>0.41639228695327474</v>
      </c>
      <c r="JJ52" s="133">
        <f t="shared" si="101"/>
        <v>0.42861003611934151</v>
      </c>
      <c r="JK52" s="133">
        <f t="shared" si="102"/>
        <v>0.43551311852495894</v>
      </c>
      <c r="JL52" s="133">
        <f t="shared" si="103"/>
        <v>0.44127414309016999</v>
      </c>
      <c r="JM52" s="133">
        <f t="shared" si="104"/>
        <v>0.44773133892758399</v>
      </c>
      <c r="JN52" s="81"/>
      <c r="JO52" s="81">
        <v>50</v>
      </c>
      <c r="JP52" s="133">
        <f t="shared" si="105"/>
        <v>-2.7133219625381884</v>
      </c>
      <c r="JQ52" s="133">
        <f t="shared" si="106"/>
        <v>-1.2604673459093974</v>
      </c>
      <c r="JR52" s="133">
        <f t="shared" si="107"/>
        <v>4.3604456314909612E-3</v>
      </c>
      <c r="JS52" s="133">
        <f t="shared" si="375"/>
        <v>1.4794166083656464</v>
      </c>
      <c r="JT52" s="133">
        <f t="shared" si="376"/>
        <v>3.9780935842290894</v>
      </c>
      <c r="JU52" s="134">
        <f t="shared" si="377"/>
        <v>6.8158072153300644</v>
      </c>
      <c r="JV52" s="133">
        <f t="shared" si="378"/>
        <v>9.7054725031645681</v>
      </c>
      <c r="JW52" s="133">
        <f t="shared" si="108"/>
        <v>12.339603139491235</v>
      </c>
      <c r="JX52" s="133">
        <f t="shared" si="109"/>
        <v>13.936592888766473</v>
      </c>
      <c r="JY52" s="133">
        <f t="shared" si="110"/>
        <v>15.33224709525145</v>
      </c>
      <c r="JZ52" s="133">
        <f t="shared" si="111"/>
        <v>16.966929496642397</v>
      </c>
      <c r="KA52" s="81"/>
      <c r="KB52" s="81">
        <v>50</v>
      </c>
      <c r="KC52" s="133">
        <f t="shared" si="112"/>
        <v>-1.1772955160911245</v>
      </c>
      <c r="KD52" s="133">
        <f t="shared" si="113"/>
        <v>0.15213062154071366</v>
      </c>
      <c r="KE52" s="133">
        <f t="shared" si="114"/>
        <v>1.3339503341392405</v>
      </c>
      <c r="KF52" s="133">
        <f t="shared" si="379"/>
        <v>2.7390151501935982</v>
      </c>
      <c r="KG52" s="133">
        <f t="shared" si="380"/>
        <v>5.1800146033091981</v>
      </c>
      <c r="KH52" s="134">
        <f t="shared" si="381"/>
        <v>8.0368689024610145</v>
      </c>
      <c r="KI52" s="133">
        <f t="shared" si="382"/>
        <v>11.029689652915414</v>
      </c>
      <c r="KJ52" s="133">
        <f t="shared" si="115"/>
        <v>13.824982861907221</v>
      </c>
      <c r="KK52" s="133">
        <f t="shared" si="116"/>
        <v>15.548717885341476</v>
      </c>
      <c r="KL52" s="133">
        <f t="shared" si="117"/>
        <v>17.072177001035357</v>
      </c>
      <c r="KM52" s="133">
        <f t="shared" si="118"/>
        <v>18.875964703012997</v>
      </c>
      <c r="KN52" s="81"/>
      <c r="KO52" s="81">
        <v>52</v>
      </c>
      <c r="KP52" s="133">
        <f t="shared" si="119"/>
        <v>-2.6762601671760748</v>
      </c>
      <c r="KQ52" s="133">
        <f t="shared" si="120"/>
        <v>-1.2893016081570217</v>
      </c>
      <c r="KR52" s="133">
        <f t="shared" si="121"/>
        <v>-0.10112707665876641</v>
      </c>
      <c r="KS52" s="133">
        <f t="shared" si="383"/>
        <v>1.2637631760791983</v>
      </c>
      <c r="KT52" s="133">
        <f t="shared" si="384"/>
        <v>3.5296635332883781</v>
      </c>
      <c r="KU52" s="134">
        <f t="shared" si="385"/>
        <v>6.0405301704163428</v>
      </c>
      <c r="KV52" s="133">
        <f t="shared" si="386"/>
        <v>8.5374642684329629</v>
      </c>
      <c r="KW52" s="133">
        <f t="shared" si="122"/>
        <v>10.766918154775347</v>
      </c>
      <c r="KX52" s="133">
        <f t="shared" si="123"/>
        <v>12.098847904042191</v>
      </c>
      <c r="KY52" s="133">
        <f t="shared" si="124"/>
        <v>13.251493420386051</v>
      </c>
      <c r="KZ52" s="133">
        <f t="shared" si="125"/>
        <v>14.588779858330515</v>
      </c>
      <c r="LA52" s="81"/>
      <c r="LB52" s="81">
        <v>50</v>
      </c>
      <c r="LC52" s="133">
        <f t="shared" si="126"/>
        <v>-6.0104582825249118</v>
      </c>
      <c r="LD52" s="133">
        <f t="shared" si="127"/>
        <v>-2.3053663454253694</v>
      </c>
      <c r="LE52" s="133">
        <f t="shared" si="128"/>
        <v>0.94986299217784165</v>
      </c>
      <c r="LF52" s="133">
        <f t="shared" si="387"/>
        <v>4.7771209330375299</v>
      </c>
      <c r="LG52" s="133">
        <f t="shared" si="388"/>
        <v>11.326964344001503</v>
      </c>
      <c r="LH52" s="134">
        <f t="shared" si="389"/>
        <v>18.852603331062959</v>
      </c>
      <c r="LI52" s="133">
        <f t="shared" si="390"/>
        <v>26.596544889013124</v>
      </c>
      <c r="LJ52" s="133">
        <f t="shared" si="129"/>
        <v>33.716574858555454</v>
      </c>
      <c r="LK52" s="133">
        <f t="shared" si="130"/>
        <v>38.058392751820996</v>
      </c>
      <c r="LL52" s="133">
        <f t="shared" si="131"/>
        <v>41.867123141296197</v>
      </c>
      <c r="LM52" s="133">
        <f t="shared" si="132"/>
        <v>46.344044673904612</v>
      </c>
      <c r="LN52" s="81"/>
      <c r="LO52" s="81">
        <v>50</v>
      </c>
      <c r="LP52" s="133">
        <f t="shared" si="133"/>
        <v>-1.7492501463066148</v>
      </c>
      <c r="LQ52" s="133">
        <f t="shared" si="134"/>
        <v>1.9395696427127511</v>
      </c>
      <c r="LR52" s="133">
        <f t="shared" si="135"/>
        <v>5.1901446820740453</v>
      </c>
      <c r="LS52" s="133">
        <f t="shared" si="391"/>
        <v>9.0224486273960487</v>
      </c>
      <c r="LT52" s="133">
        <f t="shared" si="392"/>
        <v>15.604694268650757</v>
      </c>
      <c r="LU52" s="134">
        <f t="shared" si="393"/>
        <v>23.200360492360264</v>
      </c>
      <c r="LV52" s="133">
        <f t="shared" si="394"/>
        <v>31.048469725117489</v>
      </c>
      <c r="LW52" s="133">
        <f t="shared" si="136"/>
        <v>38.289793921215562</v>
      </c>
      <c r="LX52" s="133">
        <f t="shared" si="137"/>
        <v>42.716523320777966</v>
      </c>
      <c r="LY52" s="133">
        <f t="shared" si="138"/>
        <v>46.606123962846723</v>
      </c>
      <c r="LZ52" s="133">
        <f t="shared" si="139"/>
        <v>51.185346591088873</v>
      </c>
      <c r="MA52" s="81"/>
      <c r="MB52" s="81">
        <v>52</v>
      </c>
      <c r="MC52" s="133">
        <f t="shared" si="140"/>
        <v>-5.20855183681536</v>
      </c>
      <c r="MD52" s="133">
        <f t="shared" si="141"/>
        <v>-1.9795841821903508</v>
      </c>
      <c r="ME52" s="133">
        <f t="shared" si="142"/>
        <v>0.82814734725979378</v>
      </c>
      <c r="MF52" s="133">
        <f t="shared" si="395"/>
        <v>4.0982035610695959</v>
      </c>
      <c r="MG52" s="133">
        <f t="shared" si="396"/>
        <v>9.6260778364508397</v>
      </c>
      <c r="MH52" s="134">
        <f t="shared" si="397"/>
        <v>15.885815804930758</v>
      </c>
      <c r="MI52" s="133">
        <f t="shared" si="398"/>
        <v>22.24003599938839</v>
      </c>
      <c r="MJ52" s="133">
        <f t="shared" si="143"/>
        <v>28.014864179768615</v>
      </c>
      <c r="MK52" s="133">
        <f t="shared" si="144"/>
        <v>31.508000851485583</v>
      </c>
      <c r="ML52" s="133">
        <f t="shared" si="145"/>
        <v>34.555929744651259</v>
      </c>
      <c r="MM52" s="133">
        <f t="shared" si="146"/>
        <v>38.120251325992207</v>
      </c>
      <c r="MN52" s="81"/>
      <c r="MO52" s="81">
        <v>50</v>
      </c>
      <c r="MP52" s="133">
        <f t="shared" si="147"/>
        <v>-12.389172264480219</v>
      </c>
      <c r="MQ52" s="133">
        <f t="shared" si="148"/>
        <v>-8.16971267909571</v>
      </c>
      <c r="MR52" s="133">
        <f t="shared" si="149"/>
        <v>-4.5247179702191147</v>
      </c>
      <c r="MS52" s="133">
        <f t="shared" si="399"/>
        <v>-0.30601221821464009</v>
      </c>
      <c r="MT52" s="133">
        <f t="shared" si="400"/>
        <v>6.7655102443379107</v>
      </c>
      <c r="MU52" s="134">
        <f t="shared" si="401"/>
        <v>14.690625392290379</v>
      </c>
      <c r="MV52" s="133">
        <f t="shared" si="402"/>
        <v>22.654962146080216</v>
      </c>
      <c r="MW52" s="133">
        <f t="shared" si="150"/>
        <v>29.829771294569788</v>
      </c>
      <c r="MX52" s="133">
        <f t="shared" si="151"/>
        <v>34.142794008445541</v>
      </c>
      <c r="MY52" s="133">
        <f t="shared" si="152"/>
        <v>37.890504081434081</v>
      </c>
      <c r="MZ52" s="133">
        <f t="shared" si="153"/>
        <v>42.255575223596146</v>
      </c>
      <c r="NA52" s="81"/>
      <c r="NB52" s="81">
        <v>50</v>
      </c>
      <c r="NC52" s="133">
        <f t="shared" si="154"/>
        <v>-4.6289783180419626</v>
      </c>
      <c r="ND52" s="133">
        <f t="shared" si="155"/>
        <v>-0.8422973861996006</v>
      </c>
      <c r="NE52" s="133">
        <f t="shared" si="156"/>
        <v>2.4333124432721327</v>
      </c>
      <c r="NF52" s="133">
        <f t="shared" si="403"/>
        <v>6.2291715991548067</v>
      </c>
      <c r="NG52" s="133">
        <f t="shared" si="404"/>
        <v>12.601972219422603</v>
      </c>
      <c r="NH52" s="134">
        <f t="shared" si="405"/>
        <v>19.757200360971478</v>
      </c>
      <c r="NI52" s="133">
        <f t="shared" si="406"/>
        <v>26.960079711729588</v>
      </c>
      <c r="NJ52" s="133">
        <f t="shared" si="157"/>
        <v>33.458222620300603</v>
      </c>
      <c r="NK52" s="133">
        <f t="shared" si="158"/>
        <v>37.368347735155183</v>
      </c>
      <c r="NL52" s="133">
        <f t="shared" si="159"/>
        <v>40.768175204643512</v>
      </c>
      <c r="NM52" s="133">
        <f t="shared" si="160"/>
        <v>44.730515242727279</v>
      </c>
      <c r="NN52" s="81"/>
      <c r="NO52" s="81">
        <v>52</v>
      </c>
      <c r="NP52" s="133">
        <f t="shared" si="161"/>
        <v>-13.580811666593409</v>
      </c>
      <c r="NQ52" s="133">
        <f t="shared" si="162"/>
        <v>-9.795156401877918</v>
      </c>
      <c r="NR52" s="133">
        <f t="shared" si="163"/>
        <v>-6.5371608083489967</v>
      </c>
      <c r="NS52" s="133">
        <f t="shared" si="407"/>
        <v>-2.778740506415204</v>
      </c>
      <c r="NT52" s="133">
        <f t="shared" si="408"/>
        <v>3.4954716104284671</v>
      </c>
      <c r="NU52" s="134">
        <f t="shared" si="409"/>
        <v>10.494374875911419</v>
      </c>
      <c r="NV52" s="133">
        <f t="shared" si="410"/>
        <v>17.498457451057725</v>
      </c>
      <c r="NW52" s="133">
        <f t="shared" si="164"/>
        <v>23.786311235037871</v>
      </c>
      <c r="NX52" s="133">
        <f t="shared" si="165"/>
        <v>27.557191426677498</v>
      </c>
      <c r="NY52" s="133">
        <f t="shared" si="166"/>
        <v>30.828759315754418</v>
      </c>
      <c r="NZ52" s="133">
        <f t="shared" si="167"/>
        <v>34.633659578027171</v>
      </c>
      <c r="OA52" s="81"/>
      <c r="OB52" s="81">
        <v>50</v>
      </c>
      <c r="OC52" s="133">
        <v>14.043549893602796</v>
      </c>
      <c r="OD52" s="133">
        <v>15.43478526150869</v>
      </c>
      <c r="OE52" s="133">
        <v>16.741068665062649</v>
      </c>
      <c r="OF52" s="133">
        <v>18.384921465390896</v>
      </c>
      <c r="OG52" s="133">
        <v>21.494180007741495</v>
      </c>
      <c r="OH52" s="134">
        <v>25.583267682657436</v>
      </c>
      <c r="OI52" s="133">
        <v>30.450270030621009</v>
      </c>
      <c r="OJ52" s="133">
        <v>35.600020731912792</v>
      </c>
      <c r="OK52" s="133">
        <v>39.095687283596405</v>
      </c>
      <c r="OL52" s="133">
        <v>42.404450352458561</v>
      </c>
      <c r="OM52" s="133">
        <v>46.605280736079955</v>
      </c>
      <c r="ON52" s="81"/>
      <c r="OO52" s="81">
        <v>50</v>
      </c>
      <c r="OP52" s="133">
        <v>13.025295872079134</v>
      </c>
      <c r="OQ52" s="133">
        <v>14.121721725242759</v>
      </c>
      <c r="OR52" s="133">
        <v>15.138247003350873</v>
      </c>
      <c r="OS52" s="133">
        <v>16.401379581910753</v>
      </c>
      <c r="OT52" s="133">
        <v>25.111461729097275</v>
      </c>
      <c r="OU52" s="134">
        <v>21.759789387607409</v>
      </c>
      <c r="OV52" s="133">
        <v>25.256225394377694</v>
      </c>
      <c r="OW52" s="133">
        <v>28.868817517963368</v>
      </c>
      <c r="OX52" s="133">
        <v>31.27762640471018</v>
      </c>
      <c r="OY52" s="133">
        <v>33.529086849705116</v>
      </c>
      <c r="OZ52" s="133">
        <v>36.351453267790703</v>
      </c>
      <c r="PA52" s="81"/>
      <c r="PB52" s="81">
        <v>52</v>
      </c>
      <c r="PC52" s="133">
        <v>17.584013303492078</v>
      </c>
      <c r="PD52" s="133">
        <v>18.925108848067481</v>
      </c>
      <c r="PE52" s="133">
        <v>20.160051463655918</v>
      </c>
      <c r="PF52" s="133">
        <v>21.684205103861128</v>
      </c>
      <c r="PG52" s="133">
        <v>24.487498623472224</v>
      </c>
      <c r="PH52" s="134">
        <v>28.041151485324217</v>
      </c>
      <c r="PI52" s="133">
        <v>32.110514377699445</v>
      </c>
      <c r="PJ52" s="133">
        <v>36.261701679020241</v>
      </c>
      <c r="PK52" s="133">
        <v>39.003183004787218</v>
      </c>
      <c r="PL52" s="133">
        <v>41.548304051270662</v>
      </c>
      <c r="PM52" s="133">
        <v>44.717105421362746</v>
      </c>
      <c r="PN52" s="81"/>
      <c r="PO52" s="81">
        <v>50</v>
      </c>
      <c r="PP52" s="133">
        <v>9.0899930454541114</v>
      </c>
      <c r="PQ52" s="133">
        <v>9.8849070119942084</v>
      </c>
      <c r="PR52" s="133">
        <v>10.62395748140681</v>
      </c>
      <c r="PS52" s="133">
        <v>11.544871159975285</v>
      </c>
      <c r="PT52" s="133">
        <v>13.262179190678577</v>
      </c>
      <c r="PU52" s="134">
        <v>15.478968514718128</v>
      </c>
      <c r="PV52" s="133">
        <v>18.066296860778252</v>
      </c>
      <c r="PW52" s="133">
        <v>20.753671735228611</v>
      </c>
      <c r="PX52" s="133">
        <v>22.552656738222158</v>
      </c>
      <c r="PY52" s="133">
        <v>24.238818431868864</v>
      </c>
      <c r="PZ52" s="133">
        <v>26.358487303734282</v>
      </c>
      <c r="QA52" s="81"/>
      <c r="QB52" s="81">
        <v>50</v>
      </c>
      <c r="QC52" s="133">
        <v>8.8868700926396027</v>
      </c>
      <c r="QD52" s="133">
        <v>9.6604366121167526</v>
      </c>
      <c r="QE52" s="133">
        <v>10.379392238260772</v>
      </c>
      <c r="QF52" s="133">
        <v>11.274957990356057</v>
      </c>
      <c r="QG52" s="133">
        <v>12.944170590378839</v>
      </c>
      <c r="QH52" s="134">
        <v>15.097474632088606</v>
      </c>
      <c r="QI52" s="133">
        <v>17.608987665534777</v>
      </c>
      <c r="QJ52" s="133">
        <v>20.215928118004538</v>
      </c>
      <c r="QK52" s="133">
        <v>21.960220312933544</v>
      </c>
      <c r="QL52" s="133">
        <v>23.594558860897603</v>
      </c>
      <c r="QM52" s="133">
        <v>25.648370898922124</v>
      </c>
      <c r="QN52" s="81"/>
      <c r="QO52" s="81">
        <v>52</v>
      </c>
      <c r="QP52" s="133">
        <v>9.4536236460585279</v>
      </c>
      <c r="QQ52" s="133">
        <v>10.26426929330689</v>
      </c>
      <c r="QR52" s="133">
        <v>11.016852413404658</v>
      </c>
      <c r="QS52" s="133">
        <v>11.953269300083013</v>
      </c>
      <c r="QT52" s="133">
        <v>13.695844952985453</v>
      </c>
      <c r="QU52" s="134">
        <v>15.939089866686757</v>
      </c>
      <c r="QV52" s="133">
        <v>18.549756269176882</v>
      </c>
      <c r="QW52" s="133">
        <v>21.253983274396077</v>
      </c>
      <c r="QX52" s="133">
        <v>23.060541817660894</v>
      </c>
      <c r="QY52" s="133">
        <v>24.751356235750752</v>
      </c>
      <c r="QZ52" s="133">
        <v>26.873778276993143</v>
      </c>
      <c r="RA52" s="81"/>
      <c r="RB52" s="81">
        <v>50</v>
      </c>
      <c r="RC52" s="133">
        <f t="shared" si="168"/>
        <v>0.33201829736652022</v>
      </c>
      <c r="RD52" s="133">
        <f t="shared" si="169"/>
        <v>0.361670867005839</v>
      </c>
      <c r="RE52" s="133">
        <f t="shared" si="170"/>
        <v>0.38963866499200778</v>
      </c>
      <c r="RF52" s="133">
        <f t="shared" si="411"/>
        <v>0.42503459513017872</v>
      </c>
      <c r="RG52" s="133">
        <f t="shared" si="412"/>
        <v>0.49268115371717042</v>
      </c>
      <c r="RH52" s="134">
        <f t="shared" si="413"/>
        <v>0.5832034980508235</v>
      </c>
      <c r="RI52" s="133">
        <f t="shared" si="414"/>
        <v>0.6934704938622982</v>
      </c>
      <c r="RJ52" s="133">
        <f t="shared" si="171"/>
        <v>0.81330660764591955</v>
      </c>
      <c r="RK52" s="133">
        <f t="shared" si="172"/>
        <v>0.89656564036588104</v>
      </c>
      <c r="RL52" s="133">
        <f t="shared" si="173"/>
        <v>0.97682493408448801</v>
      </c>
      <c r="RM52" s="133">
        <f t="shared" si="174"/>
        <v>1.0807803449151394</v>
      </c>
      <c r="RN52" s="81"/>
      <c r="RO52" s="81">
        <v>50</v>
      </c>
      <c r="RP52" s="133">
        <f t="shared" si="175"/>
        <v>0.36641684085659065</v>
      </c>
      <c r="RQ52" s="133">
        <f t="shared" si="176"/>
        <v>0.39813209359127388</v>
      </c>
      <c r="RR52" s="133">
        <f t="shared" si="177"/>
        <v>0.42811139994591552</v>
      </c>
      <c r="RS52" s="133">
        <f t="shared" si="415"/>
        <v>0.46615457268769034</v>
      </c>
      <c r="RT52" s="133">
        <f t="shared" si="416"/>
        <v>0.53920618293442879</v>
      </c>
      <c r="RU52" s="134">
        <f t="shared" si="417"/>
        <v>0.63773230684181714</v>
      </c>
      <c r="RV52" s="133">
        <f t="shared" si="418"/>
        <v>0.75901519654431204</v>
      </c>
      <c r="RW52" s="133">
        <f t="shared" si="178"/>
        <v>0.89245215608601036</v>
      </c>
      <c r="RX52" s="133">
        <f t="shared" si="179"/>
        <v>0.98617110143507791</v>
      </c>
      <c r="RY52" s="133">
        <f t="shared" si="180"/>
        <v>1.0772983545721482</v>
      </c>
      <c r="RZ52" s="133">
        <f t="shared" si="181"/>
        <v>1.1964712182943933</v>
      </c>
      <c r="SA52" s="81"/>
      <c r="SB52" s="81">
        <v>52</v>
      </c>
      <c r="SC52" s="133">
        <f t="shared" si="182"/>
        <v>0.32951473788483737</v>
      </c>
      <c r="SD52" s="133">
        <f t="shared" si="183"/>
        <v>0.35733892423291974</v>
      </c>
      <c r="SE52" s="133">
        <f t="shared" si="184"/>
        <v>0.383167480178214</v>
      </c>
      <c r="SF52" s="133">
        <f t="shared" si="419"/>
        <v>0.41530426005784171</v>
      </c>
      <c r="SG52" s="133">
        <f t="shared" si="420"/>
        <v>0.47511317567678768</v>
      </c>
      <c r="SH52" s="134">
        <f t="shared" si="421"/>
        <v>0.55213343330885079</v>
      </c>
      <c r="SI52" s="133">
        <f t="shared" si="422"/>
        <v>0.64182805844365665</v>
      </c>
      <c r="SJ52" s="133">
        <f t="shared" si="185"/>
        <v>0.73482052203666315</v>
      </c>
      <c r="SK52" s="133">
        <f t="shared" si="186"/>
        <v>0.79699669467513345</v>
      </c>
      <c r="SL52" s="133">
        <f t="shared" si="187"/>
        <v>0.85522954719787958</v>
      </c>
      <c r="SM52" s="133">
        <f t="shared" si="188"/>
        <v>0.92838397183840615</v>
      </c>
      <c r="SN52" s="81"/>
      <c r="SO52" s="81">
        <v>50</v>
      </c>
      <c r="SP52" s="133">
        <f t="shared" si="189"/>
        <v>0.24981016417593266</v>
      </c>
      <c r="SQ52" s="133">
        <f t="shared" si="190"/>
        <v>0.2661904619230599</v>
      </c>
      <c r="SR52" s="133">
        <f t="shared" si="191"/>
        <v>0.28090884234227492</v>
      </c>
      <c r="SS52" s="133">
        <f t="shared" si="423"/>
        <v>0.29862335638223791</v>
      </c>
      <c r="ST52" s="133">
        <f t="shared" si="424"/>
        <v>0.33001472282476968</v>
      </c>
      <c r="SU52" s="134">
        <f t="shared" si="425"/>
        <v>0.36783897220596651</v>
      </c>
      <c r="SV52" s="133">
        <f t="shared" si="426"/>
        <v>0.40881137583308219</v>
      </c>
      <c r="SW52" s="133">
        <f t="shared" si="192"/>
        <v>0.44838918367912073</v>
      </c>
      <c r="SX52" s="133">
        <f t="shared" si="193"/>
        <v>0.47344593455892303</v>
      </c>
      <c r="SY52" s="133">
        <f t="shared" si="194"/>
        <v>0.49601322080557003</v>
      </c>
      <c r="SZ52" s="133">
        <f t="shared" si="195"/>
        <v>0.52325217422415593</v>
      </c>
      <c r="TA52" s="81"/>
      <c r="TB52" s="81">
        <v>50</v>
      </c>
      <c r="TC52" s="133">
        <f t="shared" si="196"/>
        <v>0.26887019591066874</v>
      </c>
      <c r="TD52" s="133">
        <f t="shared" si="197"/>
        <v>0.28540093444876496</v>
      </c>
      <c r="TE52" s="133">
        <f t="shared" si="198"/>
        <v>0.30028148415256023</v>
      </c>
      <c r="TF52" s="133">
        <f t="shared" si="427"/>
        <v>0.31822741205812632</v>
      </c>
      <c r="TG52" s="133">
        <f t="shared" si="428"/>
        <v>0.35013233410963196</v>
      </c>
      <c r="TH52" s="134">
        <f t="shared" si="429"/>
        <v>0.38876134947389279</v>
      </c>
      <c r="TI52" s="133">
        <f t="shared" si="430"/>
        <v>0.43084501123079616</v>
      </c>
      <c r="TJ52" s="133">
        <f t="shared" si="199"/>
        <v>0.47173872818849455</v>
      </c>
      <c r="TK52" s="133">
        <f t="shared" si="200"/>
        <v>0.49775307562471471</v>
      </c>
      <c r="TL52" s="133">
        <f t="shared" si="201"/>
        <v>0.52126568588771804</v>
      </c>
      <c r="TM52" s="133">
        <f t="shared" si="202"/>
        <v>0.54975021196555296</v>
      </c>
      <c r="TN52" s="81"/>
      <c r="TO52" s="81">
        <v>52</v>
      </c>
      <c r="TP52" s="133">
        <f t="shared" si="203"/>
        <v>0.24848978409658948</v>
      </c>
      <c r="TQ52" s="133">
        <f t="shared" si="204"/>
        <v>0.26388480767331701</v>
      </c>
      <c r="TR52" s="133">
        <f t="shared" si="205"/>
        <v>0.27754348876703094</v>
      </c>
      <c r="TS52" s="133">
        <f t="shared" si="431"/>
        <v>0.29377437139634338</v>
      </c>
      <c r="TT52" s="133">
        <f t="shared" si="432"/>
        <v>0.32201202163807024</v>
      </c>
      <c r="TU52" s="134">
        <f t="shared" si="433"/>
        <v>0.35521515988677727</v>
      </c>
      <c r="TV52" s="133">
        <f t="shared" si="434"/>
        <v>0.39026363158990163</v>
      </c>
      <c r="TW52" s="133">
        <f t="shared" si="206"/>
        <v>0.42329739295458585</v>
      </c>
      <c r="TX52" s="133">
        <f t="shared" si="207"/>
        <v>0.44382675293926638</v>
      </c>
      <c r="TY52" s="133">
        <f t="shared" si="208"/>
        <v>0.46207735497643493</v>
      </c>
      <c r="TZ52" s="133">
        <f t="shared" si="209"/>
        <v>0.48381970647496159</v>
      </c>
      <c r="UA52" s="81"/>
      <c r="UB52" s="81">
        <v>50</v>
      </c>
      <c r="UC52" s="133">
        <f t="shared" si="210"/>
        <v>-17.021941353145536</v>
      </c>
      <c r="UD52" s="133">
        <f t="shared" si="211"/>
        <v>-13.716649496243583</v>
      </c>
      <c r="UE52" s="133">
        <f t="shared" si="212"/>
        <v>-10.945410682650589</v>
      </c>
      <c r="UF52" s="133">
        <f t="shared" si="435"/>
        <v>-7.8238929476082717</v>
      </c>
      <c r="UG52" s="133">
        <f t="shared" si="436"/>
        <v>-2.7718851301885721</v>
      </c>
      <c r="UH52" s="134">
        <f t="shared" si="437"/>
        <v>2.6603293489201292</v>
      </c>
      <c r="UI52" s="133">
        <f t="shared" si="438"/>
        <v>7.9124543436695944</v>
      </c>
      <c r="UJ52" s="133">
        <f t="shared" si="213"/>
        <v>12.490811763519233</v>
      </c>
      <c r="UK52" s="133">
        <f t="shared" si="214"/>
        <v>15.180702246564678</v>
      </c>
      <c r="UL52" s="133">
        <f t="shared" si="215"/>
        <v>17.483043810170969</v>
      </c>
      <c r="UM52" s="133">
        <f t="shared" si="216"/>
        <v>20.126152669631779</v>
      </c>
      <c r="UN52" s="81"/>
      <c r="UO52" s="81">
        <v>50</v>
      </c>
      <c r="UP52" s="133">
        <f t="shared" si="217"/>
        <v>-12.902372309470458</v>
      </c>
      <c r="UQ52" s="133">
        <f t="shared" si="218"/>
        <v>-10.121832019075143</v>
      </c>
      <c r="UR52" s="133">
        <f t="shared" si="219"/>
        <v>-7.7356248021411389</v>
      </c>
      <c r="US52" s="133">
        <f t="shared" si="439"/>
        <v>-4.9898323784116094</v>
      </c>
      <c r="UT52" s="133">
        <f t="shared" si="440"/>
        <v>-0.42069322019043653</v>
      </c>
      <c r="UU52" s="134">
        <f t="shared" si="441"/>
        <v>4.6574412633503854</v>
      </c>
      <c r="UV52" s="133">
        <f t="shared" si="442"/>
        <v>9.7222300347076001</v>
      </c>
      <c r="UW52" s="133">
        <f t="shared" si="220"/>
        <v>14.256283634154421</v>
      </c>
      <c r="UX52" s="133">
        <f t="shared" si="221"/>
        <v>16.970118127553071</v>
      </c>
      <c r="UY52" s="133">
        <f t="shared" si="222"/>
        <v>19.321618059351081</v>
      </c>
      <c r="UZ52" s="133">
        <f t="shared" si="223"/>
        <v>22.053148917223986</v>
      </c>
      <c r="VA52" s="81"/>
      <c r="VB52" s="81">
        <v>53</v>
      </c>
      <c r="VC52" s="133">
        <f t="shared" si="224"/>
        <v>-17.149465675825908</v>
      </c>
      <c r="VD52" s="133">
        <f t="shared" si="225"/>
        <v>-13.863985107066952</v>
      </c>
      <c r="VE52" s="133">
        <f t="shared" si="226"/>
        <v>-11.144911545387394</v>
      </c>
      <c r="VF52" s="133">
        <f t="shared" si="443"/>
        <v>-8.1170513802049413</v>
      </c>
      <c r="VG52" s="133">
        <f t="shared" si="444"/>
        <v>-3.286469657821975</v>
      </c>
      <c r="VH52" s="134">
        <f t="shared" si="445"/>
        <v>1.822982832250446</v>
      </c>
      <c r="VI52" s="133">
        <f t="shared" si="446"/>
        <v>6.6901384203100349</v>
      </c>
      <c r="VJ52" s="133">
        <f t="shared" si="227"/>
        <v>10.880931373021369</v>
      </c>
      <c r="VK52" s="133">
        <f t="shared" si="228"/>
        <v>13.322456632808141</v>
      </c>
      <c r="VL52" s="133">
        <f t="shared" si="229"/>
        <v>15.400815299452731</v>
      </c>
      <c r="VM52" s="133">
        <f t="shared" si="230"/>
        <v>17.77442927396028</v>
      </c>
      <c r="VN52" s="81"/>
      <c r="VO52" s="81">
        <v>50</v>
      </c>
      <c r="VP52" s="133">
        <f t="shared" si="231"/>
        <v>-30.162714207891696</v>
      </c>
      <c r="VQ52" s="133">
        <f t="shared" si="232"/>
        <v>-25.548195588831266</v>
      </c>
      <c r="VR52" s="133">
        <f t="shared" si="233"/>
        <v>-21.321897629123704</v>
      </c>
      <c r="VS52" s="133">
        <f t="shared" si="447"/>
        <v>-16.160999302184635</v>
      </c>
      <c r="VT52" s="133">
        <f t="shared" si="448"/>
        <v>-6.8837013252664434</v>
      </c>
      <c r="VU52" s="134">
        <f t="shared" si="449"/>
        <v>4.4096108469195556</v>
      </c>
      <c r="VV52" s="133">
        <f t="shared" si="450"/>
        <v>16.673323493600172</v>
      </c>
      <c r="VW52" s="133">
        <f t="shared" si="234"/>
        <v>28.476892712442783</v>
      </c>
      <c r="VX52" s="133">
        <f t="shared" si="235"/>
        <v>35.907141482896385</v>
      </c>
      <c r="VY52" s="133">
        <f t="shared" si="236"/>
        <v>42.563280996410292</v>
      </c>
      <c r="VZ52" s="133">
        <f t="shared" si="237"/>
        <v>50.546280578132105</v>
      </c>
      <c r="WA52" s="81"/>
      <c r="WB52" s="81">
        <v>50</v>
      </c>
      <c r="WC52" s="133">
        <f t="shared" si="238"/>
        <v>-25.256576200047242</v>
      </c>
      <c r="WD52" s="133">
        <f t="shared" si="239"/>
        <v>-20.708753112490758</v>
      </c>
      <c r="WE52" s="133">
        <f t="shared" si="240"/>
        <v>-16.535096561381884</v>
      </c>
      <c r="WF52" s="133">
        <f t="shared" si="451"/>
        <v>-11.429623691097284</v>
      </c>
      <c r="WG52" s="133">
        <f t="shared" si="452"/>
        <v>-2.232580019821782</v>
      </c>
      <c r="WH52" s="134">
        <f t="shared" si="453"/>
        <v>8.9887545090166014</v>
      </c>
      <c r="WI52" s="133">
        <f t="shared" si="454"/>
        <v>21.198417020378891</v>
      </c>
      <c r="WJ52" s="133">
        <f t="shared" si="241"/>
        <v>32.968428256508865</v>
      </c>
      <c r="WK52" s="133">
        <f t="shared" si="242"/>
        <v>40.385233225250154</v>
      </c>
      <c r="WL52" s="133">
        <f t="shared" si="243"/>
        <v>47.033722811047234</v>
      </c>
      <c r="WM52" s="133">
        <f t="shared" si="244"/>
        <v>55.012478518331825</v>
      </c>
      <c r="WN52" s="81"/>
      <c r="WO52" s="81">
        <v>53</v>
      </c>
      <c r="WP52" s="133">
        <f t="shared" si="245"/>
        <v>-30.89822072773029</v>
      </c>
      <c r="WQ52" s="133">
        <f t="shared" si="246"/>
        <v>-26.266987409788086</v>
      </c>
      <c r="WR52" s="133">
        <f t="shared" si="247"/>
        <v>-22.071352168396821</v>
      </c>
      <c r="WS52" s="133">
        <f t="shared" si="455"/>
        <v>-17.001990847920759</v>
      </c>
      <c r="WT52" s="133">
        <f t="shared" si="456"/>
        <v>-8.0216875136523882</v>
      </c>
      <c r="WU52" s="134">
        <f t="shared" si="457"/>
        <v>2.712821766562989</v>
      </c>
      <c r="WV52" s="133">
        <f t="shared" si="458"/>
        <v>14.163237675138042</v>
      </c>
      <c r="WW52" s="133">
        <f t="shared" si="248"/>
        <v>25.011344013279079</v>
      </c>
      <c r="WX52" s="133">
        <f t="shared" si="249"/>
        <v>31.763713339236638</v>
      </c>
      <c r="WY52" s="133">
        <f t="shared" si="250"/>
        <v>37.767011604130182</v>
      </c>
      <c r="WZ52" s="133">
        <f t="shared" si="251"/>
        <v>44.914287286336965</v>
      </c>
      <c r="XA52" s="81"/>
      <c r="XB52" s="81">
        <v>50</v>
      </c>
      <c r="XC52" s="133">
        <f t="shared" si="252"/>
        <v>-35.664902868798301</v>
      </c>
      <c r="XD52" s="133">
        <f t="shared" si="253"/>
        <v>-30.633244355083498</v>
      </c>
      <c r="XE52" s="133">
        <f t="shared" si="254"/>
        <v>-26.105297441350583</v>
      </c>
      <c r="XF52" s="133">
        <f t="shared" si="459"/>
        <v>-20.675869813006962</v>
      </c>
      <c r="XG52" s="133">
        <f t="shared" si="460"/>
        <v>-11.168306952010781</v>
      </c>
      <c r="XH52" s="134">
        <f t="shared" si="461"/>
        <v>2.258480925753048E-2</v>
      </c>
      <c r="XI52" s="133">
        <f t="shared" si="462"/>
        <v>11.772371269934517</v>
      </c>
      <c r="XJ52" s="133">
        <f t="shared" si="255"/>
        <v>22.745544891860639</v>
      </c>
      <c r="XK52" s="133">
        <f t="shared" si="256"/>
        <v>29.50532392073773</v>
      </c>
      <c r="XL52" s="133">
        <f t="shared" si="257"/>
        <v>35.473209539256821</v>
      </c>
      <c r="XM52" s="133">
        <f t="shared" si="258"/>
        <v>42.529860986504893</v>
      </c>
      <c r="XN52" s="81"/>
      <c r="XO52" s="81">
        <v>50</v>
      </c>
      <c r="XP52" s="133">
        <f t="shared" si="259"/>
        <v>-27.188042523907516</v>
      </c>
      <c r="XQ52" s="133">
        <f t="shared" si="260"/>
        <v>-22.429664138312273</v>
      </c>
      <c r="XR52" s="133">
        <f t="shared" si="261"/>
        <v>-18.198471480146083</v>
      </c>
      <c r="XS52" s="133">
        <f t="shared" si="463"/>
        <v>-13.1737794509705</v>
      </c>
      <c r="XT52" s="133">
        <f t="shared" si="464"/>
        <v>-4.4729370048620893</v>
      </c>
      <c r="XU52" s="134">
        <f t="shared" si="465"/>
        <v>5.6493172724430138</v>
      </c>
      <c r="XV52" s="133">
        <f t="shared" si="466"/>
        <v>16.174083602447219</v>
      </c>
      <c r="XW52" s="133">
        <f t="shared" si="262"/>
        <v>25.929109685712397</v>
      </c>
      <c r="XX52" s="133">
        <f t="shared" si="263"/>
        <v>31.908883409881646</v>
      </c>
      <c r="XY52" s="133">
        <f t="shared" si="264"/>
        <v>37.171684064594636</v>
      </c>
      <c r="XZ52" s="133">
        <f t="shared" si="265"/>
        <v>43.376561364339757</v>
      </c>
      <c r="YA52" s="81"/>
      <c r="YB52" s="81">
        <v>53</v>
      </c>
      <c r="YC52" s="133">
        <f t="shared" si="266"/>
        <v>-37.430608372813808</v>
      </c>
      <c r="YD52" s="133">
        <f t="shared" si="267"/>
        <v>-32.447183082791064</v>
      </c>
      <c r="YE52" s="133">
        <f t="shared" si="268"/>
        <v>-27.991300353294093</v>
      </c>
      <c r="YF52" s="133">
        <f t="shared" si="467"/>
        <v>-22.680906946375451</v>
      </c>
      <c r="YG52" s="133">
        <f t="shared" si="468"/>
        <v>-13.457549452381876</v>
      </c>
      <c r="YH52" s="134">
        <f t="shared" si="469"/>
        <v>-2.7070688615626253</v>
      </c>
      <c r="YI52" s="133">
        <f t="shared" si="470"/>
        <v>8.4765538405126151</v>
      </c>
      <c r="YJ52" s="133">
        <f t="shared" si="269"/>
        <v>18.838972505195052</v>
      </c>
      <c r="YK52" s="133">
        <f t="shared" si="270"/>
        <v>25.187600964530127</v>
      </c>
      <c r="YL52" s="133">
        <f t="shared" si="271"/>
        <v>30.77225948291386</v>
      </c>
      <c r="YM52" s="133">
        <f t="shared" si="272"/>
        <v>37.352890565359836</v>
      </c>
      <c r="YN52" s="81"/>
      <c r="YO52" s="81">
        <v>50</v>
      </c>
      <c r="YP52" s="133">
        <v>17.555127446558551</v>
      </c>
      <c r="YQ52" s="133">
        <v>19.588356843292516</v>
      </c>
      <c r="YR52" s="133">
        <v>21.524418692328425</v>
      </c>
      <c r="YS52" s="133">
        <v>23.995239753495451</v>
      </c>
      <c r="YT52" s="133">
        <v>28.764211298369265</v>
      </c>
      <c r="YU52" s="134">
        <v>35.204751436231682</v>
      </c>
      <c r="YV52" s="133">
        <v>43.087380732637044</v>
      </c>
      <c r="YW52" s="133">
        <v>51.650849769330328</v>
      </c>
      <c r="YX52" s="133">
        <v>57.57993009718701</v>
      </c>
      <c r="YY52" s="133">
        <v>63.270979470197119</v>
      </c>
      <c r="YZ52" s="133">
        <v>70.599004619007701</v>
      </c>
      <c r="ZA52" s="81"/>
      <c r="ZB52" s="81">
        <v>50</v>
      </c>
      <c r="ZC52" s="133">
        <v>14.516839709598786</v>
      </c>
      <c r="ZD52" s="133">
        <v>16.352876568687094</v>
      </c>
      <c r="ZE52" s="133">
        <v>18.116651686723912</v>
      </c>
      <c r="ZF52" s="133">
        <v>20.387544820938963</v>
      </c>
      <c r="ZG52" s="133">
        <v>24.826797805664604</v>
      </c>
      <c r="ZH52" s="134">
        <v>30.922912612853093</v>
      </c>
      <c r="ZI52" s="133">
        <v>38.515902531899286</v>
      </c>
      <c r="ZJ52" s="133">
        <v>46.902485456711737</v>
      </c>
      <c r="ZK52" s="133">
        <v>52.781636529606764</v>
      </c>
      <c r="ZL52" s="133">
        <v>58.474514893187383</v>
      </c>
      <c r="ZM52" s="133">
        <v>65.870157940083573</v>
      </c>
      <c r="ZN52" s="81"/>
      <c r="ZO52" s="81">
        <v>53</v>
      </c>
      <c r="ZP52" s="133">
        <v>20.543050198396106</v>
      </c>
      <c r="ZQ52" s="133">
        <v>22.590775099939744</v>
      </c>
      <c r="ZR52" s="133">
        <v>24.514457881580896</v>
      </c>
      <c r="ZS52" s="133">
        <v>26.936512685181043</v>
      </c>
      <c r="ZT52" s="133">
        <v>31.521118962048728</v>
      </c>
      <c r="ZU52" s="134">
        <v>37.556393597602913</v>
      </c>
      <c r="ZV52" s="133">
        <v>44.747228096701861</v>
      </c>
      <c r="ZW52" s="133">
        <v>52.363225950701391</v>
      </c>
      <c r="ZX52" s="133">
        <v>57.536768990426843</v>
      </c>
      <c r="ZY52" s="133">
        <v>62.436224247207434</v>
      </c>
      <c r="ZZ52" s="133">
        <v>68.65984780430469</v>
      </c>
      <c r="AAA52" s="81"/>
      <c r="AAB52" s="81">
        <v>50</v>
      </c>
      <c r="AAC52" s="133">
        <v>9.7581851827046027</v>
      </c>
      <c r="AAD52" s="133">
        <v>10.821500377529059</v>
      </c>
      <c r="AAE52" s="133">
        <v>11.828229586634384</v>
      </c>
      <c r="AAF52" s="133">
        <v>13.105702884227954</v>
      </c>
      <c r="AAG52" s="133">
        <v>15.551127116518392</v>
      </c>
      <c r="AAH52" s="134">
        <v>18.818183590842867</v>
      </c>
      <c r="AAI52" s="133">
        <v>22.771599190551118</v>
      </c>
      <c r="AAJ52" s="133">
        <v>27.020605974887328</v>
      </c>
      <c r="AAK52" s="133">
        <v>29.938887393496273</v>
      </c>
      <c r="AAL52" s="133">
        <v>32.724116000957636</v>
      </c>
      <c r="AAM52" s="133">
        <v>36.289948082386978</v>
      </c>
      <c r="AAN52" s="81"/>
      <c r="AAO52" s="81">
        <v>50</v>
      </c>
      <c r="AAP52" s="133">
        <v>8.9479822713864046</v>
      </c>
      <c r="AAQ52" s="133">
        <v>10.02873154011912</v>
      </c>
      <c r="AAR52" s="133">
        <v>11.062076123108785</v>
      </c>
      <c r="AAS52" s="133">
        <v>12.38628209729451</v>
      </c>
      <c r="AAT52" s="133">
        <v>14.957384759063364</v>
      </c>
      <c r="AAU52" s="134">
        <v>18.456826815135752</v>
      </c>
      <c r="AAV52" s="133">
        <v>22.775001216539277</v>
      </c>
      <c r="AAW52" s="133">
        <v>27.502559154398874</v>
      </c>
      <c r="AAX52" s="133">
        <v>30.794803099599331</v>
      </c>
      <c r="AAY52" s="133">
        <v>33.967850741756699</v>
      </c>
      <c r="AAZ52" s="133">
        <v>38.070533194198305</v>
      </c>
      <c r="ABA52" s="81"/>
      <c r="ABB52" s="81">
        <v>53</v>
      </c>
      <c r="ABC52" s="133">
        <v>10.377116367150574</v>
      </c>
      <c r="ABD52" s="133">
        <v>11.416884110802156</v>
      </c>
      <c r="ABE52" s="133">
        <v>12.394094647923488</v>
      </c>
      <c r="ABF52" s="133">
        <v>13.625011057740208</v>
      </c>
      <c r="ABG52" s="133">
        <v>15.956429778908115</v>
      </c>
      <c r="ABH52" s="134">
        <v>19.028098352741836</v>
      </c>
      <c r="ABI52" s="133">
        <v>22.691073876702298</v>
      </c>
      <c r="ABJ52" s="133">
        <v>26.573815271579534</v>
      </c>
      <c r="ABK52" s="133">
        <v>29.212987088353227</v>
      </c>
      <c r="ABL52" s="133">
        <v>31.713427534842307</v>
      </c>
      <c r="ABM52" s="133">
        <v>34.891053941321097</v>
      </c>
      <c r="ABN52" s="81"/>
      <c r="ABO52" s="81">
        <v>50</v>
      </c>
      <c r="ABP52" s="133">
        <f t="shared" si="273"/>
        <v>0.25969086574434075</v>
      </c>
      <c r="ABQ52" s="133">
        <f t="shared" si="274"/>
        <v>0.29326618879847416</v>
      </c>
      <c r="ABR52" s="133">
        <f t="shared" si="275"/>
        <v>0.32458314055283505</v>
      </c>
      <c r="ABS52" s="133">
        <f t="shared" si="471"/>
        <v>0.36363807333741788</v>
      </c>
      <c r="ABT52" s="133">
        <f t="shared" si="472"/>
        <v>0.43625971388474372</v>
      </c>
      <c r="ABU52" s="134">
        <f t="shared" si="473"/>
        <v>0.52907225553736481</v>
      </c>
      <c r="ABV52" s="133">
        <f t="shared" si="474"/>
        <v>0.63551042024526583</v>
      </c>
      <c r="ABW52" s="133">
        <f t="shared" si="276"/>
        <v>0.74358169349071779</v>
      </c>
      <c r="ABX52" s="133">
        <f t="shared" si="277"/>
        <v>0.81445227102542961</v>
      </c>
      <c r="ABY52" s="133">
        <f t="shared" si="278"/>
        <v>0.87980300695606017</v>
      </c>
      <c r="ABZ52" s="133">
        <f t="shared" si="279"/>
        <v>0.96050123669849552</v>
      </c>
      <c r="ACA52" s="81"/>
      <c r="ACB52" s="81">
        <v>50</v>
      </c>
      <c r="ACC52" s="133">
        <f t="shared" si="280"/>
        <v>0.30553133380878555</v>
      </c>
      <c r="ACD52" s="133">
        <f t="shared" si="281"/>
        <v>0.33844399574107858</v>
      </c>
      <c r="ACE52" s="133">
        <f t="shared" si="282"/>
        <v>0.36914234969732634</v>
      </c>
      <c r="ACF52" s="133">
        <f t="shared" si="475"/>
        <v>0.40747638425469584</v>
      </c>
      <c r="ACG52" s="133">
        <f t="shared" si="476"/>
        <v>0.47904624041186011</v>
      </c>
      <c r="ACH52" s="134">
        <f t="shared" si="477"/>
        <v>0.57129574495583468</v>
      </c>
      <c r="ACI52" s="133">
        <f t="shared" si="478"/>
        <v>0.67840848082820682</v>
      </c>
      <c r="ACJ52" s="133">
        <f t="shared" si="283"/>
        <v>0.78875797814116766</v>
      </c>
      <c r="ACK52" s="133">
        <f t="shared" si="284"/>
        <v>0.86203151087183683</v>
      </c>
      <c r="ACL52" s="133">
        <f t="shared" si="285"/>
        <v>0.93024652306621292</v>
      </c>
      <c r="ACM52" s="133">
        <f t="shared" si="286"/>
        <v>1.0153447719431781</v>
      </c>
      <c r="ACN52" s="81"/>
      <c r="ACO52" s="81">
        <v>53</v>
      </c>
      <c r="ACP52" s="133">
        <f t="shared" si="287"/>
        <v>0.24598950480061385</v>
      </c>
      <c r="ACQ52" s="133">
        <f t="shared" si="288"/>
        <v>0.28109583976564606</v>
      </c>
      <c r="ACR52" s="133">
        <f t="shared" si="289"/>
        <v>0.31322515191996037</v>
      </c>
      <c r="ACS52" s="133">
        <f t="shared" si="479"/>
        <v>0.35249871206803146</v>
      </c>
      <c r="ACT52" s="133">
        <f t="shared" si="480"/>
        <v>0.42341522620479644</v>
      </c>
      <c r="ACU52" s="134">
        <f t="shared" si="481"/>
        <v>0.51023897917859606</v>
      </c>
      <c r="ACV52" s="133">
        <f t="shared" si="482"/>
        <v>0.60543749170925332</v>
      </c>
      <c r="ACW52" s="133">
        <f t="shared" si="290"/>
        <v>0.69816441494620485</v>
      </c>
      <c r="ACX52" s="133">
        <f t="shared" si="291"/>
        <v>0.75697341739796775</v>
      </c>
      <c r="ACY52" s="133">
        <f t="shared" si="292"/>
        <v>0.80997087712131521</v>
      </c>
      <c r="ACZ52" s="133">
        <f t="shared" si="293"/>
        <v>0.87392123525299426</v>
      </c>
      <c r="ADA52" s="81"/>
      <c r="ADB52" s="81">
        <v>50</v>
      </c>
      <c r="ADC52" s="133">
        <f t="shared" si="294"/>
        <v>0.20787082919133659</v>
      </c>
      <c r="ADD52" s="133">
        <f t="shared" si="295"/>
        <v>0.22839392608891357</v>
      </c>
      <c r="ADE52" s="133">
        <f t="shared" si="296"/>
        <v>0.24638474139796118</v>
      </c>
      <c r="ADF52" s="133">
        <f t="shared" si="483"/>
        <v>0.26749947351265757</v>
      </c>
      <c r="ADG52" s="133">
        <f t="shared" si="484"/>
        <v>0.30356490653112861</v>
      </c>
      <c r="ADH52" s="134">
        <f t="shared" si="485"/>
        <v>0.34492959801914419</v>
      </c>
      <c r="ADI52" s="133">
        <f t="shared" si="486"/>
        <v>0.38744336802544604</v>
      </c>
      <c r="ADJ52" s="133">
        <f t="shared" si="297"/>
        <v>0.4265054195550867</v>
      </c>
      <c r="ADK52" s="133">
        <f t="shared" si="298"/>
        <v>0.45031847676843156</v>
      </c>
      <c r="ADL52" s="133">
        <f t="shared" si="299"/>
        <v>0.47120531530808546</v>
      </c>
      <c r="ADM52" s="133">
        <f t="shared" si="300"/>
        <v>0.49575508332080631</v>
      </c>
      <c r="ADN52" s="81"/>
      <c r="ADO52" s="81">
        <v>50</v>
      </c>
      <c r="ADP52" s="133">
        <f t="shared" si="301"/>
        <v>0.23563328441582604</v>
      </c>
      <c r="ADQ52" s="133">
        <f t="shared" si="302"/>
        <v>0.25414835575733036</v>
      </c>
      <c r="ADR52" s="133">
        <f t="shared" si="303"/>
        <v>0.27050820099684769</v>
      </c>
      <c r="ADS52" s="133">
        <f t="shared" si="487"/>
        <v>0.28986294952789243</v>
      </c>
      <c r="ADT52" s="133">
        <f t="shared" si="488"/>
        <v>0.32330459912304726</v>
      </c>
      <c r="ADU52" s="134">
        <f t="shared" si="489"/>
        <v>0.36224398965421584</v>
      </c>
      <c r="ADV52" s="133">
        <f t="shared" si="490"/>
        <v>0.40289815324733608</v>
      </c>
      <c r="ADW52" s="133">
        <f t="shared" si="304"/>
        <v>0.44079995331990018</v>
      </c>
      <c r="ADX52" s="133">
        <f t="shared" si="305"/>
        <v>0.46415624319316906</v>
      </c>
      <c r="ADY52" s="133">
        <f t="shared" si="306"/>
        <v>0.48479518957933398</v>
      </c>
      <c r="ADZ52" s="133">
        <f t="shared" si="307"/>
        <v>0.50923271610727616</v>
      </c>
      <c r="AEA52" s="81"/>
      <c r="AEB52" s="81">
        <v>53</v>
      </c>
      <c r="AEC52" s="133">
        <f t="shared" si="308"/>
        <v>0.19950065568705327</v>
      </c>
      <c r="AED52" s="133">
        <f t="shared" si="309"/>
        <v>0.22134342481512262</v>
      </c>
      <c r="AEE52" s="133">
        <f t="shared" si="310"/>
        <v>0.24006024512632013</v>
      </c>
      <c r="AEF52" s="133">
        <f t="shared" si="491"/>
        <v>0.26156755973444301</v>
      </c>
      <c r="AEG52" s="133">
        <f t="shared" si="492"/>
        <v>0.29729136581312338</v>
      </c>
      <c r="AEH52" s="134">
        <f t="shared" si="493"/>
        <v>0.33690783215333492</v>
      </c>
      <c r="AEI52" s="133">
        <f t="shared" si="494"/>
        <v>0.37633838151730736</v>
      </c>
      <c r="AEJ52" s="133">
        <f t="shared" si="311"/>
        <v>0.4115742418280362</v>
      </c>
      <c r="AEK52" s="133">
        <f t="shared" si="312"/>
        <v>0.43263820081905408</v>
      </c>
      <c r="AEL52" s="133">
        <f t="shared" si="313"/>
        <v>0.45087478114054869</v>
      </c>
      <c r="AEM52" s="133">
        <f t="shared" si="314"/>
        <v>0.47204181550818214</v>
      </c>
      <c r="AEN52" s="81"/>
    </row>
    <row r="53" spans="1:820">
      <c r="A53" s="81"/>
      <c r="B53" s="81">
        <v>52</v>
      </c>
      <c r="C53" s="133">
        <f t="shared" si="0"/>
        <v>2.1192246417193328</v>
      </c>
      <c r="D53" s="133">
        <f t="shared" si="1"/>
        <v>2.5508759567368884</v>
      </c>
      <c r="E53" s="133">
        <f t="shared" si="2"/>
        <v>3.0074701635668641</v>
      </c>
      <c r="F53" s="133">
        <f t="shared" si="315"/>
        <v>3.6595895138960048</v>
      </c>
      <c r="G53" s="133">
        <f t="shared" si="316"/>
        <v>5.1622826356799445</v>
      </c>
      <c r="H53" s="134">
        <f t="shared" si="317"/>
        <v>7.7864285621352458</v>
      </c>
      <c r="I53" s="133">
        <f t="shared" si="318"/>
        <v>12.146357598532523</v>
      </c>
      <c r="J53" s="133">
        <f t="shared" si="3"/>
        <v>18.718175126016813</v>
      </c>
      <c r="K53" s="133">
        <f t="shared" si="4"/>
        <v>24.686639494181954</v>
      </c>
      <c r="L53" s="133">
        <f t="shared" si="5"/>
        <v>31.762552144430671</v>
      </c>
      <c r="M53" s="133">
        <f t="shared" si="6"/>
        <v>43.242235131629208</v>
      </c>
      <c r="N53" s="81"/>
      <c r="O53" s="75">
        <v>52</v>
      </c>
      <c r="P53" s="151">
        <f t="shared" si="7"/>
        <v>2.8288765518311147</v>
      </c>
      <c r="Q53" s="151">
        <f t="shared" si="8"/>
        <v>3.2489353013907682</v>
      </c>
      <c r="R53" s="151">
        <f t="shared" si="9"/>
        <v>3.6836685283547115</v>
      </c>
      <c r="S53" s="151">
        <f t="shared" si="319"/>
        <v>4.293290882369706</v>
      </c>
      <c r="T53" s="151">
        <f t="shared" si="320"/>
        <v>5.6725763838396936</v>
      </c>
      <c r="U53" s="134">
        <f t="shared" si="321"/>
        <v>8.0699995297165152</v>
      </c>
      <c r="V53" s="151">
        <f t="shared" si="322"/>
        <v>12.172353720395348</v>
      </c>
      <c r="W53" s="151">
        <f t="shared" si="10"/>
        <v>18.851885860163637</v>
      </c>
      <c r="X53" s="151">
        <f t="shared" si="11"/>
        <v>25.568115785593491</v>
      </c>
      <c r="Y53" s="151">
        <f t="shared" si="12"/>
        <v>34.460858442324124</v>
      </c>
      <c r="Z53" s="151">
        <f t="shared" si="13"/>
        <v>51.370690542805001</v>
      </c>
      <c r="AA53" s="81"/>
      <c r="AB53" s="75">
        <v>54</v>
      </c>
      <c r="AC53" s="151">
        <f t="shared" si="14"/>
        <v>1.8560037003092564</v>
      </c>
      <c r="AD53" s="151">
        <f t="shared" si="15"/>
        <v>2.2384210969498088</v>
      </c>
      <c r="AE53" s="151">
        <f t="shared" si="16"/>
        <v>2.6471037641527628</v>
      </c>
      <c r="AF53" s="151">
        <f t="shared" si="323"/>
        <v>3.238153749287231</v>
      </c>
      <c r="AG53" s="151">
        <f t="shared" si="324"/>
        <v>4.6319565591592786</v>
      </c>
      <c r="AH53" s="134">
        <f t="shared" si="325"/>
        <v>7.1650121164212512</v>
      </c>
      <c r="AI53" s="151">
        <f t="shared" si="326"/>
        <v>11.622742926763751</v>
      </c>
      <c r="AJ53" s="151">
        <f t="shared" si="17"/>
        <v>18.857306144035707</v>
      </c>
      <c r="AK53" s="151">
        <f t="shared" si="18"/>
        <v>25.905680004475975</v>
      </c>
      <c r="AL53" s="151">
        <f t="shared" si="19"/>
        <v>34.798071068534448</v>
      </c>
      <c r="AM53" s="151">
        <f t="shared" si="20"/>
        <v>50.364560982385719</v>
      </c>
      <c r="AN53" s="81"/>
      <c r="AO53" s="81">
        <v>52</v>
      </c>
      <c r="AP53" s="133">
        <f t="shared" si="21"/>
        <v>1.5797827484917919</v>
      </c>
      <c r="AQ53" s="133">
        <f t="shared" si="22"/>
        <v>4.0300925563672445</v>
      </c>
      <c r="AR53" s="133">
        <f t="shared" si="23"/>
        <v>6.3970473887686774</v>
      </c>
      <c r="AS53" s="133">
        <f t="shared" si="327"/>
        <v>9.4271195150262663</v>
      </c>
      <c r="AT53" s="133">
        <f t="shared" si="328"/>
        <v>15.208099518617882</v>
      </c>
      <c r="AU53" s="134">
        <f t="shared" si="329"/>
        <v>22.736222554696397</v>
      </c>
      <c r="AV53" s="133">
        <f t="shared" si="330"/>
        <v>31.424038885866448</v>
      </c>
      <c r="AW53" s="133">
        <f t="shared" si="24"/>
        <v>40.217997193300583</v>
      </c>
      <c r="AX53" s="133">
        <f t="shared" si="25"/>
        <v>45.9470184732454</v>
      </c>
      <c r="AY53" s="133">
        <f t="shared" si="26"/>
        <v>51.195653203571084</v>
      </c>
      <c r="AZ53" s="133">
        <f t="shared" si="27"/>
        <v>57.626579984639157</v>
      </c>
      <c r="BA53" s="81"/>
      <c r="BB53" s="81">
        <v>52</v>
      </c>
      <c r="BC53" s="133">
        <f t="shared" si="28"/>
        <v>4.4676127268343668</v>
      </c>
      <c r="BD53" s="133">
        <f t="shared" si="29"/>
        <v>7.2785245135573104</v>
      </c>
      <c r="BE53" s="133">
        <f t="shared" si="30"/>
        <v>9.8960636270816416</v>
      </c>
      <c r="BF53" s="133">
        <f t="shared" si="331"/>
        <v>13.13613744659785</v>
      </c>
      <c r="BG53" s="133">
        <f t="shared" si="332"/>
        <v>19.052457584701486</v>
      </c>
      <c r="BH53" s="134">
        <f t="shared" si="333"/>
        <v>26.370743280836837</v>
      </c>
      <c r="BI53" s="133">
        <f t="shared" si="334"/>
        <v>34.421171689937353</v>
      </c>
      <c r="BJ53" s="133">
        <f t="shared" si="31"/>
        <v>42.244670948562863</v>
      </c>
      <c r="BK53" s="133">
        <f t="shared" si="32"/>
        <v>47.199470759281546</v>
      </c>
      <c r="BL53" s="133">
        <f t="shared" si="33"/>
        <v>51.654674177232621</v>
      </c>
      <c r="BM53" s="133">
        <f t="shared" si="34"/>
        <v>57.016185008186703</v>
      </c>
      <c r="BN53" s="81"/>
      <c r="BO53" s="75">
        <v>54</v>
      </c>
      <c r="BP53" s="151">
        <f t="shared" si="35"/>
        <v>4.320151288019364</v>
      </c>
      <c r="BQ53" s="151">
        <f t="shared" si="36"/>
        <v>5.5652828697772962</v>
      </c>
      <c r="BR53" s="151">
        <f t="shared" si="37"/>
        <v>6.8690025963217902</v>
      </c>
      <c r="BS53" s="151">
        <f t="shared" si="335"/>
        <v>8.6868578531129241</v>
      </c>
      <c r="BT53" s="151">
        <f t="shared" si="336"/>
        <v>12.63149399880094</v>
      </c>
      <c r="BU53" s="134">
        <f t="shared" si="337"/>
        <v>18.735114235648208</v>
      </c>
      <c r="BV53" s="151">
        <f t="shared" si="338"/>
        <v>27.190541982624538</v>
      </c>
      <c r="BW53" s="151">
        <f t="shared" si="38"/>
        <v>37.353292996613327</v>
      </c>
      <c r="BX53" s="151">
        <f t="shared" si="39"/>
        <v>44.874195097898031</v>
      </c>
      <c r="BY53" s="151">
        <f t="shared" si="40"/>
        <v>52.406741406378174</v>
      </c>
      <c r="BZ53" s="151">
        <f t="shared" si="41"/>
        <v>62.495044160295635</v>
      </c>
      <c r="CA53" s="81"/>
      <c r="CB53" s="81">
        <v>52</v>
      </c>
      <c r="CC53" s="133">
        <f t="shared" si="42"/>
        <v>-4.7326742006319105</v>
      </c>
      <c r="CD53" s="133">
        <f t="shared" si="43"/>
        <v>-2.3319746794452234</v>
      </c>
      <c r="CE53" s="133">
        <f t="shared" si="44"/>
        <v>8.7786944453758231E-2</v>
      </c>
      <c r="CF53" s="133">
        <f t="shared" si="339"/>
        <v>3.2114639619069623</v>
      </c>
      <c r="CG53" s="133">
        <f t="shared" si="340"/>
        <v>9.0913901097282199</v>
      </c>
      <c r="CH53" s="134">
        <f t="shared" si="341"/>
        <v>16.479314549474722</v>
      </c>
      <c r="CI53" s="133">
        <f t="shared" si="342"/>
        <v>24.621148559555376</v>
      </c>
      <c r="CJ53" s="133">
        <f t="shared" si="45"/>
        <v>32.493664008595665</v>
      </c>
      <c r="CK53" s="133">
        <f t="shared" si="46"/>
        <v>37.448955240442025</v>
      </c>
      <c r="CL53" s="133">
        <f t="shared" si="47"/>
        <v>41.881929712228178</v>
      </c>
      <c r="CM53" s="133">
        <f t="shared" si="48"/>
        <v>47.18712679245953</v>
      </c>
      <c r="CN53" s="81"/>
      <c r="CO53" s="81">
        <v>52</v>
      </c>
      <c r="CP53" s="133">
        <f t="shared" si="49"/>
        <v>1.0682958969896283</v>
      </c>
      <c r="CQ53" s="133">
        <f t="shared" si="50"/>
        <v>3.618456579827698</v>
      </c>
      <c r="CR53" s="133">
        <f t="shared" si="51"/>
        <v>5.9922461616433607</v>
      </c>
      <c r="CS53" s="133">
        <f t="shared" si="343"/>
        <v>8.9171310610220154</v>
      </c>
      <c r="CT53" s="133">
        <f t="shared" si="344"/>
        <v>14.202509559840038</v>
      </c>
      <c r="CU53" s="134">
        <f t="shared" si="345"/>
        <v>20.632049270416843</v>
      </c>
      <c r="CV53" s="133">
        <f t="shared" si="346"/>
        <v>27.572459952691812</v>
      </c>
      <c r="CW53" s="133">
        <f t="shared" si="52"/>
        <v>34.197041090445921</v>
      </c>
      <c r="CX53" s="133">
        <f t="shared" si="53"/>
        <v>38.337060294670394</v>
      </c>
      <c r="CY53" s="133">
        <f t="shared" si="54"/>
        <v>42.025769890325634</v>
      </c>
      <c r="CZ53" s="133">
        <f t="shared" si="55"/>
        <v>46.425090404500487</v>
      </c>
      <c r="DA53" s="81"/>
      <c r="DB53" s="81">
        <v>54</v>
      </c>
      <c r="DC53" s="133">
        <f t="shared" si="56"/>
        <v>-5.0642745501818718</v>
      </c>
      <c r="DD53" s="133">
        <f t="shared" si="57"/>
        <v>-3.2854865849047328</v>
      </c>
      <c r="DE53" s="133">
        <f t="shared" si="58"/>
        <v>-1.4152968477546031</v>
      </c>
      <c r="DF53" s="133">
        <f t="shared" si="347"/>
        <v>1.0946288919358667</v>
      </c>
      <c r="DG53" s="133">
        <f t="shared" si="348"/>
        <v>6.0511415531447055</v>
      </c>
      <c r="DH53" s="134">
        <f t="shared" si="349"/>
        <v>12.611108623819938</v>
      </c>
      <c r="DI53" s="133">
        <f t="shared" si="350"/>
        <v>20.173288802429717</v>
      </c>
      <c r="DJ53" s="133">
        <f t="shared" si="59"/>
        <v>27.754084921983573</v>
      </c>
      <c r="DK53" s="133">
        <f t="shared" si="60"/>
        <v>32.642023892319664</v>
      </c>
      <c r="DL53" s="133">
        <f t="shared" si="61"/>
        <v>37.083128681605842</v>
      </c>
      <c r="DM53" s="133">
        <f t="shared" si="62"/>
        <v>42.4763930365433</v>
      </c>
      <c r="DN53" s="81"/>
      <c r="DO53" s="81">
        <v>52</v>
      </c>
      <c r="DP53" s="133">
        <v>13.097487623511128</v>
      </c>
      <c r="DQ53" s="133">
        <v>14.27865594290224</v>
      </c>
      <c r="DR53" s="133">
        <v>15.379378208085706</v>
      </c>
      <c r="DS53" s="133">
        <v>16.754160338425734</v>
      </c>
      <c r="DT53" s="133">
        <v>19.326444929212812</v>
      </c>
      <c r="DU53" s="134">
        <v>22.661532150736498</v>
      </c>
      <c r="DV53" s="133">
        <v>26.572142020937168</v>
      </c>
      <c r="DW53" s="133">
        <v>30.651792094948867</v>
      </c>
      <c r="DX53" s="133">
        <v>33.391794679245727</v>
      </c>
      <c r="DY53" s="133">
        <v>35.965922946279925</v>
      </c>
      <c r="DZ53" s="133">
        <v>39.209431165791351</v>
      </c>
      <c r="EA53" s="81"/>
      <c r="EB53" s="81">
        <v>52</v>
      </c>
      <c r="EC53" s="133">
        <v>12.712447240429002</v>
      </c>
      <c r="ED53" s="133">
        <v>13.716477259895795</v>
      </c>
      <c r="EE53" s="133">
        <v>14.643197273182546</v>
      </c>
      <c r="EF53" s="133">
        <v>15.789618269788196</v>
      </c>
      <c r="EG53" s="133">
        <v>17.905258601288221</v>
      </c>
      <c r="EH53" s="134">
        <v>20.599052843115533</v>
      </c>
      <c r="EI53" s="133">
        <v>23.698120618204186</v>
      </c>
      <c r="EJ53" s="133">
        <v>26.873415859923647</v>
      </c>
      <c r="EK53" s="133">
        <v>28.977344914321748</v>
      </c>
      <c r="EL53" s="133">
        <v>30.935127875296015</v>
      </c>
      <c r="EM53" s="133">
        <v>33.378386553614277</v>
      </c>
      <c r="EN53" s="81"/>
      <c r="EO53" s="81">
        <v>54</v>
      </c>
      <c r="EP53" s="133">
        <v>13.903294780713487</v>
      </c>
      <c r="EQ53" s="133">
        <v>15.03793043863709</v>
      </c>
      <c r="ER53" s="133">
        <v>16.08756823874036</v>
      </c>
      <c r="ES53" s="133">
        <v>17.388981487498214</v>
      </c>
      <c r="ET53" s="133">
        <v>19.798459727312856</v>
      </c>
      <c r="EU53" s="134">
        <v>22.879508405056633</v>
      </c>
      <c r="EV53" s="133">
        <v>26.440031803832916</v>
      </c>
      <c r="EW53" s="133">
        <v>30.103655308012506</v>
      </c>
      <c r="EX53" s="133">
        <v>32.538908123882145</v>
      </c>
      <c r="EY53" s="133">
        <v>34.810102825857989</v>
      </c>
      <c r="EZ53" s="133">
        <v>37.650924699029765</v>
      </c>
      <c r="FA53" s="81"/>
      <c r="FB53" s="81">
        <v>52</v>
      </c>
      <c r="FC53" s="133">
        <v>8.7415675285250742</v>
      </c>
      <c r="FD53" s="133">
        <v>9.5353232985532532</v>
      </c>
      <c r="FE53" s="133">
        <v>10.275408804526984</v>
      </c>
      <c r="FF53" s="133">
        <v>11.200249491988803</v>
      </c>
      <c r="FG53" s="133">
        <v>12.93198529181995</v>
      </c>
      <c r="FH53" s="134">
        <v>15.179500206470024</v>
      </c>
      <c r="FI53" s="133">
        <v>17.817622067972238</v>
      </c>
      <c r="FJ53" s="133">
        <v>20.572508378767274</v>
      </c>
      <c r="FK53" s="133">
        <v>22.424142036734313</v>
      </c>
      <c r="FL53" s="133">
        <v>24.164595085431813</v>
      </c>
      <c r="FM53" s="133">
        <v>26.358799582150077</v>
      </c>
      <c r="FN53" s="81"/>
      <c r="FO53" s="81">
        <v>52</v>
      </c>
      <c r="FP53" s="133">
        <v>8.6741776124053516</v>
      </c>
      <c r="FQ53" s="133">
        <v>9.3643231710897403</v>
      </c>
      <c r="FR53" s="133">
        <v>10.001647345325773</v>
      </c>
      <c r="FS53" s="133">
        <v>10.790459504235548</v>
      </c>
      <c r="FT53" s="133">
        <v>12.247207193886256</v>
      </c>
      <c r="FU53" s="134">
        <v>14.103807029168376</v>
      </c>
      <c r="FV53" s="133">
        <v>16.241855760823402</v>
      </c>
      <c r="FW53" s="133">
        <v>18.434559959002573</v>
      </c>
      <c r="FX53" s="133">
        <v>19.888460955282781</v>
      </c>
      <c r="FY53" s="133">
        <v>21.242044842080229</v>
      </c>
      <c r="FZ53" s="133">
        <v>22.93213046866116</v>
      </c>
      <c r="GA53" s="81"/>
      <c r="GB53" s="81">
        <v>54</v>
      </c>
      <c r="GC53" s="133">
        <v>9.2714271946702649</v>
      </c>
      <c r="GD53" s="133">
        <v>10.050777435055441</v>
      </c>
      <c r="GE53" s="133">
        <v>10.773260997855798</v>
      </c>
      <c r="GF53" s="133">
        <v>11.670927759980259</v>
      </c>
      <c r="GG53" s="133">
        <v>13.337923003412483</v>
      </c>
      <c r="GH53" s="134">
        <v>15.478017416932879</v>
      </c>
      <c r="GI53" s="133">
        <v>17.96149393706833</v>
      </c>
      <c r="GJ53" s="133">
        <v>20.526990491738143</v>
      </c>
      <c r="GK53" s="133">
        <v>22.237372992871791</v>
      </c>
      <c r="GL53" s="133">
        <v>23.835869882393439</v>
      </c>
      <c r="GM53" s="133">
        <v>25.839497860328905</v>
      </c>
      <c r="GN53" s="81"/>
      <c r="GO53" s="81">
        <v>52</v>
      </c>
      <c r="GP53" s="133">
        <f t="shared" si="63"/>
        <v>0.48765970529618852</v>
      </c>
      <c r="GQ53" s="133">
        <f t="shared" si="64"/>
        <v>0.52091088568811061</v>
      </c>
      <c r="GR53" s="133">
        <f t="shared" si="65"/>
        <v>0.54780574026082152</v>
      </c>
      <c r="GS53" s="133">
        <f t="shared" si="351"/>
        <v>0.5771725066892085</v>
      </c>
      <c r="GT53" s="133">
        <f t="shared" si="352"/>
        <v>0.62420713124052807</v>
      </c>
      <c r="GU53" s="134">
        <f t="shared" si="353"/>
        <v>0.6700309517202806</v>
      </c>
      <c r="GV53" s="133">
        <f t="shared" si="354"/>
        <v>0.71275071789064259</v>
      </c>
      <c r="GW53" s="133">
        <f t="shared" si="66"/>
        <v>0.75090278902802887</v>
      </c>
      <c r="GX53" s="133">
        <f t="shared" si="67"/>
        <v>0.77220267911092599</v>
      </c>
      <c r="GY53" s="133">
        <f t="shared" si="68"/>
        <v>0.79018516152747531</v>
      </c>
      <c r="GZ53" s="133">
        <f t="shared" si="69"/>
        <v>0.81056297665345645</v>
      </c>
      <c r="HA53" s="81"/>
      <c r="HB53" s="81">
        <v>52</v>
      </c>
      <c r="HC53" s="133">
        <f t="shared" si="70"/>
        <v>0.47484877103414186</v>
      </c>
      <c r="HD53" s="133">
        <f t="shared" si="71"/>
        <v>0.51049456541629346</v>
      </c>
      <c r="HE53" s="133">
        <f t="shared" si="72"/>
        <v>0.53919981793597738</v>
      </c>
      <c r="HF53" s="133">
        <f t="shared" si="355"/>
        <v>0.57043785863112573</v>
      </c>
      <c r="HG53" s="133">
        <f t="shared" si="356"/>
        <v>0.61892052142508291</v>
      </c>
      <c r="HH53" s="134">
        <f t="shared" si="357"/>
        <v>0.66867773892876059</v>
      </c>
      <c r="HI53" s="133">
        <f t="shared" si="358"/>
        <v>0.71485208554955137</v>
      </c>
      <c r="HJ53" s="133">
        <f t="shared" si="73"/>
        <v>0.75378557692813197</v>
      </c>
      <c r="HK53" s="133">
        <f t="shared" si="74"/>
        <v>0.776152851043448</v>
      </c>
      <c r="HL53" s="133">
        <f t="shared" si="75"/>
        <v>0.79502383521163755</v>
      </c>
      <c r="HM53" s="133">
        <f t="shared" si="76"/>
        <v>0.81639586548592802</v>
      </c>
      <c r="HN53" s="81"/>
      <c r="HO53" s="81">
        <v>54</v>
      </c>
      <c r="HP53" s="83">
        <f t="shared" si="77"/>
        <v>0.50091342900385794</v>
      </c>
      <c r="HQ53" s="83">
        <f t="shared" si="78"/>
        <v>0.53217324741286809</v>
      </c>
      <c r="HR53" s="83">
        <f t="shared" si="79"/>
        <v>0.55755254303338164</v>
      </c>
      <c r="HS53" s="83">
        <f t="shared" si="359"/>
        <v>0.58534578845524254</v>
      </c>
      <c r="HT53" s="83">
        <f t="shared" si="360"/>
        <v>0.62877889679874999</v>
      </c>
      <c r="HU53" s="84">
        <f t="shared" si="361"/>
        <v>0.6736540061079993</v>
      </c>
      <c r="HV53" s="83">
        <f t="shared" si="362"/>
        <v>0.71551108194143787</v>
      </c>
      <c r="HW53" s="83">
        <f t="shared" si="80"/>
        <v>0.75093226846016925</v>
      </c>
      <c r="HX53" s="83">
        <f t="shared" si="81"/>
        <v>0.77132627486237537</v>
      </c>
      <c r="HY53" s="83">
        <f t="shared" si="82"/>
        <v>0.78855471738329475</v>
      </c>
      <c r="HZ53" s="83">
        <f t="shared" si="83"/>
        <v>0.80808885874483871</v>
      </c>
      <c r="IA53" s="81"/>
      <c r="IB53" s="81">
        <v>52</v>
      </c>
      <c r="IC53" s="83">
        <f t="shared" si="84"/>
        <v>0.32896390030648198</v>
      </c>
      <c r="ID53" s="83">
        <f t="shared" si="85"/>
        <v>0.34307832597983828</v>
      </c>
      <c r="IE53" s="83">
        <f t="shared" si="86"/>
        <v>0.35410918850751411</v>
      </c>
      <c r="IF53" s="83">
        <f t="shared" si="363"/>
        <v>0.36580552490759632</v>
      </c>
      <c r="IG53" s="83">
        <f t="shared" si="364"/>
        <v>0.38338563239372347</v>
      </c>
      <c r="IH53" s="84">
        <f t="shared" si="365"/>
        <v>0.40078108164674681</v>
      </c>
      <c r="II53" s="83">
        <f t="shared" si="366"/>
        <v>0.41640268476327735</v>
      </c>
      <c r="IJ53" s="83">
        <f t="shared" si="87"/>
        <v>0.42922220935252881</v>
      </c>
      <c r="IK53" s="83">
        <f t="shared" si="88"/>
        <v>0.43645186221318011</v>
      </c>
      <c r="IL53" s="83">
        <f t="shared" si="89"/>
        <v>0.44247873877425109</v>
      </c>
      <c r="IM53" s="83">
        <f t="shared" si="90"/>
        <v>0.44922722547045441</v>
      </c>
      <c r="IN53" s="81"/>
      <c r="IO53" s="81">
        <v>52</v>
      </c>
      <c r="IP53" s="133">
        <f t="shared" si="91"/>
        <v>0.32291990555507383</v>
      </c>
      <c r="IQ53" s="133">
        <f t="shared" si="92"/>
        <v>0.33835189971412344</v>
      </c>
      <c r="IR53" s="133">
        <f t="shared" si="93"/>
        <v>0.3503115169846503</v>
      </c>
      <c r="IS53" s="133">
        <f t="shared" si="367"/>
        <v>0.36291257450303893</v>
      </c>
      <c r="IT53" s="133">
        <f t="shared" si="368"/>
        <v>0.38172505717832061</v>
      </c>
      <c r="IU53" s="134">
        <f t="shared" si="369"/>
        <v>0.40021868668777949</v>
      </c>
      <c r="IV53" s="133">
        <f t="shared" si="370"/>
        <v>0.41674463820302221</v>
      </c>
      <c r="IW53" s="133">
        <f t="shared" si="94"/>
        <v>0.4302588815471417</v>
      </c>
      <c r="IX53" s="133">
        <f t="shared" si="95"/>
        <v>0.43786411802135761</v>
      </c>
      <c r="IY53" s="133">
        <f t="shared" si="96"/>
        <v>0.44419607412463352</v>
      </c>
      <c r="IZ53" s="133">
        <f t="shared" si="97"/>
        <v>0.4512781885032518</v>
      </c>
      <c r="JA53" s="81"/>
      <c r="JB53" s="81">
        <v>54</v>
      </c>
      <c r="JC53" s="133">
        <f t="shared" si="98"/>
        <v>0.33509771903467334</v>
      </c>
      <c r="JD53" s="133">
        <f t="shared" si="99"/>
        <v>0.3480965164982503</v>
      </c>
      <c r="JE53" s="133">
        <f t="shared" si="100"/>
        <v>0.35832927627932643</v>
      </c>
      <c r="JF53" s="133">
        <f t="shared" si="371"/>
        <v>0.36923998495640598</v>
      </c>
      <c r="JG53" s="133">
        <f t="shared" si="372"/>
        <v>0.3857388818003829</v>
      </c>
      <c r="JH53" s="134">
        <f t="shared" si="373"/>
        <v>0.40216221097245014</v>
      </c>
      <c r="JI53" s="133">
        <f t="shared" si="374"/>
        <v>0.4169786846339294</v>
      </c>
      <c r="JJ53" s="133">
        <f t="shared" si="101"/>
        <v>0.4291776592876213</v>
      </c>
      <c r="JK53" s="133">
        <f t="shared" si="102"/>
        <v>0.43607127706088417</v>
      </c>
      <c r="JL53" s="133">
        <f t="shared" si="103"/>
        <v>0.44182498037670709</v>
      </c>
      <c r="JM53" s="133">
        <f t="shared" si="104"/>
        <v>0.44827455406511957</v>
      </c>
      <c r="JN53" s="81"/>
      <c r="JO53" s="81">
        <v>51</v>
      </c>
      <c r="JP53" s="133">
        <f t="shared" si="105"/>
        <v>-2.4640597533661364</v>
      </c>
      <c r="JQ53" s="133">
        <f t="shared" si="106"/>
        <v>-1.011573916408647</v>
      </c>
      <c r="JR53" s="133">
        <f t="shared" si="107"/>
        <v>0.25273540461597577</v>
      </c>
      <c r="JS53" s="133">
        <f t="shared" si="375"/>
        <v>1.7269820502536071</v>
      </c>
      <c r="JT53" s="133">
        <f t="shared" si="376"/>
        <v>4.2238515316684122</v>
      </c>
      <c r="JU53" s="134">
        <f t="shared" si="377"/>
        <v>7.0589515751435847</v>
      </c>
      <c r="JV53" s="133">
        <f t="shared" si="378"/>
        <v>9.9454479255734647</v>
      </c>
      <c r="JW53" s="133">
        <f t="shared" si="108"/>
        <v>12.576315132838364</v>
      </c>
      <c r="JX53" s="133">
        <f t="shared" si="109"/>
        <v>14.171174697590022</v>
      </c>
      <c r="JY53" s="133">
        <f t="shared" si="110"/>
        <v>15.564882579031707</v>
      </c>
      <c r="JZ53" s="133">
        <f t="shared" si="111"/>
        <v>17.197192473362637</v>
      </c>
      <c r="KA53" s="81"/>
      <c r="KB53" s="81">
        <v>51</v>
      </c>
      <c r="KC53" s="133">
        <f t="shared" si="112"/>
        <v>-0.9390346029989356</v>
      </c>
      <c r="KD53" s="133">
        <f t="shared" si="113"/>
        <v>0.39758454043832359</v>
      </c>
      <c r="KE53" s="133">
        <f t="shared" si="114"/>
        <v>1.5852161571044121</v>
      </c>
      <c r="KF53" s="133">
        <f t="shared" si="379"/>
        <v>2.9965903084749925</v>
      </c>
      <c r="KG53" s="133">
        <f t="shared" si="380"/>
        <v>5.447274567172089</v>
      </c>
      <c r="KH53" s="134">
        <f t="shared" si="381"/>
        <v>8.3138272374841815</v>
      </c>
      <c r="KI53" s="133">
        <f t="shared" si="382"/>
        <v>11.315332666474893</v>
      </c>
      <c r="KJ53" s="133">
        <f t="shared" si="115"/>
        <v>14.117650871093359</v>
      </c>
      <c r="KK53" s="133">
        <f t="shared" si="116"/>
        <v>15.845279524792579</v>
      </c>
      <c r="KL53" s="133">
        <f t="shared" si="117"/>
        <v>17.371935297584741</v>
      </c>
      <c r="KM53" s="133">
        <f t="shared" si="118"/>
        <v>19.179239355609049</v>
      </c>
      <c r="KN53" s="81"/>
      <c r="KO53" s="81">
        <v>53</v>
      </c>
      <c r="KP53" s="133">
        <f t="shared" si="119"/>
        <v>-2.3724410711514601</v>
      </c>
      <c r="KQ53" s="133">
        <f t="shared" si="120"/>
        <v>-0.99818067842422664</v>
      </c>
      <c r="KR53" s="133">
        <f t="shared" si="121"/>
        <v>0.17922517517559911</v>
      </c>
      <c r="KS53" s="133">
        <f t="shared" si="383"/>
        <v>1.5318544688763929</v>
      </c>
      <c r="KT53" s="133">
        <f t="shared" si="384"/>
        <v>3.7776224058607255</v>
      </c>
      <c r="KU53" s="134">
        <f t="shared" si="385"/>
        <v>6.2664521610243504</v>
      </c>
      <c r="KV53" s="133">
        <f t="shared" si="386"/>
        <v>8.741705715990939</v>
      </c>
      <c r="KW53" s="133">
        <f t="shared" si="122"/>
        <v>10.951967029552922</v>
      </c>
      <c r="KX53" s="133">
        <f t="shared" si="123"/>
        <v>12.272495615082956</v>
      </c>
      <c r="KY53" s="133">
        <f t="shared" si="124"/>
        <v>13.415310077248652</v>
      </c>
      <c r="KZ53" s="133">
        <f t="shared" si="125"/>
        <v>14.741228790838239</v>
      </c>
      <c r="LA53" s="81"/>
      <c r="LB53" s="81">
        <v>51</v>
      </c>
      <c r="LC53" s="133">
        <f t="shared" si="126"/>
        <v>-5.3038136755893781</v>
      </c>
      <c r="LD53" s="133">
        <f t="shared" si="127"/>
        <v>-1.597131968819312</v>
      </c>
      <c r="LE53" s="133">
        <f t="shared" si="128"/>
        <v>1.6580697593628102</v>
      </c>
      <c r="LF53" s="133">
        <f t="shared" si="387"/>
        <v>5.4838751986217602</v>
      </c>
      <c r="LG53" s="133">
        <f t="shared" si="388"/>
        <v>12.02832697848357</v>
      </c>
      <c r="LH53" s="134">
        <f t="shared" si="389"/>
        <v>19.544195384688066</v>
      </c>
      <c r="LI53" s="133">
        <f t="shared" si="390"/>
        <v>27.274989019437172</v>
      </c>
      <c r="LJ53" s="133">
        <f t="shared" si="129"/>
        <v>34.380729832778563</v>
      </c>
      <c r="LK53" s="133">
        <f t="shared" si="130"/>
        <v>38.712967777973311</v>
      </c>
      <c r="LL53" s="133">
        <f t="shared" si="131"/>
        <v>42.512819585011307</v>
      </c>
      <c r="LM53" s="133">
        <f t="shared" si="132"/>
        <v>46.978791075114522</v>
      </c>
      <c r="LN53" s="81"/>
      <c r="LO53" s="81">
        <v>51</v>
      </c>
      <c r="LP53" s="133">
        <f t="shared" si="133"/>
        <v>-0.99761945694621446</v>
      </c>
      <c r="LQ53" s="133">
        <f t="shared" si="134"/>
        <v>2.7004080358697173</v>
      </c>
      <c r="LR53" s="133">
        <f t="shared" si="135"/>
        <v>5.9574729871134444</v>
      </c>
      <c r="LS53" s="133">
        <f t="shared" si="391"/>
        <v>9.7958019995136318</v>
      </c>
      <c r="LT53" s="133">
        <f t="shared" si="392"/>
        <v>16.385050006226653</v>
      </c>
      <c r="LU53" s="134">
        <f t="shared" si="393"/>
        <v>23.984655356931487</v>
      </c>
      <c r="LV53" s="133">
        <f t="shared" si="394"/>
        <v>31.833230702570123</v>
      </c>
      <c r="LW53" s="133">
        <f t="shared" si="136"/>
        <v>39.072409170838995</v>
      </c>
      <c r="LX53" s="133">
        <f t="shared" si="137"/>
        <v>43.496809325910334</v>
      </c>
      <c r="LY53" s="133">
        <f t="shared" si="138"/>
        <v>47.383804245314593</v>
      </c>
      <c r="LZ53" s="133">
        <f t="shared" si="139"/>
        <v>51.959352871940752</v>
      </c>
      <c r="MA53" s="81"/>
      <c r="MB53" s="81">
        <v>53</v>
      </c>
      <c r="MC53" s="133">
        <f t="shared" si="140"/>
        <v>-4.4377975455859762</v>
      </c>
      <c r="MD53" s="133">
        <f t="shared" si="141"/>
        <v>-1.2288919689090179</v>
      </c>
      <c r="ME53" s="133">
        <f t="shared" si="142"/>
        <v>1.5605377224016905</v>
      </c>
      <c r="MF53" s="133">
        <f t="shared" si="395"/>
        <v>4.8084249441925948</v>
      </c>
      <c r="MG53" s="133">
        <f t="shared" si="396"/>
        <v>10.297083648871897</v>
      </c>
      <c r="MH53" s="134">
        <f t="shared" si="397"/>
        <v>16.510281507802588</v>
      </c>
      <c r="MI53" s="133">
        <f t="shared" si="398"/>
        <v>22.815420941276301</v>
      </c>
      <c r="MJ53" s="133">
        <f t="shared" si="143"/>
        <v>28.544341052409258</v>
      </c>
      <c r="MK53" s="133">
        <f t="shared" si="144"/>
        <v>32.009196656544951</v>
      </c>
      <c r="ML53" s="133">
        <f t="shared" si="145"/>
        <v>35.032169098668369</v>
      </c>
      <c r="MM53" s="133">
        <f t="shared" si="146"/>
        <v>38.567003971384146</v>
      </c>
      <c r="MN53" s="81"/>
      <c r="MO53" s="81">
        <v>51</v>
      </c>
      <c r="MP53" s="133">
        <f t="shared" si="147"/>
        <v>-11.665258643705968</v>
      </c>
      <c r="MQ53" s="133">
        <f t="shared" si="148"/>
        <v>-7.4552551779522211</v>
      </c>
      <c r="MR53" s="133">
        <f t="shared" si="149"/>
        <v>-3.8188580772340472</v>
      </c>
      <c r="MS53" s="133">
        <f t="shared" si="399"/>
        <v>0.3895133529540189</v>
      </c>
      <c r="MT53" s="133">
        <f t="shared" si="400"/>
        <v>7.4430102155133611</v>
      </c>
      <c r="MU53" s="134">
        <f t="shared" si="401"/>
        <v>15.347151311407089</v>
      </c>
      <c r="MV53" s="133">
        <f t="shared" si="402"/>
        <v>23.289810058050492</v>
      </c>
      <c r="MW53" s="133">
        <f t="shared" si="150"/>
        <v>30.444698732341358</v>
      </c>
      <c r="MX53" s="133">
        <f t="shared" si="151"/>
        <v>34.745601358340274</v>
      </c>
      <c r="MY53" s="133">
        <f t="shared" si="152"/>
        <v>38.482703547641428</v>
      </c>
      <c r="MZ53" s="133">
        <f t="shared" si="153"/>
        <v>42.835339246058076</v>
      </c>
      <c r="NA53" s="81"/>
      <c r="NB53" s="81">
        <v>51</v>
      </c>
      <c r="NC53" s="133">
        <f t="shared" si="154"/>
        <v>-3.7536752886358293</v>
      </c>
      <c r="ND53" s="133">
        <f t="shared" si="155"/>
        <v>1.1600499261930963E-2</v>
      </c>
      <c r="NE53" s="133">
        <f t="shared" si="156"/>
        <v>3.2680082198638551</v>
      </c>
      <c r="NF53" s="133">
        <f t="shared" si="403"/>
        <v>7.0409919477164884</v>
      </c>
      <c r="NG53" s="133">
        <f t="shared" si="404"/>
        <v>13.374226456758624</v>
      </c>
      <c r="NH53" s="134">
        <f t="shared" si="405"/>
        <v>20.483734785367137</v>
      </c>
      <c r="NI53" s="133">
        <f t="shared" si="406"/>
        <v>27.639568771745541</v>
      </c>
      <c r="NJ53" s="133">
        <f t="shared" si="157"/>
        <v>34.094595916930615</v>
      </c>
      <c r="NK53" s="133">
        <f t="shared" si="158"/>
        <v>37.978525373605791</v>
      </c>
      <c r="NL53" s="133">
        <f t="shared" si="159"/>
        <v>41.355442872178784</v>
      </c>
      <c r="NM53" s="133">
        <f t="shared" si="160"/>
        <v>45.290942387781683</v>
      </c>
      <c r="NN53" s="81"/>
      <c r="NO53" s="81">
        <v>53</v>
      </c>
      <c r="NP53" s="133">
        <f t="shared" si="161"/>
        <v>-12.910318001155154</v>
      </c>
      <c r="NQ53" s="133">
        <f t="shared" si="162"/>
        <v>-9.1349831000714374</v>
      </c>
      <c r="NR53" s="133">
        <f t="shared" si="163"/>
        <v>-5.8859259998663447</v>
      </c>
      <c r="NS53" s="133">
        <f t="shared" si="407"/>
        <v>-2.1378678932601005</v>
      </c>
      <c r="NT53" s="133">
        <f t="shared" si="408"/>
        <v>4.1189526803989267</v>
      </c>
      <c r="NU53" s="134">
        <f t="shared" si="409"/>
        <v>11.098353120975524</v>
      </c>
      <c r="NV53" s="133">
        <f t="shared" si="410"/>
        <v>18.082838751264468</v>
      </c>
      <c r="NW53" s="133">
        <f t="shared" si="164"/>
        <v>24.353047556141235</v>
      </c>
      <c r="NX53" s="133">
        <f t="shared" si="165"/>
        <v>28.113326610818397</v>
      </c>
      <c r="NY53" s="133">
        <f t="shared" si="166"/>
        <v>31.375686940744224</v>
      </c>
      <c r="NZ53" s="133">
        <f t="shared" si="167"/>
        <v>35.169867985209827</v>
      </c>
      <c r="OA53" s="81"/>
      <c r="OB53" s="81">
        <v>51</v>
      </c>
      <c r="OC53" s="133">
        <v>14.046077349599585</v>
      </c>
      <c r="OD53" s="133">
        <v>15.4287953826137</v>
      </c>
      <c r="OE53" s="133">
        <v>16.726397268189061</v>
      </c>
      <c r="OF53" s="133">
        <v>18.358464663378935</v>
      </c>
      <c r="OG53" s="133">
        <v>21.443088573910984</v>
      </c>
      <c r="OH53" s="134">
        <v>25.495737842128349</v>
      </c>
      <c r="OI53" s="133">
        <v>30.314319967199435</v>
      </c>
      <c r="OJ53" s="133">
        <v>35.40778926961179</v>
      </c>
      <c r="OK53" s="133">
        <v>38.862681406640618</v>
      </c>
      <c r="OL53" s="133">
        <v>42.131134154973651</v>
      </c>
      <c r="OM53" s="133">
        <v>46.278589526140301</v>
      </c>
      <c r="ON53" s="81"/>
      <c r="OO53" s="81">
        <v>51</v>
      </c>
      <c r="OP53" s="133">
        <v>13.102243471994022</v>
      </c>
      <c r="OQ53" s="133">
        <v>14.19187847934276</v>
      </c>
      <c r="OR53" s="133">
        <v>15.201231841245383</v>
      </c>
      <c r="OS53" s="133">
        <v>16.454366080960956</v>
      </c>
      <c r="OT53" s="133">
        <v>25.130815317862371</v>
      </c>
      <c r="OU53" s="134">
        <v>21.758849196547263</v>
      </c>
      <c r="OV53" s="133">
        <v>25.211660256162297</v>
      </c>
      <c r="OW53" s="133">
        <v>28.773367264868561</v>
      </c>
      <c r="OX53" s="133">
        <v>31.145338963483479</v>
      </c>
      <c r="OY53" s="133">
        <v>33.360454646452943</v>
      </c>
      <c r="OZ53" s="133">
        <v>36.134843576222451</v>
      </c>
      <c r="PA53" s="81"/>
      <c r="PB53" s="81">
        <v>53</v>
      </c>
      <c r="PC53" s="133">
        <v>17.386363085429547</v>
      </c>
      <c r="PD53" s="133">
        <v>18.720746442733343</v>
      </c>
      <c r="PE53" s="133">
        <v>19.950017966046989</v>
      </c>
      <c r="PF53" s="133">
        <v>21.467801098504108</v>
      </c>
      <c r="PG53" s="133">
        <v>24.261041513947017</v>
      </c>
      <c r="PH53" s="134">
        <v>27.804724677159086</v>
      </c>
      <c r="PI53" s="133">
        <v>31.866015064859599</v>
      </c>
      <c r="PJ53" s="133">
        <v>36.012198493235054</v>
      </c>
      <c r="PK53" s="133">
        <v>38.751980859784979</v>
      </c>
      <c r="PL53" s="133">
        <v>41.296575258766325</v>
      </c>
      <c r="PM53" s="133">
        <v>44.466039882746387</v>
      </c>
      <c r="PN53" s="81"/>
      <c r="PO53" s="81">
        <v>51</v>
      </c>
      <c r="PP53" s="133">
        <v>9.1568006808918909</v>
      </c>
      <c r="PQ53" s="133">
        <v>9.9559466746691143</v>
      </c>
      <c r="PR53" s="133">
        <v>10.698820235908952</v>
      </c>
      <c r="PS53" s="133">
        <v>11.624358936343539</v>
      </c>
      <c r="PT53" s="133">
        <v>13.349919028009264</v>
      </c>
      <c r="PU53" s="134">
        <v>15.576728940690414</v>
      </c>
      <c r="PV53" s="133">
        <v>18.17497798920536</v>
      </c>
      <c r="PW53" s="133">
        <v>20.872934655617513</v>
      </c>
      <c r="PX53" s="133">
        <v>22.678620552701378</v>
      </c>
      <c r="PY53" s="133">
        <v>24.370809971198067</v>
      </c>
      <c r="PZ53" s="133">
        <v>26.497735720955891</v>
      </c>
      <c r="QA53" s="81"/>
      <c r="QB53" s="81">
        <v>51</v>
      </c>
      <c r="QC53" s="133">
        <v>8.9711387583849191</v>
      </c>
      <c r="QD53" s="133">
        <v>9.7499903191327011</v>
      </c>
      <c r="QE53" s="133">
        <v>10.473716623644835</v>
      </c>
      <c r="QF53" s="133">
        <v>11.375049171914025</v>
      </c>
      <c r="QG53" s="133">
        <v>13.054538796264444</v>
      </c>
      <c r="QH53" s="134">
        <v>15.220301682343878</v>
      </c>
      <c r="QI53" s="133">
        <v>17.745367103114258</v>
      </c>
      <c r="QJ53" s="133">
        <v>20.36541379298319</v>
      </c>
      <c r="QK53" s="133">
        <v>22.117992268244453</v>
      </c>
      <c r="QL53" s="133">
        <v>23.75977572479956</v>
      </c>
      <c r="QM53" s="133">
        <v>25.822539316431808</v>
      </c>
      <c r="QN53" s="81"/>
      <c r="QO53" s="81">
        <v>53</v>
      </c>
      <c r="QP53" s="133">
        <v>9.4522443191561152</v>
      </c>
      <c r="QQ53" s="133">
        <v>10.267408881168977</v>
      </c>
      <c r="QR53" s="133">
        <v>11.02450465177086</v>
      </c>
      <c r="QS53" s="133">
        <v>11.966931280636809</v>
      </c>
      <c r="QT53" s="133">
        <v>13.721748349557421</v>
      </c>
      <c r="QU53" s="134">
        <v>15.982541943086574</v>
      </c>
      <c r="QV53" s="133">
        <v>18.615823614835534</v>
      </c>
      <c r="QW53" s="133">
        <v>21.345626624917692</v>
      </c>
      <c r="QX53" s="133">
        <v>23.170351415425277</v>
      </c>
      <c r="QY53" s="133">
        <v>24.878881314546284</v>
      </c>
      <c r="QZ53" s="133">
        <v>27.024443966692452</v>
      </c>
      <c r="RA53" s="81"/>
      <c r="RB53" s="81">
        <v>51</v>
      </c>
      <c r="RC53" s="133">
        <f t="shared" si="168"/>
        <v>0.33608916073067446</v>
      </c>
      <c r="RD53" s="133">
        <f t="shared" si="169"/>
        <v>0.36614795279933804</v>
      </c>
      <c r="RE53" s="133">
        <f t="shared" si="170"/>
        <v>0.39450247345573275</v>
      </c>
      <c r="RF53" s="133">
        <f t="shared" si="411"/>
        <v>0.43039248683855208</v>
      </c>
      <c r="RG53" s="133">
        <f t="shared" si="412"/>
        <v>0.4989965360872502</v>
      </c>
      <c r="RH53" s="134">
        <f t="shared" si="413"/>
        <v>0.5908243793489566</v>
      </c>
      <c r="RI53" s="133">
        <f t="shared" si="414"/>
        <v>0.70271423767069263</v>
      </c>
      <c r="RJ53" s="133">
        <f t="shared" si="171"/>
        <v>0.82434932771846181</v>
      </c>
      <c r="RK53" s="133">
        <f t="shared" si="172"/>
        <v>0.90887744332480402</v>
      </c>
      <c r="RL53" s="133">
        <f t="shared" si="173"/>
        <v>0.99037364622719737</v>
      </c>
      <c r="RM53" s="133">
        <f t="shared" si="174"/>
        <v>1.0959494080889634</v>
      </c>
      <c r="RN53" s="81"/>
      <c r="RO53" s="81">
        <v>51</v>
      </c>
      <c r="RP53" s="133">
        <f t="shared" si="175"/>
        <v>0.37089576276781927</v>
      </c>
      <c r="RQ53" s="133">
        <f t="shared" si="176"/>
        <v>0.40315482426927068</v>
      </c>
      <c r="RR53" s="133">
        <f t="shared" si="177"/>
        <v>0.43366171713266183</v>
      </c>
      <c r="RS53" s="133">
        <f t="shared" si="415"/>
        <v>0.47239218852680476</v>
      </c>
      <c r="RT53" s="133">
        <f t="shared" si="416"/>
        <v>0.5468151185940503</v>
      </c>
      <c r="RU53" s="134">
        <f t="shared" si="417"/>
        <v>0.64728744965110618</v>
      </c>
      <c r="RV53" s="133">
        <f t="shared" si="418"/>
        <v>0.77110034385932691</v>
      </c>
      <c r="RW53" s="133">
        <f t="shared" si="178"/>
        <v>0.9074711106437171</v>
      </c>
      <c r="RX53" s="133">
        <f t="shared" si="179"/>
        <v>1.0033348026222373</v>
      </c>
      <c r="RY53" s="133">
        <f t="shared" si="180"/>
        <v>1.0966084114364152</v>
      </c>
      <c r="RZ53" s="133">
        <f t="shared" si="181"/>
        <v>1.2186722078910632</v>
      </c>
      <c r="SA53" s="81"/>
      <c r="SB53" s="81">
        <v>53</v>
      </c>
      <c r="SC53" s="133">
        <f t="shared" si="182"/>
        <v>0.33427061265061353</v>
      </c>
      <c r="SD53" s="133">
        <f t="shared" si="183"/>
        <v>0.36236527289940706</v>
      </c>
      <c r="SE53" s="133">
        <f t="shared" si="184"/>
        <v>0.38843602507611441</v>
      </c>
      <c r="SF53" s="133">
        <f t="shared" si="419"/>
        <v>0.42086309765701402</v>
      </c>
      <c r="SG53" s="133">
        <f t="shared" si="420"/>
        <v>0.4811825940110252</v>
      </c>
      <c r="SH53" s="134">
        <f t="shared" si="421"/>
        <v>0.55881003277039343</v>
      </c>
      <c r="SI53" s="133">
        <f t="shared" si="422"/>
        <v>0.649149935338312</v>
      </c>
      <c r="SJ53" s="133">
        <f t="shared" si="185"/>
        <v>0.74275057298451841</v>
      </c>
      <c r="SK53" s="133">
        <f t="shared" si="186"/>
        <v>0.80530273930392415</v>
      </c>
      <c r="SL53" s="133">
        <f t="shared" si="187"/>
        <v>0.86386746546979609</v>
      </c>
      <c r="SM53" s="133">
        <f t="shared" si="188"/>
        <v>0.93741307930975015</v>
      </c>
      <c r="SN53" s="81"/>
      <c r="SO53" s="81">
        <v>51</v>
      </c>
      <c r="SP53" s="133">
        <f t="shared" si="189"/>
        <v>0.25213971239984118</v>
      </c>
      <c r="SQ53" s="133">
        <f t="shared" si="190"/>
        <v>0.26862018956425365</v>
      </c>
      <c r="SR53" s="133">
        <f t="shared" si="191"/>
        <v>0.28342660365165617</v>
      </c>
      <c r="SS53" s="133">
        <f t="shared" si="423"/>
        <v>0.30124476323763699</v>
      </c>
      <c r="ST53" s="133">
        <f t="shared" si="424"/>
        <v>0.33281413857419517</v>
      </c>
      <c r="SU53" s="134">
        <f t="shared" si="425"/>
        <v>0.37084429671496816</v>
      </c>
      <c r="SV53" s="133">
        <f t="shared" si="426"/>
        <v>0.41203047105923646</v>
      </c>
      <c r="SW53" s="133">
        <f t="shared" si="192"/>
        <v>0.45180671310920745</v>
      </c>
      <c r="SX53" s="133">
        <f t="shared" si="193"/>
        <v>0.47698540537565842</v>
      </c>
      <c r="SY53" s="133">
        <f t="shared" si="194"/>
        <v>0.4996602594957682</v>
      </c>
      <c r="SZ53" s="133">
        <f t="shared" si="195"/>
        <v>0.52702637601732405</v>
      </c>
      <c r="TA53" s="81"/>
      <c r="TB53" s="81">
        <v>51</v>
      </c>
      <c r="TC53" s="133">
        <f t="shared" si="196"/>
        <v>0.27129147945712095</v>
      </c>
      <c r="TD53" s="133">
        <f t="shared" si="197"/>
        <v>0.28797427898396966</v>
      </c>
      <c r="TE53" s="133">
        <f t="shared" si="198"/>
        <v>0.30299183676113839</v>
      </c>
      <c r="TF53" s="133">
        <f t="shared" si="427"/>
        <v>0.32110314569558462</v>
      </c>
      <c r="TG53" s="133">
        <f t="shared" si="428"/>
        <v>0.35330246036864954</v>
      </c>
      <c r="TH53" s="134">
        <f t="shared" si="429"/>
        <v>0.39228848876638878</v>
      </c>
      <c r="TI53" s="133">
        <f t="shared" si="430"/>
        <v>0.43476172938858998</v>
      </c>
      <c r="TJ53" s="133">
        <f t="shared" si="199"/>
        <v>0.4760345766180259</v>
      </c>
      <c r="TK53" s="133">
        <f t="shared" si="200"/>
        <v>0.50229037024363021</v>
      </c>
      <c r="TL53" s="133">
        <f t="shared" si="201"/>
        <v>0.52602137156343953</v>
      </c>
      <c r="TM53" s="133">
        <f t="shared" si="202"/>
        <v>0.55477066577053358</v>
      </c>
      <c r="TN53" s="81"/>
      <c r="TO53" s="81">
        <v>53</v>
      </c>
      <c r="TP53" s="133">
        <f t="shared" si="203"/>
        <v>0.25121460225196662</v>
      </c>
      <c r="TQ53" s="133">
        <f t="shared" si="204"/>
        <v>0.26662477632052289</v>
      </c>
      <c r="TR53" s="133">
        <f t="shared" si="205"/>
        <v>0.28029287455046847</v>
      </c>
      <c r="TS53" s="133">
        <f t="shared" si="431"/>
        <v>0.29653040693562915</v>
      </c>
      <c r="TT53" s="133">
        <f t="shared" si="432"/>
        <v>0.32476894821761093</v>
      </c>
      <c r="TU53" s="134">
        <f t="shared" si="433"/>
        <v>0.35795773161798067</v>
      </c>
      <c r="TV53" s="133">
        <f t="shared" si="434"/>
        <v>0.39297528923939645</v>
      </c>
      <c r="TW53" s="133">
        <f t="shared" si="206"/>
        <v>0.42596691195705205</v>
      </c>
      <c r="TX53" s="133">
        <f t="shared" si="207"/>
        <v>0.44646436722157579</v>
      </c>
      <c r="TY53" s="133">
        <f t="shared" si="208"/>
        <v>0.46468321098939175</v>
      </c>
      <c r="TZ53" s="133">
        <f t="shared" si="209"/>
        <v>0.48638381588583746</v>
      </c>
      <c r="UA53" s="81"/>
      <c r="UB53" s="81">
        <v>51</v>
      </c>
      <c r="UC53" s="133">
        <f t="shared" si="210"/>
        <v>-16.520781450631766</v>
      </c>
      <c r="UD53" s="133">
        <f t="shared" si="211"/>
        <v>-13.238303973257409</v>
      </c>
      <c r="UE53" s="133">
        <f t="shared" si="212"/>
        <v>-10.485061099055081</v>
      </c>
      <c r="UF53" s="133">
        <f t="shared" si="435"/>
        <v>-7.3827414199350585</v>
      </c>
      <c r="UG53" s="133">
        <f t="shared" si="436"/>
        <v>-2.3597475883101779</v>
      </c>
      <c r="UH53" s="134">
        <f t="shared" si="437"/>
        <v>3.0436329570433713</v>
      </c>
      <c r="UI53" s="133">
        <f t="shared" si="438"/>
        <v>8.2697916756549859</v>
      </c>
      <c r="UJ53" s="133">
        <f t="shared" si="213"/>
        <v>12.826797310261355</v>
      </c>
      <c r="UK53" s="133">
        <f t="shared" si="214"/>
        <v>15.504628978834191</v>
      </c>
      <c r="UL53" s="133">
        <f t="shared" si="215"/>
        <v>17.796907576583465</v>
      </c>
      <c r="UM53" s="133">
        <f t="shared" si="216"/>
        <v>20.428736415557793</v>
      </c>
      <c r="UN53" s="81"/>
      <c r="UO53" s="81">
        <v>51</v>
      </c>
      <c r="UP53" s="133">
        <f t="shared" si="217"/>
        <v>-12.41316809155721</v>
      </c>
      <c r="UQ53" s="133">
        <f t="shared" si="218"/>
        <v>-9.6450370143204047</v>
      </c>
      <c r="UR53" s="133">
        <f t="shared" si="219"/>
        <v>-7.2693540848946796</v>
      </c>
      <c r="US53" s="133">
        <f t="shared" si="439"/>
        <v>-4.5355561889345424</v>
      </c>
      <c r="UT53" s="133">
        <f t="shared" si="440"/>
        <v>1.3841911996443912E-2</v>
      </c>
      <c r="UU53" s="134">
        <f t="shared" si="441"/>
        <v>5.070283421841367</v>
      </c>
      <c r="UV53" s="133">
        <f t="shared" si="442"/>
        <v>10.113633446475816</v>
      </c>
      <c r="UW53" s="133">
        <f t="shared" si="220"/>
        <v>14.628626075704815</v>
      </c>
      <c r="UX53" s="133">
        <f t="shared" si="221"/>
        <v>17.331101068090931</v>
      </c>
      <c r="UY53" s="133">
        <f t="shared" si="222"/>
        <v>19.672784329507671</v>
      </c>
      <c r="UZ53" s="133">
        <f t="shared" si="223"/>
        <v>22.392939630116153</v>
      </c>
      <c r="VA53" s="81"/>
      <c r="VB53" s="81">
        <v>54</v>
      </c>
      <c r="VC53" s="133">
        <f t="shared" si="224"/>
        <v>-16.619835666264684</v>
      </c>
      <c r="VD53" s="133">
        <f t="shared" si="225"/>
        <v>-13.370745102784802</v>
      </c>
      <c r="VE53" s="133">
        <f t="shared" si="226"/>
        <v>-10.679671876889785</v>
      </c>
      <c r="VF53" s="133">
        <f t="shared" si="443"/>
        <v>-7.6810554113895364</v>
      </c>
      <c r="VG53" s="133">
        <f t="shared" si="444"/>
        <v>-2.8935503461133933</v>
      </c>
      <c r="VH53" s="134">
        <f t="shared" si="445"/>
        <v>2.1742950648173149</v>
      </c>
      <c r="VI53" s="133">
        <f t="shared" si="446"/>
        <v>7.0049004825440448</v>
      </c>
      <c r="VJ53" s="133">
        <f t="shared" si="227"/>
        <v>11.166231217794547</v>
      </c>
      <c r="VK53" s="133">
        <f t="shared" si="228"/>
        <v>13.591336862617496</v>
      </c>
      <c r="VL53" s="133">
        <f t="shared" si="229"/>
        <v>15.656108770819628</v>
      </c>
      <c r="VM53" s="133">
        <f t="shared" si="230"/>
        <v>18.014612625179396</v>
      </c>
      <c r="VN53" s="81"/>
      <c r="VO53" s="81">
        <v>51</v>
      </c>
      <c r="VP53" s="133">
        <f t="shared" si="231"/>
        <v>-29.349349115132895</v>
      </c>
      <c r="VQ53" s="133">
        <f t="shared" si="232"/>
        <v>-24.709614460598953</v>
      </c>
      <c r="VR53" s="133">
        <f t="shared" si="233"/>
        <v>-20.466441727465465</v>
      </c>
      <c r="VS53" s="133">
        <f t="shared" si="447"/>
        <v>-15.291313573915154</v>
      </c>
      <c r="VT53" s="133">
        <f t="shared" si="448"/>
        <v>-6.0020134307675406</v>
      </c>
      <c r="VU53" s="134">
        <f t="shared" si="449"/>
        <v>5.2884937770125475</v>
      </c>
      <c r="VV53" s="133">
        <f t="shared" si="450"/>
        <v>17.533467252795482</v>
      </c>
      <c r="VW53" s="133">
        <f t="shared" si="234"/>
        <v>29.307437577607139</v>
      </c>
      <c r="VX53" s="133">
        <f t="shared" si="235"/>
        <v>36.71439385789342</v>
      </c>
      <c r="VY53" s="133">
        <f t="shared" si="236"/>
        <v>43.347065135812962</v>
      </c>
      <c r="VZ53" s="133">
        <f t="shared" si="237"/>
        <v>51.299051903023887</v>
      </c>
      <c r="WA53" s="81"/>
      <c r="WB53" s="81">
        <v>51</v>
      </c>
      <c r="WC53" s="133">
        <f t="shared" si="238"/>
        <v>-24.336204965766896</v>
      </c>
      <c r="WD53" s="133">
        <f t="shared" si="239"/>
        <v>-19.760552223416905</v>
      </c>
      <c r="WE53" s="133">
        <f t="shared" si="240"/>
        <v>-15.568880437520043</v>
      </c>
      <c r="WF53" s="133">
        <f t="shared" si="451"/>
        <v>-10.449069034740013</v>
      </c>
      <c r="WG53" s="133">
        <f t="shared" si="452"/>
        <v>-1.2425619581556973</v>
      </c>
      <c r="WH53" s="134">
        <f t="shared" si="453"/>
        <v>9.9693660977916565</v>
      </c>
      <c r="WI53" s="133">
        <f t="shared" si="454"/>
        <v>22.149949121371115</v>
      </c>
      <c r="WJ53" s="133">
        <f t="shared" si="241"/>
        <v>33.878064740193032</v>
      </c>
      <c r="WK53" s="133">
        <f t="shared" si="242"/>
        <v>41.262888676981724</v>
      </c>
      <c r="WL53" s="133">
        <f t="shared" si="243"/>
        <v>47.879595962207127</v>
      </c>
      <c r="WM53" s="133">
        <f t="shared" si="244"/>
        <v>55.816781578894215</v>
      </c>
      <c r="WN53" s="81"/>
      <c r="WO53" s="81">
        <v>54</v>
      </c>
      <c r="WP53" s="133">
        <f t="shared" si="245"/>
        <v>-30.126697130577639</v>
      </c>
      <c r="WQ53" s="133">
        <f t="shared" si="246"/>
        <v>-25.482161576184886</v>
      </c>
      <c r="WR53" s="133">
        <f t="shared" si="247"/>
        <v>-21.279868222042182</v>
      </c>
      <c r="WS53" s="133">
        <f t="shared" si="455"/>
        <v>-16.207785875874116</v>
      </c>
      <c r="WT53" s="133">
        <f t="shared" si="456"/>
        <v>-7.2335357147311399</v>
      </c>
      <c r="WU53" s="134">
        <f t="shared" si="457"/>
        <v>3.4803935539407149</v>
      </c>
      <c r="WV53" s="133">
        <f t="shared" si="458"/>
        <v>14.897343040364014</v>
      </c>
      <c r="WW53" s="133">
        <f t="shared" si="248"/>
        <v>25.705561275017537</v>
      </c>
      <c r="WX53" s="133">
        <f t="shared" si="249"/>
        <v>32.429886519788049</v>
      </c>
      <c r="WY53" s="133">
        <f t="shared" si="250"/>
        <v>38.406488029638744</v>
      </c>
      <c r="WZ53" s="133">
        <f t="shared" si="251"/>
        <v>45.520065216812633</v>
      </c>
      <c r="XA53" s="81"/>
      <c r="XB53" s="81">
        <v>51</v>
      </c>
      <c r="XC53" s="133">
        <f t="shared" si="252"/>
        <v>-34.839711436536355</v>
      </c>
      <c r="XD53" s="133">
        <f t="shared" si="253"/>
        <v>-29.792016822311258</v>
      </c>
      <c r="XE53" s="133">
        <f t="shared" si="254"/>
        <v>-25.25583606397462</v>
      </c>
      <c r="XF53" s="133">
        <f t="shared" si="459"/>
        <v>-19.822155937889164</v>
      </c>
      <c r="XG53" s="133">
        <f t="shared" si="460"/>
        <v>-10.317710693571506</v>
      </c>
      <c r="XH53" s="134">
        <f t="shared" si="461"/>
        <v>0.85759633585752226</v>
      </c>
      <c r="XI53" s="133">
        <f t="shared" si="462"/>
        <v>12.581527684322957</v>
      </c>
      <c r="XJ53" s="133">
        <f t="shared" si="255"/>
        <v>23.524223640764269</v>
      </c>
      <c r="XK53" s="133">
        <f t="shared" si="256"/>
        <v>30.262844403360639</v>
      </c>
      <c r="XL53" s="133">
        <f t="shared" si="257"/>
        <v>36.210781534299407</v>
      </c>
      <c r="XM53" s="133">
        <f t="shared" si="258"/>
        <v>43.242498503217597</v>
      </c>
      <c r="XN53" s="81"/>
      <c r="XO53" s="81">
        <v>51</v>
      </c>
      <c r="XP53" s="133">
        <f t="shared" si="259"/>
        <v>-26.139614260033969</v>
      </c>
      <c r="XQ53" s="133">
        <f t="shared" si="260"/>
        <v>-21.387103566420613</v>
      </c>
      <c r="XR53" s="133">
        <f t="shared" si="261"/>
        <v>-17.16623276884966</v>
      </c>
      <c r="XS53" s="133">
        <f t="shared" si="463"/>
        <v>-12.158599902345898</v>
      </c>
      <c r="XT53" s="133">
        <f t="shared" si="464"/>
        <v>-3.4966042434438833</v>
      </c>
      <c r="XU53" s="134">
        <f t="shared" si="465"/>
        <v>6.5696354278138998</v>
      </c>
      <c r="XV53" s="133">
        <f t="shared" si="466"/>
        <v>17.027294731225844</v>
      </c>
      <c r="XW53" s="133">
        <f t="shared" si="262"/>
        <v>26.714084102568627</v>
      </c>
      <c r="XX53" s="133">
        <f t="shared" si="263"/>
        <v>32.649723827982662</v>
      </c>
      <c r="XY53" s="133">
        <f t="shared" si="264"/>
        <v>37.872443777975541</v>
      </c>
      <c r="XZ53" s="133">
        <f t="shared" si="265"/>
        <v>44.028743987770973</v>
      </c>
      <c r="YA53" s="81"/>
      <c r="YB53" s="81">
        <v>54</v>
      </c>
      <c r="YC53" s="133">
        <f t="shared" si="266"/>
        <v>-36.671386609760575</v>
      </c>
      <c r="YD53" s="133">
        <f t="shared" si="267"/>
        <v>-31.680494737394753</v>
      </c>
      <c r="YE53" s="133">
        <f t="shared" si="268"/>
        <v>-27.223350311158178</v>
      </c>
      <c r="YF53" s="133">
        <f t="shared" si="467"/>
        <v>-21.916173393750228</v>
      </c>
      <c r="YG53" s="133">
        <f t="shared" si="468"/>
        <v>-12.706948336757179</v>
      </c>
      <c r="YH53" s="134">
        <f t="shared" si="469"/>
        <v>-1.9822354671887723</v>
      </c>
      <c r="YI53" s="133">
        <f t="shared" si="470"/>
        <v>9.1674169080103312</v>
      </c>
      <c r="YJ53" s="133">
        <f t="shared" si="269"/>
        <v>19.49370078198509</v>
      </c>
      <c r="YK53" s="133">
        <f t="shared" si="270"/>
        <v>25.818466704663159</v>
      </c>
      <c r="YL53" s="133">
        <f t="shared" si="271"/>
        <v>31.381226691675046</v>
      </c>
      <c r="YM53" s="133">
        <f t="shared" si="272"/>
        <v>37.935099125543765</v>
      </c>
      <c r="YN53" s="81"/>
      <c r="YO53" s="81">
        <v>51</v>
      </c>
      <c r="YP53" s="133">
        <v>17.562790446743726</v>
      </c>
      <c r="YQ53" s="133">
        <v>19.582902909975768</v>
      </c>
      <c r="YR53" s="133">
        <v>21.505199456627047</v>
      </c>
      <c r="YS53" s="133">
        <v>23.956826065758282</v>
      </c>
      <c r="YT53" s="133">
        <v>28.684223373773687</v>
      </c>
      <c r="YU53" s="134">
        <v>35.060612415879277</v>
      </c>
      <c r="YV53" s="133">
        <v>42.854447441670082</v>
      </c>
      <c r="YW53" s="133">
        <v>51.310909867709171</v>
      </c>
      <c r="YX53" s="133">
        <v>57.160434408233485</v>
      </c>
      <c r="YY53" s="133">
        <v>62.771415894132616</v>
      </c>
      <c r="YZ53" s="133">
        <v>69.991528208686205</v>
      </c>
      <c r="ZA53" s="81"/>
      <c r="ZB53" s="81">
        <v>51</v>
      </c>
      <c r="ZC53" s="133">
        <v>14.602955715087349</v>
      </c>
      <c r="ZD53" s="133">
        <v>16.426455982015696</v>
      </c>
      <c r="ZE53" s="133">
        <v>18.175873923859218</v>
      </c>
      <c r="ZF53" s="133">
        <v>20.425304110123225</v>
      </c>
      <c r="ZG53" s="133">
        <v>24.81420937210935</v>
      </c>
      <c r="ZH53" s="134">
        <v>30.826124974922326</v>
      </c>
      <c r="ZI53" s="133">
        <v>38.294590277681429</v>
      </c>
      <c r="ZJ53" s="133">
        <v>46.523174188557881</v>
      </c>
      <c r="ZK53" s="133">
        <v>52.280841347724724</v>
      </c>
      <c r="ZL53" s="133">
        <v>57.84875215992421</v>
      </c>
      <c r="ZM53" s="133">
        <v>65.072441463871527</v>
      </c>
      <c r="ZN53" s="81"/>
      <c r="ZO53" s="81">
        <v>54</v>
      </c>
      <c r="ZP53" s="133">
        <v>20.470072415199539</v>
      </c>
      <c r="ZQ53" s="133">
        <v>22.507611020270179</v>
      </c>
      <c r="ZR53" s="133">
        <v>24.42149477667062</v>
      </c>
      <c r="ZS53" s="133">
        <v>26.830922710530814</v>
      </c>
      <c r="ZT53" s="133">
        <v>31.390839515113523</v>
      </c>
      <c r="ZU53" s="134">
        <v>37.392250356101044</v>
      </c>
      <c r="ZV53" s="133">
        <v>44.541031979095898</v>
      </c>
      <c r="ZW53" s="133">
        <v>52.110782837318119</v>
      </c>
      <c r="ZX53" s="133">
        <v>57.252039626542164</v>
      </c>
      <c r="ZY53" s="133">
        <v>62.12033722433484</v>
      </c>
      <c r="ZZ53" s="133">
        <v>68.303636564331583</v>
      </c>
      <c r="AAA53" s="81"/>
      <c r="AAB53" s="81">
        <v>51</v>
      </c>
      <c r="AAC53" s="133">
        <v>9.8246837494204176</v>
      </c>
      <c r="AAD53" s="133">
        <v>10.892749208821822</v>
      </c>
      <c r="AAE53" s="133">
        <v>11.903760967259926</v>
      </c>
      <c r="AAF53" s="133">
        <v>13.186395835962852</v>
      </c>
      <c r="AAG53" s="133">
        <v>15.640948185239276</v>
      </c>
      <c r="AAH53" s="134">
        <v>18.918881750898098</v>
      </c>
      <c r="AAI53" s="133">
        <v>22.883784439759609</v>
      </c>
      <c r="AAJ53" s="133">
        <v>27.143435640564462</v>
      </c>
      <c r="AAK53" s="133">
        <v>30.068151375762536</v>
      </c>
      <c r="AAL53" s="133">
        <v>32.858930270292959</v>
      </c>
      <c r="AAM53" s="133">
        <v>36.431105146318814</v>
      </c>
      <c r="AAN53" s="81"/>
      <c r="AAO53" s="81">
        <v>51</v>
      </c>
      <c r="AAP53" s="133">
        <v>9.0479612116253065</v>
      </c>
      <c r="AAQ53" s="133">
        <v>10.135514352376138</v>
      </c>
      <c r="AAR53" s="133">
        <v>11.174862950729791</v>
      </c>
      <c r="AAS53" s="133">
        <v>12.506120283314374</v>
      </c>
      <c r="AAT53" s="133">
        <v>15.08911428580252</v>
      </c>
      <c r="AAU53" s="134">
        <v>18.601534065231554</v>
      </c>
      <c r="AAV53" s="133">
        <v>22.931569277432047</v>
      </c>
      <c r="AAW53" s="133">
        <v>27.667818775229993</v>
      </c>
      <c r="AAX53" s="133">
        <v>30.96387589767917</v>
      </c>
      <c r="AAY53" s="133">
        <v>34.139073514197229</v>
      </c>
      <c r="AAZ53" s="133">
        <v>38.24254563949598</v>
      </c>
      <c r="ABA53" s="81"/>
      <c r="ABB53" s="81">
        <v>54</v>
      </c>
      <c r="ABC53" s="133">
        <v>10.378968128516599</v>
      </c>
      <c r="ABD53" s="133">
        <v>11.423209426940813</v>
      </c>
      <c r="ABE53" s="133">
        <v>12.404966351184106</v>
      </c>
      <c r="ABF53" s="133">
        <v>13.64204032285873</v>
      </c>
      <c r="ABG53" s="133">
        <v>15.986298096091025</v>
      </c>
      <c r="ABH53" s="134">
        <v>19.076917099138576</v>
      </c>
      <c r="ABI53" s="133">
        <v>22.765043152572883</v>
      </c>
      <c r="ABJ53" s="133">
        <v>26.677004128011816</v>
      </c>
      <c r="ABK53" s="133">
        <v>29.337344068867012</v>
      </c>
      <c r="ABL53" s="133">
        <v>31.858714342495215</v>
      </c>
      <c r="ABM53" s="133">
        <v>35.064060463534744</v>
      </c>
      <c r="ABN53" s="81"/>
      <c r="ABO53" s="81">
        <v>51</v>
      </c>
      <c r="ABP53" s="133">
        <f t="shared" si="273"/>
        <v>0.2631491155599065</v>
      </c>
      <c r="ABQ53" s="133">
        <f t="shared" si="274"/>
        <v>0.29707250704240862</v>
      </c>
      <c r="ABR53" s="133">
        <f t="shared" si="275"/>
        <v>0.32870719030677448</v>
      </c>
      <c r="ABS53" s="133">
        <f t="shared" si="471"/>
        <v>0.36815024119093304</v>
      </c>
      <c r="ABT53" s="133">
        <f t="shared" si="472"/>
        <v>0.44147336860500624</v>
      </c>
      <c r="ABU53" s="134">
        <f t="shared" si="473"/>
        <v>0.53515140348118362</v>
      </c>
      <c r="ABV53" s="133">
        <f t="shared" si="474"/>
        <v>0.64254830200383806</v>
      </c>
      <c r="ABW53" s="133">
        <f t="shared" si="276"/>
        <v>0.75156349654640486</v>
      </c>
      <c r="ABX53" s="133">
        <f t="shared" si="277"/>
        <v>0.82303959203114552</v>
      </c>
      <c r="ABY53" s="133">
        <f t="shared" si="278"/>
        <v>0.88894042581121491</v>
      </c>
      <c r="ABZ53" s="133">
        <f t="shared" si="279"/>
        <v>0.97030813297484708</v>
      </c>
      <c r="ACA53" s="81"/>
      <c r="ACB53" s="81">
        <v>51</v>
      </c>
      <c r="ACC53" s="133">
        <f t="shared" si="280"/>
        <v>0.31078972137102828</v>
      </c>
      <c r="ACD53" s="133">
        <f t="shared" si="281"/>
        <v>0.34406578917070935</v>
      </c>
      <c r="ACE53" s="133">
        <f t="shared" si="282"/>
        <v>0.37508869647573956</v>
      </c>
      <c r="ACF53" s="133">
        <f t="shared" si="475"/>
        <v>0.41381052320254391</v>
      </c>
      <c r="ACG53" s="133">
        <f t="shared" si="476"/>
        <v>0.48605893359634988</v>
      </c>
      <c r="ACH53" s="134">
        <f t="shared" si="477"/>
        <v>0.57910927816466673</v>
      </c>
      <c r="ACI53" s="133">
        <f t="shared" si="478"/>
        <v>0.68706608962005411</v>
      </c>
      <c r="ACJ53" s="133">
        <f t="shared" si="283"/>
        <v>0.79820540254140904</v>
      </c>
      <c r="ACK53" s="133">
        <f t="shared" si="284"/>
        <v>0.87196507940132673</v>
      </c>
      <c r="ACL53" s="133">
        <f t="shared" si="285"/>
        <v>0.94060828157314447</v>
      </c>
      <c r="ACM53" s="133">
        <f t="shared" si="286"/>
        <v>1.0262107526052082</v>
      </c>
      <c r="ACN53" s="81"/>
      <c r="ACO53" s="81">
        <v>54</v>
      </c>
      <c r="ACP53" s="133">
        <f t="shared" si="287"/>
        <v>0.24883256130640233</v>
      </c>
      <c r="ACQ53" s="133">
        <f t="shared" si="288"/>
        <v>0.28419092439782234</v>
      </c>
      <c r="ACR53" s="133">
        <f t="shared" si="289"/>
        <v>0.31654298018909743</v>
      </c>
      <c r="ACS53" s="133">
        <f t="shared" si="479"/>
        <v>0.3560802133927401</v>
      </c>
      <c r="ACT53" s="133">
        <f t="shared" si="480"/>
        <v>0.42745331335615455</v>
      </c>
      <c r="ACU53" s="134">
        <f t="shared" si="481"/>
        <v>0.51480923624110952</v>
      </c>
      <c r="ACV53" s="133">
        <f t="shared" si="482"/>
        <v>0.6105652604851024</v>
      </c>
      <c r="ACW53" s="133">
        <f t="shared" si="290"/>
        <v>0.70381478528478814</v>
      </c>
      <c r="ACX53" s="133">
        <f t="shared" si="291"/>
        <v>0.76294661314743617</v>
      </c>
      <c r="ACY53" s="133">
        <f t="shared" si="292"/>
        <v>0.81623002822972213</v>
      </c>
      <c r="ACZ53" s="133">
        <f t="shared" si="293"/>
        <v>0.88051982779998195</v>
      </c>
      <c r="ADA53" s="81"/>
      <c r="ADB53" s="81">
        <v>51</v>
      </c>
      <c r="ADC53" s="133">
        <f t="shared" si="294"/>
        <v>0.21012491083009613</v>
      </c>
      <c r="ADD53" s="133">
        <f t="shared" si="295"/>
        <v>0.23070169683913691</v>
      </c>
      <c r="ADE53" s="133">
        <f t="shared" si="296"/>
        <v>0.24873698845269168</v>
      </c>
      <c r="ADF53" s="133">
        <f t="shared" si="483"/>
        <v>0.26990126152380667</v>
      </c>
      <c r="ADG53" s="133">
        <f t="shared" si="484"/>
        <v>0.30604570650374324</v>
      </c>
      <c r="ADH53" s="134">
        <f t="shared" si="485"/>
        <v>0.34749388639164158</v>
      </c>
      <c r="ADI53" s="133">
        <f t="shared" si="486"/>
        <v>0.39008708140355292</v>
      </c>
      <c r="ADJ53" s="133">
        <f t="shared" si="297"/>
        <v>0.42921744075902168</v>
      </c>
      <c r="ADK53" s="133">
        <f t="shared" si="298"/>
        <v>0.45307026404683221</v>
      </c>
      <c r="ADL53" s="133">
        <f t="shared" si="299"/>
        <v>0.47399093948820736</v>
      </c>
      <c r="ADM53" s="133">
        <f t="shared" si="300"/>
        <v>0.49857933867007076</v>
      </c>
      <c r="ADN53" s="81"/>
      <c r="ADO53" s="81">
        <v>51</v>
      </c>
      <c r="ADP53" s="133">
        <f t="shared" si="301"/>
        <v>0.23873705229076184</v>
      </c>
      <c r="ADQ53" s="133">
        <f t="shared" si="302"/>
        <v>0.25726979264078309</v>
      </c>
      <c r="ADR53" s="133">
        <f t="shared" si="303"/>
        <v>0.27364021788466081</v>
      </c>
      <c r="ADS53" s="133">
        <f t="shared" si="487"/>
        <v>0.29300202570447825</v>
      </c>
      <c r="ADT53" s="133">
        <f t="shared" si="488"/>
        <v>0.32644362618540851</v>
      </c>
      <c r="ADU53" s="134">
        <f t="shared" si="489"/>
        <v>0.36536625274802564</v>
      </c>
      <c r="ADV53" s="133">
        <f t="shared" si="490"/>
        <v>0.40598683231814869</v>
      </c>
      <c r="ADW53" s="133">
        <f t="shared" si="304"/>
        <v>0.44384478155113199</v>
      </c>
      <c r="ADX53" s="133">
        <f t="shared" si="305"/>
        <v>0.46716876751522352</v>
      </c>
      <c r="ADY53" s="133">
        <f t="shared" si="306"/>
        <v>0.48777613095609434</v>
      </c>
      <c r="ADZ53" s="133">
        <f t="shared" si="307"/>
        <v>0.51217285086972886</v>
      </c>
      <c r="AEA53" s="81"/>
      <c r="AEB53" s="81">
        <v>54</v>
      </c>
      <c r="AEC53" s="133">
        <f t="shared" si="308"/>
        <v>0.20141698248479364</v>
      </c>
      <c r="AED53" s="133">
        <f t="shared" si="309"/>
        <v>0.22326973021225324</v>
      </c>
      <c r="AEE53" s="133">
        <f t="shared" si="310"/>
        <v>0.24199566878276654</v>
      </c>
      <c r="AEF53" s="133">
        <f t="shared" si="491"/>
        <v>0.26351399977221202</v>
      </c>
      <c r="AEG53" s="133">
        <f t="shared" si="492"/>
        <v>0.29925714580927898</v>
      </c>
      <c r="AEH53" s="134">
        <f t="shared" si="493"/>
        <v>0.33889626723671062</v>
      </c>
      <c r="AEI53" s="133">
        <f t="shared" si="494"/>
        <v>0.37835035125229749</v>
      </c>
      <c r="AEJ53" s="133">
        <f t="shared" si="311"/>
        <v>0.41360791042128081</v>
      </c>
      <c r="AEK53" s="133">
        <f t="shared" si="312"/>
        <v>0.43468509524243393</v>
      </c>
      <c r="AEL53" s="133">
        <f t="shared" si="313"/>
        <v>0.45293326212127394</v>
      </c>
      <c r="AEM53" s="133">
        <f t="shared" si="314"/>
        <v>0.47411388912430735</v>
      </c>
      <c r="AEN53" s="81"/>
    </row>
    <row r="54" spans="1:820">
      <c r="A54" s="81"/>
      <c r="B54" s="81">
        <v>53</v>
      </c>
      <c r="C54" s="133">
        <f t="shared" si="0"/>
        <v>2.1383220983206477</v>
      </c>
      <c r="D54" s="133">
        <f t="shared" si="1"/>
        <v>2.5750053698913113</v>
      </c>
      <c r="E54" s="133">
        <f t="shared" si="2"/>
        <v>3.0371543984903497</v>
      </c>
      <c r="F54" s="133">
        <f t="shared" si="315"/>
        <v>3.6975640239985093</v>
      </c>
      <c r="G54" s="133">
        <f t="shared" si="316"/>
        <v>5.220672331148501</v>
      </c>
      <c r="H54" s="134">
        <f t="shared" si="317"/>
        <v>7.8838262904232028</v>
      </c>
      <c r="I54" s="133">
        <f t="shared" si="318"/>
        <v>12.315348068021347</v>
      </c>
      <c r="J54" s="133">
        <f t="shared" si="3"/>
        <v>19.006357012787788</v>
      </c>
      <c r="K54" s="133">
        <f t="shared" si="4"/>
        <v>25.091752501249921</v>
      </c>
      <c r="L54" s="133">
        <f t="shared" si="5"/>
        <v>32.314619145233657</v>
      </c>
      <c r="M54" s="133">
        <f t="shared" si="6"/>
        <v>44.04801784950854</v>
      </c>
      <c r="N54" s="81"/>
      <c r="O54" s="75">
        <v>53</v>
      </c>
      <c r="P54" s="151">
        <f t="shared" si="7"/>
        <v>2.8487248349318657</v>
      </c>
      <c r="Q54" s="151">
        <f t="shared" si="8"/>
        <v>3.2745193134341162</v>
      </c>
      <c r="R54" s="151">
        <f t="shared" si="9"/>
        <v>3.7157038351727683</v>
      </c>
      <c r="S54" s="151">
        <f t="shared" si="319"/>
        <v>4.3351862549583844</v>
      </c>
      <c r="T54" s="151">
        <f t="shared" si="320"/>
        <v>5.7399143508965933</v>
      </c>
      <c r="U54" s="134">
        <f t="shared" si="321"/>
        <v>8.1903882977810998</v>
      </c>
      <c r="V54" s="151">
        <f t="shared" si="322"/>
        <v>12.404650383245132</v>
      </c>
      <c r="W54" s="151">
        <f t="shared" si="10"/>
        <v>19.311487041633349</v>
      </c>
      <c r="X54" s="151">
        <f t="shared" si="11"/>
        <v>26.301642487719832</v>
      </c>
      <c r="Y54" s="151">
        <f t="shared" si="12"/>
        <v>35.614790441077567</v>
      </c>
      <c r="Z54" s="151">
        <f t="shared" si="13"/>
        <v>53.473507126828238</v>
      </c>
      <c r="AA54" s="81"/>
      <c r="AB54" s="75">
        <v>55</v>
      </c>
      <c r="AC54" s="151">
        <f t="shared" si="14"/>
        <v>1.8777200276150445</v>
      </c>
      <c r="AD54" s="151">
        <f t="shared" si="15"/>
        <v>2.2639659788726871</v>
      </c>
      <c r="AE54" s="151">
        <f t="shared" si="16"/>
        <v>2.6766011559038971</v>
      </c>
      <c r="AF54" s="151">
        <f t="shared" si="323"/>
        <v>3.273147550400946</v>
      </c>
      <c r="AG54" s="151">
        <f t="shared" si="324"/>
        <v>4.6790651011203153</v>
      </c>
      <c r="AH54" s="134">
        <f t="shared" si="325"/>
        <v>7.2318116043144105</v>
      </c>
      <c r="AI54" s="151">
        <f t="shared" si="326"/>
        <v>11.719002681627785</v>
      </c>
      <c r="AJ54" s="151">
        <f t="shared" si="17"/>
        <v>18.991615585070338</v>
      </c>
      <c r="AK54" s="151">
        <f t="shared" si="18"/>
        <v>26.068650242738372</v>
      </c>
      <c r="AL54" s="151">
        <f t="shared" si="19"/>
        <v>34.988205816477198</v>
      </c>
      <c r="AM54" s="151">
        <f t="shared" si="20"/>
        <v>50.583576151944349</v>
      </c>
      <c r="AN54" s="81"/>
      <c r="AO54" s="81">
        <v>53</v>
      </c>
      <c r="AP54" s="133">
        <f t="shared" si="21"/>
        <v>1.6236023338186216</v>
      </c>
      <c r="AQ54" s="133">
        <f t="shared" si="22"/>
        <v>4.1058828506696914</v>
      </c>
      <c r="AR54" s="133">
        <f t="shared" si="23"/>
        <v>6.5055612126515205</v>
      </c>
      <c r="AS54" s="133">
        <f t="shared" si="327"/>
        <v>9.5794463840128117</v>
      </c>
      <c r="AT54" s="133">
        <f t="shared" si="328"/>
        <v>15.448239787823706</v>
      </c>
      <c r="AU54" s="134">
        <f t="shared" si="329"/>
        <v>23.096305353587898</v>
      </c>
      <c r="AV54" s="133">
        <f t="shared" si="330"/>
        <v>31.927729735630404</v>
      </c>
      <c r="AW54" s="133">
        <f t="shared" si="24"/>
        <v>40.870974112592144</v>
      </c>
      <c r="AX54" s="133">
        <f t="shared" si="25"/>
        <v>46.69885839838247</v>
      </c>
      <c r="AY54" s="133">
        <f t="shared" si="26"/>
        <v>52.038976513594129</v>
      </c>
      <c r="AZ54" s="133">
        <f t="shared" si="27"/>
        <v>58.583011019591702</v>
      </c>
      <c r="BA54" s="81"/>
      <c r="BB54" s="81">
        <v>53</v>
      </c>
      <c r="BC54" s="133">
        <f t="shared" si="28"/>
        <v>4.5073154019262551</v>
      </c>
      <c r="BD54" s="133">
        <f t="shared" si="29"/>
        <v>7.3595961071488771</v>
      </c>
      <c r="BE54" s="133">
        <f t="shared" si="30"/>
        <v>10.017663059525212</v>
      </c>
      <c r="BF54" s="133">
        <f t="shared" si="331"/>
        <v>13.309894164714379</v>
      </c>
      <c r="BG54" s="133">
        <f t="shared" si="332"/>
        <v>19.325571451179965</v>
      </c>
      <c r="BH54" s="134">
        <f t="shared" si="333"/>
        <v>26.771879080839557</v>
      </c>
      <c r="BI54" s="133">
        <f t="shared" si="334"/>
        <v>34.967610573478751</v>
      </c>
      <c r="BJ54" s="133">
        <f t="shared" si="31"/>
        <v>42.935532157391663</v>
      </c>
      <c r="BK54" s="133">
        <f t="shared" si="32"/>
        <v>47.983070545600974</v>
      </c>
      <c r="BL54" s="133">
        <f t="shared" si="33"/>
        <v>52.522364043270606</v>
      </c>
      <c r="BM54" s="133">
        <f t="shared" si="34"/>
        <v>57.98583874659483</v>
      </c>
      <c r="BN54" s="81"/>
      <c r="BO54" s="75">
        <v>55</v>
      </c>
      <c r="BP54" s="151">
        <f t="shared" si="35"/>
        <v>4.406550763533577</v>
      </c>
      <c r="BQ54" s="151">
        <f t="shared" si="36"/>
        <v>5.6753204729049562</v>
      </c>
      <c r="BR54" s="151">
        <f t="shared" si="37"/>
        <v>7.0035654949306485</v>
      </c>
      <c r="BS54" s="151">
        <f t="shared" si="335"/>
        <v>8.8553234483878533</v>
      </c>
      <c r="BT54" s="151">
        <f t="shared" si="336"/>
        <v>12.872671540517155</v>
      </c>
      <c r="BU54" s="134">
        <f t="shared" si="337"/>
        <v>19.087244318478351</v>
      </c>
      <c r="BV54" s="151">
        <f t="shared" si="338"/>
        <v>27.694357720041072</v>
      </c>
      <c r="BW54" s="151">
        <f t="shared" si="38"/>
        <v>38.037364356304394</v>
      </c>
      <c r="BX54" s="151">
        <f t="shared" si="39"/>
        <v>45.690618137165785</v>
      </c>
      <c r="BY54" s="151">
        <f t="shared" si="40"/>
        <v>53.355023151594835</v>
      </c>
      <c r="BZ54" s="151">
        <f t="shared" si="41"/>
        <v>63.619024999635293</v>
      </c>
      <c r="CA54" s="81"/>
      <c r="CB54" s="81">
        <v>53</v>
      </c>
      <c r="CC54" s="133">
        <f t="shared" si="42"/>
        <v>-4.5908797771437149</v>
      </c>
      <c r="CD54" s="133">
        <f t="shared" si="43"/>
        <v>-2.1503181528061539</v>
      </c>
      <c r="CE54" s="133">
        <f t="shared" si="44"/>
        <v>0.29972587262518768</v>
      </c>
      <c r="CF54" s="133">
        <f t="shared" si="339"/>
        <v>3.4560220976726219</v>
      </c>
      <c r="CG54" s="133">
        <f t="shared" si="340"/>
        <v>9.3875711004341547</v>
      </c>
      <c r="CH54" s="134">
        <f t="shared" si="341"/>
        <v>16.831196688450291</v>
      </c>
      <c r="CI54" s="133">
        <f t="shared" si="342"/>
        <v>25.028132315397531</v>
      </c>
      <c r="CJ54" s="133">
        <f t="shared" si="45"/>
        <v>32.950134277650704</v>
      </c>
      <c r="CK54" s="133">
        <f t="shared" si="46"/>
        <v>37.935235026638139</v>
      </c>
      <c r="CL54" s="133">
        <f t="shared" si="47"/>
        <v>42.39419014323439</v>
      </c>
      <c r="CM54" s="133">
        <f t="shared" si="48"/>
        <v>47.729767436872137</v>
      </c>
      <c r="CN54" s="81"/>
      <c r="CO54" s="81">
        <v>53</v>
      </c>
      <c r="CP54" s="133">
        <f t="shared" si="49"/>
        <v>1.2286975575827714</v>
      </c>
      <c r="CQ54" s="133">
        <f t="shared" si="50"/>
        <v>3.8035632414287912</v>
      </c>
      <c r="CR54" s="133">
        <f t="shared" si="51"/>
        <v>6.1984538571345782</v>
      </c>
      <c r="CS54" s="133">
        <f t="shared" si="343"/>
        <v>9.1476830781587388</v>
      </c>
      <c r="CT54" s="133">
        <f t="shared" si="344"/>
        <v>14.474015402888764</v>
      </c>
      <c r="CU54" s="134">
        <f t="shared" si="345"/>
        <v>20.950024558550933</v>
      </c>
      <c r="CV54" s="133">
        <f t="shared" si="346"/>
        <v>27.937977891928039</v>
      </c>
      <c r="CW54" s="133">
        <f t="shared" si="52"/>
        <v>34.606211781312908</v>
      </c>
      <c r="CX54" s="133">
        <f t="shared" si="53"/>
        <v>38.772867093573524</v>
      </c>
      <c r="CY54" s="133">
        <f t="shared" si="54"/>
        <v>42.48496723198884</v>
      </c>
      <c r="CZ54" s="133">
        <f t="shared" si="55"/>
        <v>46.911821720818608</v>
      </c>
      <c r="DA54" s="81"/>
      <c r="DB54" s="81">
        <v>55</v>
      </c>
      <c r="DC54" s="133">
        <f t="shared" si="56"/>
        <v>-4.9363862284443707</v>
      </c>
      <c r="DD54" s="133">
        <f t="shared" si="57"/>
        <v>-3.1149458056404256</v>
      </c>
      <c r="DE54" s="133">
        <f t="shared" si="58"/>
        <v>-1.2094362261894576</v>
      </c>
      <c r="DF54" s="133">
        <f t="shared" si="347"/>
        <v>1.3405681240775964</v>
      </c>
      <c r="DG54" s="133">
        <f t="shared" si="348"/>
        <v>6.3637041832995314</v>
      </c>
      <c r="DH54" s="134">
        <f t="shared" si="349"/>
        <v>12.99882951321473</v>
      </c>
      <c r="DI54" s="133">
        <f t="shared" si="350"/>
        <v>20.637916549279176</v>
      </c>
      <c r="DJ54" s="133">
        <f t="shared" si="59"/>
        <v>28.28955463564392</v>
      </c>
      <c r="DK54" s="133">
        <f t="shared" si="60"/>
        <v>33.220873771456027</v>
      </c>
      <c r="DL54" s="133">
        <f t="shared" si="61"/>
        <v>37.700182828373272</v>
      </c>
      <c r="DM54" s="133">
        <f t="shared" si="62"/>
        <v>43.138559548666933</v>
      </c>
      <c r="DN54" s="81"/>
      <c r="DO54" s="81">
        <v>53</v>
      </c>
      <c r="DP54" s="133">
        <v>13.13310582467451</v>
      </c>
      <c r="DQ54" s="133">
        <v>14.312019330751808</v>
      </c>
      <c r="DR54" s="133">
        <v>15.410250988009045</v>
      </c>
      <c r="DS54" s="133">
        <v>16.781436567102343</v>
      </c>
      <c r="DT54" s="133">
        <v>19.345683679775828</v>
      </c>
      <c r="DU54" s="134">
        <v>22.668123991366691</v>
      </c>
      <c r="DV54" s="133">
        <v>26.561162365388601</v>
      </c>
      <c r="DW54" s="133">
        <v>30.619776991875234</v>
      </c>
      <c r="DX54" s="133">
        <v>33.344287882644082</v>
      </c>
      <c r="DY54" s="133">
        <v>35.902959143151321</v>
      </c>
      <c r="DZ54" s="133">
        <v>39.125843661638896</v>
      </c>
      <c r="EA54" s="81"/>
      <c r="EB54" s="81">
        <v>53</v>
      </c>
      <c r="EC54" s="133">
        <v>12.723749203249458</v>
      </c>
      <c r="ED54" s="133">
        <v>13.738137647156023</v>
      </c>
      <c r="EE54" s="133">
        <v>14.675017790956511</v>
      </c>
      <c r="EF54" s="133">
        <v>15.834748673550182</v>
      </c>
      <c r="EG54" s="133">
        <v>17.97692024442232</v>
      </c>
      <c r="EH54" s="134">
        <v>20.70779394981016</v>
      </c>
      <c r="EI54" s="133">
        <v>23.853514641966648</v>
      </c>
      <c r="EJ54" s="133">
        <v>27.080488557678738</v>
      </c>
      <c r="EK54" s="133">
        <v>29.22059355403648</v>
      </c>
      <c r="EL54" s="133">
        <v>31.213308621679474</v>
      </c>
      <c r="EM54" s="133">
        <v>33.701759082007214</v>
      </c>
      <c r="EN54" s="81"/>
      <c r="EO54" s="81">
        <v>55</v>
      </c>
      <c r="EP54" s="133">
        <v>13.724530567913785</v>
      </c>
      <c r="EQ54" s="133">
        <v>14.873734771130035</v>
      </c>
      <c r="ER54" s="133">
        <v>15.938788052861655</v>
      </c>
      <c r="ES54" s="133">
        <v>17.261719829604228</v>
      </c>
      <c r="ET54" s="133">
        <v>19.717460230867715</v>
      </c>
      <c r="EU54" s="134">
        <v>22.868487498342795</v>
      </c>
      <c r="EV54" s="133">
        <v>26.523077228940174</v>
      </c>
      <c r="EW54" s="133">
        <v>30.296385622303973</v>
      </c>
      <c r="EX54" s="133">
        <v>32.811009138675836</v>
      </c>
      <c r="EY54" s="133">
        <v>35.160484472060304</v>
      </c>
      <c r="EZ54" s="133">
        <v>38.104598031534373</v>
      </c>
      <c r="FA54" s="81"/>
      <c r="FB54" s="81">
        <v>53</v>
      </c>
      <c r="FC54" s="133">
        <v>8.8111250680294351</v>
      </c>
      <c r="FD54" s="133">
        <v>9.6029402624901223</v>
      </c>
      <c r="FE54" s="133">
        <v>10.340627734200888</v>
      </c>
      <c r="FF54" s="133">
        <v>11.261737155361423</v>
      </c>
      <c r="FG54" s="133">
        <v>12.984507812821143</v>
      </c>
      <c r="FH54" s="134">
        <v>15.217020097236853</v>
      </c>
      <c r="FI54" s="133">
        <v>17.833382980528995</v>
      </c>
      <c r="FJ54" s="133">
        <v>20.561454902139292</v>
      </c>
      <c r="FK54" s="133">
        <v>22.393002300416423</v>
      </c>
      <c r="FL54" s="133">
        <v>24.11320848721655</v>
      </c>
      <c r="FM54" s="133">
        <v>26.280151382699316</v>
      </c>
      <c r="FN54" s="81"/>
      <c r="FO54" s="81">
        <v>53</v>
      </c>
      <c r="FP54" s="133">
        <v>8.7462155276067683</v>
      </c>
      <c r="FQ54" s="133">
        <v>9.4393700854330458</v>
      </c>
      <c r="FR54" s="133">
        <v>10.07930160955104</v>
      </c>
      <c r="FS54" s="133">
        <v>10.87112907410229</v>
      </c>
      <c r="FT54" s="133">
        <v>12.33288284897835</v>
      </c>
      <c r="FU54" s="134">
        <v>14.19492120683975</v>
      </c>
      <c r="FV54" s="133">
        <v>16.338093091112164</v>
      </c>
      <c r="FW54" s="133">
        <v>18.534945790350474</v>
      </c>
      <c r="FX54" s="133">
        <v>19.991046589721414</v>
      </c>
      <c r="FY54" s="133">
        <v>21.346317205990225</v>
      </c>
      <c r="FZ54" s="133">
        <v>23.038054279863402</v>
      </c>
      <c r="GA54" s="81"/>
      <c r="GB54" s="81">
        <v>55</v>
      </c>
      <c r="GC54" s="133">
        <v>9.1960055434264198</v>
      </c>
      <c r="GD54" s="133">
        <v>9.9825184933520603</v>
      </c>
      <c r="GE54" s="133">
        <v>10.712558801799291</v>
      </c>
      <c r="GF54" s="133">
        <v>11.620754028434119</v>
      </c>
      <c r="GG54" s="133">
        <v>13.310350695635071</v>
      </c>
      <c r="GH54" s="134">
        <v>15.484614994765504</v>
      </c>
      <c r="GI54" s="133">
        <v>18.01404839128293</v>
      </c>
      <c r="GJ54" s="133">
        <v>20.633196516287139</v>
      </c>
      <c r="GK54" s="133">
        <v>22.382449046239458</v>
      </c>
      <c r="GL54" s="133">
        <v>24.019319543038719</v>
      </c>
      <c r="GM54" s="133">
        <v>26.073636037280743</v>
      </c>
      <c r="GN54" s="81"/>
      <c r="GO54" s="81">
        <v>53</v>
      </c>
      <c r="GP54" s="133">
        <f t="shared" si="63"/>
        <v>0.49019091711532731</v>
      </c>
      <c r="GQ54" s="133">
        <f t="shared" si="64"/>
        <v>0.52330585685615294</v>
      </c>
      <c r="GR54" s="133">
        <f t="shared" si="65"/>
        <v>0.55010443265831666</v>
      </c>
      <c r="GS54" s="133">
        <f t="shared" si="351"/>
        <v>0.5793780586757884</v>
      </c>
      <c r="GT54" s="133">
        <f t="shared" si="352"/>
        <v>0.62628521509998625</v>
      </c>
      <c r="GU54" s="134">
        <f t="shared" si="353"/>
        <v>0.67200580783104269</v>
      </c>
      <c r="GV54" s="133">
        <f t="shared" si="354"/>
        <v>0.71464438031276389</v>
      </c>
      <c r="GW54" s="133">
        <f t="shared" si="66"/>
        <v>0.75273410990251621</v>
      </c>
      <c r="GX54" s="133">
        <f t="shared" si="67"/>
        <v>0.77400280926376674</v>
      </c>
      <c r="GY54" s="133">
        <f t="shared" si="68"/>
        <v>0.79196077422388278</v>
      </c>
      <c r="GZ54" s="133">
        <f t="shared" si="69"/>
        <v>0.81231266482104181</v>
      </c>
      <c r="HA54" s="81"/>
      <c r="HB54" s="81">
        <v>53</v>
      </c>
      <c r="HC54" s="133">
        <f t="shared" si="70"/>
        <v>0.47799121271127348</v>
      </c>
      <c r="HD54" s="133">
        <f t="shared" si="71"/>
        <v>0.51340886546055242</v>
      </c>
      <c r="HE54" s="133">
        <f t="shared" si="72"/>
        <v>0.54195246788128204</v>
      </c>
      <c r="HF54" s="133">
        <f t="shared" si="355"/>
        <v>0.57303321239506844</v>
      </c>
      <c r="HG54" s="133">
        <f t="shared" si="356"/>
        <v>0.62130342060878241</v>
      </c>
      <c r="HH54" s="134">
        <f t="shared" si="357"/>
        <v>0.67087486914642047</v>
      </c>
      <c r="HI54" s="133">
        <f t="shared" si="358"/>
        <v>0.71690012864602204</v>
      </c>
      <c r="HJ54" s="133">
        <f t="shared" si="73"/>
        <v>0.75572220714185678</v>
      </c>
      <c r="HK54" s="133">
        <f t="shared" si="74"/>
        <v>0.7780305649997632</v>
      </c>
      <c r="HL54" s="133">
        <f t="shared" si="75"/>
        <v>0.79685443783541832</v>
      </c>
      <c r="HM54" s="133">
        <f t="shared" si="76"/>
        <v>0.81817575978351209</v>
      </c>
      <c r="HN54" s="81"/>
      <c r="HO54" s="81">
        <v>55</v>
      </c>
      <c r="HP54" s="83">
        <f t="shared" si="77"/>
        <v>0.50271489796981517</v>
      </c>
      <c r="HQ54" s="83">
        <f t="shared" si="78"/>
        <v>0.53393746092184957</v>
      </c>
      <c r="HR54" s="83">
        <f t="shared" si="79"/>
        <v>0.55929293314600614</v>
      </c>
      <c r="HS54" s="83">
        <f t="shared" si="359"/>
        <v>0.58706572107349464</v>
      </c>
      <c r="HT54" s="83">
        <f t="shared" si="360"/>
        <v>0.6304768004550525</v>
      </c>
      <c r="HU54" s="84">
        <f t="shared" si="361"/>
        <v>0.67533964249447476</v>
      </c>
      <c r="HV54" s="83">
        <f t="shared" si="362"/>
        <v>0.71719310272484105</v>
      </c>
      <c r="HW54" s="83">
        <f t="shared" si="80"/>
        <v>0.75261614979102431</v>
      </c>
      <c r="HX54" s="83">
        <f t="shared" si="81"/>
        <v>0.77301300847845544</v>
      </c>
      <c r="HY54" s="83">
        <f t="shared" si="82"/>
        <v>0.7902447785933544</v>
      </c>
      <c r="HZ54" s="83">
        <f t="shared" si="83"/>
        <v>0.80978363635216</v>
      </c>
      <c r="IA54" s="81"/>
      <c r="IB54" s="81">
        <v>53</v>
      </c>
      <c r="IC54" s="83">
        <f t="shared" si="84"/>
        <v>0.33009162173857559</v>
      </c>
      <c r="ID54" s="83">
        <f t="shared" si="85"/>
        <v>0.34409794374886354</v>
      </c>
      <c r="IE54" s="83">
        <f t="shared" si="86"/>
        <v>0.3550550031810279</v>
      </c>
      <c r="IF54" s="83">
        <f t="shared" si="363"/>
        <v>0.3666817981502245</v>
      </c>
      <c r="IG54" s="83">
        <f t="shared" si="364"/>
        <v>0.38417163838522406</v>
      </c>
      <c r="IH54" s="84">
        <f t="shared" si="365"/>
        <v>0.40149173192211812</v>
      </c>
      <c r="II54" s="83">
        <f t="shared" si="366"/>
        <v>0.41705537832292244</v>
      </c>
      <c r="IJ54" s="83">
        <f t="shared" si="87"/>
        <v>0.42983312083850167</v>
      </c>
      <c r="IK54" s="83">
        <f t="shared" si="88"/>
        <v>0.43704122668819256</v>
      </c>
      <c r="IL54" s="83">
        <f t="shared" si="89"/>
        <v>0.44305115363170622</v>
      </c>
      <c r="IM54" s="83">
        <f t="shared" si="90"/>
        <v>0.44978168057452589</v>
      </c>
      <c r="IN54" s="81"/>
      <c r="IO54" s="81">
        <v>53</v>
      </c>
      <c r="IP54" s="133">
        <f t="shared" si="91"/>
        <v>0.32433706057875894</v>
      </c>
      <c r="IQ54" s="133">
        <f t="shared" si="92"/>
        <v>0.3396032628038449</v>
      </c>
      <c r="IR54" s="133">
        <f t="shared" si="93"/>
        <v>0.35145139831978139</v>
      </c>
      <c r="IS54" s="133">
        <f t="shared" si="367"/>
        <v>0.36394848084328013</v>
      </c>
      <c r="IT54" s="133">
        <f t="shared" si="368"/>
        <v>0.38262723202000726</v>
      </c>
      <c r="IU54" s="134">
        <f t="shared" si="369"/>
        <v>0.40100994382829031</v>
      </c>
      <c r="IV54" s="133">
        <f t="shared" si="370"/>
        <v>0.41745076927592611</v>
      </c>
      <c r="IW54" s="133">
        <f t="shared" si="94"/>
        <v>0.43090358962727454</v>
      </c>
      <c r="IX54" s="133">
        <f t="shared" si="95"/>
        <v>0.43847708748201825</v>
      </c>
      <c r="IY54" s="133">
        <f t="shared" si="96"/>
        <v>0.44478402915832083</v>
      </c>
      <c r="IZ54" s="133">
        <f t="shared" si="97"/>
        <v>0.45183957825956095</v>
      </c>
      <c r="JA54" s="81"/>
      <c r="JB54" s="81">
        <v>55</v>
      </c>
      <c r="JC54" s="133">
        <f t="shared" si="98"/>
        <v>0.33589614883526531</v>
      </c>
      <c r="JD54" s="133">
        <f t="shared" si="99"/>
        <v>0.34884450871839029</v>
      </c>
      <c r="JE54" s="133">
        <f t="shared" si="100"/>
        <v>0.35904279504707248</v>
      </c>
      <c r="JF54" s="133">
        <f t="shared" si="371"/>
        <v>0.3699211183038007</v>
      </c>
      <c r="JG54" s="133">
        <f t="shared" si="372"/>
        <v>0.38637836213879745</v>
      </c>
      <c r="JH54" s="134">
        <f t="shared" si="373"/>
        <v>0.40276755654396035</v>
      </c>
      <c r="JI54" s="133">
        <f t="shared" si="374"/>
        <v>0.4175584343666201</v>
      </c>
      <c r="JJ54" s="133">
        <f t="shared" si="101"/>
        <v>0.42973947385103467</v>
      </c>
      <c r="JK54" s="133">
        <f t="shared" si="102"/>
        <v>0.43662406240653179</v>
      </c>
      <c r="JL54" s="133">
        <f t="shared" si="103"/>
        <v>0.44237078860540846</v>
      </c>
      <c r="JM54" s="133">
        <f t="shared" si="104"/>
        <v>0.44881310666634977</v>
      </c>
      <c r="JN54" s="81"/>
      <c r="JO54" s="81">
        <v>52</v>
      </c>
      <c r="JP54" s="133">
        <f t="shared" si="105"/>
        <v>-2.2131355803903254</v>
      </c>
      <c r="JQ54" s="133">
        <f t="shared" si="106"/>
        <v>-0.76119140685609565</v>
      </c>
      <c r="JR54" s="133">
        <f t="shared" si="107"/>
        <v>0.50245110339706045</v>
      </c>
      <c r="JS54" s="133">
        <f t="shared" si="375"/>
        <v>1.9757172617782359</v>
      </c>
      <c r="JT54" s="133">
        <f t="shared" si="376"/>
        <v>4.470493434076797</v>
      </c>
      <c r="JU54" s="134">
        <f t="shared" si="377"/>
        <v>7.3026594454240694</v>
      </c>
      <c r="JV54" s="133">
        <f t="shared" si="378"/>
        <v>10.185663616641015</v>
      </c>
      <c r="JW54" s="133">
        <f t="shared" si="108"/>
        <v>12.812974568833173</v>
      </c>
      <c r="JX54" s="133">
        <f t="shared" si="109"/>
        <v>14.40552702909071</v>
      </c>
      <c r="JY54" s="133">
        <f t="shared" si="110"/>
        <v>15.797134260619362</v>
      </c>
      <c r="JZ54" s="133">
        <f t="shared" si="111"/>
        <v>17.426891169662024</v>
      </c>
      <c r="KA54" s="81"/>
      <c r="KB54" s="81">
        <v>52</v>
      </c>
      <c r="KC54" s="133">
        <f t="shared" si="112"/>
        <v>-0.69836630381351483</v>
      </c>
      <c r="KD54" s="133">
        <f t="shared" si="113"/>
        <v>0.64527153709186535</v>
      </c>
      <c r="KE54" s="133">
        <f t="shared" si="114"/>
        <v>1.8385653832258431</v>
      </c>
      <c r="KF54" s="133">
        <f t="shared" si="379"/>
        <v>3.2560757330663677</v>
      </c>
      <c r="KG54" s="133">
        <f t="shared" si="380"/>
        <v>5.7161528417399605</v>
      </c>
      <c r="KH54" s="134">
        <f t="shared" si="381"/>
        <v>8.5920715738470204</v>
      </c>
      <c r="KI54" s="133">
        <f t="shared" si="382"/>
        <v>11.601920260611886</v>
      </c>
      <c r="KJ54" s="133">
        <f t="shared" si="115"/>
        <v>14.410948433424471</v>
      </c>
      <c r="KK54" s="133">
        <f t="shared" si="116"/>
        <v>16.142277696416755</v>
      </c>
      <c r="KL54" s="133">
        <f t="shared" si="117"/>
        <v>17.671960104548212</v>
      </c>
      <c r="KM54" s="133">
        <f t="shared" si="118"/>
        <v>19.482579743597078</v>
      </c>
      <c r="KN54" s="81"/>
      <c r="KO54" s="81">
        <v>54</v>
      </c>
      <c r="KP54" s="133">
        <f t="shared" si="119"/>
        <v>-2.0677725330275933</v>
      </c>
      <c r="KQ54" s="133">
        <f t="shared" si="120"/>
        <v>-0.70631115051780213</v>
      </c>
      <c r="KR54" s="133">
        <f t="shared" si="121"/>
        <v>0.4602349591101671</v>
      </c>
      <c r="KS54" s="133">
        <f t="shared" si="383"/>
        <v>1.8004943657435994</v>
      </c>
      <c r="KT54" s="133">
        <f t="shared" si="384"/>
        <v>4.025941003147409</v>
      </c>
      <c r="KU54" s="134">
        <f t="shared" si="385"/>
        <v>6.4925157250098593</v>
      </c>
      <c r="KV54" s="133">
        <f t="shared" si="386"/>
        <v>8.9458650400333042</v>
      </c>
      <c r="KW54" s="133">
        <f t="shared" si="122"/>
        <v>11.136729780605027</v>
      </c>
      <c r="KX54" s="133">
        <f t="shared" si="123"/>
        <v>12.445733798749107</v>
      </c>
      <c r="KY54" s="133">
        <f t="shared" si="124"/>
        <v>13.57860963382468</v>
      </c>
      <c r="KZ54" s="133">
        <f t="shared" si="125"/>
        <v>14.893035021855656</v>
      </c>
      <c r="LA54" s="81"/>
      <c r="LB54" s="81">
        <v>52</v>
      </c>
      <c r="LC54" s="133">
        <f t="shared" si="126"/>
        <v>-4.5917698346915081</v>
      </c>
      <c r="LD54" s="133">
        <f t="shared" si="127"/>
        <v>-0.88391485349249166</v>
      </c>
      <c r="LE54" s="133">
        <f t="shared" si="128"/>
        <v>2.370934338288329</v>
      </c>
      <c r="LF54" s="133">
        <f t="shared" si="387"/>
        <v>6.1949428674323741</v>
      </c>
      <c r="LG54" s="133">
        <f t="shared" si="388"/>
        <v>12.733483830387733</v>
      </c>
      <c r="LH54" s="134">
        <f t="shared" si="389"/>
        <v>20.23906269859733</v>
      </c>
      <c r="LI54" s="133">
        <f t="shared" si="390"/>
        <v>27.956233985484666</v>
      </c>
      <c r="LJ54" s="133">
        <f t="shared" si="129"/>
        <v>35.04728743843733</v>
      </c>
      <c r="LK54" s="133">
        <f t="shared" si="130"/>
        <v>39.369716339401457</v>
      </c>
      <c r="LL54" s="133">
        <f t="shared" si="131"/>
        <v>43.160495663649662</v>
      </c>
      <c r="LM54" s="133">
        <f t="shared" si="132"/>
        <v>47.615296483395603</v>
      </c>
      <c r="LN54" s="81"/>
      <c r="LO54" s="81">
        <v>52</v>
      </c>
      <c r="LP54" s="133">
        <f t="shared" si="133"/>
        <v>-0.24012489344086063</v>
      </c>
      <c r="LQ54" s="133">
        <f t="shared" si="134"/>
        <v>3.4666943603854143</v>
      </c>
      <c r="LR54" s="133">
        <f t="shared" si="135"/>
        <v>6.7299279542718757</v>
      </c>
      <c r="LS54" s="133">
        <f t="shared" si="391"/>
        <v>10.573945105850651</v>
      </c>
      <c r="LT54" s="133">
        <f t="shared" si="392"/>
        <v>17.16969557400181</v>
      </c>
      <c r="LU54" s="134">
        <f t="shared" si="393"/>
        <v>24.772751097994014</v>
      </c>
      <c r="LV54" s="133">
        <f t="shared" si="394"/>
        <v>32.621355609511767</v>
      </c>
      <c r="LW54" s="133">
        <f t="shared" si="136"/>
        <v>39.858029142583533</v>
      </c>
      <c r="LX54" s="133">
        <f t="shared" si="137"/>
        <v>44.27989646803627</v>
      </c>
      <c r="LY54" s="133">
        <f t="shared" si="138"/>
        <v>48.164115067278772</v>
      </c>
      <c r="LZ54" s="133">
        <f t="shared" si="139"/>
        <v>52.735797434021521</v>
      </c>
      <c r="MA54" s="81"/>
      <c r="MB54" s="81">
        <v>54</v>
      </c>
      <c r="MC54" s="133">
        <f t="shared" si="140"/>
        <v>-3.6629420364390626</v>
      </c>
      <c r="MD54" s="133">
        <f t="shared" si="141"/>
        <v>-0.47446449923355516</v>
      </c>
      <c r="ME54" s="133">
        <f t="shared" si="142"/>
        <v>2.2963864646758267</v>
      </c>
      <c r="MF54" s="133">
        <f t="shared" si="395"/>
        <v>5.521820485605403</v>
      </c>
      <c r="MG54" s="133">
        <f t="shared" si="396"/>
        <v>10.970855156466442</v>
      </c>
      <c r="MH54" s="134">
        <f t="shared" si="397"/>
        <v>17.137130628642005</v>
      </c>
      <c r="MI54" s="133">
        <f t="shared" si="398"/>
        <v>23.392863602896234</v>
      </c>
      <c r="MJ54" s="133">
        <f t="shared" si="143"/>
        <v>29.07561982637592</v>
      </c>
      <c r="MK54" s="133">
        <f t="shared" si="144"/>
        <v>32.512054277567508</v>
      </c>
      <c r="ML54" s="133">
        <f t="shared" si="145"/>
        <v>35.509955631326186</v>
      </c>
      <c r="MM54" s="133">
        <f t="shared" si="146"/>
        <v>39.015177601037131</v>
      </c>
      <c r="MN54" s="81"/>
      <c r="MO54" s="81">
        <v>52</v>
      </c>
      <c r="MP54" s="133">
        <f t="shared" si="147"/>
        <v>-10.935919946661954</v>
      </c>
      <c r="MQ54" s="133">
        <f t="shared" si="148"/>
        <v>-6.7356076356075967</v>
      </c>
      <c r="MR54" s="133">
        <f t="shared" si="149"/>
        <v>-3.1079920661141713</v>
      </c>
      <c r="MS54" s="133">
        <f t="shared" si="399"/>
        <v>1.0898469746634589</v>
      </c>
      <c r="MT54" s="133">
        <f t="shared" si="400"/>
        <v>8.1250095364784656</v>
      </c>
      <c r="MU54" s="134">
        <f t="shared" si="401"/>
        <v>16.007852109550896</v>
      </c>
      <c r="MV54" s="133">
        <f t="shared" si="402"/>
        <v>23.9285205283322</v>
      </c>
      <c r="MW54" s="133">
        <f t="shared" si="150"/>
        <v>31.063214883469676</v>
      </c>
      <c r="MX54" s="133">
        <f t="shared" si="151"/>
        <v>35.351835225997412</v>
      </c>
      <c r="MY54" s="133">
        <f t="shared" si="152"/>
        <v>39.078189743868272</v>
      </c>
      <c r="MZ54" s="133">
        <f t="shared" si="153"/>
        <v>43.418228296444973</v>
      </c>
      <c r="NA54" s="81"/>
      <c r="NB54" s="81">
        <v>52</v>
      </c>
      <c r="NC54" s="133">
        <f t="shared" si="154"/>
        <v>-2.8728213279939006</v>
      </c>
      <c r="ND54" s="133">
        <f t="shared" si="155"/>
        <v>0.87071603460351099</v>
      </c>
      <c r="NE54" s="133">
        <f t="shared" si="156"/>
        <v>4.1076777732091578</v>
      </c>
      <c r="NF54" s="133">
        <f t="shared" si="403"/>
        <v>7.85753923500911</v>
      </c>
      <c r="NG54" s="133">
        <f t="shared" si="404"/>
        <v>14.150851792029851</v>
      </c>
      <c r="NH54" s="134">
        <f t="shared" si="405"/>
        <v>21.214297239706301</v>
      </c>
      <c r="NI54" s="133">
        <f t="shared" si="406"/>
        <v>28.322778457696945</v>
      </c>
      <c r="NJ54" s="133">
        <f t="shared" si="157"/>
        <v>34.734434214710319</v>
      </c>
      <c r="NK54" s="133">
        <f t="shared" si="158"/>
        <v>38.592021458923085</v>
      </c>
      <c r="NL54" s="133">
        <f t="shared" si="159"/>
        <v>41.945905103866011</v>
      </c>
      <c r="NM54" s="133">
        <f t="shared" si="160"/>
        <v>45.854423231696288</v>
      </c>
      <c r="NN54" s="81"/>
      <c r="NO54" s="81">
        <v>54</v>
      </c>
      <c r="NP54" s="133">
        <f t="shared" si="161"/>
        <v>-12.235628476543351</v>
      </c>
      <c r="NQ54" s="133">
        <f t="shared" si="162"/>
        <v>-8.4706764560494747</v>
      </c>
      <c r="NR54" s="133">
        <f t="shared" si="163"/>
        <v>-5.2306090116682746</v>
      </c>
      <c r="NS54" s="133">
        <f t="shared" si="407"/>
        <v>-1.4929700565605941</v>
      </c>
      <c r="NT54" s="133">
        <f t="shared" si="408"/>
        <v>4.7463671714514746</v>
      </c>
      <c r="NU54" s="134">
        <f t="shared" si="409"/>
        <v>11.706165435392343</v>
      </c>
      <c r="NV54" s="133">
        <f t="shared" si="410"/>
        <v>18.670956673303699</v>
      </c>
      <c r="NW54" s="133">
        <f t="shared" si="164"/>
        <v>24.923434109152161</v>
      </c>
      <c r="NX54" s="133">
        <f t="shared" si="165"/>
        <v>28.673060573802324</v>
      </c>
      <c r="NY54" s="133">
        <f t="shared" si="166"/>
        <v>31.926168874569065</v>
      </c>
      <c r="NZ54" s="133">
        <f t="shared" si="167"/>
        <v>35.709579147411752</v>
      </c>
      <c r="OA54" s="81"/>
      <c r="OB54" s="81">
        <v>52</v>
      </c>
      <c r="OC54" s="133">
        <v>14.054250863661975</v>
      </c>
      <c r="OD54" s="133">
        <v>15.428909094060501</v>
      </c>
      <c r="OE54" s="133">
        <v>16.718259893039473</v>
      </c>
      <c r="OF54" s="133">
        <v>18.339085537557683</v>
      </c>
      <c r="OG54" s="133">
        <v>21.400111691578623</v>
      </c>
      <c r="OH54" s="134">
        <v>25.417707957299839</v>
      </c>
      <c r="OI54" s="133">
        <v>30.189556349690509</v>
      </c>
      <c r="OJ54" s="133">
        <v>35.22857650014663</v>
      </c>
      <c r="OK54" s="133">
        <v>38.643966652986769</v>
      </c>
      <c r="OL54" s="133">
        <v>41.873334910715769</v>
      </c>
      <c r="OM54" s="133">
        <v>45.969001412448549</v>
      </c>
      <c r="ON54" s="81"/>
      <c r="OO54" s="81">
        <v>52</v>
      </c>
      <c r="OP54" s="133">
        <v>13.190450677454429</v>
      </c>
      <c r="OQ54" s="133">
        <v>14.273820672374232</v>
      </c>
      <c r="OR54" s="133">
        <v>15.27648376091472</v>
      </c>
      <c r="OS54" s="133">
        <v>16.520212840570334</v>
      </c>
      <c r="OT54" s="133">
        <v>25.151762727989869</v>
      </c>
      <c r="OU54" s="134">
        <v>21.773269184946439</v>
      </c>
      <c r="OV54" s="133">
        <v>25.184108605018949</v>
      </c>
      <c r="OW54" s="133">
        <v>28.696679369402798</v>
      </c>
      <c r="OX54" s="133">
        <v>31.033008539116292</v>
      </c>
      <c r="OY54" s="133">
        <v>33.212919083232599</v>
      </c>
      <c r="OZ54" s="133">
        <v>35.940792516698735</v>
      </c>
      <c r="PA54" s="81"/>
      <c r="PB54" s="81">
        <v>54</v>
      </c>
      <c r="PC54" s="133">
        <v>17.186670327452067</v>
      </c>
      <c r="PD54" s="133">
        <v>18.515546208468987</v>
      </c>
      <c r="PE54" s="133">
        <v>19.740347114185504</v>
      </c>
      <c r="PF54" s="133">
        <v>21.253354416260049</v>
      </c>
      <c r="PG54" s="133">
        <v>24.039776211120635</v>
      </c>
      <c r="PH54" s="134">
        <v>27.578097464735237</v>
      </c>
      <c r="PI54" s="133">
        <v>31.63721047547066</v>
      </c>
      <c r="PJ54" s="133">
        <v>35.785008092302363</v>
      </c>
      <c r="PK54" s="133">
        <v>38.527765260414306</v>
      </c>
      <c r="PL54" s="133">
        <v>41.076371780302161</v>
      </c>
      <c r="PM54" s="133">
        <v>44.252402896191974</v>
      </c>
      <c r="PN54" s="81"/>
      <c r="PO54" s="81">
        <v>52</v>
      </c>
      <c r="PP54" s="133">
        <v>9.2256243674553851</v>
      </c>
      <c r="PQ54" s="133">
        <v>10.029159790598417</v>
      </c>
      <c r="PR54" s="133">
        <v>10.776001924047428</v>
      </c>
      <c r="PS54" s="133">
        <v>11.706345897965946</v>
      </c>
      <c r="PT54" s="133">
        <v>13.440491563994872</v>
      </c>
      <c r="PU54" s="134">
        <v>15.677748452444209</v>
      </c>
      <c r="PV54" s="133">
        <v>18.287411242945712</v>
      </c>
      <c r="PW54" s="133">
        <v>20.996457705971661</v>
      </c>
      <c r="PX54" s="133">
        <v>22.809182688582734</v>
      </c>
      <c r="PY54" s="133">
        <v>24.507715668118895</v>
      </c>
      <c r="PZ54" s="133">
        <v>26.642293979059023</v>
      </c>
      <c r="QA54" s="81"/>
      <c r="QB54" s="81">
        <v>52</v>
      </c>
      <c r="QC54" s="133">
        <v>9.0583919947118332</v>
      </c>
      <c r="QD54" s="133">
        <v>9.8427312770971884</v>
      </c>
      <c r="QE54" s="133">
        <v>10.571413454133445</v>
      </c>
      <c r="QF54" s="133">
        <v>11.478739602428664</v>
      </c>
      <c r="QG54" s="133">
        <v>13.168918805531048</v>
      </c>
      <c r="QH54" s="134">
        <v>15.347656013112079</v>
      </c>
      <c r="QI54" s="133">
        <v>17.886855297329522</v>
      </c>
      <c r="QJ54" s="133">
        <v>20.520593136112062</v>
      </c>
      <c r="QK54" s="133">
        <v>22.281840183321425</v>
      </c>
      <c r="QL54" s="133">
        <v>23.931420910058996</v>
      </c>
      <c r="QM54" s="133">
        <v>26.003571631071669</v>
      </c>
      <c r="QN54" s="81"/>
      <c r="QO54" s="81">
        <v>54</v>
      </c>
      <c r="QP54" s="133">
        <v>9.4498018072107559</v>
      </c>
      <c r="QQ54" s="133">
        <v>10.269660926510388</v>
      </c>
      <c r="QR54" s="133">
        <v>11.03145458806412</v>
      </c>
      <c r="QS54" s="133">
        <v>11.980149404786552</v>
      </c>
      <c r="QT54" s="133">
        <v>13.747764975518562</v>
      </c>
      <c r="QU54" s="134">
        <v>16.026955910119316</v>
      </c>
      <c r="QV54" s="133">
        <v>18.684005451236605</v>
      </c>
      <c r="QW54" s="133">
        <v>21.440743939493881</v>
      </c>
      <c r="QX54" s="133">
        <v>23.284627942250793</v>
      </c>
      <c r="QY54" s="133">
        <v>25.011859455051177</v>
      </c>
      <c r="QZ54" s="133">
        <v>27.181873332931346</v>
      </c>
      <c r="RA54" s="81"/>
      <c r="RB54" s="81">
        <v>52</v>
      </c>
      <c r="RC54" s="133">
        <f t="shared" si="168"/>
        <v>0.34023877662841689</v>
      </c>
      <c r="RD54" s="133">
        <f t="shared" si="169"/>
        <v>0.37071050466222766</v>
      </c>
      <c r="RE54" s="133">
        <f t="shared" si="170"/>
        <v>0.39945806311470028</v>
      </c>
      <c r="RF54" s="133">
        <f t="shared" si="411"/>
        <v>0.43585013144577783</v>
      </c>
      <c r="RG54" s="133">
        <f t="shared" si="412"/>
        <v>0.50542685236735707</v>
      </c>
      <c r="RH54" s="134">
        <f t="shared" si="413"/>
        <v>0.59858042221715912</v>
      </c>
      <c r="RI54" s="133">
        <f t="shared" si="414"/>
        <v>0.71211768520755325</v>
      </c>
      <c r="RJ54" s="133">
        <f t="shared" si="171"/>
        <v>0.835578340235408</v>
      </c>
      <c r="RK54" s="133">
        <f t="shared" si="172"/>
        <v>0.92139397714814397</v>
      </c>
      <c r="RL54" s="133">
        <f t="shared" si="173"/>
        <v>1.0041448448913568</v>
      </c>
      <c r="RM54" s="133">
        <f t="shared" si="174"/>
        <v>1.1113639378146718</v>
      </c>
      <c r="RN54" s="81"/>
      <c r="RO54" s="81">
        <v>52</v>
      </c>
      <c r="RP54" s="133">
        <f t="shared" si="175"/>
        <v>0.37545747166525728</v>
      </c>
      <c r="RQ54" s="133">
        <f t="shared" si="176"/>
        <v>0.40827124827352745</v>
      </c>
      <c r="RR54" s="133">
        <f t="shared" si="177"/>
        <v>0.43931649581591659</v>
      </c>
      <c r="RS54" s="133">
        <f t="shared" si="415"/>
        <v>0.4787485532199463</v>
      </c>
      <c r="RT54" s="133">
        <f t="shared" si="416"/>
        <v>0.55457211561188358</v>
      </c>
      <c r="RU54" s="134">
        <f t="shared" si="417"/>
        <v>0.65703389737667417</v>
      </c>
      <c r="RV54" s="133">
        <f t="shared" si="418"/>
        <v>0.78343550698770914</v>
      </c>
      <c r="RW54" s="133">
        <f t="shared" si="178"/>
        <v>0.92281119865555672</v>
      </c>
      <c r="RX54" s="133">
        <f t="shared" si="179"/>
        <v>1.0208734363611474</v>
      </c>
      <c r="RY54" s="133">
        <f t="shared" si="180"/>
        <v>1.1163486142674905</v>
      </c>
      <c r="RZ54" s="133">
        <f t="shared" si="181"/>
        <v>1.2413796908628685</v>
      </c>
      <c r="SA54" s="81"/>
      <c r="SB54" s="81">
        <v>54</v>
      </c>
      <c r="SC54" s="133">
        <f t="shared" si="182"/>
        <v>0.3391176528735132</v>
      </c>
      <c r="SD54" s="133">
        <f t="shared" si="183"/>
        <v>0.36748506575336104</v>
      </c>
      <c r="SE54" s="133">
        <f t="shared" si="184"/>
        <v>0.39379984785419569</v>
      </c>
      <c r="SF54" s="133">
        <f t="shared" si="419"/>
        <v>0.42651915204746971</v>
      </c>
      <c r="SG54" s="133">
        <f t="shared" si="420"/>
        <v>0.48735194467763399</v>
      </c>
      <c r="SH54" s="134">
        <f t="shared" si="421"/>
        <v>0.56558860535669342</v>
      </c>
      <c r="SI54" s="133">
        <f t="shared" si="422"/>
        <v>0.65657445823475569</v>
      </c>
      <c r="SJ54" s="133">
        <f t="shared" si="185"/>
        <v>0.75078237471614018</v>
      </c>
      <c r="SK54" s="133">
        <f t="shared" si="186"/>
        <v>0.81370916911954139</v>
      </c>
      <c r="SL54" s="133">
        <f t="shared" si="187"/>
        <v>0.87260400070754007</v>
      </c>
      <c r="SM54" s="133">
        <f t="shared" si="188"/>
        <v>0.94653798071928952</v>
      </c>
      <c r="SN54" s="81"/>
      <c r="SO54" s="81">
        <v>52</v>
      </c>
      <c r="SP54" s="133">
        <f t="shared" si="189"/>
        <v>0.25449720992356889</v>
      </c>
      <c r="SQ54" s="133">
        <f t="shared" si="190"/>
        <v>0.27107780043686497</v>
      </c>
      <c r="SR54" s="133">
        <f t="shared" si="191"/>
        <v>0.28597213012054651</v>
      </c>
      <c r="SS54" s="133">
        <f t="shared" si="423"/>
        <v>0.30389372517999014</v>
      </c>
      <c r="ST54" s="133">
        <f t="shared" si="424"/>
        <v>0.33564057180304729</v>
      </c>
      <c r="SU54" s="134">
        <f t="shared" si="425"/>
        <v>0.37387574254964862</v>
      </c>
      <c r="SV54" s="133">
        <f t="shared" si="426"/>
        <v>0.41527445112958583</v>
      </c>
      <c r="SW54" s="133">
        <f t="shared" si="192"/>
        <v>0.45524770441396994</v>
      </c>
      <c r="SX54" s="133">
        <f t="shared" si="193"/>
        <v>0.48054733347194328</v>
      </c>
      <c r="SY54" s="133">
        <f t="shared" si="194"/>
        <v>0.50332878756163058</v>
      </c>
      <c r="SZ54" s="133">
        <f t="shared" si="195"/>
        <v>0.53082082458960134</v>
      </c>
      <c r="TA54" s="81"/>
      <c r="TB54" s="81">
        <v>52</v>
      </c>
      <c r="TC54" s="133">
        <f t="shared" si="196"/>
        <v>0.27373917514535695</v>
      </c>
      <c r="TD54" s="133">
        <f t="shared" si="197"/>
        <v>0.29057496619964024</v>
      </c>
      <c r="TE54" s="133">
        <f t="shared" si="198"/>
        <v>0.30573034224795481</v>
      </c>
      <c r="TF54" s="133">
        <f t="shared" si="427"/>
        <v>0.32400797692226546</v>
      </c>
      <c r="TG54" s="133">
        <f t="shared" si="428"/>
        <v>0.3565032830887177</v>
      </c>
      <c r="TH54" s="134">
        <f t="shared" si="429"/>
        <v>0.39584813554531145</v>
      </c>
      <c r="TI54" s="133">
        <f t="shared" si="430"/>
        <v>0.43871278984399859</v>
      </c>
      <c r="TJ54" s="133">
        <f t="shared" si="199"/>
        <v>0.48036642741535984</v>
      </c>
      <c r="TK54" s="133">
        <f t="shared" si="200"/>
        <v>0.5068646660259728</v>
      </c>
      <c r="TL54" s="133">
        <f t="shared" si="201"/>
        <v>0.53081492557892851</v>
      </c>
      <c r="TM54" s="133">
        <f t="shared" si="202"/>
        <v>0.55982999585569293</v>
      </c>
      <c r="TN54" s="81"/>
      <c r="TO54" s="81">
        <v>54</v>
      </c>
      <c r="TP54" s="133">
        <f t="shared" si="203"/>
        <v>0.25396828241120156</v>
      </c>
      <c r="TQ54" s="133">
        <f t="shared" si="204"/>
        <v>0.26939234525897732</v>
      </c>
      <c r="TR54" s="133">
        <f t="shared" si="205"/>
        <v>0.283068740157779</v>
      </c>
      <c r="TS54" s="133">
        <f t="shared" si="431"/>
        <v>0.29931159022835807</v>
      </c>
      <c r="TT54" s="133">
        <f t="shared" si="432"/>
        <v>0.32754870530539543</v>
      </c>
      <c r="TU54" s="134">
        <f t="shared" si="433"/>
        <v>0.36072041226892437</v>
      </c>
      <c r="TV54" s="133">
        <f t="shared" si="434"/>
        <v>0.39570418936770219</v>
      </c>
      <c r="TW54" s="133">
        <f t="shared" si="206"/>
        <v>0.42865097949602482</v>
      </c>
      <c r="TX54" s="133">
        <f t="shared" si="207"/>
        <v>0.44911486008826995</v>
      </c>
      <c r="TY54" s="133">
        <f t="shared" si="208"/>
        <v>0.46730046388774826</v>
      </c>
      <c r="TZ54" s="133">
        <f t="shared" si="209"/>
        <v>0.48895756065915702</v>
      </c>
      <c r="UA54" s="81"/>
      <c r="UB54" s="81">
        <v>52</v>
      </c>
      <c r="UC54" s="133">
        <f t="shared" si="210"/>
        <v>-16.019466145624719</v>
      </c>
      <c r="UD54" s="133">
        <f t="shared" si="211"/>
        <v>-12.759878089178734</v>
      </c>
      <c r="UE54" s="133">
        <f t="shared" si="212"/>
        <v>-10.024728542482514</v>
      </c>
      <c r="UF54" s="133">
        <f t="shared" si="435"/>
        <v>-6.9417457239340337</v>
      </c>
      <c r="UG54" s="133">
        <f t="shared" si="436"/>
        <v>-1.9480395302524585</v>
      </c>
      <c r="UH54" s="134">
        <f t="shared" si="437"/>
        <v>3.4261648051752331</v>
      </c>
      <c r="UI54" s="133">
        <f t="shared" si="438"/>
        <v>8.6259940496570096</v>
      </c>
      <c r="UJ54" s="133">
        <f t="shared" si="213"/>
        <v>13.161313221271342</v>
      </c>
      <c r="UK54" s="133">
        <f t="shared" si="214"/>
        <v>15.826883567883726</v>
      </c>
      <c r="UL54" s="133">
        <f t="shared" si="215"/>
        <v>18.108923089860141</v>
      </c>
      <c r="UM54" s="133">
        <f t="shared" si="216"/>
        <v>20.72926706712714</v>
      </c>
      <c r="UN54" s="81"/>
      <c r="UO54" s="81">
        <v>52</v>
      </c>
      <c r="UP54" s="133">
        <f t="shared" si="217"/>
        <v>-11.922570713138558</v>
      </c>
      <c r="UQ54" s="133">
        <f t="shared" si="218"/>
        <v>-9.1670778306000216</v>
      </c>
      <c r="UR54" s="133">
        <f t="shared" si="219"/>
        <v>-6.8021210283023024</v>
      </c>
      <c r="US54" s="133">
        <f t="shared" si="439"/>
        <v>-4.0805542894602453</v>
      </c>
      <c r="UT54" s="133">
        <f t="shared" si="440"/>
        <v>0.44870173996399387</v>
      </c>
      <c r="UU54" s="134">
        <f t="shared" si="441"/>
        <v>5.4829975400272275</v>
      </c>
      <c r="UV54" s="133">
        <f t="shared" si="442"/>
        <v>10.504452519764655</v>
      </c>
      <c r="UW54" s="133">
        <f t="shared" si="220"/>
        <v>14.999972988203865</v>
      </c>
      <c r="UX54" s="133">
        <f t="shared" si="221"/>
        <v>17.690841463410386</v>
      </c>
      <c r="UY54" s="133">
        <f t="shared" si="222"/>
        <v>20.022493582244834</v>
      </c>
      <c r="UZ54" s="133">
        <f t="shared" si="223"/>
        <v>22.731023763105469</v>
      </c>
      <c r="VA54" s="81"/>
      <c r="VB54" s="81">
        <v>55</v>
      </c>
      <c r="VC54" s="133">
        <f t="shared" si="224"/>
        <v>-16.091944667762284</v>
      </c>
      <c r="VD54" s="133">
        <f t="shared" si="225"/>
        <v>-12.878917292235869</v>
      </c>
      <c r="VE54" s="133">
        <f t="shared" si="226"/>
        <v>-10.215671276913184</v>
      </c>
      <c r="VF54" s="133">
        <f t="shared" si="443"/>
        <v>-7.246185087579903</v>
      </c>
      <c r="VG54" s="133">
        <f t="shared" si="444"/>
        <v>-2.5017048116208116</v>
      </c>
      <c r="VH54" s="134">
        <f t="shared" si="445"/>
        <v>2.5244657477151975</v>
      </c>
      <c r="VI54" s="133">
        <f t="shared" si="446"/>
        <v>7.31837596861007</v>
      </c>
      <c r="VJ54" s="133">
        <f t="shared" si="227"/>
        <v>11.450075058860435</v>
      </c>
      <c r="VK54" s="133">
        <f t="shared" si="228"/>
        <v>13.858647901437891</v>
      </c>
      <c r="VL54" s="133">
        <f t="shared" si="229"/>
        <v>15.909729824555882</v>
      </c>
      <c r="VM54" s="133">
        <f t="shared" si="230"/>
        <v>18.252999036173378</v>
      </c>
      <c r="VN54" s="81"/>
      <c r="VO54" s="81">
        <v>52</v>
      </c>
      <c r="VP54" s="133">
        <f t="shared" si="231"/>
        <v>-28.52361655961743</v>
      </c>
      <c r="VQ54" s="133">
        <f t="shared" si="232"/>
        <v>-23.860021979376395</v>
      </c>
      <c r="VR54" s="133">
        <f t="shared" si="233"/>
        <v>-19.601095047894916</v>
      </c>
      <c r="VS54" s="133">
        <f t="shared" si="447"/>
        <v>-14.412987924256882</v>
      </c>
      <c r="VT54" s="133">
        <f t="shared" si="448"/>
        <v>-5.1136988392661777</v>
      </c>
      <c r="VU54" s="134">
        <f t="shared" si="449"/>
        <v>6.1718344437178345</v>
      </c>
      <c r="VV54" s="133">
        <f t="shared" si="450"/>
        <v>18.395949664602746</v>
      </c>
      <c r="VW54" s="133">
        <f t="shared" si="234"/>
        <v>30.138445078776847</v>
      </c>
      <c r="VX54" s="133">
        <f t="shared" si="235"/>
        <v>37.520990858297971</v>
      </c>
      <c r="VY54" s="133">
        <f t="shared" si="236"/>
        <v>44.129226378936842</v>
      </c>
      <c r="VZ54" s="133">
        <f t="shared" si="237"/>
        <v>52.049076504637078</v>
      </c>
      <c r="WA54" s="81"/>
      <c r="WB54" s="81">
        <v>52</v>
      </c>
      <c r="WC54" s="133">
        <f t="shared" si="238"/>
        <v>-23.400039053910604</v>
      </c>
      <c r="WD54" s="133">
        <f t="shared" si="239"/>
        <v>-18.798351626332657</v>
      </c>
      <c r="WE54" s="133">
        <f t="shared" si="240"/>
        <v>-14.590122709233732</v>
      </c>
      <c r="WF54" s="133">
        <f t="shared" si="451"/>
        <v>-9.4575727835242347</v>
      </c>
      <c r="WG54" s="133">
        <f t="shared" si="452"/>
        <v>-0.2441152965645017</v>
      </c>
      <c r="WH54" s="134">
        <f t="shared" si="453"/>
        <v>10.955784629121162</v>
      </c>
      <c r="WI54" s="133">
        <f t="shared" si="454"/>
        <v>23.1048105920488</v>
      </c>
      <c r="WJ54" s="133">
        <f t="shared" si="241"/>
        <v>34.788903414557247</v>
      </c>
      <c r="WK54" s="133">
        <f t="shared" si="242"/>
        <v>42.140506860416899</v>
      </c>
      <c r="WL54" s="133">
        <f t="shared" si="243"/>
        <v>48.724375557609683</v>
      </c>
      <c r="WM54" s="133">
        <f t="shared" si="244"/>
        <v>56.618782510191473</v>
      </c>
      <c r="WN54" s="81"/>
      <c r="WO54" s="81">
        <v>55</v>
      </c>
      <c r="WP54" s="133">
        <f t="shared" si="245"/>
        <v>-29.34612289626174</v>
      </c>
      <c r="WQ54" s="133">
        <f t="shared" si="246"/>
        <v>-24.689594964570198</v>
      </c>
      <c r="WR54" s="133">
        <f t="shared" si="247"/>
        <v>-20.481677620917722</v>
      </c>
      <c r="WS54" s="133">
        <f t="shared" si="455"/>
        <v>-15.407985198873568</v>
      </c>
      <c r="WT54" s="133">
        <f t="shared" si="456"/>
        <v>-6.4414972302356404</v>
      </c>
      <c r="WU54" s="134">
        <f t="shared" si="457"/>
        <v>4.2500969197801837</v>
      </c>
      <c r="WV54" s="133">
        <f t="shared" si="458"/>
        <v>15.631931329437968</v>
      </c>
      <c r="WW54" s="133">
        <f t="shared" si="248"/>
        <v>26.398844428668021</v>
      </c>
      <c r="WX54" s="133">
        <f t="shared" si="249"/>
        <v>33.094296711856593</v>
      </c>
      <c r="WY54" s="133">
        <f t="shared" si="250"/>
        <v>39.043492293928885</v>
      </c>
      <c r="WZ54" s="133">
        <f t="shared" si="251"/>
        <v>46.122555727060337</v>
      </c>
      <c r="XA54" s="81"/>
      <c r="XB54" s="81">
        <v>52</v>
      </c>
      <c r="XC54" s="133">
        <f t="shared" si="252"/>
        <v>-34.002318796140614</v>
      </c>
      <c r="XD54" s="133">
        <f t="shared" si="253"/>
        <v>-28.940094555986665</v>
      </c>
      <c r="XE54" s="133">
        <f t="shared" si="254"/>
        <v>-24.396801510810313</v>
      </c>
      <c r="XF54" s="133">
        <f t="shared" si="459"/>
        <v>-18.96003064473669</v>
      </c>
      <c r="XG54" s="133">
        <f t="shared" si="460"/>
        <v>-9.4604424626943313</v>
      </c>
      <c r="XH54" s="134">
        <f t="shared" si="461"/>
        <v>1.6975116652906976</v>
      </c>
      <c r="XI54" s="133">
        <f t="shared" si="462"/>
        <v>13.39391553921245</v>
      </c>
      <c r="XJ54" s="133">
        <f t="shared" si="255"/>
        <v>24.304675655127987</v>
      </c>
      <c r="XK54" s="133">
        <f t="shared" si="256"/>
        <v>31.021274071427861</v>
      </c>
      <c r="XL54" s="133">
        <f t="shared" si="257"/>
        <v>36.948516405743767</v>
      </c>
      <c r="XM54" s="133">
        <f t="shared" si="258"/>
        <v>43.954432766209727</v>
      </c>
      <c r="XN54" s="81"/>
      <c r="XO54" s="81">
        <v>52</v>
      </c>
      <c r="XP54" s="133">
        <f t="shared" si="259"/>
        <v>-25.077942209061831</v>
      </c>
      <c r="XQ54" s="133">
        <f t="shared" si="260"/>
        <v>-20.333105821394224</v>
      </c>
      <c r="XR54" s="133">
        <f t="shared" si="261"/>
        <v>-16.123894495490973</v>
      </c>
      <c r="XS54" s="133">
        <f t="shared" si="463"/>
        <v>-11.134682415272216</v>
      </c>
      <c r="XT54" s="133">
        <f t="shared" si="464"/>
        <v>-2.5134993320269245</v>
      </c>
      <c r="XU54" s="134">
        <f t="shared" si="465"/>
        <v>7.4948390846362045</v>
      </c>
      <c r="XV54" s="133">
        <f t="shared" si="466"/>
        <v>17.883715059300719</v>
      </c>
      <c r="XW54" s="133">
        <f t="shared" si="262"/>
        <v>27.500885909037798</v>
      </c>
      <c r="XX54" s="133">
        <f t="shared" si="263"/>
        <v>33.39160435311144</v>
      </c>
      <c r="XY54" s="133">
        <f t="shared" si="264"/>
        <v>38.573580731481904</v>
      </c>
      <c r="XZ54" s="133">
        <f t="shared" si="265"/>
        <v>44.680552801628146</v>
      </c>
      <c r="YA54" s="81"/>
      <c r="YB54" s="81">
        <v>55</v>
      </c>
      <c r="YC54" s="133">
        <f t="shared" si="266"/>
        <v>-35.902599125493204</v>
      </c>
      <c r="YD54" s="133">
        <f t="shared" si="267"/>
        <v>-30.905625681578282</v>
      </c>
      <c r="YE54" s="133">
        <f t="shared" si="268"/>
        <v>-26.44822211684437</v>
      </c>
      <c r="YF54" s="133">
        <f t="shared" si="467"/>
        <v>-21.145282225376548</v>
      </c>
      <c r="YG54" s="133">
        <f t="shared" si="468"/>
        <v>-11.951695566255516</v>
      </c>
      <c r="YH54" s="134">
        <f t="shared" si="469"/>
        <v>-1.2542657446757701</v>
      </c>
      <c r="YI54" s="133">
        <f t="shared" si="470"/>
        <v>9.8599909138895967</v>
      </c>
      <c r="YJ54" s="133">
        <f t="shared" si="269"/>
        <v>20.148901249783584</v>
      </c>
      <c r="YK54" s="133">
        <f t="shared" si="270"/>
        <v>26.449072094827592</v>
      </c>
      <c r="YL54" s="133">
        <f t="shared" si="271"/>
        <v>31.989301717726441</v>
      </c>
      <c r="YM54" s="133">
        <f t="shared" si="272"/>
        <v>38.51568323162838</v>
      </c>
      <c r="YN54" s="81"/>
      <c r="YO54" s="81">
        <v>52</v>
      </c>
      <c r="YP54" s="133">
        <v>17.577834647706286</v>
      </c>
      <c r="YQ54" s="133">
        <v>19.585174006924785</v>
      </c>
      <c r="YR54" s="133">
        <v>21.494004650893132</v>
      </c>
      <c r="YS54" s="133">
        <v>23.926785496106056</v>
      </c>
      <c r="YT54" s="133">
        <v>28.613196590997227</v>
      </c>
      <c r="YU54" s="134">
        <v>34.92609641653474</v>
      </c>
      <c r="YV54" s="133">
        <v>42.631804769442823</v>
      </c>
      <c r="YW54" s="133">
        <v>50.981867626790127</v>
      </c>
      <c r="YX54" s="133">
        <v>56.752207450852751</v>
      </c>
      <c r="YY54" s="133">
        <v>62.283450249958534</v>
      </c>
      <c r="YZ54" s="133">
        <v>69.396045380154689</v>
      </c>
      <c r="ZA54" s="81"/>
      <c r="ZB54" s="81">
        <v>52</v>
      </c>
      <c r="ZC54" s="133">
        <v>14.703129411871945</v>
      </c>
      <c r="ZD54" s="133">
        <v>16.514364583973325</v>
      </c>
      <c r="ZE54" s="133">
        <v>18.249601485029249</v>
      </c>
      <c r="ZF54" s="133">
        <v>20.47769516724177</v>
      </c>
      <c r="ZG54" s="133">
        <v>24.816247254510152</v>
      </c>
      <c r="ZH54" s="134">
        <v>30.743571806139986</v>
      </c>
      <c r="ZI54" s="133">
        <v>38.086629203273631</v>
      </c>
      <c r="ZJ54" s="133">
        <v>46.155936968495965</v>
      </c>
      <c r="ZK54" s="133">
        <v>51.791114900489056</v>
      </c>
      <c r="ZL54" s="133">
        <v>57.233035070361765</v>
      </c>
      <c r="ZM54" s="133">
        <v>64.283403955903196</v>
      </c>
      <c r="ZN54" s="81"/>
      <c r="ZO54" s="81">
        <v>55</v>
      </c>
      <c r="ZP54" s="133">
        <v>20.39884422071189</v>
      </c>
      <c r="ZQ54" s="133">
        <v>22.426776061675422</v>
      </c>
      <c r="ZR54" s="133">
        <v>24.331437715422968</v>
      </c>
      <c r="ZS54" s="133">
        <v>26.729006123696834</v>
      </c>
      <c r="ZT54" s="133">
        <v>31.265797808840695</v>
      </c>
      <c r="ZU54" s="134">
        <v>37.235597864873441</v>
      </c>
      <c r="ZV54" s="133">
        <v>44.345254096235614</v>
      </c>
      <c r="ZW54" s="133">
        <v>51.872102611603005</v>
      </c>
      <c r="ZX54" s="133">
        <v>56.983469886603224</v>
      </c>
      <c r="ZY54" s="133">
        <v>61.822963075103139</v>
      </c>
      <c r="ZZ54" s="133">
        <v>67.969034586126185</v>
      </c>
      <c r="AAA54" s="81"/>
      <c r="AAB54" s="81">
        <v>52</v>
      </c>
      <c r="AAC54" s="133">
        <v>9.8930473001377148</v>
      </c>
      <c r="AAD54" s="133">
        <v>10.96588298112014</v>
      </c>
      <c r="AAE54" s="133">
        <v>11.981181500386079</v>
      </c>
      <c r="AAF54" s="133">
        <v>13.268964783386256</v>
      </c>
      <c r="AAG54" s="133">
        <v>15.732569456193206</v>
      </c>
      <c r="AAH54" s="134">
        <v>19.021191214666008</v>
      </c>
      <c r="AAI54" s="133">
        <v>22.997242518605933</v>
      </c>
      <c r="AAJ54" s="133">
        <v>27.267064245878132</v>
      </c>
      <c r="AAK54" s="133">
        <v>30.197832760753066</v>
      </c>
      <c r="AAL54" s="133">
        <v>32.993760360912567</v>
      </c>
      <c r="AAM54" s="133">
        <v>36.571715897876174</v>
      </c>
      <c r="AAN54" s="81"/>
      <c r="AAO54" s="81">
        <v>52</v>
      </c>
      <c r="AAP54" s="133">
        <v>9.1528866840693297</v>
      </c>
      <c r="AAQ54" s="133">
        <v>10.247293822095461</v>
      </c>
      <c r="AAR54" s="133">
        <v>11.292647796494673</v>
      </c>
      <c r="AAS54" s="133">
        <v>12.630899268111101</v>
      </c>
      <c r="AAT54" s="133">
        <v>15.225510876645849</v>
      </c>
      <c r="AAU54" s="134">
        <v>18.750251658888772</v>
      </c>
      <c r="AAV54" s="133">
        <v>23.090978038111768</v>
      </c>
      <c r="AAW54" s="133">
        <v>27.8342760724302</v>
      </c>
      <c r="AAX54" s="133">
        <v>31.132816998046444</v>
      </c>
      <c r="AAY54" s="133">
        <v>34.308759305173169</v>
      </c>
      <c r="AAZ54" s="133">
        <v>38.411044450443669</v>
      </c>
      <c r="ABA54" s="81"/>
      <c r="ABB54" s="81">
        <v>55</v>
      </c>
      <c r="ABC54" s="133">
        <v>10.379359279198519</v>
      </c>
      <c r="ABD54" s="133">
        <v>11.428173582628887</v>
      </c>
      <c r="ABE54" s="133">
        <v>12.41459300529422</v>
      </c>
      <c r="ABF54" s="133">
        <v>13.657999658583826</v>
      </c>
      <c r="ABG54" s="133">
        <v>16.015508111341607</v>
      </c>
      <c r="ABH54" s="134">
        <v>19.12576067049773</v>
      </c>
      <c r="ABI54" s="133">
        <v>22.840032216406232</v>
      </c>
      <c r="ABJ54" s="133">
        <v>26.782452069784739</v>
      </c>
      <c r="ABK54" s="133">
        <v>29.464898371550643</v>
      </c>
      <c r="ABL54" s="133">
        <v>32.008152359636441</v>
      </c>
      <c r="ABM54" s="133">
        <v>35.242514627878244</v>
      </c>
      <c r="ABN54" s="81"/>
      <c r="ABO54" s="81">
        <v>52</v>
      </c>
      <c r="ABP54" s="133">
        <f t="shared" si="273"/>
        <v>0.26664132435803461</v>
      </c>
      <c r="ABQ54" s="133">
        <f t="shared" si="274"/>
        <v>0.30091422173838256</v>
      </c>
      <c r="ABR54" s="133">
        <f t="shared" si="275"/>
        <v>0.33286781057618386</v>
      </c>
      <c r="ABS54" s="133">
        <f t="shared" si="471"/>
        <v>0.37270025047231581</v>
      </c>
      <c r="ABT54" s="133">
        <f t="shared" si="472"/>
        <v>0.44672675348082486</v>
      </c>
      <c r="ABU54" s="134">
        <f t="shared" si="473"/>
        <v>0.54127197855783316</v>
      </c>
      <c r="ABV54" s="133">
        <f t="shared" si="474"/>
        <v>0.64962878940673718</v>
      </c>
      <c r="ABW54" s="133">
        <f t="shared" si="276"/>
        <v>0.7595884427585754</v>
      </c>
      <c r="ABX54" s="133">
        <f t="shared" si="277"/>
        <v>0.83167011154794135</v>
      </c>
      <c r="ABY54" s="133">
        <f t="shared" si="278"/>
        <v>0.89812091395425619</v>
      </c>
      <c r="ABZ54" s="133">
        <f t="shared" si="279"/>
        <v>0.98015772641873977</v>
      </c>
      <c r="ACA54" s="81"/>
      <c r="ACB54" s="81">
        <v>52</v>
      </c>
      <c r="ACC54" s="133">
        <f t="shared" si="280"/>
        <v>0.31612723367338563</v>
      </c>
      <c r="ACD54" s="133">
        <f t="shared" si="281"/>
        <v>0.34976802113525729</v>
      </c>
      <c r="ACE54" s="133">
        <f t="shared" si="282"/>
        <v>0.38111637171231172</v>
      </c>
      <c r="ACF54" s="133">
        <f t="shared" si="475"/>
        <v>0.42022670844371718</v>
      </c>
      <c r="ACG54" s="133">
        <f t="shared" si="476"/>
        <v>0.49315403371766742</v>
      </c>
      <c r="ACH54" s="134">
        <f t="shared" si="477"/>
        <v>0.5870041795670945</v>
      </c>
      <c r="ACI54" s="133">
        <f t="shared" si="478"/>
        <v>0.69580222615572695</v>
      </c>
      <c r="ACJ54" s="133">
        <f t="shared" si="283"/>
        <v>0.80772701011326942</v>
      </c>
      <c r="ACK54" s="133">
        <f t="shared" si="284"/>
        <v>0.88196930431425502</v>
      </c>
      <c r="ACL54" s="133">
        <f t="shared" si="285"/>
        <v>0.95103702315690497</v>
      </c>
      <c r="ACM54" s="133">
        <f t="shared" si="286"/>
        <v>1.0371386734068211</v>
      </c>
      <c r="ACN54" s="81"/>
      <c r="ACO54" s="81">
        <v>55</v>
      </c>
      <c r="ACP54" s="133">
        <f t="shared" si="287"/>
        <v>0.25168994791355542</v>
      </c>
      <c r="ACQ54" s="133">
        <f t="shared" si="288"/>
        <v>0.28729990636811481</v>
      </c>
      <c r="ACR54" s="133">
        <f t="shared" si="289"/>
        <v>0.31987424684692811</v>
      </c>
      <c r="ACS54" s="133">
        <f t="shared" si="479"/>
        <v>0.35967452401130018</v>
      </c>
      <c r="ACT54" s="133">
        <f t="shared" si="480"/>
        <v>0.43150291980856659</v>
      </c>
      <c r="ACU54" s="134">
        <f t="shared" si="481"/>
        <v>0.51938922256402875</v>
      </c>
      <c r="ACV54" s="133">
        <f t="shared" si="482"/>
        <v>0.61570059267044663</v>
      </c>
      <c r="ACW54" s="133">
        <f t="shared" si="290"/>
        <v>0.70947045029648415</v>
      </c>
      <c r="ACX54" s="133">
        <f t="shared" si="291"/>
        <v>0.76892359779375352</v>
      </c>
      <c r="ACY54" s="133">
        <f t="shared" si="292"/>
        <v>0.82249157276495743</v>
      </c>
      <c r="ACZ54" s="133">
        <f t="shared" si="293"/>
        <v>0.88711908648634186</v>
      </c>
      <c r="ADA54" s="81"/>
      <c r="ADB54" s="81">
        <v>52</v>
      </c>
      <c r="ADC54" s="133">
        <f t="shared" si="294"/>
        <v>0.21238471279731735</v>
      </c>
      <c r="ADD54" s="133">
        <f t="shared" si="295"/>
        <v>0.23301433262575658</v>
      </c>
      <c r="ADE54" s="133">
        <f t="shared" si="296"/>
        <v>0.25109336836697038</v>
      </c>
      <c r="ADF54" s="133">
        <f t="shared" si="483"/>
        <v>0.27230633937196991</v>
      </c>
      <c r="ADG54" s="133">
        <f t="shared" si="484"/>
        <v>0.30852838682439737</v>
      </c>
      <c r="ADH54" s="134">
        <f t="shared" si="485"/>
        <v>0.35005847181428035</v>
      </c>
      <c r="ADI54" s="133">
        <f t="shared" si="486"/>
        <v>0.39272948940544344</v>
      </c>
      <c r="ADJ54" s="133">
        <f t="shared" si="297"/>
        <v>0.43192669940660888</v>
      </c>
      <c r="ADK54" s="133">
        <f t="shared" si="298"/>
        <v>0.45581840563776377</v>
      </c>
      <c r="ADL54" s="133">
        <f t="shared" si="299"/>
        <v>0.47677214591883899</v>
      </c>
      <c r="ADM54" s="133">
        <f t="shared" si="300"/>
        <v>0.50139827132289594</v>
      </c>
      <c r="ADN54" s="81"/>
      <c r="ADO54" s="81">
        <v>52</v>
      </c>
      <c r="ADP54" s="133">
        <f t="shared" si="301"/>
        <v>0.24185747378413411</v>
      </c>
      <c r="ADQ54" s="133">
        <f t="shared" si="302"/>
        <v>0.26040622964590499</v>
      </c>
      <c r="ADR54" s="133">
        <f t="shared" si="303"/>
        <v>0.27678582483401054</v>
      </c>
      <c r="ADS54" s="133">
        <f t="shared" si="487"/>
        <v>0.29615307723321593</v>
      </c>
      <c r="ADT54" s="133">
        <f t="shared" si="488"/>
        <v>0.32959195422677345</v>
      </c>
      <c r="ADU54" s="134">
        <f t="shared" si="489"/>
        <v>0.36849485345390603</v>
      </c>
      <c r="ADV54" s="133">
        <f t="shared" si="490"/>
        <v>0.40907889300744238</v>
      </c>
      <c r="ADW54" s="133">
        <f t="shared" si="304"/>
        <v>0.44689033810116197</v>
      </c>
      <c r="ADX54" s="133">
        <f t="shared" si="305"/>
        <v>0.47018042672763244</v>
      </c>
      <c r="ADY54" s="133">
        <f t="shared" si="306"/>
        <v>0.49075482246445706</v>
      </c>
      <c r="ADZ54" s="133">
        <f t="shared" si="307"/>
        <v>0.51510912174127332</v>
      </c>
      <c r="AEA54" s="81"/>
      <c r="AEB54" s="81">
        <v>55</v>
      </c>
      <c r="AEC54" s="133">
        <f t="shared" si="308"/>
        <v>0.20333088127605461</v>
      </c>
      <c r="AED54" s="133">
        <f t="shared" si="309"/>
        <v>0.22519315597912373</v>
      </c>
      <c r="AEE54" s="133">
        <f t="shared" si="310"/>
        <v>0.24392781708415115</v>
      </c>
      <c r="AEF54" s="133">
        <f t="shared" si="491"/>
        <v>0.26545670225413331</v>
      </c>
      <c r="AEG54" s="133">
        <f t="shared" si="492"/>
        <v>0.30121840760493945</v>
      </c>
      <c r="AEH54" s="134">
        <f t="shared" si="493"/>
        <v>0.34087930526460669</v>
      </c>
      <c r="AEI54" s="133">
        <f t="shared" si="494"/>
        <v>0.38035603991503253</v>
      </c>
      <c r="AEJ54" s="133">
        <f t="shared" si="311"/>
        <v>0.41563450245910155</v>
      </c>
      <c r="AEK54" s="133">
        <f t="shared" si="312"/>
        <v>0.43672443568178759</v>
      </c>
      <c r="AEL54" s="133">
        <f t="shared" si="313"/>
        <v>0.45498377483755315</v>
      </c>
      <c r="AEM54" s="133">
        <f t="shared" si="314"/>
        <v>0.47617751268796826</v>
      </c>
      <c r="AEN54" s="81"/>
    </row>
    <row r="55" spans="1:820">
      <c r="A55" s="81"/>
      <c r="B55" s="81">
        <v>54</v>
      </c>
      <c r="C55" s="133">
        <f t="shared" si="0"/>
        <v>2.1576314013646511</v>
      </c>
      <c r="D55" s="133">
        <f t="shared" si="1"/>
        <v>2.5993927897353175</v>
      </c>
      <c r="E55" s="133">
        <f t="shared" si="2"/>
        <v>3.0671473065181383</v>
      </c>
      <c r="F55" s="133">
        <f t="shared" si="315"/>
        <v>3.7359228319547713</v>
      </c>
      <c r="G55" s="133">
        <f t="shared" si="316"/>
        <v>5.2796347782902657</v>
      </c>
      <c r="H55" s="134">
        <f t="shared" si="317"/>
        <v>7.9821702242758201</v>
      </c>
      <c r="I55" s="133">
        <f t="shared" si="318"/>
        <v>12.486016479883823</v>
      </c>
      <c r="J55" s="133">
        <f t="shared" si="3"/>
        <v>19.297546218373355</v>
      </c>
      <c r="K55" s="133">
        <f t="shared" si="4"/>
        <v>25.501284539051611</v>
      </c>
      <c r="L55" s="133">
        <f t="shared" si="5"/>
        <v>32.873000437287153</v>
      </c>
      <c r="M55" s="133">
        <f t="shared" si="6"/>
        <v>44.863641569549131</v>
      </c>
      <c r="N55" s="81"/>
      <c r="O55" s="75">
        <v>54</v>
      </c>
      <c r="P55" s="151">
        <f t="shared" si="7"/>
        <v>2.8687555571994752</v>
      </c>
      <c r="Q55" s="151">
        <f t="shared" si="8"/>
        <v>3.3003592200823761</v>
      </c>
      <c r="R55" s="151">
        <f t="shared" si="9"/>
        <v>3.7480867844472154</v>
      </c>
      <c r="S55" s="151">
        <f t="shared" si="319"/>
        <v>4.3775854744184706</v>
      </c>
      <c r="T55" s="151">
        <f t="shared" si="320"/>
        <v>5.8082310924722407</v>
      </c>
      <c r="U55" s="134">
        <f t="shared" si="321"/>
        <v>8.3129914555139912</v>
      </c>
      <c r="V55" s="151">
        <f t="shared" si="322"/>
        <v>12.642501383698846</v>
      </c>
      <c r="W55" s="151">
        <f t="shared" si="10"/>
        <v>19.785397810924447</v>
      </c>
      <c r="X55" s="151">
        <f t="shared" si="11"/>
        <v>27.062394780382281</v>
      </c>
      <c r="Y55" s="151">
        <f t="shared" si="12"/>
        <v>36.819316577509326</v>
      </c>
      <c r="Z55" s="151">
        <f t="shared" si="13"/>
        <v>55.690732015101219</v>
      </c>
      <c r="AA55" s="81"/>
      <c r="AB55" s="75">
        <v>56</v>
      </c>
      <c r="AC55" s="151">
        <f t="shared" si="14"/>
        <v>1.8997503110351781</v>
      </c>
      <c r="AD55" s="151">
        <f t="shared" si="15"/>
        <v>2.2898474695731412</v>
      </c>
      <c r="AE55" s="151">
        <f t="shared" si="16"/>
        <v>2.7064508357124528</v>
      </c>
      <c r="AF55" s="151">
        <f t="shared" si="323"/>
        <v>3.3085030276257079</v>
      </c>
      <c r="AG55" s="151">
        <f t="shared" si="324"/>
        <v>4.7265073665559765</v>
      </c>
      <c r="AH55" s="134">
        <f t="shared" si="325"/>
        <v>7.2987608308694361</v>
      </c>
      <c r="AI55" s="151">
        <f t="shared" si="326"/>
        <v>11.814804656688459</v>
      </c>
      <c r="AJ55" s="151">
        <f t="shared" si="17"/>
        <v>19.123978466783434</v>
      </c>
      <c r="AK55" s="151">
        <f t="shared" si="18"/>
        <v>26.227816163379682</v>
      </c>
      <c r="AL55" s="151">
        <f t="shared" si="19"/>
        <v>35.171782440940568</v>
      </c>
      <c r="AM55" s="151">
        <f t="shared" si="20"/>
        <v>50.79041448134862</v>
      </c>
      <c r="AN55" s="81"/>
      <c r="AO55" s="81">
        <v>54</v>
      </c>
      <c r="AP55" s="133">
        <f t="shared" si="21"/>
        <v>1.6684314197928893</v>
      </c>
      <c r="AQ55" s="133">
        <f t="shared" si="22"/>
        <v>4.1828947504812062</v>
      </c>
      <c r="AR55" s="133">
        <f t="shared" si="23"/>
        <v>6.6155195502719559</v>
      </c>
      <c r="AS55" s="133">
        <f t="shared" si="327"/>
        <v>9.7335221992877123</v>
      </c>
      <c r="AT55" s="133">
        <f t="shared" si="328"/>
        <v>15.690752293048373</v>
      </c>
      <c r="AU55" s="134">
        <f t="shared" si="329"/>
        <v>23.459628993109302</v>
      </c>
      <c r="AV55" s="133">
        <f t="shared" si="330"/>
        <v>32.435717331064772</v>
      </c>
      <c r="AW55" s="133">
        <f t="shared" si="24"/>
        <v>41.529357411262083</v>
      </c>
      <c r="AX55" s="133">
        <f t="shared" si="25"/>
        <v>47.456844430298304</v>
      </c>
      <c r="AY55" s="133">
        <f t="shared" si="26"/>
        <v>52.889133202352824</v>
      </c>
      <c r="AZ55" s="133">
        <f t="shared" si="27"/>
        <v>59.547128245598294</v>
      </c>
      <c r="BA55" s="81"/>
      <c r="BB55" s="81">
        <v>54</v>
      </c>
      <c r="BC55" s="133">
        <f t="shared" si="28"/>
        <v>4.5478635620530392</v>
      </c>
      <c r="BD55" s="133">
        <f t="shared" si="29"/>
        <v>7.4416827513792922</v>
      </c>
      <c r="BE55" s="133">
        <f t="shared" si="30"/>
        <v>10.140471973244168</v>
      </c>
      <c r="BF55" s="133">
        <f t="shared" si="331"/>
        <v>13.485136136327704</v>
      </c>
      <c r="BG55" s="133">
        <f t="shared" si="332"/>
        <v>19.60074446821535</v>
      </c>
      <c r="BH55" s="134">
        <f t="shared" si="333"/>
        <v>27.175868539294267</v>
      </c>
      <c r="BI55" s="133">
        <f t="shared" si="334"/>
        <v>35.517848735929761</v>
      </c>
      <c r="BJ55" s="133">
        <f t="shared" si="31"/>
        <v>43.631161815276904</v>
      </c>
      <c r="BK55" s="133">
        <f t="shared" si="32"/>
        <v>48.772072106936676</v>
      </c>
      <c r="BL55" s="133">
        <f t="shared" si="33"/>
        <v>53.396035804722608</v>
      </c>
      <c r="BM55" s="133">
        <f t="shared" si="34"/>
        <v>58.962184058598602</v>
      </c>
      <c r="BN55" s="81"/>
      <c r="BO55" s="75">
        <v>56</v>
      </c>
      <c r="BP55" s="151">
        <f t="shared" si="35"/>
        <v>4.4950332099877892</v>
      </c>
      <c r="BQ55" s="151">
        <f t="shared" si="36"/>
        <v>5.7879088948806263</v>
      </c>
      <c r="BR55" s="151">
        <f t="shared" si="37"/>
        <v>7.1411459489031683</v>
      </c>
      <c r="BS55" s="151">
        <f t="shared" si="335"/>
        <v>9.0274272434590319</v>
      </c>
      <c r="BT55" s="151">
        <f t="shared" si="336"/>
        <v>13.118746787135064</v>
      </c>
      <c r="BU55" s="134">
        <f t="shared" si="337"/>
        <v>19.446062767414606</v>
      </c>
      <c r="BV55" s="151">
        <f t="shared" si="338"/>
        <v>28.207138164925865</v>
      </c>
      <c r="BW55" s="151">
        <f t="shared" si="38"/>
        <v>38.732928883759541</v>
      </c>
      <c r="BX55" s="151">
        <f t="shared" si="39"/>
        <v>46.520300412531277</v>
      </c>
      <c r="BY55" s="151">
        <f t="shared" si="40"/>
        <v>54.318262944751474</v>
      </c>
      <c r="BZ55" s="151">
        <f t="shared" si="41"/>
        <v>64.760149125801348</v>
      </c>
      <c r="CA55" s="81"/>
      <c r="CB55" s="81">
        <v>54</v>
      </c>
      <c r="CC55" s="133">
        <f t="shared" si="42"/>
        <v>-4.4439739936210172</v>
      </c>
      <c r="CD55" s="133">
        <f t="shared" si="43"/>
        <v>-1.963545299567496</v>
      </c>
      <c r="CE55" s="133">
        <f t="shared" si="44"/>
        <v>0.51687132198299235</v>
      </c>
      <c r="CF55" s="133">
        <f t="shared" si="339"/>
        <v>3.7058992022837769</v>
      </c>
      <c r="CG55" s="133">
        <f t="shared" si="340"/>
        <v>9.6892239239864502</v>
      </c>
      <c r="CH55" s="134">
        <f t="shared" si="341"/>
        <v>17.188651087328513</v>
      </c>
      <c r="CI55" s="133">
        <f t="shared" si="342"/>
        <v>25.44071775547285</v>
      </c>
      <c r="CJ55" s="133">
        <f t="shared" si="45"/>
        <v>33.412178684306717</v>
      </c>
      <c r="CK55" s="133">
        <f t="shared" si="46"/>
        <v>38.427050373193616</v>
      </c>
      <c r="CL55" s="133">
        <f t="shared" si="47"/>
        <v>42.911940284967841</v>
      </c>
      <c r="CM55" s="133">
        <f t="shared" si="48"/>
        <v>48.277830854336749</v>
      </c>
      <c r="CN55" s="81"/>
      <c r="CO55" s="81">
        <v>54</v>
      </c>
      <c r="CP55" s="133">
        <f t="shared" si="49"/>
        <v>1.3927943040250872</v>
      </c>
      <c r="CQ55" s="133">
        <f t="shared" si="50"/>
        <v>3.9925692663759387</v>
      </c>
      <c r="CR55" s="133">
        <f t="shared" si="51"/>
        <v>6.4087271086738644</v>
      </c>
      <c r="CS55" s="133">
        <f t="shared" si="343"/>
        <v>9.3824814658475688</v>
      </c>
      <c r="CT55" s="133">
        <f t="shared" si="344"/>
        <v>14.750045784830451</v>
      </c>
      <c r="CU55" s="134">
        <f t="shared" si="345"/>
        <v>21.272804592009411</v>
      </c>
      <c r="CV55" s="133">
        <f t="shared" si="346"/>
        <v>28.308554474596615</v>
      </c>
      <c r="CW55" s="133">
        <f t="shared" si="52"/>
        <v>35.02064998758545</v>
      </c>
      <c r="CX55" s="133">
        <f t="shared" si="53"/>
        <v>39.214059093071008</v>
      </c>
      <c r="CY55" s="133">
        <f t="shared" si="54"/>
        <v>42.949647696667213</v>
      </c>
      <c r="CZ55" s="133">
        <f t="shared" si="55"/>
        <v>47.404145507357406</v>
      </c>
      <c r="DA55" s="81"/>
      <c r="DB55" s="81">
        <v>56</v>
      </c>
      <c r="DC55" s="133">
        <f t="shared" si="56"/>
        <v>-4.803274039081332</v>
      </c>
      <c r="DD55" s="133">
        <f t="shared" si="57"/>
        <v>-2.9389053852332321</v>
      </c>
      <c r="DE55" s="133">
        <f t="shared" si="58"/>
        <v>-0.99781841497802937</v>
      </c>
      <c r="DF55" s="133">
        <f t="shared" si="347"/>
        <v>1.5925524232011101</v>
      </c>
      <c r="DG55" s="133">
        <f t="shared" si="348"/>
        <v>6.6827442098339835</v>
      </c>
      <c r="DH55" s="134">
        <f t="shared" si="349"/>
        <v>13.393427809701858</v>
      </c>
      <c r="DI55" s="133">
        <f t="shared" si="350"/>
        <v>21.109736533915058</v>
      </c>
      <c r="DJ55" s="133">
        <f t="shared" si="59"/>
        <v>28.83243085771851</v>
      </c>
      <c r="DK55" s="133">
        <f t="shared" si="60"/>
        <v>33.80722945456322</v>
      </c>
      <c r="DL55" s="133">
        <f t="shared" si="61"/>
        <v>38.324811998715809</v>
      </c>
      <c r="DM55" s="133">
        <f t="shared" si="62"/>
        <v>43.808362516912077</v>
      </c>
      <c r="DN55" s="81"/>
      <c r="DO55" s="81">
        <v>54</v>
      </c>
      <c r="DP55" s="133">
        <v>13.17158702707173</v>
      </c>
      <c r="DQ55" s="133">
        <v>14.34864081734751</v>
      </c>
      <c r="DR55" s="133">
        <v>15.444763248279212</v>
      </c>
      <c r="DS55" s="133">
        <v>16.812845412547446</v>
      </c>
      <c r="DT55" s="133">
        <v>19.370024078096058</v>
      </c>
      <c r="DU55" s="134">
        <v>22.681155177325127</v>
      </c>
      <c r="DV55" s="133">
        <v>26.558294305872028</v>
      </c>
      <c r="DW55" s="133">
        <v>30.597723797185399</v>
      </c>
      <c r="DX55" s="133">
        <v>33.30804052533589</v>
      </c>
      <c r="DY55" s="133">
        <v>35.852510821509348</v>
      </c>
      <c r="DZ55" s="133">
        <v>39.05640217238652</v>
      </c>
      <c r="EA55" s="81"/>
      <c r="EB55" s="81">
        <v>54</v>
      </c>
      <c r="EC55" s="133">
        <v>12.738137979926039</v>
      </c>
      <c r="ED55" s="133">
        <v>13.76361270247369</v>
      </c>
      <c r="EE55" s="133">
        <v>14.711367421434419</v>
      </c>
      <c r="EF55" s="133">
        <v>15.88534578445759</v>
      </c>
      <c r="EG55" s="133">
        <v>18.055925185078962</v>
      </c>
      <c r="EH55" s="134">
        <v>20.826520319976538</v>
      </c>
      <c r="EI55" s="133">
        <v>24.022249992309028</v>
      </c>
      <c r="EJ55" s="133">
        <v>27.304658930545642</v>
      </c>
      <c r="EK55" s="133">
        <v>29.483591580102328</v>
      </c>
      <c r="EL55" s="133">
        <v>31.513815305224352</v>
      </c>
      <c r="EM55" s="133">
        <v>34.050812553760224</v>
      </c>
      <c r="EN55" s="81"/>
      <c r="EO55" s="81">
        <v>56</v>
      </c>
      <c r="EP55" s="133">
        <v>13.543011818399595</v>
      </c>
      <c r="EQ55" s="133">
        <v>14.708394385350037</v>
      </c>
      <c r="ER55" s="133">
        <v>15.79058455339753</v>
      </c>
      <c r="ES55" s="133">
        <v>17.137467662439267</v>
      </c>
      <c r="ET55" s="133">
        <v>19.644805608246998</v>
      </c>
      <c r="EU55" s="134">
        <v>22.874108864863523</v>
      </c>
      <c r="EV55" s="133">
        <v>26.634259803618285</v>
      </c>
      <c r="EW55" s="133">
        <v>30.531048499563127</v>
      </c>
      <c r="EX55" s="133">
        <v>33.135243004607453</v>
      </c>
      <c r="EY55" s="133">
        <v>35.573213680126386</v>
      </c>
      <c r="EZ55" s="133">
        <v>38.634305528019439</v>
      </c>
      <c r="FA55" s="81"/>
      <c r="FB55" s="81">
        <v>54</v>
      </c>
      <c r="FC55" s="133">
        <v>8.881888003560892</v>
      </c>
      <c r="FD55" s="133">
        <v>9.671892180223427</v>
      </c>
      <c r="FE55" s="133">
        <v>10.407315838663317</v>
      </c>
      <c r="FF55" s="133">
        <v>11.324879637265537</v>
      </c>
      <c r="FG55" s="133">
        <v>13.039084893329589</v>
      </c>
      <c r="FH55" s="134">
        <v>15.257210512389538</v>
      </c>
      <c r="FI55" s="133">
        <v>17.852669456769512</v>
      </c>
      <c r="FJ55" s="133">
        <v>20.554962178439247</v>
      </c>
      <c r="FK55" s="133">
        <v>22.367195944470129</v>
      </c>
      <c r="FL55" s="133">
        <v>24.067935030887874</v>
      </c>
      <c r="FM55" s="133">
        <v>26.20867010775677</v>
      </c>
      <c r="FN55" s="81"/>
      <c r="FO55" s="81">
        <v>54</v>
      </c>
      <c r="FP55" s="133">
        <v>8.819214159440488</v>
      </c>
      <c r="FQ55" s="133">
        <v>9.515678507378313</v>
      </c>
      <c r="FR55" s="133">
        <v>10.158510430704553</v>
      </c>
      <c r="FS55" s="133">
        <v>10.953734892681176</v>
      </c>
      <c r="FT55" s="133">
        <v>12.421250396896342</v>
      </c>
      <c r="FU55" s="134">
        <v>14.289776000157014</v>
      </c>
      <c r="FV55" s="133">
        <v>16.439383444494897</v>
      </c>
      <c r="FW55" s="133">
        <v>18.641833140502577</v>
      </c>
      <c r="FX55" s="133">
        <v>20.101145687409709</v>
      </c>
      <c r="FY55" s="133">
        <v>21.459079137271356</v>
      </c>
      <c r="FZ55" s="133">
        <v>23.153729396182186</v>
      </c>
      <c r="GA55" s="81"/>
      <c r="GB55" s="81">
        <v>56</v>
      </c>
      <c r="GC55" s="133">
        <v>9.1163294515074043</v>
      </c>
      <c r="GD55" s="133">
        <v>9.911116148784533</v>
      </c>
      <c r="GE55" s="133">
        <v>10.649880142189149</v>
      </c>
      <c r="GF55" s="133">
        <v>11.570227524667551</v>
      </c>
      <c r="GG55" s="133">
        <v>13.285917817309876</v>
      </c>
      <c r="GH55" s="134">
        <v>15.49966688757749</v>
      </c>
      <c r="GI55" s="133">
        <v>18.082279066400975</v>
      </c>
      <c r="GJ55" s="133">
        <v>20.763608417697814</v>
      </c>
      <c r="GK55" s="133">
        <v>22.557969706547638</v>
      </c>
      <c r="GL55" s="133">
        <v>24.239416632740028</v>
      </c>
      <c r="GM55" s="133">
        <v>26.3526757017477</v>
      </c>
      <c r="GN55" s="81"/>
      <c r="GO55" s="81">
        <v>54</v>
      </c>
      <c r="GP55" s="133">
        <f t="shared" si="63"/>
        <v>0.49269034599350631</v>
      </c>
      <c r="GQ55" s="133">
        <f t="shared" si="64"/>
        <v>0.52567232994036661</v>
      </c>
      <c r="GR55" s="133">
        <f t="shared" si="65"/>
        <v>0.55237681543749628</v>
      </c>
      <c r="GS55" s="133">
        <f t="shared" si="351"/>
        <v>0.58155931959765372</v>
      </c>
      <c r="GT55" s="133">
        <f t="shared" si="352"/>
        <v>0.62834162408581085</v>
      </c>
      <c r="GU55" s="134">
        <f t="shared" si="353"/>
        <v>0.67396099488505823</v>
      </c>
      <c r="GV55" s="133">
        <f t="shared" si="354"/>
        <v>0.71651988880840989</v>
      </c>
      <c r="GW55" s="133">
        <f t="shared" si="66"/>
        <v>0.75454840815439828</v>
      </c>
      <c r="GX55" s="133">
        <f t="shared" si="67"/>
        <v>0.77578647401434142</v>
      </c>
      <c r="GY55" s="133">
        <f t="shared" si="68"/>
        <v>0.79372035608110469</v>
      </c>
      <c r="GZ55" s="133">
        <f t="shared" si="69"/>
        <v>0.81404677892096999</v>
      </c>
      <c r="HA55" s="81"/>
      <c r="HB55" s="81">
        <v>54</v>
      </c>
      <c r="HC55" s="133">
        <f t="shared" si="70"/>
        <v>0.48110245329410439</v>
      </c>
      <c r="HD55" s="133">
        <f t="shared" si="71"/>
        <v>0.51629587104148011</v>
      </c>
      <c r="HE55" s="133">
        <f t="shared" si="72"/>
        <v>0.54468017839973548</v>
      </c>
      <c r="HF55" s="133">
        <f t="shared" si="355"/>
        <v>0.57560559744913853</v>
      </c>
      <c r="HG55" s="133">
        <f t="shared" si="356"/>
        <v>0.62366551895677236</v>
      </c>
      <c r="HH55" s="134">
        <f t="shared" si="357"/>
        <v>0.67305263258839443</v>
      </c>
      <c r="HI55" s="133">
        <f t="shared" si="358"/>
        <v>0.7189296423238366</v>
      </c>
      <c r="HJ55" s="133">
        <f t="shared" si="73"/>
        <v>0.75764074761088163</v>
      </c>
      <c r="HK55" s="133">
        <f t="shared" si="74"/>
        <v>0.7798903556982697</v>
      </c>
      <c r="HL55" s="133">
        <f t="shared" si="75"/>
        <v>0.79866721666832785</v>
      </c>
      <c r="HM55" s="133">
        <f t="shared" si="76"/>
        <v>0.81993790320278159</v>
      </c>
      <c r="HN55" s="81"/>
      <c r="HO55" s="81">
        <v>56</v>
      </c>
      <c r="HP55" s="83">
        <f t="shared" si="77"/>
        <v>0.50448537579331576</v>
      </c>
      <c r="HQ55" s="83">
        <f t="shared" si="78"/>
        <v>0.53567353242071636</v>
      </c>
      <c r="HR55" s="83">
        <f t="shared" si="79"/>
        <v>0.56100723689491327</v>
      </c>
      <c r="HS55" s="83">
        <f t="shared" si="359"/>
        <v>0.5887616000320427</v>
      </c>
      <c r="HT55" s="83">
        <f t="shared" si="360"/>
        <v>0.63215345358913921</v>
      </c>
      <c r="HU55" s="84">
        <f t="shared" si="361"/>
        <v>0.67700654334396571</v>
      </c>
      <c r="HV55" s="83">
        <f t="shared" si="362"/>
        <v>0.71885845857363984</v>
      </c>
      <c r="HW55" s="83">
        <f t="shared" si="80"/>
        <v>0.75428494984651318</v>
      </c>
      <c r="HX55" s="83">
        <f t="shared" si="81"/>
        <v>0.77468551271251473</v>
      </c>
      <c r="HY55" s="83">
        <f t="shared" si="82"/>
        <v>0.79192129958095703</v>
      </c>
      <c r="HZ55" s="83">
        <f t="shared" si="83"/>
        <v>0.81146562405331024</v>
      </c>
      <c r="IA55" s="81"/>
      <c r="IB55" s="81">
        <v>54</v>
      </c>
      <c r="IC55" s="83">
        <f t="shared" si="84"/>
        <v>0.33120127848465541</v>
      </c>
      <c r="ID55" s="83">
        <f t="shared" si="85"/>
        <v>0.34510244454233641</v>
      </c>
      <c r="IE55" s="83">
        <f t="shared" si="86"/>
        <v>0.35598754884126788</v>
      </c>
      <c r="IF55" s="83">
        <f t="shared" si="363"/>
        <v>0.367546425317752</v>
      </c>
      <c r="IG55" s="83">
        <f t="shared" si="364"/>
        <v>0.38494793932595567</v>
      </c>
      <c r="IH55" s="84">
        <f t="shared" si="365"/>
        <v>0.40219415964860972</v>
      </c>
      <c r="II55" s="83">
        <f t="shared" si="366"/>
        <v>0.41770090774278246</v>
      </c>
      <c r="IJ55" s="83">
        <f t="shared" si="87"/>
        <v>0.43043758879792965</v>
      </c>
      <c r="IK55" s="83">
        <f t="shared" si="88"/>
        <v>0.43762450580166162</v>
      </c>
      <c r="IL55" s="83">
        <f t="shared" si="89"/>
        <v>0.44361775858921793</v>
      </c>
      <c r="IM55" s="83">
        <f t="shared" si="90"/>
        <v>0.45033061172968109</v>
      </c>
      <c r="IN55" s="81"/>
      <c r="IO55" s="81">
        <v>54</v>
      </c>
      <c r="IP55" s="133">
        <f t="shared" si="91"/>
        <v>0.32573388325057373</v>
      </c>
      <c r="IQ55" s="133">
        <f t="shared" si="92"/>
        <v>0.3408383916583102</v>
      </c>
      <c r="IR55" s="133">
        <f t="shared" si="93"/>
        <v>0.35257741690070571</v>
      </c>
      <c r="IS55" s="133">
        <f t="shared" si="367"/>
        <v>0.36497246491408269</v>
      </c>
      <c r="IT55" s="133">
        <f t="shared" si="368"/>
        <v>0.38351960455324174</v>
      </c>
      <c r="IU55" s="134">
        <f t="shared" si="369"/>
        <v>0.40179284337775439</v>
      </c>
      <c r="IV55" s="133">
        <f t="shared" si="370"/>
        <v>0.4181494622447583</v>
      </c>
      <c r="IW55" s="133">
        <f t="shared" si="94"/>
        <v>0.43154142198113227</v>
      </c>
      <c r="IX55" s="133">
        <f t="shared" si="95"/>
        <v>0.43908343870155553</v>
      </c>
      <c r="IY55" s="133">
        <f t="shared" si="96"/>
        <v>0.44536555297415847</v>
      </c>
      <c r="IZ55" s="133">
        <f t="shared" si="97"/>
        <v>0.45239472002024789</v>
      </c>
      <c r="JA55" s="81"/>
      <c r="JB55" s="81">
        <v>56</v>
      </c>
      <c r="JC55" s="133">
        <f t="shared" si="98"/>
        <v>0.33667903599292009</v>
      </c>
      <c r="JD55" s="133">
        <f t="shared" si="99"/>
        <v>0.34957904169767551</v>
      </c>
      <c r="JE55" s="133">
        <f t="shared" si="100"/>
        <v>0.35974426664120551</v>
      </c>
      <c r="JF55" s="133">
        <f t="shared" si="371"/>
        <v>0.3705915288076535</v>
      </c>
      <c r="JG55" s="133">
        <f t="shared" si="372"/>
        <v>0.38700883304673012</v>
      </c>
      <c r="JH55" s="134">
        <f t="shared" si="373"/>
        <v>0.40336532291088112</v>
      </c>
      <c r="JI55" s="133">
        <f t="shared" si="374"/>
        <v>0.41813170917693276</v>
      </c>
      <c r="JJ55" s="133">
        <f t="shared" si="101"/>
        <v>0.43029561472871541</v>
      </c>
      <c r="JK55" s="133">
        <f t="shared" si="102"/>
        <v>0.43717158984622784</v>
      </c>
      <c r="JL55" s="133">
        <f t="shared" si="103"/>
        <v>0.44291166759709394</v>
      </c>
      <c r="JM55" s="133">
        <f t="shared" si="104"/>
        <v>0.44934708012859831</v>
      </c>
      <c r="JN55" s="81"/>
      <c r="JO55" s="81">
        <v>53</v>
      </c>
      <c r="JP55" s="133">
        <f t="shared" si="105"/>
        <v>-1.9606442403596169</v>
      </c>
      <c r="JQ55" s="133">
        <f t="shared" si="106"/>
        <v>-0.50940905943408765</v>
      </c>
      <c r="JR55" s="133">
        <f t="shared" si="107"/>
        <v>0.75342329186297619</v>
      </c>
      <c r="JS55" s="133">
        <f t="shared" si="375"/>
        <v>2.22554398400192</v>
      </c>
      <c r="JT55" s="133">
        <f t="shared" si="376"/>
        <v>4.7179515559898313</v>
      </c>
      <c r="JU55" s="134">
        <f t="shared" si="377"/>
        <v>7.546875540994094</v>
      </c>
      <c r="JV55" s="133">
        <f t="shared" si="378"/>
        <v>10.426077433957623</v>
      </c>
      <c r="JW55" s="133">
        <f t="shared" si="108"/>
        <v>13.049551635063356</v>
      </c>
      <c r="JX55" s="133">
        <f t="shared" si="109"/>
        <v>14.639627689075493</v>
      </c>
      <c r="JY55" s="133">
        <f t="shared" si="110"/>
        <v>16.028986683868784</v>
      </c>
      <c r="JZ55" s="133">
        <f t="shared" si="111"/>
        <v>17.656018109722044</v>
      </c>
      <c r="KA55" s="81"/>
      <c r="KB55" s="81">
        <v>53</v>
      </c>
      <c r="KC55" s="133">
        <f t="shared" si="112"/>
        <v>-0.45536910399410147</v>
      </c>
      <c r="KD55" s="133">
        <f t="shared" si="113"/>
        <v>0.89511479136250394</v>
      </c>
      <c r="KE55" s="133">
        <f t="shared" si="114"/>
        <v>2.0939229918806816</v>
      </c>
      <c r="KF55" s="133">
        <f t="shared" si="379"/>
        <v>3.5173988975637087</v>
      </c>
      <c r="KG55" s="133">
        <f t="shared" si="380"/>
        <v>5.9865820382773531</v>
      </c>
      <c r="KH55" s="134">
        <f t="shared" si="381"/>
        <v>8.8715416280666783</v>
      </c>
      <c r="KI55" s="133">
        <f t="shared" si="382"/>
        <v>11.889400626715199</v>
      </c>
      <c r="KJ55" s="133">
        <f t="shared" si="115"/>
        <v>14.704832439161786</v>
      </c>
      <c r="KK55" s="133">
        <f t="shared" si="116"/>
        <v>16.43967497654446</v>
      </c>
      <c r="KL55" s="133">
        <f t="shared" si="117"/>
        <v>17.972219205152449</v>
      </c>
      <c r="KM55" s="133">
        <f t="shared" si="118"/>
        <v>19.785960015774442</v>
      </c>
      <c r="KN55" s="81"/>
      <c r="KO55" s="81">
        <v>55</v>
      </c>
      <c r="KP55" s="133">
        <f t="shared" si="119"/>
        <v>-1.7623567532110265</v>
      </c>
      <c r="KQ55" s="133">
        <f t="shared" si="120"/>
        <v>-0.41378703067815792</v>
      </c>
      <c r="KR55" s="133">
        <f t="shared" si="121"/>
        <v>0.7418153962551024</v>
      </c>
      <c r="KS55" s="133">
        <f t="shared" si="383"/>
        <v>2.0696042490982016</v>
      </c>
      <c r="KT55" s="133">
        <f t="shared" si="384"/>
        <v>4.2745545089904162</v>
      </c>
      <c r="KU55" s="134">
        <f t="shared" si="385"/>
        <v>6.718671370008817</v>
      </c>
      <c r="KV55" s="133">
        <f t="shared" si="386"/>
        <v>9.1499079557994527</v>
      </c>
      <c r="KW55" s="133">
        <f t="shared" si="122"/>
        <v>11.321185650609213</v>
      </c>
      <c r="KX55" s="133">
        <f t="shared" si="123"/>
        <v>12.618549752103863</v>
      </c>
      <c r="KY55" s="133">
        <f t="shared" si="124"/>
        <v>13.741386340134472</v>
      </c>
      <c r="KZ55" s="133">
        <f t="shared" si="125"/>
        <v>15.044200847857486</v>
      </c>
      <c r="LA55" s="81"/>
      <c r="LB55" s="81">
        <v>53</v>
      </c>
      <c r="LC55" s="133">
        <f t="shared" si="126"/>
        <v>-3.8745727539816599</v>
      </c>
      <c r="LD55" s="133">
        <f t="shared" si="127"/>
        <v>-0.16595276718230423</v>
      </c>
      <c r="LE55" s="133">
        <f t="shared" si="128"/>
        <v>3.0882253021708053</v>
      </c>
      <c r="LF55" s="133">
        <f t="shared" si="387"/>
        <v>6.9100993519548126</v>
      </c>
      <c r="LG55" s="133">
        <f t="shared" si="388"/>
        <v>13.442221256020517</v>
      </c>
      <c r="LH55" s="134">
        <f t="shared" si="389"/>
        <v>20.937003849983313</v>
      </c>
      <c r="LI55" s="133">
        <f t="shared" si="390"/>
        <v>28.640091070656815</v>
      </c>
      <c r="LJ55" s="133">
        <f t="shared" si="129"/>
        <v>35.716070955573223</v>
      </c>
      <c r="LK55" s="133">
        <f t="shared" si="130"/>
        <v>40.02846921009543</v>
      </c>
      <c r="LL55" s="133">
        <f t="shared" si="131"/>
        <v>43.809988841313348</v>
      </c>
      <c r="LM55" s="133">
        <f t="shared" si="132"/>
        <v>48.253406365789679</v>
      </c>
      <c r="LN55" s="81"/>
      <c r="LO55" s="81">
        <v>53</v>
      </c>
      <c r="LP55" s="133">
        <f t="shared" si="133"/>
        <v>0.52298777762407411</v>
      </c>
      <c r="LQ55" s="133">
        <f t="shared" si="134"/>
        <v>4.2381902533270157</v>
      </c>
      <c r="LR55" s="133">
        <f t="shared" si="135"/>
        <v>7.5072765136508757</v>
      </c>
      <c r="LS55" s="133">
        <f t="shared" si="391"/>
        <v>11.356650181306197</v>
      </c>
      <c r="LT55" s="133">
        <f t="shared" si="392"/>
        <v>17.958410956656859</v>
      </c>
      <c r="LU55" s="134">
        <f t="shared" si="393"/>
        <v>25.564435625770646</v>
      </c>
      <c r="LV55" s="133">
        <f t="shared" si="394"/>
        <v>33.412640169604828</v>
      </c>
      <c r="LW55" s="133">
        <f t="shared" si="136"/>
        <v>40.646456764243197</v>
      </c>
      <c r="LX55" s="133">
        <f t="shared" si="137"/>
        <v>45.065592143411223</v>
      </c>
      <c r="LY55" s="133">
        <f t="shared" si="138"/>
        <v>48.946867809467406</v>
      </c>
      <c r="LZ55" s="133">
        <f t="shared" si="139"/>
        <v>53.514496428742135</v>
      </c>
      <c r="MA55" s="81"/>
      <c r="MB55" s="81">
        <v>55</v>
      </c>
      <c r="MC55" s="133">
        <f t="shared" si="140"/>
        <v>-2.8842260316563824</v>
      </c>
      <c r="MD55" s="133">
        <f t="shared" si="141"/>
        <v>0.28347092462515633</v>
      </c>
      <c r="ME55" s="133">
        <f t="shared" si="142"/>
        <v>3.0354762533420825</v>
      </c>
      <c r="MF55" s="133">
        <f t="shared" si="395"/>
        <v>6.2381831513188928</v>
      </c>
      <c r="MG55" s="133">
        <f t="shared" si="396"/>
        <v>11.647200634885415</v>
      </c>
      <c r="MH55" s="134">
        <f t="shared" si="397"/>
        <v>17.766186996604759</v>
      </c>
      <c r="MI55" s="133">
        <f t="shared" si="398"/>
        <v>23.972202646274887</v>
      </c>
      <c r="MJ55" s="133">
        <f t="shared" si="143"/>
        <v>29.608552264955584</v>
      </c>
      <c r="MK55" s="133">
        <f t="shared" si="144"/>
        <v>33.016433328473418</v>
      </c>
      <c r="ML55" s="133">
        <f t="shared" si="145"/>
        <v>35.989155791408841</v>
      </c>
      <c r="MM55" s="133">
        <f t="shared" si="146"/>
        <v>39.464646658584066</v>
      </c>
      <c r="MN55" s="81"/>
      <c r="MO55" s="81">
        <v>53</v>
      </c>
      <c r="MP55" s="133">
        <f t="shared" si="147"/>
        <v>-10.201521153247512</v>
      </c>
      <c r="MQ55" s="133">
        <f t="shared" si="148"/>
        <v>-6.0111243716606211</v>
      </c>
      <c r="MR55" s="133">
        <f t="shared" si="149"/>
        <v>-2.3924659012410743</v>
      </c>
      <c r="MS55" s="133">
        <f t="shared" si="399"/>
        <v>1.794651856008656</v>
      </c>
      <c r="MT55" s="133">
        <f t="shared" si="400"/>
        <v>8.8111862624474284</v>
      </c>
      <c r="MU55" s="134">
        <f t="shared" si="401"/>
        <v>16.672422241771542</v>
      </c>
      <c r="MV55" s="133">
        <f t="shared" si="402"/>
        <v>24.570804511195526</v>
      </c>
      <c r="MW55" s="133">
        <f t="shared" si="150"/>
        <v>31.685045659922999</v>
      </c>
      <c r="MX55" s="133">
        <f t="shared" si="151"/>
        <v>35.9612305670749</v>
      </c>
      <c r="MY55" s="133">
        <f t="shared" si="152"/>
        <v>39.676705516603569</v>
      </c>
      <c r="MZ55" s="133">
        <f t="shared" si="153"/>
        <v>44.003994449350294</v>
      </c>
      <c r="NA55" s="81"/>
      <c r="NB55" s="81">
        <v>53</v>
      </c>
      <c r="NC55" s="133">
        <f t="shared" si="154"/>
        <v>-1.9868017844896251</v>
      </c>
      <c r="ND55" s="133">
        <f t="shared" si="155"/>
        <v>1.7346823421215198</v>
      </c>
      <c r="NE55" s="133">
        <f t="shared" si="156"/>
        <v>4.9519671427446603</v>
      </c>
      <c r="NF55" s="133">
        <f t="shared" si="403"/>
        <v>8.6784724355857001</v>
      </c>
      <c r="NG55" s="133">
        <f t="shared" si="404"/>
        <v>14.93152625699209</v>
      </c>
      <c r="NH55" s="134">
        <f t="shared" si="405"/>
        <v>21.948585260650251</v>
      </c>
      <c r="NI55" s="133">
        <f t="shared" si="406"/>
        <v>29.00942511732045</v>
      </c>
      <c r="NJ55" s="133">
        <f t="shared" si="157"/>
        <v>35.377470572132168</v>
      </c>
      <c r="NK55" s="133">
        <f t="shared" si="158"/>
        <v>39.208579069664808</v>
      </c>
      <c r="NL55" s="133">
        <f t="shared" si="159"/>
        <v>42.53931369091012</v>
      </c>
      <c r="NM55" s="133">
        <f t="shared" si="160"/>
        <v>46.420719732806774</v>
      </c>
      <c r="NN55" s="81"/>
      <c r="NO55" s="81">
        <v>55</v>
      </c>
      <c r="NP55" s="133">
        <f t="shared" si="161"/>
        <v>-11.5570465084018</v>
      </c>
      <c r="NQ55" s="133">
        <f t="shared" si="162"/>
        <v>-7.8025354843271799</v>
      </c>
      <c r="NR55" s="133">
        <f t="shared" si="163"/>
        <v>-4.5715052032430421</v>
      </c>
      <c r="NS55" s="133">
        <f t="shared" si="407"/>
        <v>-0.84433822159901695</v>
      </c>
      <c r="NT55" s="133">
        <f t="shared" si="408"/>
        <v>5.377430662121391</v>
      </c>
      <c r="NU55" s="134">
        <f t="shared" si="409"/>
        <v>12.31753492895151</v>
      </c>
      <c r="NV55" s="133">
        <f t="shared" si="410"/>
        <v>19.262541847835259</v>
      </c>
      <c r="NW55" s="133">
        <f t="shared" si="164"/>
        <v>25.497208278265212</v>
      </c>
      <c r="NX55" s="133">
        <f t="shared" si="165"/>
        <v>29.236134753213683</v>
      </c>
      <c r="NY55" s="133">
        <f t="shared" si="166"/>
        <v>32.479950073965618</v>
      </c>
      <c r="NZ55" s="133">
        <f t="shared" si="167"/>
        <v>36.252542117334407</v>
      </c>
      <c r="OA55" s="81"/>
      <c r="OB55" s="81">
        <v>53</v>
      </c>
      <c r="OC55" s="133">
        <v>14.068066266650277</v>
      </c>
      <c r="OD55" s="133">
        <v>15.435114866481181</v>
      </c>
      <c r="OE55" s="133">
        <v>16.716637848088535</v>
      </c>
      <c r="OF55" s="133">
        <v>18.326756079923445</v>
      </c>
      <c r="OG55" s="133">
        <v>21.365202940791125</v>
      </c>
      <c r="OH55" s="134">
        <v>25.349106094582165</v>
      </c>
      <c r="OI55" s="133">
        <v>30.075875318158285</v>
      </c>
      <c r="OJ55" s="133">
        <v>35.062243257458533</v>
      </c>
      <c r="OK55" s="133">
        <v>38.439379116408759</v>
      </c>
      <c r="OL55" s="133">
        <v>41.63086477508503</v>
      </c>
      <c r="OM55" s="133">
        <v>45.676297482168856</v>
      </c>
      <c r="ON55" s="81"/>
      <c r="OO55" s="81">
        <v>53</v>
      </c>
      <c r="OP55" s="133">
        <v>13.290049368871586</v>
      </c>
      <c r="OQ55" s="133">
        <v>14.367655860946112</v>
      </c>
      <c r="OR55" s="133">
        <v>15.36408711055066</v>
      </c>
      <c r="OS55" s="133">
        <v>16.598974628523866</v>
      </c>
      <c r="OT55" s="133">
        <v>25.173857581086221</v>
      </c>
      <c r="OU55" s="134">
        <v>21.802972073369958</v>
      </c>
      <c r="OV55" s="133">
        <v>25.173403118296129</v>
      </c>
      <c r="OW55" s="133">
        <v>28.63849134483705</v>
      </c>
      <c r="OX55" s="133">
        <v>30.940308253375477</v>
      </c>
      <c r="OY55" s="133">
        <v>33.086092528447253</v>
      </c>
      <c r="OZ55" s="133">
        <v>35.768835618141324</v>
      </c>
      <c r="PA55" s="81"/>
      <c r="PB55" s="81">
        <v>55</v>
      </c>
      <c r="PC55" s="133">
        <v>16.98522365055965</v>
      </c>
      <c r="PD55" s="133">
        <v>18.309778104520653</v>
      </c>
      <c r="PE55" s="133">
        <v>19.531293116618773</v>
      </c>
      <c r="PF55" s="133">
        <v>21.041101945730791</v>
      </c>
      <c r="PG55" s="133">
        <v>23.82391451100716</v>
      </c>
      <c r="PH55" s="134">
        <v>27.361463593025224</v>
      </c>
      <c r="PI55" s="133">
        <v>31.424293837461196</v>
      </c>
      <c r="PJ55" s="133">
        <v>35.580346118913447</v>
      </c>
      <c r="PK55" s="133">
        <v>38.330779507652473</v>
      </c>
      <c r="PL55" s="133">
        <v>40.887971753606578</v>
      </c>
      <c r="PM55" s="133">
        <v>44.076528243287349</v>
      </c>
      <c r="PN55" s="81"/>
      <c r="PO55" s="81">
        <v>53</v>
      </c>
      <c r="PP55" s="133">
        <v>9.2964985498460511</v>
      </c>
      <c r="PQ55" s="133">
        <v>10.104583488756131</v>
      </c>
      <c r="PR55" s="133">
        <v>10.855542153192001</v>
      </c>
      <c r="PS55" s="133">
        <v>11.79087471928851</v>
      </c>
      <c r="PT55" s="133">
        <v>13.533945136439639</v>
      </c>
      <c r="PU55" s="134">
        <v>15.782082604799847</v>
      </c>
      <c r="PV55" s="133">
        <v>18.403660487295991</v>
      </c>
      <c r="PW55" s="133">
        <v>21.124313273999036</v>
      </c>
      <c r="PX55" s="133">
        <v>22.944421184112606</v>
      </c>
      <c r="PY55" s="133">
        <v>24.649618821189716</v>
      </c>
      <c r="PZ55" s="133">
        <v>26.792251944023654</v>
      </c>
      <c r="QA55" s="81"/>
      <c r="QB55" s="81">
        <v>53</v>
      </c>
      <c r="QC55" s="133">
        <v>9.1486781248397566</v>
      </c>
      <c r="QD55" s="133">
        <v>9.9387111479967913</v>
      </c>
      <c r="QE55" s="133">
        <v>10.672537475122455</v>
      </c>
      <c r="QF55" s="133">
        <v>11.586087846891195</v>
      </c>
      <c r="QG55" s="133">
        <v>13.287376255852175</v>
      </c>
      <c r="QH55" s="134">
        <v>15.479612329364844</v>
      </c>
      <c r="QI55" s="133">
        <v>18.033537491036927</v>
      </c>
      <c r="QJ55" s="133">
        <v>20.681562321462906</v>
      </c>
      <c r="QK55" s="133">
        <v>22.451867555018808</v>
      </c>
      <c r="QL55" s="133">
        <v>24.10960478670523</v>
      </c>
      <c r="QM55" s="133">
        <v>26.19158687164121</v>
      </c>
      <c r="QN55" s="81"/>
      <c r="QO55" s="81">
        <v>55</v>
      </c>
      <c r="QP55" s="133">
        <v>9.4463444788528097</v>
      </c>
      <c r="QQ55" s="133">
        <v>10.271071945626291</v>
      </c>
      <c r="QR55" s="133">
        <v>11.03774725759787</v>
      </c>
      <c r="QS55" s="133">
        <v>11.992967230913829</v>
      </c>
      <c r="QT55" s="133">
        <v>13.773936851816782</v>
      </c>
      <c r="QU55" s="134">
        <v>16.072374364992214</v>
      </c>
      <c r="QV55" s="133">
        <v>18.754348920540203</v>
      </c>
      <c r="QW55" s="133">
        <v>21.539391607991206</v>
      </c>
      <c r="QX55" s="133">
        <v>23.403436561807727</v>
      </c>
      <c r="QY55" s="133">
        <v>25.150365910781037</v>
      </c>
      <c r="QZ55" s="133">
        <v>27.346156844772423</v>
      </c>
      <c r="RA55" s="81"/>
      <c r="RB55" s="81">
        <v>53</v>
      </c>
      <c r="RC55" s="133">
        <f t="shared" si="168"/>
        <v>0.34446718408147314</v>
      </c>
      <c r="RD55" s="133">
        <f t="shared" si="169"/>
        <v>0.37535860289587358</v>
      </c>
      <c r="RE55" s="133">
        <f t="shared" si="170"/>
        <v>0.40450555581008563</v>
      </c>
      <c r="RF55" s="133">
        <f t="shared" si="411"/>
        <v>0.44140770667719603</v>
      </c>
      <c r="RG55" s="133">
        <f t="shared" si="412"/>
        <v>0.5119723962521856</v>
      </c>
      <c r="RH55" s="134">
        <f t="shared" si="413"/>
        <v>0.6064720917003863</v>
      </c>
      <c r="RI55" s="133">
        <f t="shared" si="414"/>
        <v>0.72168153099875576</v>
      </c>
      <c r="RJ55" s="133">
        <f t="shared" si="171"/>
        <v>0.84699461045261293</v>
      </c>
      <c r="RK55" s="133">
        <f t="shared" si="172"/>
        <v>0.93411640627675951</v>
      </c>
      <c r="RL55" s="133">
        <f t="shared" si="173"/>
        <v>1.0181398940570532</v>
      </c>
      <c r="RM55" s="133">
        <f t="shared" si="174"/>
        <v>1.1270255663345468</v>
      </c>
      <c r="RN55" s="81"/>
      <c r="RO55" s="81">
        <v>53</v>
      </c>
      <c r="RP55" s="133">
        <f t="shared" si="175"/>
        <v>0.38010223090623813</v>
      </c>
      <c r="RQ55" s="133">
        <f t="shared" si="176"/>
        <v>0.41348177432074851</v>
      </c>
      <c r="RR55" s="133">
        <f t="shared" si="177"/>
        <v>0.44507629754480049</v>
      </c>
      <c r="RS55" s="133">
        <f t="shared" si="415"/>
        <v>0.48522444353996957</v>
      </c>
      <c r="RT55" s="133">
        <f t="shared" si="416"/>
        <v>0.56247842961028294</v>
      </c>
      <c r="RU55" s="134">
        <f t="shared" si="417"/>
        <v>0.6669736849968193</v>
      </c>
      <c r="RV55" s="133">
        <f t="shared" si="418"/>
        <v>0.79602388530933588</v>
      </c>
      <c r="RW55" s="133">
        <f t="shared" si="178"/>
        <v>0.93847715512500707</v>
      </c>
      <c r="RX55" s="133">
        <f t="shared" si="179"/>
        <v>1.0387929720910605</v>
      </c>
      <c r="RY55" s="133">
        <f t="shared" si="180"/>
        <v>1.1365262539683134</v>
      </c>
      <c r="RZ55" s="133">
        <f t="shared" si="181"/>
        <v>1.2646028638243894</v>
      </c>
      <c r="SA55" s="81"/>
      <c r="SB55" s="81">
        <v>55</v>
      </c>
      <c r="SC55" s="133">
        <f t="shared" si="182"/>
        <v>0.34405599411457</v>
      </c>
      <c r="SD55" s="133">
        <f t="shared" si="183"/>
        <v>0.37269837048607163</v>
      </c>
      <c r="SE55" s="133">
        <f t="shared" si="184"/>
        <v>0.39925895454591942</v>
      </c>
      <c r="SF55" s="133">
        <f t="shared" si="419"/>
        <v>0.43227235473311765</v>
      </c>
      <c r="SG55" s="133">
        <f t="shared" si="420"/>
        <v>0.49362102801773794</v>
      </c>
      <c r="SH55" s="134">
        <f t="shared" si="421"/>
        <v>0.5724687988406949</v>
      </c>
      <c r="SI55" s="133">
        <f t="shared" si="422"/>
        <v>0.6641011223153398</v>
      </c>
      <c r="SJ55" s="133">
        <f t="shared" si="185"/>
        <v>0.75891529365536647</v>
      </c>
      <c r="SK55" s="133">
        <f t="shared" si="186"/>
        <v>0.82221528123165988</v>
      </c>
      <c r="SL55" s="133">
        <f t="shared" si="187"/>
        <v>0.88143839718099837</v>
      </c>
      <c r="SM55" s="133">
        <f t="shared" si="188"/>
        <v>0.95575787027464232</v>
      </c>
      <c r="SN55" s="81"/>
      <c r="SO55" s="81">
        <v>53</v>
      </c>
      <c r="SP55" s="133">
        <f t="shared" si="189"/>
        <v>0.25688197673763785</v>
      </c>
      <c r="SQ55" s="133">
        <f t="shared" si="190"/>
        <v>0.27356260186202991</v>
      </c>
      <c r="SR55" s="133">
        <f t="shared" si="191"/>
        <v>0.2885447198748603</v>
      </c>
      <c r="SS55" s="133">
        <f t="shared" si="423"/>
        <v>0.30656953184636315</v>
      </c>
      <c r="ST55" s="133">
        <f t="shared" si="424"/>
        <v>0.33849330350687618</v>
      </c>
      <c r="SU55" s="134">
        <f t="shared" si="425"/>
        <v>0.3769325901512609</v>
      </c>
      <c r="SV55" s="133">
        <f t="shared" si="426"/>
        <v>0.41854260673169197</v>
      </c>
      <c r="SW55" s="133">
        <f t="shared" si="192"/>
        <v>0.45871146775776733</v>
      </c>
      <c r="SX55" s="133">
        <f t="shared" si="193"/>
        <v>0.48413104578183663</v>
      </c>
      <c r="SY55" s="133">
        <f t="shared" si="194"/>
        <v>0.50701814978518667</v>
      </c>
      <c r="SZ55" s="133">
        <f t="shared" si="195"/>
        <v>0.53463488953760285</v>
      </c>
      <c r="TA55" s="81"/>
      <c r="TB55" s="81">
        <v>53</v>
      </c>
      <c r="TC55" s="133">
        <f t="shared" si="196"/>
        <v>0.27621271813537662</v>
      </c>
      <c r="TD55" s="133">
        <f t="shared" si="197"/>
        <v>0.29320241549527631</v>
      </c>
      <c r="TE55" s="133">
        <f t="shared" si="198"/>
        <v>0.30849640655289179</v>
      </c>
      <c r="TF55" s="133">
        <f t="shared" si="427"/>
        <v>0.32694129630323787</v>
      </c>
      <c r="TG55" s="133">
        <f t="shared" si="428"/>
        <v>0.359734167633875</v>
      </c>
      <c r="TH55" s="134">
        <f t="shared" si="429"/>
        <v>0.39943962795683463</v>
      </c>
      <c r="TI55" s="133">
        <f t="shared" si="430"/>
        <v>0.44269750473100888</v>
      </c>
      <c r="TJ55" s="133">
        <f t="shared" si="199"/>
        <v>0.48473357066794148</v>
      </c>
      <c r="TK55" s="133">
        <f t="shared" si="200"/>
        <v>0.51147524053719173</v>
      </c>
      <c r="TL55" s="133">
        <f t="shared" si="201"/>
        <v>0.53564561511437148</v>
      </c>
      <c r="TM55" s="133">
        <f t="shared" si="202"/>
        <v>0.56492745793593169</v>
      </c>
      <c r="TN55" s="81"/>
      <c r="TO55" s="81">
        <v>55</v>
      </c>
      <c r="TP55" s="133">
        <f t="shared" si="203"/>
        <v>0.25675003896445786</v>
      </c>
      <c r="TQ55" s="133">
        <f t="shared" si="204"/>
        <v>0.27218672617491219</v>
      </c>
      <c r="TR55" s="133">
        <f t="shared" si="205"/>
        <v>0.28587029812931536</v>
      </c>
      <c r="TS55" s="133">
        <f t="shared" si="431"/>
        <v>0.30211713849847172</v>
      </c>
      <c r="TT55" s="133">
        <f t="shared" si="432"/>
        <v>0.3303505268966892</v>
      </c>
      <c r="TU55" s="134">
        <f t="shared" si="433"/>
        <v>0.36350246798908331</v>
      </c>
      <c r="TV55" s="133">
        <f t="shared" si="434"/>
        <v>0.39844964478561046</v>
      </c>
      <c r="TW55" s="133">
        <f t="shared" si="206"/>
        <v>0.43134896285334706</v>
      </c>
      <c r="TX55" s="133">
        <f t="shared" si="207"/>
        <v>0.45177763728680043</v>
      </c>
      <c r="TY55" s="133">
        <f t="shared" si="208"/>
        <v>0.46992855635496361</v>
      </c>
      <c r="TZ55" s="133">
        <f t="shared" si="209"/>
        <v>0.49154043063903469</v>
      </c>
      <c r="UA55" s="81"/>
      <c r="UB55" s="81">
        <v>53</v>
      </c>
      <c r="UC55" s="133">
        <f t="shared" si="210"/>
        <v>-15.518187485437423</v>
      </c>
      <c r="UD55" s="133">
        <f t="shared" si="211"/>
        <v>-12.281542963797939</v>
      </c>
      <c r="UE55" s="133">
        <f t="shared" si="212"/>
        <v>-9.5645663913979462</v>
      </c>
      <c r="UF55" s="133">
        <f t="shared" si="435"/>
        <v>-6.5010393101493804</v>
      </c>
      <c r="UG55" s="133">
        <f t="shared" si="436"/>
        <v>-1.5368626623449444</v>
      </c>
      <c r="UH55" s="134">
        <f t="shared" si="437"/>
        <v>3.8078563225847688</v>
      </c>
      <c r="UI55" s="133">
        <f t="shared" si="438"/>
        <v>8.9810238534845723</v>
      </c>
      <c r="UJ55" s="133">
        <f t="shared" si="213"/>
        <v>13.494348028318029</v>
      </c>
      <c r="UK55" s="133">
        <f t="shared" si="214"/>
        <v>16.147469560543286</v>
      </c>
      <c r="UL55" s="133">
        <f t="shared" si="215"/>
        <v>18.419106557209133</v>
      </c>
      <c r="UM55" s="133">
        <f t="shared" si="216"/>
        <v>21.027775159096137</v>
      </c>
      <c r="UN55" s="81"/>
      <c r="UO55" s="81">
        <v>53</v>
      </c>
      <c r="UP55" s="133">
        <f t="shared" si="217"/>
        <v>-11.430743945228116</v>
      </c>
      <c r="UQ55" s="133">
        <f t="shared" si="218"/>
        <v>-8.6881042151283161</v>
      </c>
      <c r="UR55" s="133">
        <f t="shared" si="219"/>
        <v>-6.3340631455092975</v>
      </c>
      <c r="US55" s="133">
        <f t="shared" si="439"/>
        <v>-3.6249499907839038</v>
      </c>
      <c r="UT55" s="133">
        <f t="shared" si="440"/>
        <v>0.88378672876736175</v>
      </c>
      <c r="UU55" s="134">
        <f t="shared" si="441"/>
        <v>5.8955105770166512</v>
      </c>
      <c r="UV55" s="133">
        <f t="shared" si="442"/>
        <v>10.894640635530521</v>
      </c>
      <c r="UW55" s="133">
        <f t="shared" si="220"/>
        <v>15.370301378915201</v>
      </c>
      <c r="UX55" s="133">
        <f t="shared" si="221"/>
        <v>18.049330446581692</v>
      </c>
      <c r="UY55" s="133">
        <f t="shared" si="222"/>
        <v>20.370749180482193</v>
      </c>
      <c r="UZ55" s="133">
        <f t="shared" si="223"/>
        <v>23.067418873815598</v>
      </c>
      <c r="VA55" s="81"/>
      <c r="VB55" s="81">
        <v>56</v>
      </c>
      <c r="VC55" s="133">
        <f t="shared" si="224"/>
        <v>-15.565917364645024</v>
      </c>
      <c r="VD55" s="133">
        <f t="shared" si="225"/>
        <v>-12.388618695331509</v>
      </c>
      <c r="VE55" s="133">
        <f t="shared" si="226"/>
        <v>-9.7530170456248513</v>
      </c>
      <c r="VF55" s="133">
        <f t="shared" si="443"/>
        <v>-6.8125347633444946</v>
      </c>
      <c r="VG55" s="133">
        <f t="shared" si="444"/>
        <v>-2.1110043532825884</v>
      </c>
      <c r="VH55" s="134">
        <f t="shared" si="445"/>
        <v>2.8734491356410246</v>
      </c>
      <c r="VI55" s="133">
        <f t="shared" si="446"/>
        <v>7.6305434465480744</v>
      </c>
      <c r="VJ55" s="133">
        <f t="shared" si="227"/>
        <v>11.732461980083428</v>
      </c>
      <c r="VK55" s="133">
        <f t="shared" si="228"/>
        <v>14.124400543437289</v>
      </c>
      <c r="VL55" s="133">
        <f t="shared" si="229"/>
        <v>16.161699070226163</v>
      </c>
      <c r="VM55" s="133">
        <f t="shared" si="230"/>
        <v>18.48962014977846</v>
      </c>
      <c r="VN55" s="81"/>
      <c r="VO55" s="81">
        <v>53</v>
      </c>
      <c r="VP55" s="133">
        <f t="shared" si="231"/>
        <v>-27.685743431259272</v>
      </c>
      <c r="VQ55" s="133">
        <f t="shared" si="232"/>
        <v>-22.999640400646392</v>
      </c>
      <c r="VR55" s="133">
        <f t="shared" si="233"/>
        <v>-18.726074032843343</v>
      </c>
      <c r="VS55" s="133">
        <f t="shared" si="447"/>
        <v>-13.526229611181527</v>
      </c>
      <c r="VT55" s="133">
        <f t="shared" si="448"/>
        <v>-4.2189429481255161</v>
      </c>
      <c r="VU55" s="134">
        <f t="shared" si="449"/>
        <v>7.0594820052135603</v>
      </c>
      <c r="VV55" s="133">
        <f t="shared" si="450"/>
        <v>19.260665395339579</v>
      </c>
      <c r="VW55" s="133">
        <f t="shared" si="234"/>
        <v>30.96985998704826</v>
      </c>
      <c r="VX55" s="133">
        <f t="shared" si="235"/>
        <v>38.326911441633875</v>
      </c>
      <c r="VY55" s="133">
        <f t="shared" si="236"/>
        <v>44.909775821180695</v>
      </c>
      <c r="VZ55" s="133">
        <f t="shared" si="237"/>
        <v>52.79640571508137</v>
      </c>
      <c r="WA55" s="81"/>
      <c r="WB55" s="81">
        <v>53</v>
      </c>
      <c r="WC55" s="133">
        <f t="shared" si="238"/>
        <v>-22.448347071332222</v>
      </c>
      <c r="WD55" s="133">
        <f t="shared" si="239"/>
        <v>-17.822409643838469</v>
      </c>
      <c r="WE55" s="133">
        <f t="shared" si="240"/>
        <v>-13.599072312522225</v>
      </c>
      <c r="WF55" s="133">
        <f t="shared" si="451"/>
        <v>-8.4553715985787434</v>
      </c>
      <c r="WG55" s="133">
        <f t="shared" si="452"/>
        <v>0.76254871055429874</v>
      </c>
      <c r="WH55" s="134">
        <f t="shared" si="453"/>
        <v>11.94783598633262</v>
      </c>
      <c r="WI55" s="133">
        <f t="shared" si="454"/>
        <v>24.062874717370356</v>
      </c>
      <c r="WJ55" s="133">
        <f t="shared" si="241"/>
        <v>35.70086916309203</v>
      </c>
      <c r="WK55" s="133">
        <f t="shared" si="242"/>
        <v>43.018047741008594</v>
      </c>
      <c r="WL55" s="133">
        <f t="shared" si="243"/>
        <v>49.56805450834316</v>
      </c>
      <c r="WM55" s="133">
        <f t="shared" si="244"/>
        <v>57.418515457643316</v>
      </c>
      <c r="WN55" s="81"/>
      <c r="WO55" s="81">
        <v>56</v>
      </c>
      <c r="WP55" s="133">
        <f t="shared" si="245"/>
        <v>-28.556724543722737</v>
      </c>
      <c r="WQ55" s="133">
        <f t="shared" si="246"/>
        <v>-23.889494128258068</v>
      </c>
      <c r="WR55" s="133">
        <f t="shared" si="247"/>
        <v>-19.676971008153942</v>
      </c>
      <c r="WS55" s="133">
        <f t="shared" si="455"/>
        <v>-14.602761359393469</v>
      </c>
      <c r="WT55" s="133">
        <f t="shared" si="456"/>
        <v>-5.6457130361967742</v>
      </c>
      <c r="WU55" s="134">
        <f t="shared" si="457"/>
        <v>5.0218299789562479</v>
      </c>
      <c r="WV55" s="133">
        <f t="shared" si="458"/>
        <v>16.366944917539122</v>
      </c>
      <c r="WW55" s="133">
        <f t="shared" si="248"/>
        <v>27.091180265830253</v>
      </c>
      <c r="WX55" s="133">
        <f t="shared" si="249"/>
        <v>33.756959487337276</v>
      </c>
      <c r="WY55" s="133">
        <f t="shared" si="250"/>
        <v>39.678066229238006</v>
      </c>
      <c r="WZ55" s="133">
        <f t="shared" si="251"/>
        <v>46.721832680076638</v>
      </c>
      <c r="XA55" s="81"/>
      <c r="XB55" s="81">
        <v>53</v>
      </c>
      <c r="XC55" s="133">
        <f t="shared" si="252"/>
        <v>-33.153130094148416</v>
      </c>
      <c r="XD55" s="133">
        <f t="shared" si="253"/>
        <v>-28.077851351461373</v>
      </c>
      <c r="XE55" s="133">
        <f t="shared" si="254"/>
        <v>-23.528546718651413</v>
      </c>
      <c r="XF55" s="133">
        <f t="shared" si="459"/>
        <v>-18.08982531776573</v>
      </c>
      <c r="XG55" s="133">
        <f t="shared" si="460"/>
        <v>-8.5967978942686401</v>
      </c>
      <c r="XH55" s="134">
        <f t="shared" si="461"/>
        <v>2.5420790404155866</v>
      </c>
      <c r="XI55" s="133">
        <f t="shared" si="462"/>
        <v>14.209332927155707</v>
      </c>
      <c r="XJ55" s="133">
        <f t="shared" si="255"/>
        <v>25.086749033569539</v>
      </c>
      <c r="XK55" s="133">
        <f t="shared" si="256"/>
        <v>31.780493317599714</v>
      </c>
      <c r="XL55" s="133">
        <f t="shared" si="257"/>
        <v>37.686323904936835</v>
      </c>
      <c r="XM55" s="133">
        <f t="shared" si="258"/>
        <v>44.665609176744645</v>
      </c>
      <c r="XN55" s="81"/>
      <c r="XO55" s="81">
        <v>53</v>
      </c>
      <c r="XP55" s="133">
        <f t="shared" si="259"/>
        <v>-24.003520956227646</v>
      </c>
      <c r="XQ55" s="133">
        <f t="shared" si="260"/>
        <v>-19.268110110336664</v>
      </c>
      <c r="XR55" s="133">
        <f t="shared" si="261"/>
        <v>-15.071859284551891</v>
      </c>
      <c r="XS55" s="133">
        <f t="shared" si="463"/>
        <v>-10.102394436136386</v>
      </c>
      <c r="XT55" s="133">
        <f t="shared" si="464"/>
        <v>-1.5239390517749456</v>
      </c>
      <c r="XU55" s="134">
        <f t="shared" si="465"/>
        <v>8.4246642576569357</v>
      </c>
      <c r="XV55" s="133">
        <f t="shared" si="466"/>
        <v>18.7431341869625</v>
      </c>
      <c r="XW55" s="133">
        <f t="shared" si="262"/>
        <v>28.289355115948261</v>
      </c>
      <c r="XX55" s="133">
        <f t="shared" si="263"/>
        <v>34.134396545481117</v>
      </c>
      <c r="XY55" s="133">
        <f t="shared" si="264"/>
        <v>39.274994713033998</v>
      </c>
      <c r="XZ55" s="133">
        <f t="shared" si="265"/>
        <v>45.331921443090657</v>
      </c>
      <c r="YA55" s="81"/>
      <c r="YB55" s="81">
        <v>56</v>
      </c>
      <c r="YC55" s="133">
        <f t="shared" si="266"/>
        <v>-35.124599545344729</v>
      </c>
      <c r="YD55" s="133">
        <f t="shared" si="267"/>
        <v>-30.122890701785845</v>
      </c>
      <c r="YE55" s="133">
        <f t="shared" si="268"/>
        <v>-25.666205854038338</v>
      </c>
      <c r="YF55" s="133">
        <f t="shared" si="467"/>
        <v>-20.368499062115092</v>
      </c>
      <c r="YG55" s="133">
        <f t="shared" si="468"/>
        <v>-11.192018451037356</v>
      </c>
      <c r="YH55" s="134">
        <f t="shared" si="469"/>
        <v>-0.52334287222976883</v>
      </c>
      <c r="YI55" s="133">
        <f t="shared" si="470"/>
        <v>10.554140369552137</v>
      </c>
      <c r="YJ55" s="133">
        <f t="shared" si="269"/>
        <v>20.804484579497192</v>
      </c>
      <c r="YK55" s="133">
        <f t="shared" si="270"/>
        <v>27.079356975309203</v>
      </c>
      <c r="YL55" s="133">
        <f t="shared" si="271"/>
        <v>32.596450573646102</v>
      </c>
      <c r="YM55" s="133">
        <f t="shared" si="272"/>
        <v>39.094640303980647</v>
      </c>
      <c r="YN55" s="81"/>
      <c r="YO55" s="81">
        <v>53</v>
      </c>
      <c r="YP55" s="133">
        <v>17.600232088336803</v>
      </c>
      <c r="YQ55" s="133">
        <v>19.595130735030388</v>
      </c>
      <c r="YR55" s="133">
        <v>21.490785176080252</v>
      </c>
      <c r="YS55" s="133">
        <v>23.905058274924794</v>
      </c>
      <c r="YT55" s="133">
        <v>28.551055965997197</v>
      </c>
      <c r="YU55" s="134">
        <v>34.801118785420201</v>
      </c>
      <c r="YV55" s="133">
        <v>42.419372164703951</v>
      </c>
      <c r="YW55" s="133">
        <v>50.663665187017251</v>
      </c>
      <c r="YX55" s="133">
        <v>56.355217307971053</v>
      </c>
      <c r="YY55" s="133">
        <v>61.807082845933785</v>
      </c>
      <c r="YZ55" s="133">
        <v>68.812607847341994</v>
      </c>
      <c r="ZA55" s="81"/>
      <c r="ZB55" s="81">
        <v>53</v>
      </c>
      <c r="ZC55" s="133">
        <v>14.817482062370614</v>
      </c>
      <c r="ZD55" s="133">
        <v>16.616670904192297</v>
      </c>
      <c r="ZE55" s="133">
        <v>18.337856343634108</v>
      </c>
      <c r="ZF55" s="133">
        <v>20.544686368386419</v>
      </c>
      <c r="ZG55" s="133">
        <v>24.832796484250167</v>
      </c>
      <c r="ZH55" s="134">
        <v>30.675069847180488</v>
      </c>
      <c r="ZI55" s="133">
        <v>37.891822241050917</v>
      </c>
      <c r="ZJ55" s="133">
        <v>45.800646126062283</v>
      </c>
      <c r="ZK55" s="133">
        <v>51.312426736075473</v>
      </c>
      <c r="ZL55" s="133">
        <v>56.627462597938482</v>
      </c>
      <c r="ZM55" s="133">
        <v>63.503360838815794</v>
      </c>
      <c r="ZN55" s="81"/>
      <c r="ZO55" s="81">
        <v>56</v>
      </c>
      <c r="ZP55" s="133">
        <v>20.329399251129072</v>
      </c>
      <c r="ZQ55" s="133">
        <v>22.348297936916691</v>
      </c>
      <c r="ZR55" s="133">
        <v>24.244307886667304</v>
      </c>
      <c r="ZS55" s="133">
        <v>26.630774667145946</v>
      </c>
      <c r="ZT55" s="133">
        <v>31.145984260942537</v>
      </c>
      <c r="ZU55" s="134">
        <v>37.086392334945231</v>
      </c>
      <c r="ZV55" s="133">
        <v>44.159801947445729</v>
      </c>
      <c r="ZW55" s="133">
        <v>51.647032938861464</v>
      </c>
      <c r="ZX55" s="133">
        <v>56.730862470933204</v>
      </c>
      <c r="ZY55" s="133">
        <v>61.543858968762414</v>
      </c>
      <c r="ZZ55" s="133">
        <v>67.655737360025356</v>
      </c>
      <c r="AAA55" s="81"/>
      <c r="AAB55" s="81">
        <v>53</v>
      </c>
      <c r="AAC55" s="133">
        <v>9.9633132322280407</v>
      </c>
      <c r="AAD55" s="133">
        <v>11.040941331204232</v>
      </c>
      <c r="AAE55" s="133">
        <v>12.060532995790098</v>
      </c>
      <c r="AAF55" s="133">
        <v>13.353454384515448</v>
      </c>
      <c r="AAG55" s="133">
        <v>15.826041371590248</v>
      </c>
      <c r="AAH55" s="134">
        <v>19.12517091436878</v>
      </c>
      <c r="AAI55" s="133">
        <v>23.112043872223474</v>
      </c>
      <c r="AAJ55" s="133">
        <v>27.391576139876125</v>
      </c>
      <c r="AAK55" s="133">
        <v>30.328026351032381</v>
      </c>
      <c r="AAL55" s="133">
        <v>33.128711722257016</v>
      </c>
      <c r="AAM55" s="133">
        <v>36.711900346630188</v>
      </c>
      <c r="AAN55" s="81"/>
      <c r="AAO55" s="81">
        <v>53</v>
      </c>
      <c r="AAP55" s="133">
        <v>9.2628633511042722</v>
      </c>
      <c r="AAQ55" s="133">
        <v>10.364170912986937</v>
      </c>
      <c r="AAR55" s="133">
        <v>11.415527990619649</v>
      </c>
      <c r="AAS55" s="133">
        <v>12.760711778532675</v>
      </c>
      <c r="AAT55" s="133">
        <v>15.366659077434694</v>
      </c>
      <c r="AAU55" s="134">
        <v>18.903055730589173</v>
      </c>
      <c r="AAV55" s="133">
        <v>23.253298856514501</v>
      </c>
      <c r="AAW55" s="133">
        <v>28.002005072702019</v>
      </c>
      <c r="AAX55" s="133">
        <v>31.301707310198985</v>
      </c>
      <c r="AAY55" s="133">
        <v>34.476999554880912</v>
      </c>
      <c r="AAZ55" s="133">
        <v>38.576140272128903</v>
      </c>
      <c r="ABA55" s="81"/>
      <c r="ABB55" s="81">
        <v>56</v>
      </c>
      <c r="ABC55" s="133">
        <v>10.378342914957054</v>
      </c>
      <c r="ABD55" s="133">
        <v>11.431829731405184</v>
      </c>
      <c r="ABE55" s="133">
        <v>12.423027899007728</v>
      </c>
      <c r="ABF55" s="133">
        <v>13.672942686024417</v>
      </c>
      <c r="ABG55" s="133">
        <v>16.04411472249739</v>
      </c>
      <c r="ABH55" s="134">
        <v>19.174687225081396</v>
      </c>
      <c r="ABI55" s="133">
        <v>22.916105783271849</v>
      </c>
      <c r="ABJ55" s="133">
        <v>26.89023413778412</v>
      </c>
      <c r="ABK55" s="133">
        <v>29.595734080985736</v>
      </c>
      <c r="ABL55" s="133">
        <v>32.161835753173534</v>
      </c>
      <c r="ABM55" s="133">
        <v>35.426525524592471</v>
      </c>
      <c r="ABN55" s="81"/>
      <c r="ABO55" s="81">
        <v>53</v>
      </c>
      <c r="ABP55" s="133">
        <f t="shared" si="273"/>
        <v>0.27016703292871991</v>
      </c>
      <c r="ABQ55" s="133">
        <f t="shared" si="274"/>
        <v>0.30479083726726064</v>
      </c>
      <c r="ABR55" s="133">
        <f t="shared" si="275"/>
        <v>0.33706447529274713</v>
      </c>
      <c r="ABS55" s="133">
        <f t="shared" si="471"/>
        <v>0.3772875413467997</v>
      </c>
      <c r="ABT55" s="133">
        <f t="shared" si="472"/>
        <v>0.45201925660983572</v>
      </c>
      <c r="ABU55" s="134">
        <f t="shared" si="473"/>
        <v>0.54743331923578775</v>
      </c>
      <c r="ABV55" s="133">
        <f t="shared" si="474"/>
        <v>0.6567511829824153</v>
      </c>
      <c r="ABW55" s="133">
        <f t="shared" si="276"/>
        <v>0.76765581112093373</v>
      </c>
      <c r="ABX55" s="133">
        <f t="shared" si="277"/>
        <v>0.84034310235485576</v>
      </c>
      <c r="ABY55" s="133">
        <f t="shared" si="278"/>
        <v>0.90734374334313317</v>
      </c>
      <c r="ABZ55" s="133">
        <f t="shared" si="279"/>
        <v>0.99004929386613816</v>
      </c>
      <c r="ACA55" s="81"/>
      <c r="ACB55" s="81">
        <v>53</v>
      </c>
      <c r="ACC55" s="133">
        <f t="shared" si="280"/>
        <v>0.32154381386138559</v>
      </c>
      <c r="ACD55" s="133">
        <f t="shared" si="281"/>
        <v>0.35555056729908058</v>
      </c>
      <c r="ACE55" s="133">
        <f t="shared" si="282"/>
        <v>0.38722519326668087</v>
      </c>
      <c r="ACF55" s="133">
        <f t="shared" si="475"/>
        <v>0.42672469238774463</v>
      </c>
      <c r="ACG55" s="133">
        <f t="shared" si="476"/>
        <v>0.50033118997869774</v>
      </c>
      <c r="ACH55" s="134">
        <f t="shared" si="477"/>
        <v>0.59497999903236609</v>
      </c>
      <c r="ACI55" s="133">
        <f t="shared" si="478"/>
        <v>0.70461636778345937</v>
      </c>
      <c r="ACJ55" s="133">
        <f t="shared" si="283"/>
        <v>0.81732224636675743</v>
      </c>
      <c r="ACK55" s="133">
        <f t="shared" si="284"/>
        <v>0.89204363170072221</v>
      </c>
      <c r="ACL55" s="133">
        <f t="shared" si="285"/>
        <v>0.96153220880379942</v>
      </c>
      <c r="ACM55" s="133">
        <f t="shared" si="286"/>
        <v>1.0481280320342279</v>
      </c>
      <c r="ACN55" s="81"/>
      <c r="ACO55" s="81">
        <v>56</v>
      </c>
      <c r="ACP55" s="133">
        <f t="shared" si="287"/>
        <v>0.25456126590111877</v>
      </c>
      <c r="ACQ55" s="133">
        <f t="shared" si="288"/>
        <v>0.29042237747981053</v>
      </c>
      <c r="ACR55" s="133">
        <f t="shared" si="289"/>
        <v>0.32321853835806652</v>
      </c>
      <c r="ACS55" s="133">
        <f t="shared" si="479"/>
        <v>0.36328122748618813</v>
      </c>
      <c r="ACT55" s="133">
        <f t="shared" si="480"/>
        <v>0.43556363211534804</v>
      </c>
      <c r="ACU55" s="134">
        <f t="shared" si="481"/>
        <v>0.52397853967457664</v>
      </c>
      <c r="ACV55" s="133">
        <f t="shared" si="482"/>
        <v>0.62084311717170049</v>
      </c>
      <c r="ACW55" s="133">
        <f t="shared" si="290"/>
        <v>0.71513107417779209</v>
      </c>
      <c r="ACX55" s="133">
        <f t="shared" si="291"/>
        <v>0.77490406155171521</v>
      </c>
      <c r="ACY55" s="133">
        <f t="shared" si="292"/>
        <v>0.82875522648611555</v>
      </c>
      <c r="ACZ55" s="133">
        <f t="shared" si="293"/>
        <v>0.89371876026389385</v>
      </c>
      <c r="ADA55" s="81"/>
      <c r="ADB55" s="81">
        <v>53</v>
      </c>
      <c r="ADC55" s="133">
        <f t="shared" si="294"/>
        <v>0.21464977487398879</v>
      </c>
      <c r="ADD55" s="133">
        <f t="shared" si="295"/>
        <v>0.23533139174053361</v>
      </c>
      <c r="ADE55" s="133">
        <f t="shared" si="296"/>
        <v>0.25345345640019873</v>
      </c>
      <c r="ADF55" s="133">
        <f t="shared" si="483"/>
        <v>0.27471430303960298</v>
      </c>
      <c r="ADG55" s="133">
        <f t="shared" si="484"/>
        <v>0.31101258067561177</v>
      </c>
      <c r="ADH55" s="134">
        <f t="shared" si="485"/>
        <v>0.35262303255070671</v>
      </c>
      <c r="ADI55" s="133">
        <f t="shared" si="486"/>
        <v>0.39537031888567886</v>
      </c>
      <c r="ADJ55" s="133">
        <f t="shared" si="297"/>
        <v>0.43463296870113693</v>
      </c>
      <c r="ADK55" s="133">
        <f t="shared" si="298"/>
        <v>0.45856270369728486</v>
      </c>
      <c r="ADL55" s="133">
        <f t="shared" si="299"/>
        <v>0.47954876254337386</v>
      </c>
      <c r="ADM55" s="133">
        <f t="shared" si="300"/>
        <v>0.50421173996466651</v>
      </c>
      <c r="ADN55" s="81"/>
      <c r="ADO55" s="81">
        <v>53</v>
      </c>
      <c r="ADP55" s="133">
        <f t="shared" si="301"/>
        <v>0.24499390110706296</v>
      </c>
      <c r="ADQ55" s="133">
        <f t="shared" si="302"/>
        <v>0.26355704354303311</v>
      </c>
      <c r="ADR55" s="133">
        <f t="shared" si="303"/>
        <v>0.27994442210793907</v>
      </c>
      <c r="ADS55" s="133">
        <f t="shared" si="487"/>
        <v>0.2993155341719913</v>
      </c>
      <c r="ADT55" s="133">
        <f t="shared" si="488"/>
        <v>0.33274906941093213</v>
      </c>
      <c r="ADU55" s="134">
        <f t="shared" si="489"/>
        <v>0.37162934977160889</v>
      </c>
      <c r="ADV55" s="133">
        <f t="shared" si="490"/>
        <v>0.41217397476144679</v>
      </c>
      <c r="ADW55" s="133">
        <f t="shared" si="304"/>
        <v>0.44993634349154171</v>
      </c>
      <c r="ADX55" s="133">
        <f t="shared" si="305"/>
        <v>0.47319099351301619</v>
      </c>
      <c r="ADY55" s="133">
        <f t="shared" si="306"/>
        <v>0.4937310841576063</v>
      </c>
      <c r="ADZ55" s="133">
        <f t="shared" si="307"/>
        <v>0.51804140630973106</v>
      </c>
      <c r="AEA55" s="81"/>
      <c r="AEB55" s="81">
        <v>56</v>
      </c>
      <c r="AEC55" s="133">
        <f t="shared" si="308"/>
        <v>0.20524212272599518</v>
      </c>
      <c r="AED55" s="133">
        <f t="shared" si="309"/>
        <v>0.22711349340625478</v>
      </c>
      <c r="AEE55" s="133">
        <f t="shared" si="310"/>
        <v>0.2458564990805317</v>
      </c>
      <c r="AEF55" s="133">
        <f t="shared" si="491"/>
        <v>0.26739549668236023</v>
      </c>
      <c r="AEG55" s="133">
        <f t="shared" si="492"/>
        <v>0.30317501469732094</v>
      </c>
      <c r="AEH55" s="134">
        <f t="shared" si="493"/>
        <v>0.34285684739412153</v>
      </c>
      <c r="AEI55" s="133">
        <f t="shared" si="494"/>
        <v>0.38235538606665059</v>
      </c>
      <c r="AEJ55" s="133">
        <f t="shared" si="311"/>
        <v>0.41765398985161795</v>
      </c>
      <c r="AEK55" s="133">
        <f t="shared" si="312"/>
        <v>0.43875621394893949</v>
      </c>
      <c r="AEL55" s="133">
        <f t="shared" si="313"/>
        <v>0.4570263283114413</v>
      </c>
      <c r="AEM55" s="133">
        <f t="shared" si="314"/>
        <v>0.47823271517440813</v>
      </c>
      <c r="AEN55" s="81"/>
    </row>
    <row r="56" spans="1:820">
      <c r="A56" s="81"/>
      <c r="B56" s="81">
        <v>55</v>
      </c>
      <c r="C56" s="133">
        <f t="shared" si="0"/>
        <v>2.1771516172689824</v>
      </c>
      <c r="D56" s="133">
        <f t="shared" si="1"/>
        <v>2.6240376559828555</v>
      </c>
      <c r="E56" s="133">
        <f t="shared" si="2"/>
        <v>3.0974488149319117</v>
      </c>
      <c r="F56" s="133">
        <f t="shared" si="315"/>
        <v>3.7746666996597029</v>
      </c>
      <c r="G56" s="133">
        <f t="shared" si="316"/>
        <v>5.3391731549219257</v>
      </c>
      <c r="H56" s="134">
        <f t="shared" si="317"/>
        <v>8.0814689917677072</v>
      </c>
      <c r="I56" s="133">
        <f t="shared" si="318"/>
        <v>12.658383024422561</v>
      </c>
      <c r="J56" s="133">
        <f t="shared" si="3"/>
        <v>19.591784800152059</v>
      </c>
      <c r="K56" s="133">
        <f t="shared" si="4"/>
        <v>25.915301309634781</v>
      </c>
      <c r="L56" s="133">
        <f t="shared" si="5"/>
        <v>33.437793836266415</v>
      </c>
      <c r="M56" s="133">
        <f t="shared" si="6"/>
        <v>45.689264731943361</v>
      </c>
      <c r="N56" s="81"/>
      <c r="O56" s="75">
        <v>55</v>
      </c>
      <c r="P56" s="151">
        <f t="shared" si="7"/>
        <v>2.888967966289028</v>
      </c>
      <c r="Q56" s="151">
        <f t="shared" si="8"/>
        <v>3.3264549484224291</v>
      </c>
      <c r="R56" s="151">
        <f t="shared" si="9"/>
        <v>3.7808183666457822</v>
      </c>
      <c r="S56" s="151">
        <f t="shared" si="319"/>
        <v>4.4204917326934936</v>
      </c>
      <c r="T56" s="151">
        <f t="shared" si="320"/>
        <v>5.8775384459982947</v>
      </c>
      <c r="U56" s="134">
        <f t="shared" si="321"/>
        <v>8.4378510985068438</v>
      </c>
      <c r="V56" s="151">
        <f t="shared" si="322"/>
        <v>12.886059056865747</v>
      </c>
      <c r="W56" s="151">
        <f t="shared" si="10"/>
        <v>20.274155799004454</v>
      </c>
      <c r="X56" s="151">
        <f t="shared" si="11"/>
        <v>27.851616998868504</v>
      </c>
      <c r="Y56" s="151">
        <f t="shared" si="12"/>
        <v>38.077206742592985</v>
      </c>
      <c r="Z56" s="151">
        <f t="shared" si="13"/>
        <v>58.030244506472549</v>
      </c>
      <c r="AA56" s="81"/>
      <c r="AB56" s="75">
        <v>57</v>
      </c>
      <c r="AC56" s="151">
        <f t="shared" si="14"/>
        <v>1.9220962971269198</v>
      </c>
      <c r="AD56" s="151">
        <f t="shared" si="15"/>
        <v>2.3160673815506438</v>
      </c>
      <c r="AE56" s="151">
        <f t="shared" si="16"/>
        <v>2.7366547026557972</v>
      </c>
      <c r="AF56" s="151">
        <f t="shared" si="323"/>
        <v>3.344222260498392</v>
      </c>
      <c r="AG56" s="151">
        <f t="shared" si="324"/>
        <v>4.774286232058679</v>
      </c>
      <c r="AH56" s="134">
        <f t="shared" si="325"/>
        <v>7.3658657696174696</v>
      </c>
      <c r="AI56" s="151">
        <f t="shared" si="326"/>
        <v>11.910165831489268</v>
      </c>
      <c r="AJ56" s="151">
        <f t="shared" si="17"/>
        <v>19.254444153336383</v>
      </c>
      <c r="AK56" s="151">
        <f t="shared" si="18"/>
        <v>26.383274494156755</v>
      </c>
      <c r="AL56" s="151">
        <f t="shared" si="19"/>
        <v>35.348977468928517</v>
      </c>
      <c r="AM56" s="151">
        <f t="shared" si="20"/>
        <v>50.985440001716555</v>
      </c>
      <c r="AN56" s="81"/>
      <c r="AO56" s="81">
        <v>55</v>
      </c>
      <c r="AP56" s="133">
        <f t="shared" si="21"/>
        <v>1.7142287702049694</v>
      </c>
      <c r="AQ56" s="133">
        <f t="shared" si="22"/>
        <v>4.2610819441203782</v>
      </c>
      <c r="AR56" s="133">
        <f t="shared" si="23"/>
        <v>6.7268710834873149</v>
      </c>
      <c r="AS56" s="133">
        <f t="shared" si="327"/>
        <v>9.8892891225202639</v>
      </c>
      <c r="AT56" s="133">
        <f t="shared" si="328"/>
        <v>15.935566504956142</v>
      </c>
      <c r="AU56" s="134">
        <f t="shared" si="329"/>
        <v>23.826106074123736</v>
      </c>
      <c r="AV56" s="133">
        <f t="shared" si="330"/>
        <v>32.947894475584739</v>
      </c>
      <c r="AW56" s="133">
        <f t="shared" si="24"/>
        <v>42.193019598145433</v>
      </c>
      <c r="AX56" s="133">
        <f t="shared" si="25"/>
        <v>48.220835749945223</v>
      </c>
      <c r="AY56" s="133">
        <f t="shared" si="26"/>
        <v>53.745970179391193</v>
      </c>
      <c r="AZ56" s="133">
        <f t="shared" si="27"/>
        <v>60.518763467690555</v>
      </c>
      <c r="BA56" s="81"/>
      <c r="BB56" s="81">
        <v>55</v>
      </c>
      <c r="BC56" s="133">
        <f t="shared" si="28"/>
        <v>4.5892175943217373</v>
      </c>
      <c r="BD56" s="133">
        <f t="shared" si="29"/>
        <v>7.5247382258963773</v>
      </c>
      <c r="BE56" s="133">
        <f t="shared" si="30"/>
        <v>10.264437498836557</v>
      </c>
      <c r="BF56" s="133">
        <f t="shared" si="331"/>
        <v>13.661801760002835</v>
      </c>
      <c r="BG56" s="133">
        <f t="shared" si="332"/>
        <v>19.877898043223105</v>
      </c>
      <c r="BH56" s="134">
        <f t="shared" si="333"/>
        <v>27.582610744141196</v>
      </c>
      <c r="BI56" s="133">
        <f t="shared" si="334"/>
        <v>36.071759582189266</v>
      </c>
      <c r="BJ56" s="133">
        <f t="shared" si="31"/>
        <v>44.331407562899948</v>
      </c>
      <c r="BK56" s="133">
        <f t="shared" si="32"/>
        <v>49.566306450954016</v>
      </c>
      <c r="BL56" s="133">
        <f t="shared" si="33"/>
        <v>54.275505340157764</v>
      </c>
      <c r="BM56" s="133">
        <f t="shared" si="34"/>
        <v>59.945018427740401</v>
      </c>
      <c r="BN56" s="81"/>
      <c r="BO56" s="75">
        <v>57</v>
      </c>
      <c r="BP56" s="151">
        <f t="shared" si="35"/>
        <v>4.5856086283887514</v>
      </c>
      <c r="BQ56" s="151">
        <f t="shared" si="36"/>
        <v>5.9030593758043617</v>
      </c>
      <c r="BR56" s="151">
        <f t="shared" si="37"/>
        <v>7.2817563175472744</v>
      </c>
      <c r="BS56" s="151">
        <f t="shared" si="335"/>
        <v>9.2031829467457751</v>
      </c>
      <c r="BT56" s="151">
        <f t="shared" si="336"/>
        <v>13.369735831811425</v>
      </c>
      <c r="BU56" s="134">
        <f t="shared" si="337"/>
        <v>19.811588529102721</v>
      </c>
      <c r="BV56" s="151">
        <f t="shared" si="338"/>
        <v>28.728905341943289</v>
      </c>
      <c r="BW56" s="151">
        <f t="shared" si="38"/>
        <v>39.440011602310662</v>
      </c>
      <c r="BX56" s="151">
        <f t="shared" si="39"/>
        <v>47.36326888456464</v>
      </c>
      <c r="BY56" s="151">
        <f t="shared" si="40"/>
        <v>55.296489534298011</v>
      </c>
      <c r="BZ56" s="151">
        <f t="shared" si="41"/>
        <v>65.918447520892215</v>
      </c>
      <c r="CA56" s="81"/>
      <c r="CB56" s="81">
        <v>55</v>
      </c>
      <c r="CC56" s="133">
        <f t="shared" si="42"/>
        <v>-4.2920325162713668</v>
      </c>
      <c r="CD56" s="133">
        <f t="shared" si="43"/>
        <v>-1.7717625730273134</v>
      </c>
      <c r="CE56" s="133">
        <f t="shared" si="44"/>
        <v>0.73909308670240925</v>
      </c>
      <c r="CF56" s="133">
        <f t="shared" si="339"/>
        <v>3.9609425694233833</v>
      </c>
      <c r="CG56" s="133">
        <f t="shared" si="340"/>
        <v>9.9961671835414627</v>
      </c>
      <c r="CH56" s="134">
        <f t="shared" si="341"/>
        <v>17.551473342631226</v>
      </c>
      <c r="CI56" s="133">
        <f t="shared" si="342"/>
        <v>25.858683939237107</v>
      </c>
      <c r="CJ56" s="133">
        <f t="shared" si="45"/>
        <v>33.87956550209649</v>
      </c>
      <c r="CK56" s="133">
        <f t="shared" si="46"/>
        <v>38.9241645689143</v>
      </c>
      <c r="CL56" s="133">
        <f t="shared" si="47"/>
        <v>43.434939880179016</v>
      </c>
      <c r="CM56" s="133">
        <f t="shared" si="48"/>
        <v>48.831073482164278</v>
      </c>
      <c r="CN56" s="81"/>
      <c r="CO56" s="81">
        <v>55</v>
      </c>
      <c r="CP56" s="133">
        <f t="shared" si="49"/>
        <v>1.5604810507485949</v>
      </c>
      <c r="CQ56" s="133">
        <f t="shared" si="50"/>
        <v>4.1853527518230367</v>
      </c>
      <c r="CR56" s="133">
        <f t="shared" si="51"/>
        <v>6.6229310632217446</v>
      </c>
      <c r="CS56" s="133">
        <f t="shared" si="343"/>
        <v>9.6213777471082942</v>
      </c>
      <c r="CT56" s="133">
        <f t="shared" si="344"/>
        <v>15.030431811543373</v>
      </c>
      <c r="CU56" s="134">
        <f t="shared" si="345"/>
        <v>21.60020016878288</v>
      </c>
      <c r="CV56" s="133">
        <f t="shared" si="346"/>
        <v>28.683982031957388</v>
      </c>
      <c r="CW56" s="133">
        <f t="shared" si="52"/>
        <v>35.440132644537947</v>
      </c>
      <c r="CX56" s="133">
        <f t="shared" si="53"/>
        <v>39.660404427161808</v>
      </c>
      <c r="CY56" s="133">
        <f t="shared" si="54"/>
        <v>43.419572007336733</v>
      </c>
      <c r="CZ56" s="133">
        <f t="shared" si="55"/>
        <v>47.901814101992578</v>
      </c>
      <c r="DA56" s="81"/>
      <c r="DB56" s="81">
        <v>57</v>
      </c>
      <c r="DC56" s="133">
        <f t="shared" si="56"/>
        <v>-4.6649478467472179</v>
      </c>
      <c r="DD56" s="133">
        <f t="shared" si="57"/>
        <v>-2.7574060699194387</v>
      </c>
      <c r="DE56" s="133">
        <f t="shared" si="58"/>
        <v>-0.78050867300824223</v>
      </c>
      <c r="DF56" s="133">
        <f t="shared" si="347"/>
        <v>1.8504912108985865</v>
      </c>
      <c r="DG56" s="133">
        <f t="shared" si="348"/>
        <v>7.0081348394571661</v>
      </c>
      <c r="DH56" s="134">
        <f t="shared" si="349"/>
        <v>13.794743344895416</v>
      </c>
      <c r="DI56" s="133">
        <f t="shared" si="350"/>
        <v>21.588560926409752</v>
      </c>
      <c r="DJ56" s="133">
        <f t="shared" si="59"/>
        <v>29.382504882859049</v>
      </c>
      <c r="DK56" s="133">
        <f t="shared" si="60"/>
        <v>34.400871264137699</v>
      </c>
      <c r="DL56" s="133">
        <f t="shared" si="61"/>
        <v>38.95678784536841</v>
      </c>
      <c r="DM56" s="133">
        <f t="shared" si="62"/>
        <v>44.485564433868483</v>
      </c>
      <c r="DN56" s="81"/>
      <c r="DO56" s="81">
        <v>55</v>
      </c>
      <c r="DP56" s="133">
        <v>13.212940358112808</v>
      </c>
      <c r="DQ56" s="133">
        <v>14.388530118790204</v>
      </c>
      <c r="DR56" s="133">
        <v>15.482924942485592</v>
      </c>
      <c r="DS56" s="133">
        <v>16.848396703769076</v>
      </c>
      <c r="DT56" s="133">
        <v>19.399474474763423</v>
      </c>
      <c r="DU56" s="134">
        <v>22.700629777667363</v>
      </c>
      <c r="DV56" s="133">
        <v>26.56353361391777</v>
      </c>
      <c r="DW56" s="133">
        <v>30.585616030007095</v>
      </c>
      <c r="DX56" s="133">
        <v>33.283025928044694</v>
      </c>
      <c r="DY56" s="133">
        <v>35.814540335135092</v>
      </c>
      <c r="DZ56" s="133">
        <v>39.001053386751252</v>
      </c>
      <c r="EA56" s="81"/>
      <c r="EB56" s="81">
        <v>55</v>
      </c>
      <c r="EC56" s="133">
        <v>12.755611298627874</v>
      </c>
      <c r="ED56" s="133">
        <v>13.792902824340308</v>
      </c>
      <c r="EE56" s="133">
        <v>14.752250954068195</v>
      </c>
      <c r="EF56" s="133">
        <v>15.941422392851019</v>
      </c>
      <c r="EG56" s="133">
        <v>18.142308427680295</v>
      </c>
      <c r="EH56" s="134">
        <v>20.955309084993427</v>
      </c>
      <c r="EI56" s="133">
        <v>24.204471035098333</v>
      </c>
      <c r="EJ56" s="133">
        <v>27.546160438263954</v>
      </c>
      <c r="EK56" s="133">
        <v>29.766642406968511</v>
      </c>
      <c r="EL56" s="133">
        <v>31.83702404345841</v>
      </c>
      <c r="EM56" s="133">
        <v>34.426023854681482</v>
      </c>
      <c r="EN56" s="81"/>
      <c r="EO56" s="81">
        <v>57</v>
      </c>
      <c r="EP56" s="133">
        <v>13.358985976967828</v>
      </c>
      <c r="EQ56" s="133">
        <v>14.542091469758448</v>
      </c>
      <c r="ER56" s="133">
        <v>15.64309795314437</v>
      </c>
      <c r="ES56" s="133">
        <v>17.0163392125285</v>
      </c>
      <c r="ET56" s="133">
        <v>19.580642542730128</v>
      </c>
      <c r="EU56" s="134">
        <v>22.896721037107621</v>
      </c>
      <c r="EV56" s="133">
        <v>26.774393797703713</v>
      </c>
      <c r="EW56" s="133">
        <v>30.809202126455826</v>
      </c>
      <c r="EX56" s="133">
        <v>33.513811383233538</v>
      </c>
      <c r="EY56" s="133">
        <v>36.051199054920744</v>
      </c>
      <c r="EZ56" s="133">
        <v>39.243984173274917</v>
      </c>
      <c r="FA56" s="81"/>
      <c r="FB56" s="81">
        <v>55</v>
      </c>
      <c r="FC56" s="133">
        <v>8.9538815660646343</v>
      </c>
      <c r="FD56" s="133">
        <v>9.7422081639432463</v>
      </c>
      <c r="FE56" s="133">
        <v>10.475505578840533</v>
      </c>
      <c r="FF56" s="133">
        <v>11.389713174042489</v>
      </c>
      <c r="FG56" s="133">
        <v>13.095758485550704</v>
      </c>
      <c r="FH56" s="134">
        <v>15.300117944236252</v>
      </c>
      <c r="FI56" s="133">
        <v>17.875528887145329</v>
      </c>
      <c r="FJ56" s="133">
        <v>20.55307324516712</v>
      </c>
      <c r="FK56" s="133">
        <v>22.346760005587289</v>
      </c>
      <c r="FL56" s="133">
        <v>24.028803857213884</v>
      </c>
      <c r="FM56" s="133">
        <v>26.144371843688315</v>
      </c>
      <c r="FN56" s="81"/>
      <c r="FO56" s="81">
        <v>55</v>
      </c>
      <c r="FP56" s="133">
        <v>8.8931935024509841</v>
      </c>
      <c r="FQ56" s="133">
        <v>9.5932735570321981</v>
      </c>
      <c r="FR56" s="133">
        <v>10.239303553779754</v>
      </c>
      <c r="FS56" s="133">
        <v>11.038312265794657</v>
      </c>
      <c r="FT56" s="133">
        <v>12.512354882460063</v>
      </c>
      <c r="FU56" s="134">
        <v>14.388427770071655</v>
      </c>
      <c r="FV56" s="133">
        <v>16.5457945877783</v>
      </c>
      <c r="FW56" s="133">
        <v>18.755299606453477</v>
      </c>
      <c r="FX56" s="133">
        <v>20.218841311540846</v>
      </c>
      <c r="FY56" s="133">
        <v>21.58041803601142</v>
      </c>
      <c r="FZ56" s="133">
        <v>23.279247622073221</v>
      </c>
      <c r="GA56" s="81"/>
      <c r="GB56" s="81">
        <v>57</v>
      </c>
      <c r="GC56" s="133">
        <v>9.032557503833635</v>
      </c>
      <c r="GD56" s="133">
        <v>9.8367012520127535</v>
      </c>
      <c r="GE56" s="133">
        <v>10.585339741111273</v>
      </c>
      <c r="GF56" s="133">
        <v>11.519456269374754</v>
      </c>
      <c r="GG56" s="133">
        <v>13.264760453683085</v>
      </c>
      <c r="GH56" s="134">
        <v>15.523424303404564</v>
      </c>
      <c r="GI56" s="133">
        <v>18.166683291790765</v>
      </c>
      <c r="GJ56" s="133">
        <v>20.919103859457682</v>
      </c>
      <c r="GK56" s="133">
        <v>22.765136310894931</v>
      </c>
      <c r="GL56" s="133">
        <v>24.497714826321843</v>
      </c>
      <c r="GM56" s="133">
        <v>26.678678990004233</v>
      </c>
      <c r="GN56" s="81"/>
      <c r="GO56" s="81">
        <v>55</v>
      </c>
      <c r="GP56" s="133">
        <f t="shared" si="63"/>
        <v>0.49515889223986753</v>
      </c>
      <c r="GQ56" s="133">
        <f t="shared" si="64"/>
        <v>0.52801107645028478</v>
      </c>
      <c r="GR56" s="133">
        <f t="shared" si="65"/>
        <v>0.55462357871011558</v>
      </c>
      <c r="GS56" s="133">
        <f t="shared" si="351"/>
        <v>0.58371690756095118</v>
      </c>
      <c r="GT56" s="133">
        <f t="shared" si="352"/>
        <v>0.63037688722774998</v>
      </c>
      <c r="GU56" s="134">
        <f t="shared" si="353"/>
        <v>0.67589697668965587</v>
      </c>
      <c r="GV56" s="133">
        <f t="shared" si="354"/>
        <v>0.71837765953258437</v>
      </c>
      <c r="GW56" s="133">
        <f t="shared" si="66"/>
        <v>0.75634606516138414</v>
      </c>
      <c r="GX56" s="133">
        <f t="shared" si="67"/>
        <v>0.77755403783155164</v>
      </c>
      <c r="GY56" s="133">
        <f t="shared" si="68"/>
        <v>0.79546425846963709</v>
      </c>
      <c r="GZ56" s="133">
        <f t="shared" si="69"/>
        <v>0.81576565662929579</v>
      </c>
      <c r="HA56" s="81"/>
      <c r="HB56" s="81">
        <v>55</v>
      </c>
      <c r="HC56" s="133">
        <f t="shared" si="70"/>
        <v>0.48418303410843527</v>
      </c>
      <c r="HD56" s="133">
        <f t="shared" si="71"/>
        <v>0.51915602587063392</v>
      </c>
      <c r="HE56" s="133">
        <f t="shared" si="72"/>
        <v>0.54738334807929812</v>
      </c>
      <c r="HF56" s="133">
        <f t="shared" si="355"/>
        <v>0.57815538523303556</v>
      </c>
      <c r="HG56" s="133">
        <f t="shared" si="356"/>
        <v>0.62600717450627952</v>
      </c>
      <c r="HH56" s="134">
        <f t="shared" si="357"/>
        <v>0.67521139520252393</v>
      </c>
      <c r="HI56" s="133">
        <f t="shared" si="358"/>
        <v>0.72094101108503572</v>
      </c>
      <c r="HJ56" s="133">
        <f t="shared" si="73"/>
        <v>0.75954160354821854</v>
      </c>
      <c r="HK56" s="133">
        <f t="shared" si="74"/>
        <v>0.7817326416633712</v>
      </c>
      <c r="HL56" s="133">
        <f t="shared" si="75"/>
        <v>0.80046260206626352</v>
      </c>
      <c r="HM56" s="133">
        <f t="shared" si="76"/>
        <v>0.82168274003205344</v>
      </c>
      <c r="HN56" s="81"/>
      <c r="HO56" s="81">
        <v>57</v>
      </c>
      <c r="HP56" s="83">
        <f t="shared" si="77"/>
        <v>0.50622598750901271</v>
      </c>
      <c r="HQ56" s="83">
        <f t="shared" si="78"/>
        <v>0.53738244069261976</v>
      </c>
      <c r="HR56" s="83">
        <f t="shared" si="79"/>
        <v>0.56269632896983501</v>
      </c>
      <c r="HS56" s="83">
        <f t="shared" si="359"/>
        <v>0.59043419804105057</v>
      </c>
      <c r="HT56" s="83">
        <f t="shared" si="360"/>
        <v>0.63380948941324455</v>
      </c>
      <c r="HU56" s="84">
        <f t="shared" si="361"/>
        <v>0.67865521732544476</v>
      </c>
      <c r="HV56" s="83">
        <f t="shared" si="362"/>
        <v>0.7205075556489684</v>
      </c>
      <c r="HW56" s="83">
        <f t="shared" si="80"/>
        <v>0.75593899617417004</v>
      </c>
      <c r="HX56" s="83">
        <f t="shared" si="81"/>
        <v>0.77634407268260808</v>
      </c>
      <c r="HY56" s="83">
        <f t="shared" si="82"/>
        <v>0.79358453104347138</v>
      </c>
      <c r="HZ56" s="83">
        <f t="shared" si="83"/>
        <v>0.81313503495394845</v>
      </c>
      <c r="IA56" s="81"/>
      <c r="IB56" s="81">
        <v>55</v>
      </c>
      <c r="IC56" s="83">
        <f t="shared" si="84"/>
        <v>0.3322934668788759</v>
      </c>
      <c r="ID56" s="83">
        <f t="shared" si="85"/>
        <v>0.34609229497669414</v>
      </c>
      <c r="IE56" s="83">
        <f t="shared" si="86"/>
        <v>0.35690721660226121</v>
      </c>
      <c r="IF56" s="83">
        <f t="shared" si="363"/>
        <v>0.36839973504225854</v>
      </c>
      <c r="IG56" s="83">
        <f t="shared" si="364"/>
        <v>0.38571479394286917</v>
      </c>
      <c r="IH56" s="84">
        <f t="shared" si="365"/>
        <v>0.402888573765606</v>
      </c>
      <c r="II56" s="83">
        <f t="shared" si="366"/>
        <v>0.41833944833888997</v>
      </c>
      <c r="IJ56" s="83">
        <f t="shared" si="87"/>
        <v>0.4310357665633287</v>
      </c>
      <c r="IK56" s="83">
        <f t="shared" si="88"/>
        <v>0.43820184222930819</v>
      </c>
      <c r="IL56" s="83">
        <f t="shared" si="89"/>
        <v>0.44417868824618828</v>
      </c>
      <c r="IM56" s="83">
        <f t="shared" si="90"/>
        <v>0.45087414525978892</v>
      </c>
      <c r="IN56" s="81"/>
      <c r="IO56" s="81">
        <v>55</v>
      </c>
      <c r="IP56" s="133">
        <f t="shared" si="91"/>
        <v>0.32711090685221639</v>
      </c>
      <c r="IQ56" s="133">
        <f t="shared" si="92"/>
        <v>0.34205766505029211</v>
      </c>
      <c r="IR56" s="133">
        <f t="shared" si="93"/>
        <v>0.35368987573399063</v>
      </c>
      <c r="IS56" s="133">
        <f t="shared" si="367"/>
        <v>0.36598477646939004</v>
      </c>
      <c r="IT56" s="133">
        <f t="shared" si="368"/>
        <v>0.38440237720245085</v>
      </c>
      <c r="IU56" s="134">
        <f t="shared" si="369"/>
        <v>0.40256756383766173</v>
      </c>
      <c r="IV56" s="133">
        <f t="shared" si="370"/>
        <v>0.41884088527788615</v>
      </c>
      <c r="IW56" s="133">
        <f t="shared" si="94"/>
        <v>0.43217254314734815</v>
      </c>
      <c r="IX56" s="133">
        <f t="shared" si="95"/>
        <v>0.4396833355033824</v>
      </c>
      <c r="IY56" s="133">
        <f t="shared" si="96"/>
        <v>0.44594080936314046</v>
      </c>
      <c r="IZ56" s="133">
        <f t="shared" si="97"/>
        <v>0.45294377803984387</v>
      </c>
      <c r="JA56" s="81"/>
      <c r="JB56" s="81">
        <v>57</v>
      </c>
      <c r="JC56" s="133">
        <f t="shared" si="98"/>
        <v>0.33744698574761411</v>
      </c>
      <c r="JD56" s="133">
        <f t="shared" si="99"/>
        <v>0.35030061343642083</v>
      </c>
      <c r="JE56" s="133">
        <f t="shared" si="100"/>
        <v>0.36043411865715397</v>
      </c>
      <c r="JF56" s="133">
        <f t="shared" si="371"/>
        <v>0.37125157964255223</v>
      </c>
      <c r="JG56" s="133">
        <f t="shared" si="372"/>
        <v>0.38763057653545802</v>
      </c>
      <c r="JH56" s="134">
        <f t="shared" si="373"/>
        <v>0.40395572606236863</v>
      </c>
      <c r="JI56" s="133">
        <f t="shared" si="374"/>
        <v>0.41869867501904579</v>
      </c>
      <c r="JJ56" s="133">
        <f t="shared" si="101"/>
        <v>0.43084621200530782</v>
      </c>
      <c r="JK56" s="133">
        <f t="shared" si="102"/>
        <v>0.43771397097197329</v>
      </c>
      <c r="JL56" s="133">
        <f t="shared" si="103"/>
        <v>0.44344771437513286</v>
      </c>
      <c r="JM56" s="133">
        <f t="shared" si="104"/>
        <v>0.44987655599796095</v>
      </c>
      <c r="JN56" s="81"/>
      <c r="JO56" s="81">
        <v>54</v>
      </c>
      <c r="JP56" s="133">
        <f t="shared" si="105"/>
        <v>-1.7066743954871306</v>
      </c>
      <c r="JQ56" s="133">
        <f t="shared" si="106"/>
        <v>-0.25631024587783102</v>
      </c>
      <c r="JR56" s="133">
        <f t="shared" si="107"/>
        <v>1.0055733403277038</v>
      </c>
      <c r="JS56" s="133">
        <f t="shared" si="375"/>
        <v>2.4763892664024034</v>
      </c>
      <c r="JT56" s="133">
        <f t="shared" si="376"/>
        <v>4.9661628994420006</v>
      </c>
      <c r="JU56" s="134">
        <f t="shared" si="377"/>
        <v>7.7915486130631741</v>
      </c>
      <c r="JV56" s="133">
        <f t="shared" si="378"/>
        <v>10.666650511616115</v>
      </c>
      <c r="JW56" s="133">
        <f t="shared" si="108"/>
        <v>13.28601907020192</v>
      </c>
      <c r="JX56" s="133">
        <f t="shared" si="109"/>
        <v>14.873456581759481</v>
      </c>
      <c r="JY56" s="133">
        <f t="shared" si="110"/>
        <v>16.260426088389128</v>
      </c>
      <c r="JZ56" s="133">
        <f t="shared" si="111"/>
        <v>17.884567034260751</v>
      </c>
      <c r="KA56" s="81"/>
      <c r="KB56" s="81">
        <v>54</v>
      </c>
      <c r="KC56" s="133">
        <f t="shared" si="112"/>
        <v>-0.21011753170295577</v>
      </c>
      <c r="KD56" s="133">
        <f t="shared" si="113"/>
        <v>1.1470415219195509</v>
      </c>
      <c r="KE56" s="133">
        <f t="shared" si="114"/>
        <v>2.3512180311684148</v>
      </c>
      <c r="KF56" s="133">
        <f t="shared" si="379"/>
        <v>3.7804913361759027</v>
      </c>
      <c r="KG56" s="133">
        <f t="shared" si="380"/>
        <v>6.2584987227219653</v>
      </c>
      <c r="KH56" s="134">
        <f t="shared" si="381"/>
        <v>9.1521808316570148</v>
      </c>
      <c r="KI56" s="133">
        <f t="shared" si="382"/>
        <v>12.177725318227223</v>
      </c>
      <c r="KJ56" s="133">
        <f t="shared" si="115"/>
        <v>14.99926273773306</v>
      </c>
      <c r="KK56" s="133">
        <f t="shared" si="116"/>
        <v>16.737436623252577</v>
      </c>
      <c r="KL56" s="133">
        <f t="shared" si="117"/>
        <v>18.272682803249161</v>
      </c>
      <c r="KM56" s="133">
        <f t="shared" si="118"/>
        <v>20.089356415093761</v>
      </c>
      <c r="KN56" s="81"/>
      <c r="KO56" s="81">
        <v>56</v>
      </c>
      <c r="KP56" s="133">
        <f t="shared" si="119"/>
        <v>-1.4562883145800321</v>
      </c>
      <c r="KQ56" s="133">
        <f t="shared" si="120"/>
        <v>-0.12069531591907889</v>
      </c>
      <c r="KR56" s="133">
        <f t="shared" si="121"/>
        <v>1.0238860996294612</v>
      </c>
      <c r="KS56" s="133">
        <f t="shared" si="383"/>
        <v>2.3391114047086781</v>
      </c>
      <c r="KT56" s="133">
        <f t="shared" si="384"/>
        <v>4.5234030479621445</v>
      </c>
      <c r="KU56" s="134">
        <f t="shared" si="385"/>
        <v>6.9448734978256752</v>
      </c>
      <c r="KV56" s="133">
        <f t="shared" si="386"/>
        <v>9.3538030502982252</v>
      </c>
      <c r="KW56" s="133">
        <f t="shared" si="122"/>
        <v>11.505315854201566</v>
      </c>
      <c r="KX56" s="133">
        <f t="shared" si="123"/>
        <v>12.790932211652557</v>
      </c>
      <c r="KY56" s="133">
        <f t="shared" si="124"/>
        <v>13.903635427509332</v>
      </c>
      <c r="KZ56" s="133">
        <f t="shared" si="125"/>
        <v>15.1947290179689</v>
      </c>
      <c r="LA56" s="81"/>
      <c r="LB56" s="81">
        <v>54</v>
      </c>
      <c r="LC56" s="133">
        <f t="shared" si="126"/>
        <v>-3.1524547308989668</v>
      </c>
      <c r="LD56" s="133">
        <f t="shared" si="127"/>
        <v>0.55653026360169378</v>
      </c>
      <c r="LE56" s="133">
        <f t="shared" si="128"/>
        <v>3.8097249822607111</v>
      </c>
      <c r="LF56" s="133">
        <f t="shared" si="387"/>
        <v>7.6291338039455638</v>
      </c>
      <c r="LG56" s="133">
        <f t="shared" si="388"/>
        <v>14.154339214861082</v>
      </c>
      <c r="LH56" s="134">
        <f t="shared" si="389"/>
        <v>21.637830711748371</v>
      </c>
      <c r="LI56" s="133">
        <f t="shared" si="390"/>
        <v>29.326384394676374</v>
      </c>
      <c r="LJ56" s="133">
        <f t="shared" si="129"/>
        <v>36.386915972521173</v>
      </c>
      <c r="LK56" s="133">
        <f t="shared" si="130"/>
        <v>40.689069108517806</v>
      </c>
      <c r="LL56" s="133">
        <f t="shared" si="131"/>
        <v>44.461148184490092</v>
      </c>
      <c r="LM56" s="133">
        <f t="shared" si="132"/>
        <v>48.892977364905484</v>
      </c>
      <c r="LN56" s="81"/>
      <c r="LO56" s="81">
        <v>54</v>
      </c>
      <c r="LP56" s="133">
        <f t="shared" si="133"/>
        <v>1.2914856774615693</v>
      </c>
      <c r="LQ56" s="133">
        <f t="shared" si="134"/>
        <v>5.0146703645082731</v>
      </c>
      <c r="LR56" s="133">
        <f t="shared" si="135"/>
        <v>8.2892987259186945</v>
      </c>
      <c r="LS56" s="133">
        <f t="shared" si="391"/>
        <v>12.143702717123137</v>
      </c>
      <c r="LT56" s="133">
        <f t="shared" si="392"/>
        <v>18.750989550137415</v>
      </c>
      <c r="LU56" s="134">
        <f t="shared" si="393"/>
        <v>26.359510330928341</v>
      </c>
      <c r="LV56" s="133">
        <f t="shared" si="394"/>
        <v>34.20689354231294</v>
      </c>
      <c r="LW56" s="133">
        <f t="shared" si="136"/>
        <v>41.437508267210617</v>
      </c>
      <c r="LX56" s="133">
        <f t="shared" si="137"/>
        <v>45.853716933655818</v>
      </c>
      <c r="LY56" s="133">
        <f t="shared" si="138"/>
        <v>49.731886913177021</v>
      </c>
      <c r="LZ56" s="133">
        <f t="shared" si="139"/>
        <v>54.295278898311679</v>
      </c>
      <c r="MA56" s="81"/>
      <c r="MB56" s="81">
        <v>56</v>
      </c>
      <c r="MC56" s="133">
        <f t="shared" si="140"/>
        <v>-2.1018759871589481</v>
      </c>
      <c r="MD56" s="133">
        <f t="shared" si="141"/>
        <v>1.044700787364782</v>
      </c>
      <c r="ME56" s="133">
        <f t="shared" si="142"/>
        <v>3.7776032043929675</v>
      </c>
      <c r="MF56" s="133">
        <f t="shared" si="395"/>
        <v>6.9573189716091548</v>
      </c>
      <c r="MG56" s="133">
        <f t="shared" si="396"/>
        <v>12.325940815731471</v>
      </c>
      <c r="MH56" s="134">
        <f t="shared" si="397"/>
        <v>18.397286183710833</v>
      </c>
      <c r="MI56" s="133">
        <f t="shared" si="398"/>
        <v>24.553287700947322</v>
      </c>
      <c r="MJ56" s="133">
        <f t="shared" si="143"/>
        <v>30.143000346025993</v>
      </c>
      <c r="MK56" s="133">
        <f t="shared" si="144"/>
        <v>33.522203161242437</v>
      </c>
      <c r="ML56" s="133">
        <f t="shared" si="145"/>
        <v>36.469645337910727</v>
      </c>
      <c r="MM56" s="133">
        <f t="shared" si="146"/>
        <v>39.915294384269849</v>
      </c>
      <c r="MN56" s="81"/>
      <c r="MO56" s="81">
        <v>54</v>
      </c>
      <c r="MP56" s="133">
        <f t="shared" si="147"/>
        <v>-9.4624029459013244</v>
      </c>
      <c r="MQ56" s="133">
        <f t="shared" si="148"/>
        <v>-5.2821359073599439</v>
      </c>
      <c r="MR56" s="133">
        <f t="shared" si="149"/>
        <v>-1.6726021527238686</v>
      </c>
      <c r="MS56" s="133">
        <f t="shared" si="399"/>
        <v>2.5036141320651666</v>
      </c>
      <c r="MT56" s="133">
        <f t="shared" si="400"/>
        <v>9.5012405608766315</v>
      </c>
      <c r="MU56" s="134">
        <f t="shared" si="401"/>
        <v>17.340577313320239</v>
      </c>
      <c r="MV56" s="133">
        <f t="shared" si="402"/>
        <v>25.216393098567913</v>
      </c>
      <c r="MW56" s="133">
        <f t="shared" si="150"/>
        <v>32.309936168219885</v>
      </c>
      <c r="MX56" s="133">
        <f t="shared" si="151"/>
        <v>36.573540953439029</v>
      </c>
      <c r="MY56" s="133">
        <f t="shared" si="152"/>
        <v>40.278011820096559</v>
      </c>
      <c r="MZ56" s="133">
        <f t="shared" si="153"/>
        <v>44.592407288822407</v>
      </c>
      <c r="NA56" s="81"/>
      <c r="NB56" s="81">
        <v>54</v>
      </c>
      <c r="NC56" s="133">
        <f t="shared" si="154"/>
        <v>-1.0959765672984645</v>
      </c>
      <c r="ND56" s="133">
        <f t="shared" si="155"/>
        <v>2.6031569139471884</v>
      </c>
      <c r="NE56" s="133">
        <f t="shared" si="156"/>
        <v>5.8005460619103566</v>
      </c>
      <c r="NF56" s="133">
        <f t="shared" si="403"/>
        <v>9.5034735592101462</v>
      </c>
      <c r="NG56" s="133">
        <f t="shared" si="404"/>
        <v>15.715949916110755</v>
      </c>
      <c r="NH56" s="134">
        <f t="shared" si="405"/>
        <v>22.686317308235882</v>
      </c>
      <c r="NI56" s="133">
        <f t="shared" si="406"/>
        <v>29.699244870433585</v>
      </c>
      <c r="NJ56" s="133">
        <f t="shared" si="157"/>
        <v>36.023456744013885</v>
      </c>
      <c r="NK56" s="133">
        <f t="shared" si="158"/>
        <v>39.827959317427855</v>
      </c>
      <c r="NL56" s="133">
        <f t="shared" si="159"/>
        <v>43.135437871978013</v>
      </c>
      <c r="NM56" s="133">
        <f t="shared" si="160"/>
        <v>46.989610604972185</v>
      </c>
      <c r="NN56" s="81"/>
      <c r="NO56" s="81">
        <v>56</v>
      </c>
      <c r="NP56" s="133">
        <f t="shared" si="161"/>
        <v>-10.874855168309647</v>
      </c>
      <c r="NQ56" s="133">
        <f t="shared" si="162"/>
        <v>-7.130839132573648</v>
      </c>
      <c r="NR56" s="133">
        <f t="shared" si="163"/>
        <v>-3.9088900997011535</v>
      </c>
      <c r="NS56" s="133">
        <f t="shared" si="407"/>
        <v>-0.19224404565946429</v>
      </c>
      <c r="NT56" s="133">
        <f t="shared" si="408"/>
        <v>6.0118778532416073</v>
      </c>
      <c r="NU56" s="134">
        <f t="shared" si="409"/>
        <v>12.9322033323594</v>
      </c>
      <c r="NV56" s="133">
        <f t="shared" si="410"/>
        <v>19.857343020108502</v>
      </c>
      <c r="NW56" s="133">
        <f t="shared" si="164"/>
        <v>26.0741251044102</v>
      </c>
      <c r="NX56" s="133">
        <f t="shared" si="165"/>
        <v>29.802307967539001</v>
      </c>
      <c r="NY56" s="133">
        <f t="shared" si="166"/>
        <v>33.036792636604538</v>
      </c>
      <c r="NZ56" s="133">
        <f t="shared" si="167"/>
        <v>36.798522808839486</v>
      </c>
      <c r="OA56" s="81"/>
      <c r="OB56" s="81">
        <v>54</v>
      </c>
      <c r="OC56" s="133">
        <v>14.08752130184072</v>
      </c>
      <c r="OD56" s="133">
        <v>15.447402861620576</v>
      </c>
      <c r="OE56" s="133">
        <v>16.72151390350556</v>
      </c>
      <c r="OF56" s="133">
        <v>18.321449428207362</v>
      </c>
      <c r="OG56" s="133">
        <v>21.338316375055086</v>
      </c>
      <c r="OH56" s="134">
        <v>25.289859779488086</v>
      </c>
      <c r="OI56" s="133">
        <v>29.973171098627432</v>
      </c>
      <c r="OJ56" s="133">
        <v>34.908646838906115</v>
      </c>
      <c r="OK56" s="133">
        <v>38.248750164426561</v>
      </c>
      <c r="OL56" s="133">
        <v>41.403529991129652</v>
      </c>
      <c r="OM56" s="133">
        <v>45.400251326157736</v>
      </c>
      <c r="ON56" s="81"/>
      <c r="OO56" s="81">
        <v>54</v>
      </c>
      <c r="OP56" s="133">
        <v>13.401194224776923</v>
      </c>
      <c r="OQ56" s="133">
        <v>14.473514508111572</v>
      </c>
      <c r="OR56" s="133">
        <v>15.464149271102473</v>
      </c>
      <c r="OS56" s="133">
        <v>16.69072943675479</v>
      </c>
      <c r="OT56" s="133">
        <v>25.196607596808231</v>
      </c>
      <c r="OU56" s="134">
        <v>21.847905014858821</v>
      </c>
      <c r="OV56" s="133">
        <v>25.179401998149221</v>
      </c>
      <c r="OW56" s="133">
        <v>28.598567566924853</v>
      </c>
      <c r="OX56" s="133">
        <v>30.866939084083448</v>
      </c>
      <c r="OY56" s="133">
        <v>32.979616199698889</v>
      </c>
      <c r="OZ56" s="133">
        <v>35.618538581865749</v>
      </c>
      <c r="PA56" s="81"/>
      <c r="PB56" s="81">
        <v>56</v>
      </c>
      <c r="PC56" s="133">
        <v>16.782294804684</v>
      </c>
      <c r="PD56" s="133">
        <v>18.103692537979676</v>
      </c>
      <c r="PE56" s="133">
        <v>19.32308859698567</v>
      </c>
      <c r="PF56" s="133">
        <v>20.83125708226757</v>
      </c>
      <c r="PG56" s="133">
        <v>23.613643005731632</v>
      </c>
      <c r="PH56" s="134">
        <v>27.154992897468141</v>
      </c>
      <c r="PI56" s="133">
        <v>31.227440809643859</v>
      </c>
      <c r="PJ56" s="133">
        <v>35.398422493150719</v>
      </c>
      <c r="PK56" s="133">
        <v>38.161271970598754</v>
      </c>
      <c r="PL56" s="133">
        <v>40.731670498411859</v>
      </c>
      <c r="PM56" s="133">
        <v>43.938784763555482</v>
      </c>
      <c r="PN56" s="81"/>
      <c r="PO56" s="81">
        <v>54</v>
      </c>
      <c r="PP56" s="133">
        <v>9.3694575262039521</v>
      </c>
      <c r="PQ56" s="133">
        <v>10.18225468211886</v>
      </c>
      <c r="PR56" s="133">
        <v>10.937480246064496</v>
      </c>
      <c r="PS56" s="133">
        <v>11.877987699449664</v>
      </c>
      <c r="PT56" s="133">
        <v>13.630327524988877</v>
      </c>
      <c r="PU56" s="134">
        <v>15.889786134877134</v>
      </c>
      <c r="PV56" s="133">
        <v>18.523788437896659</v>
      </c>
      <c r="PW56" s="133">
        <v>21.256572224252412</v>
      </c>
      <c r="PX56" s="133">
        <v>23.084412289840007</v>
      </c>
      <c r="PY56" s="133">
        <v>24.796600683689931</v>
      </c>
      <c r="PZ56" s="133">
        <v>26.947697100498864</v>
      </c>
      <c r="QA56" s="81"/>
      <c r="QB56" s="81">
        <v>54</v>
      </c>
      <c r="QC56" s="133">
        <v>9.2420470397862786</v>
      </c>
      <c r="QD56" s="133">
        <v>10.037983159997204</v>
      </c>
      <c r="QE56" s="133">
        <v>10.777144987169397</v>
      </c>
      <c r="QF56" s="133">
        <v>11.697153999844197</v>
      </c>
      <c r="QG56" s="133">
        <v>13.409978234664264</v>
      </c>
      <c r="QH56" s="134">
        <v>15.616246628207165</v>
      </c>
      <c r="QI56" s="133">
        <v>18.185499967673667</v>
      </c>
      <c r="QJ56" s="133">
        <v>20.848418235430582</v>
      </c>
      <c r="QK56" s="133">
        <v>22.628178338820227</v>
      </c>
      <c r="QL56" s="133">
        <v>24.294437923031886</v>
      </c>
      <c r="QM56" s="133">
        <v>26.386703909119134</v>
      </c>
      <c r="QN56" s="81"/>
      <c r="QO56" s="81">
        <v>56</v>
      </c>
      <c r="QP56" s="133">
        <v>9.4419181719067584</v>
      </c>
      <c r="QQ56" s="133">
        <v>10.271685758889214</v>
      </c>
      <c r="QR56" s="133">
        <v>11.043424867688316</v>
      </c>
      <c r="QS56" s="133">
        <v>12.00542535548448</v>
      </c>
      <c r="QT56" s="133">
        <v>13.800302883917251</v>
      </c>
      <c r="QU56" s="134">
        <v>16.118836786249201</v>
      </c>
      <c r="QV56" s="133">
        <v>18.826898331668414</v>
      </c>
      <c r="QW56" s="133">
        <v>21.64162381993799</v>
      </c>
      <c r="QX56" s="133">
        <v>23.526840853685915</v>
      </c>
      <c r="QY56" s="133">
        <v>25.294475068699636</v>
      </c>
      <c r="QZ56" s="133">
        <v>27.517385197723172</v>
      </c>
      <c r="RA56" s="81"/>
      <c r="RB56" s="81">
        <v>54</v>
      </c>
      <c r="RC56" s="133">
        <f t="shared" si="168"/>
        <v>0.34877449885602546</v>
      </c>
      <c r="RD56" s="133">
        <f t="shared" si="169"/>
        <v>0.38009240884095036</v>
      </c>
      <c r="RE56" s="133">
        <f t="shared" si="170"/>
        <v>0.4096451583066501</v>
      </c>
      <c r="RF56" s="133">
        <f t="shared" si="411"/>
        <v>0.44706547988721207</v>
      </c>
      <c r="RG56" s="133">
        <f t="shared" si="412"/>
        <v>0.51863355948020751</v>
      </c>
      <c r="RH56" s="134">
        <f t="shared" si="413"/>
        <v>0.61449996113883509</v>
      </c>
      <c r="RI56" s="133">
        <f t="shared" si="414"/>
        <v>0.73140658907463441</v>
      </c>
      <c r="RJ56" s="133">
        <f t="shared" si="171"/>
        <v>0.85859923401734928</v>
      </c>
      <c r="RK56" s="133">
        <f t="shared" si="172"/>
        <v>0.94704603244262664</v>
      </c>
      <c r="RL56" s="133">
        <f t="shared" si="173"/>
        <v>1.0323603012004532</v>
      </c>
      <c r="RM56" s="133">
        <f t="shared" si="174"/>
        <v>1.142936076848329</v>
      </c>
      <c r="RN56" s="81"/>
      <c r="RO56" s="81">
        <v>54</v>
      </c>
      <c r="RP56" s="133">
        <f t="shared" si="175"/>
        <v>0.38483037854858387</v>
      </c>
      <c r="RQ56" s="133">
        <f t="shared" si="176"/>
        <v>0.41878689298635308</v>
      </c>
      <c r="RR56" s="133">
        <f t="shared" si="177"/>
        <v>0.45094177279458825</v>
      </c>
      <c r="RS56" s="133">
        <f t="shared" si="415"/>
        <v>0.49182073459969283</v>
      </c>
      <c r="RT56" s="133">
        <f t="shared" si="416"/>
        <v>0.57053543411682095</v>
      </c>
      <c r="RU56" s="134">
        <f t="shared" si="417"/>
        <v>0.67710899511953482</v>
      </c>
      <c r="RV56" s="133">
        <f t="shared" si="418"/>
        <v>0.80886886810153769</v>
      </c>
      <c r="RW56" s="133">
        <f t="shared" si="178"/>
        <v>0.95447395919841804</v>
      </c>
      <c r="RX56" s="133">
        <f t="shared" si="179"/>
        <v>1.0570996665931196</v>
      </c>
      <c r="RY56" s="133">
        <f t="shared" si="180"/>
        <v>1.1571489549747862</v>
      </c>
      <c r="RZ56" s="133">
        <f t="shared" si="181"/>
        <v>1.2883513237436066</v>
      </c>
      <c r="SA56" s="81"/>
      <c r="SB56" s="81">
        <v>56</v>
      </c>
      <c r="SC56" s="133">
        <f t="shared" si="182"/>
        <v>0.34908584038799595</v>
      </c>
      <c r="SD56" s="133">
        <f t="shared" si="183"/>
        <v>0.37800532541469745</v>
      </c>
      <c r="SE56" s="133">
        <f t="shared" si="184"/>
        <v>0.40481342368741707</v>
      </c>
      <c r="SF56" s="133">
        <f t="shared" si="419"/>
        <v>0.43812271187629503</v>
      </c>
      <c r="SG56" s="133">
        <f t="shared" si="420"/>
        <v>0.49998972254111529</v>
      </c>
      <c r="SH56" s="134">
        <f t="shared" si="421"/>
        <v>0.57945034277967422</v>
      </c>
      <c r="SI56" s="133">
        <f t="shared" si="422"/>
        <v>0.67172950755195471</v>
      </c>
      <c r="SJ56" s="133">
        <f t="shared" si="185"/>
        <v>0.76714878283548948</v>
      </c>
      <c r="SK56" s="133">
        <f t="shared" si="186"/>
        <v>0.83082045987089814</v>
      </c>
      <c r="SL56" s="133">
        <f t="shared" si="187"/>
        <v>0.8903699862634451</v>
      </c>
      <c r="SM56" s="133">
        <f t="shared" si="188"/>
        <v>0.96507202860112873</v>
      </c>
      <c r="SN56" s="81"/>
      <c r="SO56" s="81">
        <v>54</v>
      </c>
      <c r="SP56" s="133">
        <f t="shared" si="189"/>
        <v>0.25929338033704219</v>
      </c>
      <c r="SQ56" s="133">
        <f t="shared" si="190"/>
        <v>0.27607394933209195</v>
      </c>
      <c r="SR56" s="133">
        <f t="shared" si="191"/>
        <v>0.29114371969122899</v>
      </c>
      <c r="SS56" s="133">
        <f t="shared" si="423"/>
        <v>0.30927152196091917</v>
      </c>
      <c r="ST56" s="133">
        <f t="shared" si="424"/>
        <v>0.34137166419247578</v>
      </c>
      <c r="SU56" s="134">
        <f t="shared" si="425"/>
        <v>0.38001416944613942</v>
      </c>
      <c r="SV56" s="133">
        <f t="shared" si="426"/>
        <v>0.42183427741922441</v>
      </c>
      <c r="SW56" s="133">
        <f t="shared" si="192"/>
        <v>0.46219736105184367</v>
      </c>
      <c r="SX56" s="133">
        <f t="shared" si="193"/>
        <v>0.48773591603620531</v>
      </c>
      <c r="SY56" s="133">
        <f t="shared" si="194"/>
        <v>0.5107277367403068</v>
      </c>
      <c r="SZ56" s="133">
        <f t="shared" si="195"/>
        <v>0.53846798485882219</v>
      </c>
      <c r="TA56" s="81"/>
      <c r="TB56" s="81">
        <v>54</v>
      </c>
      <c r="TC56" s="133">
        <f t="shared" si="196"/>
        <v>0.27871158476556596</v>
      </c>
      <c r="TD56" s="133">
        <f t="shared" si="197"/>
        <v>0.29585608856265255</v>
      </c>
      <c r="TE56" s="133">
        <f t="shared" si="198"/>
        <v>0.31128947886239289</v>
      </c>
      <c r="TF56" s="133">
        <f t="shared" si="427"/>
        <v>0.32990253874420594</v>
      </c>
      <c r="TG56" s="133">
        <f t="shared" si="428"/>
        <v>0.36299452551339001</v>
      </c>
      <c r="TH56" s="134">
        <f t="shared" si="429"/>
        <v>0.40306235226178561</v>
      </c>
      <c r="TI56" s="133">
        <f t="shared" si="430"/>
        <v>0.44671523620764148</v>
      </c>
      <c r="TJ56" s="133">
        <f t="shared" si="199"/>
        <v>0.48913534813470461</v>
      </c>
      <c r="TK56" s="133">
        <f t="shared" si="200"/>
        <v>0.51612142396613192</v>
      </c>
      <c r="TL56" s="133">
        <f t="shared" si="201"/>
        <v>0.54051276077437338</v>
      </c>
      <c r="TM56" s="133">
        <f t="shared" si="202"/>
        <v>0.57006236205023453</v>
      </c>
      <c r="TN56" s="81"/>
      <c r="TO56" s="81">
        <v>56</v>
      </c>
      <c r="TP56" s="133">
        <f t="shared" si="203"/>
        <v>0.2595591343500126</v>
      </c>
      <c r="TQ56" s="133">
        <f t="shared" si="204"/>
        <v>0.27500717926296758</v>
      </c>
      <c r="TR56" s="133">
        <f t="shared" si="205"/>
        <v>0.28869680972053036</v>
      </c>
      <c r="TS56" s="133">
        <f t="shared" si="431"/>
        <v>0.30494631770154179</v>
      </c>
      <c r="TT56" s="133">
        <f t="shared" si="432"/>
        <v>0.33317369520428602</v>
      </c>
      <c r="TU56" s="134">
        <f t="shared" si="433"/>
        <v>0.36630321175066616</v>
      </c>
      <c r="TV56" s="133">
        <f t="shared" si="434"/>
        <v>0.40121101283742172</v>
      </c>
      <c r="TW56" s="133">
        <f t="shared" si="206"/>
        <v>0.43406027100659</v>
      </c>
      <c r="TX56" s="133">
        <f t="shared" si="207"/>
        <v>0.45445214419552116</v>
      </c>
      <c r="TY56" s="133">
        <f t="shared" si="208"/>
        <v>0.4725669686899297</v>
      </c>
      <c r="TZ56" s="133">
        <f t="shared" si="209"/>
        <v>0.4941319506758553</v>
      </c>
      <c r="UA56" s="81"/>
      <c r="UB56" s="81">
        <v>54</v>
      </c>
      <c r="UC56" s="133">
        <f t="shared" si="210"/>
        <v>-15.017119885885904</v>
      </c>
      <c r="UD56" s="133">
        <f t="shared" si="211"/>
        <v>-11.803454197298684</v>
      </c>
      <c r="UE56" s="133">
        <f t="shared" si="212"/>
        <v>-9.1047141648494119</v>
      </c>
      <c r="UF56" s="133">
        <f t="shared" si="435"/>
        <v>-6.0607435297153387</v>
      </c>
      <c r="UG56" s="133">
        <f t="shared" si="436"/>
        <v>-1.1263092257751168</v>
      </c>
      <c r="UH56" s="134">
        <f t="shared" si="437"/>
        <v>4.1886458140138245</v>
      </c>
      <c r="UI56" s="133">
        <f t="shared" si="438"/>
        <v>9.3348480356988972</v>
      </c>
      <c r="UJ56" s="133">
        <f t="shared" si="213"/>
        <v>13.825892927127882</v>
      </c>
      <c r="UK56" s="133">
        <f t="shared" si="214"/>
        <v>16.466392097062396</v>
      </c>
      <c r="UL56" s="133">
        <f t="shared" si="215"/>
        <v>18.72747488553712</v>
      </c>
      <c r="UM56" s="133">
        <f t="shared" si="216"/>
        <v>21.324290923104925</v>
      </c>
      <c r="UN56" s="81"/>
      <c r="UO56" s="81">
        <v>54</v>
      </c>
      <c r="UP56" s="133">
        <f t="shared" si="217"/>
        <v>-10.937839126098417</v>
      </c>
      <c r="UQ56" s="133">
        <f t="shared" si="218"/>
        <v>-8.2082544547372152</v>
      </c>
      <c r="UR56" s="133">
        <f t="shared" si="219"/>
        <v>-5.8653073280475851</v>
      </c>
      <c r="US56" s="133">
        <f t="shared" si="439"/>
        <v>-3.1688569463777618</v>
      </c>
      <c r="UT56" s="133">
        <f t="shared" si="440"/>
        <v>1.319005403891012</v>
      </c>
      <c r="UU56" s="134">
        <f t="shared" si="441"/>
        <v>6.3077557908456896</v>
      </c>
      <c r="UV56" s="133">
        <f t="shared" si="442"/>
        <v>11.284155729296018</v>
      </c>
      <c r="UW56" s="133">
        <f t="shared" si="220"/>
        <v>15.739591256824568</v>
      </c>
      <c r="UX56" s="133">
        <f t="shared" si="221"/>
        <v>18.406561226240143</v>
      </c>
      <c r="UY56" s="133">
        <f t="shared" si="222"/>
        <v>20.717555761930598</v>
      </c>
      <c r="UZ56" s="133">
        <f t="shared" si="223"/>
        <v>23.402142866272804</v>
      </c>
      <c r="VA56" s="81"/>
      <c r="VB56" s="81">
        <v>57</v>
      </c>
      <c r="VC56" s="133">
        <f t="shared" si="224"/>
        <v>-15.04186363316218</v>
      </c>
      <c r="VD56" s="133">
        <f t="shared" si="225"/>
        <v>-11.899953316249011</v>
      </c>
      <c r="VE56" s="133">
        <f t="shared" si="226"/>
        <v>-9.291804966798118</v>
      </c>
      <c r="VF56" s="133">
        <f t="shared" si="443"/>
        <v>-6.3801888961877466</v>
      </c>
      <c r="VG56" s="133">
        <f t="shared" si="444"/>
        <v>-1.7215127843421669</v>
      </c>
      <c r="VH56" s="134">
        <f t="shared" si="445"/>
        <v>3.2212046639772893</v>
      </c>
      <c r="VI56" s="133">
        <f t="shared" si="446"/>
        <v>7.9413846804974071</v>
      </c>
      <c r="VJ56" s="133">
        <f t="shared" si="227"/>
        <v>12.013392691692445</v>
      </c>
      <c r="VK56" s="133">
        <f t="shared" si="228"/>
        <v>14.388606345201438</v>
      </c>
      <c r="VL56" s="133">
        <f t="shared" si="229"/>
        <v>16.412037170245938</v>
      </c>
      <c r="VM56" s="133">
        <f t="shared" si="230"/>
        <v>18.724506877654918</v>
      </c>
      <c r="VN56" s="81"/>
      <c r="VO56" s="81">
        <v>54</v>
      </c>
      <c r="VP56" s="133">
        <f t="shared" si="231"/>
        <v>-26.83594970929369</v>
      </c>
      <c r="VQ56" s="133">
        <f t="shared" si="232"/>
        <v>-22.128683943367292</v>
      </c>
      <c r="VR56" s="133">
        <f t="shared" si="233"/>
        <v>-17.841586381435732</v>
      </c>
      <c r="VS56" s="133">
        <f t="shared" si="447"/>
        <v>-12.631236637198882</v>
      </c>
      <c r="VT56" s="133">
        <f t="shared" si="448"/>
        <v>-3.3179217501661995</v>
      </c>
      <c r="VU56" s="134">
        <f t="shared" si="449"/>
        <v>7.9512942001350666</v>
      </c>
      <c r="VV56" s="133">
        <f t="shared" si="450"/>
        <v>20.127515889509205</v>
      </c>
      <c r="VW56" s="133">
        <f t="shared" si="234"/>
        <v>31.80163145374808</v>
      </c>
      <c r="VX56" s="133">
        <f t="shared" si="235"/>
        <v>39.132137171427594</v>
      </c>
      <c r="VY56" s="133">
        <f t="shared" si="236"/>
        <v>45.688725427965942</v>
      </c>
      <c r="VZ56" s="133">
        <f t="shared" si="237"/>
        <v>53.541089494102287</v>
      </c>
      <c r="WA56" s="81"/>
      <c r="WB56" s="81">
        <v>54</v>
      </c>
      <c r="WC56" s="133">
        <f t="shared" si="238"/>
        <v>-21.481391226083339</v>
      </c>
      <c r="WD56" s="133">
        <f t="shared" si="239"/>
        <v>-16.832976953121566</v>
      </c>
      <c r="WE56" s="133">
        <f t="shared" si="240"/>
        <v>-12.595969679428329</v>
      </c>
      <c r="WF56" s="133">
        <f t="shared" si="451"/>
        <v>-7.4426929288099899</v>
      </c>
      <c r="WG56" s="133">
        <f t="shared" si="452"/>
        <v>1.7772284948083978</v>
      </c>
      <c r="WH56" s="134">
        <f t="shared" si="453"/>
        <v>12.945355223984087</v>
      </c>
      <c r="WI56" s="133">
        <f t="shared" si="454"/>
        <v>25.024022379125832</v>
      </c>
      <c r="WJ56" s="133">
        <f t="shared" si="241"/>
        <v>36.613892196042663</v>
      </c>
      <c r="WK56" s="133">
        <f t="shared" si="242"/>
        <v>43.895474878164656</v>
      </c>
      <c r="WL56" s="133">
        <f t="shared" si="243"/>
        <v>50.4106275982003</v>
      </c>
      <c r="WM56" s="133">
        <f t="shared" si="244"/>
        <v>58.216014189692977</v>
      </c>
      <c r="WN56" s="81"/>
      <c r="WO56" s="81">
        <v>57</v>
      </c>
      <c r="WP56" s="133">
        <f t="shared" si="245"/>
        <v>-27.758720605651423</v>
      </c>
      <c r="WQ56" s="133">
        <f t="shared" si="246"/>
        <v>-23.082057529828084</v>
      </c>
      <c r="WR56" s="133">
        <f t="shared" si="247"/>
        <v>-18.865930927363458</v>
      </c>
      <c r="WS56" s="133">
        <f t="shared" si="455"/>
        <v>-13.792278938934487</v>
      </c>
      <c r="WT56" s="133">
        <f t="shared" si="456"/>
        <v>-4.8463167865056462</v>
      </c>
      <c r="WU56" s="134">
        <f t="shared" si="457"/>
        <v>5.7954968503289166</v>
      </c>
      <c r="WV56" s="133">
        <f t="shared" si="458"/>
        <v>17.102330267584982</v>
      </c>
      <c r="WW56" s="133">
        <f t="shared" si="248"/>
        <v>27.782557481843391</v>
      </c>
      <c r="WX56" s="133">
        <f t="shared" si="249"/>
        <v>34.417890817985644</v>
      </c>
      <c r="WY56" s="133">
        <f t="shared" si="250"/>
        <v>40.310250651989456</v>
      </c>
      <c r="WZ56" s="133">
        <f t="shared" si="251"/>
        <v>47.317967152936752</v>
      </c>
      <c r="XA56" s="81"/>
      <c r="XB56" s="81">
        <v>54</v>
      </c>
      <c r="XC56" s="133">
        <f t="shared" si="252"/>
        <v>-32.292533607687616</v>
      </c>
      <c r="XD56" s="133">
        <f t="shared" si="253"/>
        <v>-27.205643928624454</v>
      </c>
      <c r="XE56" s="133">
        <f t="shared" si="254"/>
        <v>-22.65140727371805</v>
      </c>
      <c r="XF56" s="133">
        <f t="shared" si="459"/>
        <v>-17.211853856228188</v>
      </c>
      <c r="XG56" s="133">
        <f t="shared" si="460"/>
        <v>-7.7270555558204563</v>
      </c>
      <c r="XH56" s="134">
        <f t="shared" si="461"/>
        <v>3.3910623745701685</v>
      </c>
      <c r="XI56" s="133">
        <f t="shared" si="462"/>
        <v>15.027591377798565</v>
      </c>
      <c r="XJ56" s="133">
        <f t="shared" si="255"/>
        <v>25.870302718359362</v>
      </c>
      <c r="XK56" s="133">
        <f t="shared" si="256"/>
        <v>32.540391594203662</v>
      </c>
      <c r="XL56" s="133">
        <f t="shared" si="257"/>
        <v>38.424121171034024</v>
      </c>
      <c r="XM56" s="133">
        <f t="shared" si="258"/>
        <v>45.375978446276299</v>
      </c>
      <c r="XN56" s="81"/>
      <c r="XO56" s="81">
        <v>54</v>
      </c>
      <c r="XP56" s="133">
        <f t="shared" si="259"/>
        <v>-22.916822590435977</v>
      </c>
      <c r="XQ56" s="133">
        <f t="shared" si="260"/>
        <v>-18.192534817475831</v>
      </c>
      <c r="XR56" s="133">
        <f t="shared" si="261"/>
        <v>-14.010509713821605</v>
      </c>
      <c r="XS56" s="133">
        <f t="shared" si="463"/>
        <v>-9.0620840252493551</v>
      </c>
      <c r="XT56" s="133">
        <f t="shared" si="464"/>
        <v>-0.52822195963842233</v>
      </c>
      <c r="XU56" s="134">
        <f t="shared" si="465"/>
        <v>9.3588634058934517</v>
      </c>
      <c r="XV56" s="133">
        <f t="shared" si="466"/>
        <v>19.605355770530302</v>
      </c>
      <c r="XW56" s="133">
        <f t="shared" si="262"/>
        <v>29.079343161580461</v>
      </c>
      <c r="XX56" s="133">
        <f t="shared" si="263"/>
        <v>34.877981618141597</v>
      </c>
      <c r="XY56" s="133">
        <f t="shared" si="264"/>
        <v>39.976593513764676</v>
      </c>
      <c r="XZ56" s="133">
        <f t="shared" si="265"/>
        <v>45.982789514667225</v>
      </c>
      <c r="YA56" s="81"/>
      <c r="YB56" s="81">
        <v>57</v>
      </c>
      <c r="YC56" s="133">
        <f t="shared" si="266"/>
        <v>-34.33772579971528</v>
      </c>
      <c r="YD56" s="133">
        <f t="shared" si="267"/>
        <v>-29.332589787550681</v>
      </c>
      <c r="YE56" s="133">
        <f t="shared" si="268"/>
        <v>-24.877577162523369</v>
      </c>
      <c r="YF56" s="133">
        <f t="shared" si="467"/>
        <v>-19.586075481302018</v>
      </c>
      <c r="YG56" s="133">
        <f t="shared" si="468"/>
        <v>-10.428131271295214</v>
      </c>
      <c r="YH56" s="134">
        <f t="shared" si="469"/>
        <v>0.21036127145896444</v>
      </c>
      <c r="YI56" s="133">
        <f t="shared" si="470"/>
        <v>11.249738802697429</v>
      </c>
      <c r="YJ56" s="133">
        <f t="shared" si="269"/>
        <v>21.460368025411462</v>
      </c>
      <c r="YK56" s="133">
        <f t="shared" si="270"/>
        <v>27.709266164380274</v>
      </c>
      <c r="YL56" s="133">
        <f t="shared" si="271"/>
        <v>33.202642778845579</v>
      </c>
      <c r="YM56" s="133">
        <f t="shared" si="272"/>
        <v>39.671969475614254</v>
      </c>
      <c r="YN56" s="81"/>
      <c r="YO56" s="81">
        <v>54</v>
      </c>
      <c r="YP56" s="133">
        <v>17.62995991467233</v>
      </c>
      <c r="YQ56" s="133">
        <v>19.612738003805138</v>
      </c>
      <c r="YR56" s="133">
        <v>21.495495417218045</v>
      </c>
      <c r="YS56" s="133">
        <v>23.891586979527922</v>
      </c>
      <c r="YT56" s="133">
        <v>28.497726416968476</v>
      </c>
      <c r="YU56" s="134">
        <v>34.685590988025915</v>
      </c>
      <c r="YV56" s="133">
        <v>42.217059865950056</v>
      </c>
      <c r="YW56" s="133">
        <v>50.356228877534221</v>
      </c>
      <c r="YX56" s="133">
        <v>55.969411210915432</v>
      </c>
      <c r="YY56" s="133">
        <v>61.342287953635505</v>
      </c>
      <c r="YZ56" s="133">
        <v>68.241234127104661</v>
      </c>
      <c r="ZA56" s="81"/>
      <c r="ZB56" s="81">
        <v>54</v>
      </c>
      <c r="ZC56" s="133">
        <v>14.946170178276194</v>
      </c>
      <c r="ZD56" s="133">
        <v>16.733475740382485</v>
      </c>
      <c r="ZE56" s="133">
        <v>18.440689983020096</v>
      </c>
      <c r="ZF56" s="133">
        <v>20.626272175230174</v>
      </c>
      <c r="ZG56" s="133">
        <v>24.863761767789544</v>
      </c>
      <c r="ZH56" s="134">
        <v>30.620446942205639</v>
      </c>
      <c r="ZI56" s="133">
        <v>37.709972436877436</v>
      </c>
      <c r="ZJ56" s="133">
        <v>45.457160798372293</v>
      </c>
      <c r="ZK56" s="133">
        <v>50.84472282782091</v>
      </c>
      <c r="ZL56" s="133">
        <v>56.032099098080067</v>
      </c>
      <c r="ZM56" s="133">
        <v>62.732576958291332</v>
      </c>
      <c r="ZN56" s="81"/>
      <c r="ZO56" s="81">
        <v>57</v>
      </c>
      <c r="ZP56" s="133">
        <v>20.261765527879195</v>
      </c>
      <c r="ZQ56" s="133">
        <v>22.272198444862301</v>
      </c>
      <c r="ZR56" s="133">
        <v>24.160120344756809</v>
      </c>
      <c r="ZS56" s="133">
        <v>26.536233751658298</v>
      </c>
      <c r="ZT56" s="133">
        <v>31.031382818851668</v>
      </c>
      <c r="ZU56" s="134">
        <v>36.944583763584767</v>
      </c>
      <c r="ZV56" s="133">
        <v>43.984577723534422</v>
      </c>
      <c r="ZW56" s="133">
        <v>51.435417785285246</v>
      </c>
      <c r="ZX56" s="133">
        <v>56.494017827222486</v>
      </c>
      <c r="ZY56" s="133">
        <v>61.282781439089781</v>
      </c>
      <c r="ZZ56" s="133">
        <v>67.363442123860992</v>
      </c>
      <c r="AAA56" s="81"/>
      <c r="AAB56" s="81">
        <v>54</v>
      </c>
      <c r="AAC56" s="133">
        <v>10.035518195260151</v>
      </c>
      <c r="AAD56" s="133">
        <v>11.117962873372129</v>
      </c>
      <c r="AAE56" s="133">
        <v>12.14185597633028</v>
      </c>
      <c r="AAF56" s="133">
        <v>13.439907670412117</v>
      </c>
      <c r="AAG56" s="133">
        <v>15.92141208689544</v>
      </c>
      <c r="AAH56" s="134">
        <v>19.230876605966944</v>
      </c>
      <c r="AAI56" s="133">
        <v>23.228254693459174</v>
      </c>
      <c r="AAJ56" s="133">
        <v>27.517050273202244</v>
      </c>
      <c r="AAK56" s="133">
        <v>30.458820772942641</v>
      </c>
      <c r="AAL56" s="133">
        <v>33.263882893481593</v>
      </c>
      <c r="AAM56" s="133">
        <v>36.851770664777277</v>
      </c>
      <c r="AAN56" s="81"/>
      <c r="AAO56" s="81">
        <v>54</v>
      </c>
      <c r="AAP56" s="133">
        <v>9.3780013032294356</v>
      </c>
      <c r="AAQ56" s="133">
        <v>10.48625126530777</v>
      </c>
      <c r="AAR56" s="133">
        <v>11.543604828838633</v>
      </c>
      <c r="AAS56" s="133">
        <v>12.895653617568545</v>
      </c>
      <c r="AAT56" s="133">
        <v>15.512644883732817</v>
      </c>
      <c r="AAU56" s="134">
        <v>19.060021912899675</v>
      </c>
      <c r="AAV56" s="133">
        <v>23.418600634709957</v>
      </c>
      <c r="AAW56" s="133">
        <v>28.171075782098452</v>
      </c>
      <c r="AAX56" s="133">
        <v>31.470622973219402</v>
      </c>
      <c r="AAY56" s="133">
        <v>34.643880461084223</v>
      </c>
      <c r="AAZ56" s="133">
        <v>38.737938242247189</v>
      </c>
      <c r="ABA56" s="81"/>
      <c r="ABB56" s="81">
        <v>57</v>
      </c>
      <c r="ABC56" s="133">
        <v>10.375969853954127</v>
      </c>
      <c r="ABD56" s="133">
        <v>11.434228489707372</v>
      </c>
      <c r="ABE56" s="133">
        <v>12.430321551838981</v>
      </c>
      <c r="ABF56" s="133">
        <v>13.686919982546488</v>
      </c>
      <c r="ABG56" s="133">
        <v>16.072169323660216</v>
      </c>
      <c r="ABH56" s="134">
        <v>19.223750941070129</v>
      </c>
      <c r="ABI56" s="133">
        <v>22.993324224146118</v>
      </c>
      <c r="ABJ56" s="133">
        <v>27.000420892030267</v>
      </c>
      <c r="ABK56" s="133">
        <v>29.729930855217653</v>
      </c>
      <c r="ABL56" s="133">
        <v>32.319854424542129</v>
      </c>
      <c r="ABM56" s="133">
        <v>35.616198335759776</v>
      </c>
      <c r="ABN56" s="81"/>
      <c r="ABO56" s="81">
        <v>54</v>
      </c>
      <c r="ABP56" s="133">
        <f t="shared" si="273"/>
        <v>0.27372581360569509</v>
      </c>
      <c r="ABQ56" s="133">
        <f t="shared" si="274"/>
        <v>0.30870189177889479</v>
      </c>
      <c r="ABR56" s="133">
        <f t="shared" si="275"/>
        <v>0.34129669404135748</v>
      </c>
      <c r="ABS56" s="133">
        <f t="shared" si="471"/>
        <v>0.38191159175345807</v>
      </c>
      <c r="ABT56" s="133">
        <f t="shared" si="472"/>
        <v>0.45735030722285791</v>
      </c>
      <c r="ABU56" s="134">
        <f t="shared" si="473"/>
        <v>0.55363480848865887</v>
      </c>
      <c r="ABV56" s="133">
        <f t="shared" si="474"/>
        <v>0.66391483059740386</v>
      </c>
      <c r="ABW56" s="133">
        <f t="shared" si="276"/>
        <v>0.77576492991533397</v>
      </c>
      <c r="ABX56" s="133">
        <f t="shared" si="277"/>
        <v>0.84905788736639809</v>
      </c>
      <c r="ABY56" s="133">
        <f t="shared" si="278"/>
        <v>0.91660823658452761</v>
      </c>
      <c r="ABZ56" s="133">
        <f t="shared" si="279"/>
        <v>0.99998216311366817</v>
      </c>
      <c r="ACA56" s="81"/>
      <c r="ACB56" s="81">
        <v>54</v>
      </c>
      <c r="ACC56" s="133">
        <f t="shared" si="280"/>
        <v>0.32703944315621009</v>
      </c>
      <c r="ACD56" s="133">
        <f t="shared" si="281"/>
        <v>0.36141334353192223</v>
      </c>
      <c r="ACE56" s="133">
        <f t="shared" si="282"/>
        <v>0.3934150210053885</v>
      </c>
      <c r="ACF56" s="133">
        <f t="shared" si="475"/>
        <v>0.43330427145444916</v>
      </c>
      <c r="ACG56" s="133">
        <f t="shared" si="476"/>
        <v>0.50759009862342974</v>
      </c>
      <c r="ACH56" s="134">
        <f t="shared" si="477"/>
        <v>0.60303633608143203</v>
      </c>
      <c r="ACI56" s="133">
        <f t="shared" si="478"/>
        <v>0.71350804282900604</v>
      </c>
      <c r="ACJ56" s="133">
        <f t="shared" si="283"/>
        <v>0.8269906073871397</v>
      </c>
      <c r="ACK56" s="133">
        <f t="shared" si="284"/>
        <v>0.90218755703712206</v>
      </c>
      <c r="ACL56" s="133">
        <f t="shared" si="285"/>
        <v>0.97209334715667028</v>
      </c>
      <c r="ACM56" s="133">
        <f t="shared" si="286"/>
        <v>1.0591783708722162</v>
      </c>
      <c r="ACN56" s="81"/>
      <c r="ACO56" s="81">
        <v>57</v>
      </c>
      <c r="ACP56" s="133">
        <f t="shared" si="287"/>
        <v>0.25744613938002281</v>
      </c>
      <c r="ACQ56" s="133">
        <f t="shared" si="288"/>
        <v>0.29355795343512864</v>
      </c>
      <c r="ACR56" s="133">
        <f t="shared" si="289"/>
        <v>0.32657546586340802</v>
      </c>
      <c r="ACS56" s="133">
        <f t="shared" si="479"/>
        <v>0.36689993278949268</v>
      </c>
      <c r="ACT56" s="133">
        <f t="shared" si="480"/>
        <v>0.43963506307023886</v>
      </c>
      <c r="ACU56" s="134">
        <f t="shared" si="481"/>
        <v>0.52857681567843129</v>
      </c>
      <c r="ACV56" s="133">
        <f t="shared" si="482"/>
        <v>0.62599248918525563</v>
      </c>
      <c r="ACW56" s="133">
        <f t="shared" si="290"/>
        <v>0.72079634661506564</v>
      </c>
      <c r="ACX56" s="133">
        <f t="shared" si="291"/>
        <v>0.78088771939933488</v>
      </c>
      <c r="ACY56" s="133">
        <f t="shared" si="292"/>
        <v>0.83502072913420833</v>
      </c>
      <c r="ACZ56" s="133">
        <f t="shared" si="293"/>
        <v>0.90031862098065296</v>
      </c>
      <c r="ADA56" s="81"/>
      <c r="ADB56" s="81">
        <v>54</v>
      </c>
      <c r="ADC56" s="133">
        <f t="shared" si="294"/>
        <v>0.21691966911883945</v>
      </c>
      <c r="ADD56" s="133">
        <f t="shared" si="295"/>
        <v>0.23765246419465619</v>
      </c>
      <c r="ADE56" s="133">
        <f t="shared" si="296"/>
        <v>0.25581685894147749</v>
      </c>
      <c r="ADF56" s="133">
        <f t="shared" si="483"/>
        <v>0.27712477884445913</v>
      </c>
      <c r="ADG56" s="133">
        <f t="shared" si="484"/>
        <v>0.31349795000477543</v>
      </c>
      <c r="ADH56" s="134">
        <f t="shared" si="485"/>
        <v>0.3551872735604264</v>
      </c>
      <c r="ADI56" s="133">
        <f t="shared" si="486"/>
        <v>0.39800932103260467</v>
      </c>
      <c r="ADJ56" s="133">
        <f t="shared" si="297"/>
        <v>0.43733604383987212</v>
      </c>
      <c r="ADK56" s="133">
        <f t="shared" si="298"/>
        <v>0.46130298088181554</v>
      </c>
      <c r="ADL56" s="133">
        <f t="shared" si="299"/>
        <v>0.48232063645848766</v>
      </c>
      <c r="ADM56" s="133">
        <f t="shared" si="300"/>
        <v>0.5070196208105775</v>
      </c>
      <c r="ADN56" s="81"/>
      <c r="ADO56" s="81">
        <v>54</v>
      </c>
      <c r="ADP56" s="133">
        <f t="shared" si="301"/>
        <v>0.24814572560781939</v>
      </c>
      <c r="ADQ56" s="133">
        <f t="shared" si="302"/>
        <v>0.26672164980980212</v>
      </c>
      <c r="ADR56" s="133">
        <f t="shared" si="303"/>
        <v>0.28311544808311412</v>
      </c>
      <c r="ADS56" s="133">
        <f t="shared" si="487"/>
        <v>0.30248886375879347</v>
      </c>
      <c r="ADT56" s="133">
        <f t="shared" si="488"/>
        <v>0.33591449295255138</v>
      </c>
      <c r="ADU56" s="134">
        <f t="shared" si="489"/>
        <v>0.37476933157298981</v>
      </c>
      <c r="ADV56" s="133">
        <f t="shared" si="490"/>
        <v>0.41527174491220903</v>
      </c>
      <c r="ADW56" s="133">
        <f t="shared" si="304"/>
        <v>0.4529825418972766</v>
      </c>
      <c r="ADX56" s="133">
        <f t="shared" si="305"/>
        <v>0.47620026138362909</v>
      </c>
      <c r="ADY56" s="133">
        <f t="shared" si="306"/>
        <v>0.49670475429972044</v>
      </c>
      <c r="ADZ56" s="133">
        <f t="shared" si="307"/>
        <v>0.52096959713540858</v>
      </c>
      <c r="AEA56" s="81"/>
      <c r="AEB56" s="81">
        <v>57</v>
      </c>
      <c r="AEC56" s="133">
        <f t="shared" si="308"/>
        <v>0.20715049825963999</v>
      </c>
      <c r="AED56" s="133">
        <f t="shared" si="309"/>
        <v>0.22903055329348512</v>
      </c>
      <c r="AEE56" s="133">
        <f t="shared" si="310"/>
        <v>0.24778154226941332</v>
      </c>
      <c r="AEF56" s="133">
        <f t="shared" si="491"/>
        <v>0.2693302297966379</v>
      </c>
      <c r="AEG56" s="133">
        <f t="shared" si="492"/>
        <v>0.30512684583313926</v>
      </c>
      <c r="AEH56" s="134">
        <f t="shared" si="493"/>
        <v>0.34482880785324033</v>
      </c>
      <c r="AEI56" s="133">
        <f t="shared" si="494"/>
        <v>0.38434833919262662</v>
      </c>
      <c r="AEJ56" s="133">
        <f t="shared" si="311"/>
        <v>0.41966635352997794</v>
      </c>
      <c r="AEK56" s="133">
        <f t="shared" si="312"/>
        <v>0.4407804297446079</v>
      </c>
      <c r="AEL56" s="133">
        <f t="shared" si="313"/>
        <v>0.45906093847673413</v>
      </c>
      <c r="AEM56" s="133">
        <f t="shared" si="314"/>
        <v>0.48027953133962487</v>
      </c>
      <c r="AEN56" s="81"/>
    </row>
    <row r="57" spans="1:820">
      <c r="A57" s="81"/>
      <c r="B57" s="81">
        <v>56</v>
      </c>
      <c r="C57" s="133">
        <f t="shared" si="0"/>
        <v>2.1968819905036918</v>
      </c>
      <c r="D57" s="133">
        <f t="shared" si="1"/>
        <v>2.6489395966613478</v>
      </c>
      <c r="E57" s="133">
        <f t="shared" si="2"/>
        <v>3.1280590472998773</v>
      </c>
      <c r="F57" s="133">
        <f t="shared" si="315"/>
        <v>3.8137965929287301</v>
      </c>
      <c r="G57" s="133">
        <f t="shared" si="316"/>
        <v>5.3992908497524033</v>
      </c>
      <c r="H57" s="134">
        <f t="shared" si="317"/>
        <v>8.1817314275453263</v>
      </c>
      <c r="I57" s="133">
        <f t="shared" si="318"/>
        <v>12.832468083904059</v>
      </c>
      <c r="J57" s="133">
        <f t="shared" si="3"/>
        <v>19.889115017588477</v>
      </c>
      <c r="K57" s="133">
        <f t="shared" si="4"/>
        <v>26.333868781047013</v>
      </c>
      <c r="L57" s="133">
        <f t="shared" si="5"/>
        <v>34.009097576815734</v>
      </c>
      <c r="M57" s="133">
        <f t="shared" si="6"/>
        <v>46.525046629505198</v>
      </c>
      <c r="N57" s="81"/>
      <c r="O57" s="75">
        <v>56</v>
      </c>
      <c r="P57" s="151">
        <f t="shared" si="7"/>
        <v>2.909361472379314</v>
      </c>
      <c r="Q57" s="151">
        <f t="shared" si="8"/>
        <v>3.3528066190001811</v>
      </c>
      <c r="R57" s="151">
        <f t="shared" si="9"/>
        <v>3.8138998048375568</v>
      </c>
      <c r="S57" s="151">
        <f t="shared" si="319"/>
        <v>4.4639085256205551</v>
      </c>
      <c r="T57" s="151">
        <f t="shared" si="320"/>
        <v>5.9478488168539974</v>
      </c>
      <c r="U57" s="134">
        <f t="shared" si="321"/>
        <v>8.5650108940685818</v>
      </c>
      <c r="V57" s="151">
        <f t="shared" si="322"/>
        <v>13.135481788208022</v>
      </c>
      <c r="W57" s="151">
        <f t="shared" si="10"/>
        <v>20.778324872344598</v>
      </c>
      <c r="X57" s="151">
        <f t="shared" si="11"/>
        <v>28.670625263735896</v>
      </c>
      <c r="Y57" s="151">
        <f t="shared" si="12"/>
        <v>39.391419863257006</v>
      </c>
      <c r="Z57" s="151">
        <f t="shared" si="13"/>
        <v>60.500596700425078</v>
      </c>
      <c r="AA57" s="81"/>
      <c r="AB57" s="75">
        <v>58</v>
      </c>
      <c r="AC57" s="151">
        <f t="shared" si="14"/>
        <v>1.9447599169469429</v>
      </c>
      <c r="AD57" s="151">
        <f t="shared" si="15"/>
        <v>2.3426277073324795</v>
      </c>
      <c r="AE57" s="151">
        <f t="shared" si="16"/>
        <v>2.7672148246788875</v>
      </c>
      <c r="AF57" s="151">
        <f t="shared" si="323"/>
        <v>3.3803074719295396</v>
      </c>
      <c r="AG57" s="151">
        <f t="shared" si="324"/>
        <v>4.8224046248232009</v>
      </c>
      <c r="AH57" s="134">
        <f t="shared" si="325"/>
        <v>7.4331321966543378</v>
      </c>
      <c r="AI57" s="151">
        <f t="shared" si="326"/>
        <v>12.005102391890187</v>
      </c>
      <c r="AJ57" s="151">
        <f t="shared" si="17"/>
        <v>19.383059947745117</v>
      </c>
      <c r="AK57" s="151">
        <f t="shared" si="18"/>
        <v>26.535118375738698</v>
      </c>
      <c r="AL57" s="151">
        <f t="shared" si="19"/>
        <v>35.519961539923962</v>
      </c>
      <c r="AM57" s="151">
        <f t="shared" si="20"/>
        <v>51.169005854151777</v>
      </c>
      <c r="AN57" s="81"/>
      <c r="AO57" s="81">
        <v>56</v>
      </c>
      <c r="AP57" s="133">
        <f t="shared" si="21"/>
        <v>1.7609558060490462</v>
      </c>
      <c r="AQ57" s="133">
        <f t="shared" si="22"/>
        <v>4.3404010805204836</v>
      </c>
      <c r="AR57" s="133">
        <f t="shared" si="23"/>
        <v>6.8395677409115256</v>
      </c>
      <c r="AS57" s="133">
        <f t="shared" si="327"/>
        <v>10.046692921222309</v>
      </c>
      <c r="AT57" s="133">
        <f t="shared" si="328"/>
        <v>16.182616169394816</v>
      </c>
      <c r="AU57" s="134">
        <f t="shared" si="329"/>
        <v>24.195654323696129</v>
      </c>
      <c r="AV57" s="133">
        <f t="shared" si="330"/>
        <v>33.464160062046929</v>
      </c>
      <c r="AW57" s="133">
        <f t="shared" si="24"/>
        <v>42.861840232436698</v>
      </c>
      <c r="AX57" s="133">
        <f t="shared" si="25"/>
        <v>48.990699208934032</v>
      </c>
      <c r="AY57" s="133">
        <f t="shared" si="26"/>
        <v>54.609342589986689</v>
      </c>
      <c r="AZ57" s="133">
        <f t="shared" si="27"/>
        <v>61.497757415427309</v>
      </c>
      <c r="BA57" s="81"/>
      <c r="BB57" s="81">
        <v>56</v>
      </c>
      <c r="BC57" s="133">
        <f t="shared" si="28"/>
        <v>4.6313403965799909</v>
      </c>
      <c r="BD57" s="133">
        <f t="shared" si="29"/>
        <v>7.6087192524136507</v>
      </c>
      <c r="BE57" s="133">
        <f t="shared" si="30"/>
        <v>10.38951011218327</v>
      </c>
      <c r="BF57" s="133">
        <f t="shared" si="331"/>
        <v>13.839833281314316</v>
      </c>
      <c r="BG57" s="133">
        <f t="shared" si="332"/>
        <v>20.156958354065075</v>
      </c>
      <c r="BH57" s="134">
        <f t="shared" si="333"/>
        <v>27.992010707153977</v>
      </c>
      <c r="BI57" s="133">
        <f t="shared" si="334"/>
        <v>36.629223720887268</v>
      </c>
      <c r="BJ57" s="133">
        <f t="shared" si="31"/>
        <v>45.036125497105978</v>
      </c>
      <c r="BK57" s="133">
        <f t="shared" si="32"/>
        <v>50.365613838217591</v>
      </c>
      <c r="BL57" s="133">
        <f t="shared" si="33"/>
        <v>55.160598499437555</v>
      </c>
      <c r="BM57" s="133">
        <f t="shared" si="34"/>
        <v>60.934150175589942</v>
      </c>
      <c r="BN57" s="81"/>
      <c r="BO57" s="75">
        <v>58</v>
      </c>
      <c r="BP57" s="151">
        <f t="shared" si="35"/>
        <v>4.6782882124780372</v>
      </c>
      <c r="BQ57" s="151">
        <f t="shared" si="36"/>
        <v>6.0207845503863702</v>
      </c>
      <c r="BR57" s="151">
        <f t="shared" si="37"/>
        <v>7.4254105467116274</v>
      </c>
      <c r="BS57" s="151">
        <f t="shared" si="335"/>
        <v>9.3826060963865139</v>
      </c>
      <c r="BT57" s="151">
        <f t="shared" si="336"/>
        <v>13.625657057348587</v>
      </c>
      <c r="BU57" s="134">
        <f t="shared" si="337"/>
        <v>20.183843434866862</v>
      </c>
      <c r="BV57" s="151">
        <f t="shared" si="338"/>
        <v>29.259684842627813</v>
      </c>
      <c r="BW57" s="151">
        <f t="shared" si="38"/>
        <v>40.158641785344258</v>
      </c>
      <c r="BX57" s="151">
        <f t="shared" si="39"/>
        <v>48.219555203119874</v>
      </c>
      <c r="BY57" s="151">
        <f t="shared" si="40"/>
        <v>56.289736755078927</v>
      </c>
      <c r="BZ57" s="151">
        <f t="shared" si="41"/>
        <v>67.093956731590382</v>
      </c>
      <c r="CA57" s="81"/>
      <c r="CB57" s="81">
        <v>56</v>
      </c>
      <c r="CC57" s="133">
        <f t="shared" si="42"/>
        <v>-4.1351314244030934</v>
      </c>
      <c r="CD57" s="133">
        <f t="shared" si="43"/>
        <v>-1.5750729243046822</v>
      </c>
      <c r="CE57" s="133">
        <f t="shared" si="44"/>
        <v>0.96626680056615921</v>
      </c>
      <c r="CF57" s="133">
        <f t="shared" si="339"/>
        <v>4.2210072976041504</v>
      </c>
      <c r="CG57" s="133">
        <f t="shared" si="340"/>
        <v>10.308229593016744</v>
      </c>
      <c r="CH57" s="134">
        <f t="shared" si="341"/>
        <v>17.919470929837257</v>
      </c>
      <c r="CI57" s="133">
        <f t="shared" si="342"/>
        <v>26.281823074092525</v>
      </c>
      <c r="CJ57" s="133">
        <f t="shared" si="45"/>
        <v>34.352077005156708</v>
      </c>
      <c r="CK57" s="133">
        <f t="shared" si="46"/>
        <v>39.42635531506</v>
      </c>
      <c r="CL57" s="133">
        <f t="shared" si="47"/>
        <v>43.96296339070323</v>
      </c>
      <c r="CM57" s="133">
        <f t="shared" si="48"/>
        <v>49.389266781088018</v>
      </c>
      <c r="CN57" s="81"/>
      <c r="CO57" s="81">
        <v>56</v>
      </c>
      <c r="CP57" s="133">
        <f t="shared" si="49"/>
        <v>1.7316582856419709</v>
      </c>
      <c r="CQ57" s="133">
        <f t="shared" si="50"/>
        <v>4.3817985958846934</v>
      </c>
      <c r="CR57" s="133">
        <f t="shared" si="51"/>
        <v>6.8409385813835071</v>
      </c>
      <c r="CS57" s="133">
        <f t="shared" si="343"/>
        <v>9.8642320988881806</v>
      </c>
      <c r="CT57" s="133">
        <f t="shared" si="344"/>
        <v>15.315014628905235</v>
      </c>
      <c r="CU57" s="134">
        <f t="shared" si="345"/>
        <v>21.932033492309536</v>
      </c>
      <c r="CV57" s="133">
        <f t="shared" si="346"/>
        <v>29.064065539969466</v>
      </c>
      <c r="CW57" s="133">
        <f t="shared" si="52"/>
        <v>35.864450367621018</v>
      </c>
      <c r="CX57" s="133">
        <f t="shared" si="53"/>
        <v>40.111685503833485</v>
      </c>
      <c r="CY57" s="133">
        <f t="shared" si="54"/>
        <v>43.89451566233145</v>
      </c>
      <c r="CZ57" s="133">
        <f t="shared" si="55"/>
        <v>48.404595186929399</v>
      </c>
      <c r="DA57" s="81"/>
      <c r="DB57" s="81">
        <v>58</v>
      </c>
      <c r="DC57" s="133">
        <f t="shared" si="56"/>
        <v>-4.5214206538338653</v>
      </c>
      <c r="DD57" s="133">
        <f t="shared" si="57"/>
        <v>-2.5704889884325794</v>
      </c>
      <c r="DE57" s="133">
        <f t="shared" si="58"/>
        <v>-0.55757071692114923</v>
      </c>
      <c r="DF57" s="133">
        <f t="shared" si="347"/>
        <v>2.1142972977985073</v>
      </c>
      <c r="DG57" s="133">
        <f t="shared" si="348"/>
        <v>7.3397551587934631</v>
      </c>
      <c r="DH57" s="134">
        <f t="shared" si="349"/>
        <v>14.202624038636795</v>
      </c>
      <c r="DI57" s="133">
        <f t="shared" si="350"/>
        <v>22.074211788902666</v>
      </c>
      <c r="DJ57" s="133">
        <f t="shared" si="59"/>
        <v>29.93957926027009</v>
      </c>
      <c r="DK57" s="133">
        <f t="shared" si="60"/>
        <v>35.001591498840938</v>
      </c>
      <c r="DL57" s="133">
        <f t="shared" si="61"/>
        <v>39.595894572389916</v>
      </c>
      <c r="DM57" s="133">
        <f t="shared" si="62"/>
        <v>45.169940958123021</v>
      </c>
      <c r="DN57" s="81"/>
      <c r="DO57" s="81">
        <v>56</v>
      </c>
      <c r="DP57" s="133">
        <v>13.257175140602735</v>
      </c>
      <c r="DQ57" s="133">
        <v>14.431697073367342</v>
      </c>
      <c r="DR57" s="133">
        <v>15.524746078644622</v>
      </c>
      <c r="DS57" s="133">
        <v>16.88810024159903</v>
      </c>
      <c r="DT57" s="133">
        <v>19.434043048178822</v>
      </c>
      <c r="DU57" s="134">
        <v>22.726551532233113</v>
      </c>
      <c r="DV57" s="133">
        <v>26.576875602611594</v>
      </c>
      <c r="DW57" s="133">
        <v>30.583436689640564</v>
      </c>
      <c r="DX57" s="133">
        <v>33.269216896096225</v>
      </c>
      <c r="DY57" s="133">
        <v>35.789009561488349</v>
      </c>
      <c r="DZ57" s="133">
        <v>38.959743615770385</v>
      </c>
      <c r="EA57" s="81"/>
      <c r="EB57" s="81">
        <v>56</v>
      </c>
      <c r="EC57" s="133">
        <v>12.776167048327647</v>
      </c>
      <c r="ED57" s="133">
        <v>13.826009347212509</v>
      </c>
      <c r="EE57" s="133">
        <v>14.797674954536143</v>
      </c>
      <c r="EF57" s="133">
        <v>16.00299427518889</v>
      </c>
      <c r="EG57" s="133">
        <v>18.236110704338813</v>
      </c>
      <c r="EH57" s="134">
        <v>21.09424757527081</v>
      </c>
      <c r="EI57" s="133">
        <v>24.400338865071156</v>
      </c>
      <c r="EJ57" s="133">
        <v>27.805251512005952</v>
      </c>
      <c r="EK57" s="133">
        <v>30.070080748085108</v>
      </c>
      <c r="EL57" s="133">
        <v>32.183348759020568</v>
      </c>
      <c r="EM57" s="133">
        <v>34.82791662661166</v>
      </c>
      <c r="EN57" s="81"/>
      <c r="EO57" s="81">
        <v>58</v>
      </c>
      <c r="EP57" s="133">
        <v>13.172692861165507</v>
      </c>
      <c r="EQ57" s="133">
        <v>14.374997839809796</v>
      </c>
      <c r="ER57" s="133">
        <v>15.496456629171318</v>
      </c>
      <c r="ES57" s="133">
        <v>16.89843694235978</v>
      </c>
      <c r="ET57" s="133">
        <v>19.525113107135635</v>
      </c>
      <c r="EU57" s="134">
        <v>22.936693677744397</v>
      </c>
      <c r="EV57" s="133">
        <v>26.944372305552189</v>
      </c>
      <c r="EW57" s="133">
        <v>31.132578632045568</v>
      </c>
      <c r="EX57" s="133">
        <v>33.949174927921092</v>
      </c>
      <c r="EY57" s="133">
        <v>36.597704064325676</v>
      </c>
      <c r="EZ57" s="133">
        <v>39.938069035045537</v>
      </c>
      <c r="FA57" s="81"/>
      <c r="FB57" s="81">
        <v>56</v>
      </c>
      <c r="FC57" s="133">
        <v>9.0271305148862897</v>
      </c>
      <c r="FD57" s="133">
        <v>9.8139166078679558</v>
      </c>
      <c r="FE57" s="133">
        <v>10.545228447927446</v>
      </c>
      <c r="FF57" s="133">
        <v>11.456272699497585</v>
      </c>
      <c r="FG57" s="133">
        <v>13.154568560128919</v>
      </c>
      <c r="FH57" s="134">
        <v>15.345785956650554</v>
      </c>
      <c r="FI57" s="133">
        <v>17.902004581214886</v>
      </c>
      <c r="FJ57" s="133">
        <v>20.555825861029021</v>
      </c>
      <c r="FK57" s="133">
        <v>22.331725461444794</v>
      </c>
      <c r="FL57" s="133">
        <v>23.995837343730336</v>
      </c>
      <c r="FM57" s="133">
        <v>26.087265077090738</v>
      </c>
      <c r="FN57" s="81"/>
      <c r="FO57" s="81">
        <v>56</v>
      </c>
      <c r="FP57" s="133">
        <v>8.9681731401445308</v>
      </c>
      <c r="FQ57" s="133">
        <v>9.672179919755548</v>
      </c>
      <c r="FR57" s="133">
        <v>10.321710299562181</v>
      </c>
      <c r="FS57" s="133">
        <v>11.124896131464089</v>
      </c>
      <c r="FT57" s="133">
        <v>12.606241212920606</v>
      </c>
      <c r="FU57" s="134">
        <v>14.490933268182408</v>
      </c>
      <c r="FV57" s="133">
        <v>16.657395605574493</v>
      </c>
      <c r="FW57" s="133">
        <v>18.875425397367774</v>
      </c>
      <c r="FX57" s="133">
        <v>20.344220181399869</v>
      </c>
      <c r="FY57" s="133">
        <v>21.710426059591221</v>
      </c>
      <c r="FZ57" s="133">
        <v>23.414707064802684</v>
      </c>
      <c r="GA57" s="81"/>
      <c r="GB57" s="81">
        <v>58</v>
      </c>
      <c r="GC57" s="133">
        <v>8.9448504335916166</v>
      </c>
      <c r="GD57" s="133">
        <v>9.7594027353915962</v>
      </c>
      <c r="GE57" s="133">
        <v>10.519047506887651</v>
      </c>
      <c r="GF57" s="133">
        <v>11.468541231054283</v>
      </c>
      <c r="GG57" s="133">
        <v>13.247008079014197</v>
      </c>
      <c r="GH57" s="134">
        <v>15.556142411964384</v>
      </c>
      <c r="GI57" s="133">
        <v>18.267790379374894</v>
      </c>
      <c r="GJ57" s="133">
        <v>21.100640601618259</v>
      </c>
      <c r="GK57" s="133">
        <v>23.005273679281778</v>
      </c>
      <c r="GL57" s="133">
        <v>24.795940212995738</v>
      </c>
      <c r="GM57" s="133">
        <v>27.053953393399517</v>
      </c>
      <c r="GN57" s="81"/>
      <c r="GO57" s="81">
        <v>56</v>
      </c>
      <c r="GP57" s="133">
        <f t="shared" si="63"/>
        <v>0.49759741716367506</v>
      </c>
      <c r="GQ57" s="133">
        <f t="shared" si="64"/>
        <v>0.53032283587221762</v>
      </c>
      <c r="GR57" s="133">
        <f t="shared" si="65"/>
        <v>0.5568453847700634</v>
      </c>
      <c r="GS57" s="133">
        <f t="shared" si="351"/>
        <v>0.58585141644170236</v>
      </c>
      <c r="GT57" s="133">
        <f t="shared" si="352"/>
        <v>0.63239151359519563</v>
      </c>
      <c r="GU57" s="134">
        <f t="shared" si="353"/>
        <v>0.67781420010702387</v>
      </c>
      <c r="GV57" s="133">
        <f t="shared" si="354"/>
        <v>0.72021809384585933</v>
      </c>
      <c r="GW57" s="133">
        <f t="shared" si="66"/>
        <v>0.75812744905355545</v>
      </c>
      <c r="GX57" s="133">
        <f t="shared" si="67"/>
        <v>0.77930585268333652</v>
      </c>
      <c r="GY57" s="133">
        <f t="shared" si="68"/>
        <v>0.79719282083560272</v>
      </c>
      <c r="GZ57" s="133">
        <f t="shared" si="69"/>
        <v>0.81746962429931092</v>
      </c>
      <c r="HA57" s="81"/>
      <c r="HB57" s="81">
        <v>56</v>
      </c>
      <c r="HC57" s="133">
        <f t="shared" si="70"/>
        <v>0.48723349243855535</v>
      </c>
      <c r="HD57" s="133">
        <f t="shared" si="71"/>
        <v>0.52198977145942749</v>
      </c>
      <c r="HE57" s="133">
        <f t="shared" si="72"/>
        <v>0.55006237320359375</v>
      </c>
      <c r="HF57" s="133">
        <f t="shared" si="355"/>
        <v>0.58068294390282527</v>
      </c>
      <c r="HG57" s="133">
        <f t="shared" si="356"/>
        <v>0.62832873958536428</v>
      </c>
      <c r="HH57" s="134">
        <f t="shared" si="357"/>
        <v>0.67735151425253826</v>
      </c>
      <c r="HI57" s="133">
        <f t="shared" si="358"/>
        <v>0.72293460785551666</v>
      </c>
      <c r="HJ57" s="133">
        <f t="shared" si="73"/>
        <v>0.76142516614819866</v>
      </c>
      <c r="HK57" s="133">
        <f t="shared" si="74"/>
        <v>0.7835578260105267</v>
      </c>
      <c r="HL57" s="133">
        <f t="shared" si="75"/>
        <v>0.80224100781379215</v>
      </c>
      <c r="HM57" s="133">
        <f t="shared" si="76"/>
        <v>0.82341069668506484</v>
      </c>
      <c r="HN57" s="81"/>
      <c r="HO57" s="81">
        <v>58</v>
      </c>
      <c r="HP57" s="83">
        <f t="shared" si="77"/>
        <v>0.50793779739781741</v>
      </c>
      <c r="HQ57" s="83">
        <f t="shared" si="78"/>
        <v>0.53906511327931783</v>
      </c>
      <c r="HR57" s="83">
        <f t="shared" si="79"/>
        <v>0.56436103945754323</v>
      </c>
      <c r="HS57" s="83">
        <f t="shared" si="359"/>
        <v>0.5920842496142642</v>
      </c>
      <c r="HT57" s="83">
        <f t="shared" si="360"/>
        <v>0.63544551156869</v>
      </c>
      <c r="HU57" s="84">
        <f t="shared" si="361"/>
        <v>0.68028615112416591</v>
      </c>
      <c r="HV57" s="83">
        <f t="shared" si="362"/>
        <v>0.72214078430937001</v>
      </c>
      <c r="HW57" s="83">
        <f t="shared" si="80"/>
        <v>0.75757860522951259</v>
      </c>
      <c r="HX57" s="83">
        <f t="shared" si="81"/>
        <v>0.77798896494894132</v>
      </c>
      <c r="HY57" s="83">
        <f t="shared" si="82"/>
        <v>0.79523471717290428</v>
      </c>
      <c r="HZ57" s="83">
        <f t="shared" si="83"/>
        <v>0.81479207789319674</v>
      </c>
      <c r="IA57" s="81"/>
      <c r="IB57" s="81">
        <v>56</v>
      </c>
      <c r="IC57" s="83">
        <f t="shared" si="84"/>
        <v>0.33336875394278859</v>
      </c>
      <c r="ID57" s="83">
        <f t="shared" si="85"/>
        <v>0.34706794014028808</v>
      </c>
      <c r="IE57" s="83">
        <f t="shared" si="86"/>
        <v>0.35781438028349943</v>
      </c>
      <c r="IF57" s="83">
        <f t="shared" si="363"/>
        <v>0.36924204198413357</v>
      </c>
      <c r="IG57" s="83">
        <f t="shared" si="364"/>
        <v>0.38647245050104467</v>
      </c>
      <c r="IH57" s="84">
        <f t="shared" si="365"/>
        <v>0.40357517510914376</v>
      </c>
      <c r="II57" s="83">
        <f t="shared" si="366"/>
        <v>0.41897116884835606</v>
      </c>
      <c r="IJ57" s="83">
        <f t="shared" si="87"/>
        <v>0.43162780185535055</v>
      </c>
      <c r="IK57" s="83">
        <f t="shared" si="88"/>
        <v>0.43877337349556794</v>
      </c>
      <c r="IL57" s="83">
        <f t="shared" si="89"/>
        <v>0.44473407239632851</v>
      </c>
      <c r="IM57" s="83">
        <f t="shared" si="90"/>
        <v>0.45141240303415325</v>
      </c>
      <c r="IN57" s="81"/>
      <c r="IO57" s="81">
        <v>56</v>
      </c>
      <c r="IP57" s="133">
        <f t="shared" si="91"/>
        <v>0.32846864761241973</v>
      </c>
      <c r="IQ57" s="133">
        <f t="shared" si="92"/>
        <v>0.343261451887027</v>
      </c>
      <c r="IR57" s="133">
        <f t="shared" si="93"/>
        <v>0.35478907072957377</v>
      </c>
      <c r="IS57" s="133">
        <f t="shared" si="367"/>
        <v>0.3669856596335721</v>
      </c>
      <c r="IT57" s="133">
        <f t="shared" si="368"/>
        <v>0.38527574746305432</v>
      </c>
      <c r="IU57" s="134">
        <f t="shared" si="369"/>
        <v>0.4033342786166052</v>
      </c>
      <c r="IV57" s="133">
        <f t="shared" si="370"/>
        <v>0.41952520098602897</v>
      </c>
      <c r="IW57" s="133">
        <f t="shared" si="94"/>
        <v>0.43279711162539775</v>
      </c>
      <c r="IX57" s="133">
        <f t="shared" si="95"/>
        <v>0.44027693538099577</v>
      </c>
      <c r="IY57" s="133">
        <f t="shared" si="96"/>
        <v>0.44650995553844885</v>
      </c>
      <c r="IZ57" s="133">
        <f t="shared" si="97"/>
        <v>0.45348690971440464</v>
      </c>
      <c r="JA57" s="81"/>
      <c r="JB57" s="81">
        <v>58</v>
      </c>
      <c r="JC57" s="133">
        <f t="shared" si="98"/>
        <v>0.33820056883552818</v>
      </c>
      <c r="JD57" s="133">
        <f t="shared" si="99"/>
        <v>0.35100969466260123</v>
      </c>
      <c r="JE57" s="133">
        <f t="shared" si="100"/>
        <v>0.36111275600993048</v>
      </c>
      <c r="JF57" s="133">
        <f t="shared" si="371"/>
        <v>0.37190161539584693</v>
      </c>
      <c r="JG57" s="133">
        <f t="shared" si="372"/>
        <v>0.3882438610402037</v>
      </c>
      <c r="JH57" s="134">
        <f t="shared" si="373"/>
        <v>0.40453897237192304</v>
      </c>
      <c r="JI57" s="133">
        <f t="shared" si="374"/>
        <v>0.41925949116776479</v>
      </c>
      <c r="JJ57" s="133">
        <f t="shared" si="101"/>
        <v>0.43139139115925174</v>
      </c>
      <c r="JK57" s="133">
        <f t="shared" si="102"/>
        <v>0.4382513138288453</v>
      </c>
      <c r="JL57" s="133">
        <f t="shared" si="103"/>
        <v>0.44397902324622923</v>
      </c>
      <c r="JM57" s="133">
        <f t="shared" si="104"/>
        <v>0.4504016139820593</v>
      </c>
      <c r="JN57" s="81"/>
      <c r="JO57" s="81">
        <v>55</v>
      </c>
      <c r="JP57" s="133">
        <f t="shared" si="105"/>
        <v>-1.4513090711187573</v>
      </c>
      <c r="JQ57" s="133">
        <f t="shared" si="106"/>
        <v>-1.9729468446207932E-3</v>
      </c>
      <c r="JR57" s="133">
        <f t="shared" si="107"/>
        <v>1.2588277780699642</v>
      </c>
      <c r="JS57" s="133">
        <f t="shared" si="375"/>
        <v>2.7281850282432103</v>
      </c>
      <c r="JT57" s="133">
        <f t="shared" si="376"/>
        <v>5.2150688079266523</v>
      </c>
      <c r="JU57" s="134">
        <f t="shared" si="377"/>
        <v>8.03663110626864</v>
      </c>
      <c r="JV57" s="133">
        <f t="shared" si="378"/>
        <v>10.907346975284078</v>
      </c>
      <c r="JW57" s="133">
        <f t="shared" si="108"/>
        <v>13.522351934746727</v>
      </c>
      <c r="JX57" s="133">
        <f t="shared" si="109"/>
        <v>15.106995515326158</v>
      </c>
      <c r="JY57" s="133">
        <f t="shared" si="110"/>
        <v>16.491440246115371</v>
      </c>
      <c r="JZ57" s="133">
        <f t="shared" si="111"/>
        <v>18.112532774047441</v>
      </c>
      <c r="KA57" s="81"/>
      <c r="KB57" s="81">
        <v>55</v>
      </c>
      <c r="KC57" s="133">
        <f t="shared" si="112"/>
        <v>3.7317552389895425E-2</v>
      </c>
      <c r="KD57" s="133">
        <f t="shared" si="113"/>
        <v>1.4009826835267756</v>
      </c>
      <c r="KE57" s="133">
        <f t="shared" si="114"/>
        <v>2.6103833081636019</v>
      </c>
      <c r="KF57" s="133">
        <f t="shared" si="379"/>
        <v>4.0452883299961773</v>
      </c>
      <c r="KG57" s="133">
        <f t="shared" si="380"/>
        <v>6.5318431038992752</v>
      </c>
      <c r="KH57" s="134">
        <f t="shared" si="381"/>
        <v>9.4339360323423396</v>
      </c>
      <c r="KI57" s="133">
        <f t="shared" si="382"/>
        <v>12.466848974575759</v>
      </c>
      <c r="KJ57" s="133">
        <f t="shared" si="115"/>
        <v>15.294201889244247</v>
      </c>
      <c r="KK57" s="133">
        <f t="shared" si="116"/>
        <v>17.035530347353749</v>
      </c>
      <c r="KL57" s="133">
        <f t="shared" si="117"/>
        <v>18.573323312860559</v>
      </c>
      <c r="KM57" s="133">
        <f t="shared" si="118"/>
        <v>20.392747091624777</v>
      </c>
      <c r="KN57" s="81"/>
      <c r="KO57" s="81">
        <v>57</v>
      </c>
      <c r="KP57" s="133">
        <f t="shared" si="119"/>
        <v>-1.149654817052209</v>
      </c>
      <c r="KQ57" s="133">
        <f t="shared" si="120"/>
        <v>0.1728834234413803</v>
      </c>
      <c r="KR57" s="133">
        <f t="shared" si="121"/>
        <v>1.3063726349753679</v>
      </c>
      <c r="KS57" s="133">
        <f t="shared" si="383"/>
        <v>2.6089485310491227</v>
      </c>
      <c r="KT57" s="133">
        <f t="shared" si="384"/>
        <v>4.7724312728261111</v>
      </c>
      <c r="KU57" s="134">
        <f t="shared" si="385"/>
        <v>7.1710800756122097</v>
      </c>
      <c r="KV57" s="133">
        <f t="shared" si="386"/>
        <v>9.5575215345370097</v>
      </c>
      <c r="KW57" s="133">
        <f t="shared" si="122"/>
        <v>11.689103401173302</v>
      </c>
      <c r="KX57" s="133">
        <f t="shared" si="123"/>
        <v>12.962871218433268</v>
      </c>
      <c r="KY57" s="133">
        <f t="shared" si="124"/>
        <v>14.065353009679395</v>
      </c>
      <c r="KZ57" s="133">
        <f t="shared" si="125"/>
        <v>15.344622676553261</v>
      </c>
      <c r="LA57" s="81"/>
      <c r="LB57" s="81">
        <v>55</v>
      </c>
      <c r="LC57" s="133">
        <f t="shared" si="126"/>
        <v>-2.4256353634392411</v>
      </c>
      <c r="LD57" s="133">
        <f t="shared" si="127"/>
        <v>1.2833229189315531</v>
      </c>
      <c r="LE57" s="133">
        <f t="shared" si="128"/>
        <v>4.5352284088601138</v>
      </c>
      <c r="LF57" s="133">
        <f t="shared" si="387"/>
        <v>8.3518480358599305</v>
      </c>
      <c r="LG57" s="133">
        <f t="shared" si="388"/>
        <v>14.869650176153385</v>
      </c>
      <c r="LH57" s="134">
        <f t="shared" si="389"/>
        <v>22.341367364479332</v>
      </c>
      <c r="LI57" s="133">
        <f t="shared" si="390"/>
        <v>30.014949849390781</v>
      </c>
      <c r="LJ57" s="133">
        <f t="shared" si="129"/>
        <v>37.059669356104799</v>
      </c>
      <c r="LK57" s="133">
        <f t="shared" si="130"/>
        <v>41.351369693303887</v>
      </c>
      <c r="LL57" s="133">
        <f t="shared" si="131"/>
        <v>45.113833382547945</v>
      </c>
      <c r="LM57" s="133">
        <f t="shared" si="132"/>
        <v>49.533876351098435</v>
      </c>
      <c r="LN57" s="81"/>
      <c r="LO57" s="81">
        <v>55</v>
      </c>
      <c r="LP57" s="133">
        <f t="shared" si="133"/>
        <v>2.0651479248376496</v>
      </c>
      <c r="LQ57" s="133">
        <f t="shared" si="134"/>
        <v>5.7959214188806705</v>
      </c>
      <c r="LR57" s="133">
        <f t="shared" si="135"/>
        <v>9.0757868088385614</v>
      </c>
      <c r="LS57" s="133">
        <f t="shared" si="391"/>
        <v>12.934900452195723</v>
      </c>
      <c r="LT57" s="133">
        <f t="shared" si="392"/>
        <v>19.547237108323923</v>
      </c>
      <c r="LU57" s="134">
        <f t="shared" si="393"/>
        <v>27.157788999974958</v>
      </c>
      <c r="LV57" s="133">
        <f t="shared" si="394"/>
        <v>35.003937223372205</v>
      </c>
      <c r="LW57" s="133">
        <f t="shared" si="136"/>
        <v>42.231012085166711</v>
      </c>
      <c r="LX57" s="133">
        <f t="shared" si="137"/>
        <v>46.644103507922637</v>
      </c>
      <c r="LY57" s="133">
        <f t="shared" si="138"/>
        <v>50.519008787928655</v>
      </c>
      <c r="LZ57" s="133">
        <f t="shared" si="139"/>
        <v>55.077985692436087</v>
      </c>
      <c r="MA57" s="81"/>
      <c r="MB57" s="81">
        <v>57</v>
      </c>
      <c r="MC57" s="133">
        <f t="shared" si="140"/>
        <v>-1.3161051261876153</v>
      </c>
      <c r="MD57" s="133">
        <f t="shared" si="141"/>
        <v>1.809024336101352</v>
      </c>
      <c r="ME57" s="133">
        <f t="shared" si="142"/>
        <v>4.5225758537084957</v>
      </c>
      <c r="MF57" s="133">
        <f t="shared" si="395"/>
        <v>7.6790460353026049</v>
      </c>
      <c r="MG57" s="133">
        <f t="shared" si="396"/>
        <v>13.006907907495084</v>
      </c>
      <c r="MH57" s="134">
        <f t="shared" si="397"/>
        <v>19.030274567821039</v>
      </c>
      <c r="MI57" s="133">
        <f t="shared" si="398"/>
        <v>25.135978480422004</v>
      </c>
      <c r="MJ57" s="133">
        <f t="shared" si="143"/>
        <v>30.678835434605297</v>
      </c>
      <c r="MK57" s="133">
        <f t="shared" si="144"/>
        <v>34.02924207519046</v>
      </c>
      <c r="ML57" s="133">
        <f t="shared" si="145"/>
        <v>36.951308582827316</v>
      </c>
      <c r="MM57" s="133">
        <f t="shared" si="146"/>
        <v>40.367012098462247</v>
      </c>
      <c r="MN57" s="81"/>
      <c r="MO57" s="81">
        <v>55</v>
      </c>
      <c r="MP57" s="133">
        <f t="shared" si="147"/>
        <v>-8.718883646728063</v>
      </c>
      <c r="MQ57" s="133">
        <f t="shared" si="148"/>
        <v>-4.5489508817942479</v>
      </c>
      <c r="MR57" s="133">
        <f t="shared" si="149"/>
        <v>-0.94870189200829458</v>
      </c>
      <c r="MS57" s="133">
        <f t="shared" si="399"/>
        <v>3.2164409962116949</v>
      </c>
      <c r="MT57" s="133">
        <f t="shared" si="400"/>
        <v>10.194892899230659</v>
      </c>
      <c r="MU57" s="134">
        <f t="shared" si="401"/>
        <v>18.01205233887238</v>
      </c>
      <c r="MV57" s="133">
        <f t="shared" si="402"/>
        <v>25.865035857636762</v>
      </c>
      <c r="MW57" s="133">
        <f t="shared" si="150"/>
        <v>32.937649121455216</v>
      </c>
      <c r="MX57" s="133">
        <f t="shared" si="151"/>
        <v>37.188537031212071</v>
      </c>
      <c r="MY57" s="133">
        <f t="shared" si="152"/>
        <v>40.881886215024856</v>
      </c>
      <c r="MZ57" s="133">
        <f t="shared" si="153"/>
        <v>45.183252454973761</v>
      </c>
      <c r="NA57" s="81"/>
      <c r="NB57" s="81">
        <v>55</v>
      </c>
      <c r="NC57" s="133">
        <f t="shared" si="154"/>
        <v>-0.20068213432418958</v>
      </c>
      <c r="ND57" s="133">
        <f t="shared" si="155"/>
        <v>3.4758196889918729</v>
      </c>
      <c r="NE57" s="133">
        <f t="shared" si="156"/>
        <v>6.6531060692299526</v>
      </c>
      <c r="NF57" s="133">
        <f t="shared" si="403"/>
        <v>10.332245795418782</v>
      </c>
      <c r="NG57" s="133">
        <f t="shared" si="404"/>
        <v>16.503843069767388</v>
      </c>
      <c r="NH57" s="134">
        <f t="shared" si="405"/>
        <v>23.427231045365755</v>
      </c>
      <c r="NI57" s="133">
        <f t="shared" si="406"/>
        <v>30.391991975442412</v>
      </c>
      <c r="NJ57" s="133">
        <f t="shared" si="157"/>
        <v>36.672161633164663</v>
      </c>
      <c r="NK57" s="133">
        <f t="shared" si="158"/>
        <v>40.449939852091049</v>
      </c>
      <c r="NL57" s="133">
        <f t="shared" si="159"/>
        <v>43.734062886186877</v>
      </c>
      <c r="NM57" s="133">
        <f t="shared" si="160"/>
        <v>47.560889927370155</v>
      </c>
      <c r="NN57" s="81"/>
      <c r="NO57" s="81">
        <v>57</v>
      </c>
      <c r="NP57" s="133">
        <f t="shared" si="161"/>
        <v>-10.189318794759153</v>
      </c>
      <c r="NQ57" s="133">
        <f t="shared" si="162"/>
        <v>-6.455847872684739</v>
      </c>
      <c r="NR57" s="133">
        <f t="shared" si="163"/>
        <v>-3.2430209657134768</v>
      </c>
      <c r="NS57" s="133">
        <f t="shared" si="407"/>
        <v>0.4630588281324961</v>
      </c>
      <c r="NT57" s="133">
        <f t="shared" si="408"/>
        <v>6.6494610485166632</v>
      </c>
      <c r="NU57" s="134">
        <f t="shared" si="409"/>
        <v>13.549929517220562</v>
      </c>
      <c r="NV57" s="133">
        <f t="shared" si="410"/>
        <v>20.455125610132164</v>
      </c>
      <c r="NW57" s="133">
        <f t="shared" si="164"/>
        <v>26.653955881946416</v>
      </c>
      <c r="NX57" s="133">
        <f t="shared" si="165"/>
        <v>30.371355034915801</v>
      </c>
      <c r="NY57" s="133">
        <f t="shared" si="166"/>
        <v>33.596474439048357</v>
      </c>
      <c r="NZ57" s="133">
        <f t="shared" si="167"/>
        <v>37.347302657321244</v>
      </c>
      <c r="OA57" s="81"/>
      <c r="OB57" s="81">
        <v>55</v>
      </c>
      <c r="OC57" s="133">
        <v>14.112616172094333</v>
      </c>
      <c r="OD57" s="133">
        <v>15.465765555590277</v>
      </c>
      <c r="OE57" s="133">
        <v>16.73287298917538</v>
      </c>
      <c r="OF57" s="133">
        <v>18.323140662306816</v>
      </c>
      <c r="OG57" s="133">
        <v>21.319407516148392</v>
      </c>
      <c r="OH57" s="134">
        <v>25.239897274507239</v>
      </c>
      <c r="OI57" s="133">
        <v>29.881337647171613</v>
      </c>
      <c r="OJ57" s="133">
        <v>34.767643067772845</v>
      </c>
      <c r="OK57" s="133">
        <v>38.071908801303415</v>
      </c>
      <c r="OL57" s="133">
        <v>41.191133548342741</v>
      </c>
      <c r="OM57" s="133">
        <v>45.140632088284079</v>
      </c>
      <c r="ON57" s="81"/>
      <c r="OO57" s="81">
        <v>55</v>
      </c>
      <c r="OP57" s="133">
        <v>13.524063517846797</v>
      </c>
      <c r="OQ57" s="133">
        <v>14.59155072900937</v>
      </c>
      <c r="OR57" s="133">
        <v>15.576801359651842</v>
      </c>
      <c r="OS57" s="133">
        <v>16.795579137666628</v>
      </c>
      <c r="OT57" s="133">
        <v>25.219477255909862</v>
      </c>
      <c r="OU57" s="134">
        <v>21.908040108138252</v>
      </c>
      <c r="OV57" s="133">
        <v>25.201989431224614</v>
      </c>
      <c r="OW57" s="133">
        <v>28.576699704472023</v>
      </c>
      <c r="OX57" s="133">
        <v>30.812630288977505</v>
      </c>
      <c r="OY57" s="133">
        <v>32.893160589544777</v>
      </c>
      <c r="OZ57" s="133">
        <v>35.489497719854739</v>
      </c>
      <c r="PA57" s="81"/>
      <c r="PB57" s="81">
        <v>57</v>
      </c>
      <c r="PC57" s="133">
        <v>16.578139571244375</v>
      </c>
      <c r="PD57" s="133">
        <v>17.897521598245071</v>
      </c>
      <c r="PE57" s="133">
        <v>19.115946125332616</v>
      </c>
      <c r="PF57" s="133">
        <v>20.624011619139146</v>
      </c>
      <c r="PG57" s="133">
        <v>23.409125635483576</v>
      </c>
      <c r="PH57" s="134">
        <v>26.958834731813997</v>
      </c>
      <c r="PI57" s="133">
        <v>31.046814025194035</v>
      </c>
      <c r="PJ57" s="133">
        <v>35.239447277211958</v>
      </c>
      <c r="PK57" s="133">
        <v>38.019502949640945</v>
      </c>
      <c r="PL57" s="133">
        <v>40.607788408453416</v>
      </c>
      <c r="PM57" s="133">
        <v>43.839585676905237</v>
      </c>
      <c r="PN57" s="81"/>
      <c r="PO57" s="81">
        <v>55</v>
      </c>
      <c r="PP57" s="133">
        <v>9.4445355930636374</v>
      </c>
      <c r="PQ57" s="133">
        <v>10.262210230048266</v>
      </c>
      <c r="PR57" s="133">
        <v>11.021855419714525</v>
      </c>
      <c r="PS57" s="133">
        <v>11.967726962426486</v>
      </c>
      <c r="PT57" s="133">
        <v>13.729686192100319</v>
      </c>
      <c r="PU57" s="134">
        <v>16.0009132580951</v>
      </c>
      <c r="PV57" s="133">
        <v>18.647857023884178</v>
      </c>
      <c r="PW57" s="133">
        <v>21.393304333972956</v>
      </c>
      <c r="PX57" s="133">
        <v>23.229230954629497</v>
      </c>
      <c r="PY57" s="133">
        <v>24.948740997667066</v>
      </c>
      <c r="PZ57" s="133">
        <v>27.108715147531381</v>
      </c>
      <c r="QA57" s="81"/>
      <c r="QB57" s="81">
        <v>55</v>
      </c>
      <c r="QC57" s="133">
        <v>9.33855030844955</v>
      </c>
      <c r="QD57" s="133">
        <v>10.140602234287009</v>
      </c>
      <c r="QE57" s="133">
        <v>10.885293989071849</v>
      </c>
      <c r="QF57" s="133">
        <v>11.811999849515407</v>
      </c>
      <c r="QG57" s="133">
        <v>13.536793484832055</v>
      </c>
      <c r="QH57" s="134">
        <v>15.757636462109534</v>
      </c>
      <c r="QI57" s="133">
        <v>18.342830386695866</v>
      </c>
      <c r="QJ57" s="133">
        <v>21.02125889226037</v>
      </c>
      <c r="QK57" s="133">
        <v>22.81087742060846</v>
      </c>
      <c r="QL57" s="133">
        <v>24.486031611855484</v>
      </c>
      <c r="QM57" s="133">
        <v>26.589042053704897</v>
      </c>
      <c r="QN57" s="81"/>
      <c r="QO57" s="81">
        <v>57</v>
      </c>
      <c r="QP57" s="133">
        <v>9.4365663590521294</v>
      </c>
      <c r="QQ57" s="133">
        <v>10.271543678676688</v>
      </c>
      <c r="QR57" s="133">
        <v>11.048527004985285</v>
      </c>
      <c r="QS57" s="133">
        <v>12.017561643000541</v>
      </c>
      <c r="QT57" s="133">
        <v>13.826899130060237</v>
      </c>
      <c r="QU57" s="134">
        <v>16.166379845825094</v>
      </c>
      <c r="QV57" s="133">
        <v>18.90169551836177</v>
      </c>
      <c r="QW57" s="133">
        <v>21.747492967653763</v>
      </c>
      <c r="QX57" s="133">
        <v>23.654903246520849</v>
      </c>
      <c r="QY57" s="133">
        <v>25.444260911050367</v>
      </c>
      <c r="QZ57" s="133">
        <v>27.695649813217823</v>
      </c>
      <c r="RA57" s="81"/>
      <c r="RB57" s="81">
        <v>55</v>
      </c>
      <c r="RC57" s="133">
        <f t="shared" si="168"/>
        <v>0.35316090813362416</v>
      </c>
      <c r="RD57" s="133">
        <f t="shared" si="169"/>
        <v>0.38491215930536543</v>
      </c>
      <c r="RE57" s="133">
        <f t="shared" si="170"/>
        <v>0.4148771565061109</v>
      </c>
      <c r="RF57" s="133">
        <f t="shared" si="411"/>
        <v>0.45282380201954986</v>
      </c>
      <c r="RG57" s="133">
        <f t="shared" si="412"/>
        <v>0.52541082536057659</v>
      </c>
      <c r="RH57" s="134">
        <f t="shared" si="413"/>
        <v>0.62266470520235406</v>
      </c>
      <c r="RI57" s="133">
        <f t="shared" si="414"/>
        <v>0.74129378551439151</v>
      </c>
      <c r="RJ57" s="133">
        <f t="shared" si="171"/>
        <v>0.87039342909064576</v>
      </c>
      <c r="RK57" s="133">
        <f t="shared" si="172"/>
        <v>0.96018428655415855</v>
      </c>
      <c r="RL57" s="133">
        <f t="shared" si="173"/>
        <v>1.0468077089881886</v>
      </c>
      <c r="RM57" s="133">
        <f t="shared" si="174"/>
        <v>1.1590973950084469</v>
      </c>
      <c r="RN57" s="81"/>
      <c r="RO57" s="81">
        <v>55</v>
      </c>
      <c r="RP57" s="133">
        <f t="shared" si="175"/>
        <v>0.38964232269221666</v>
      </c>
      <c r="RQ57" s="133">
        <f t="shared" si="176"/>
        <v>0.42418717183880611</v>
      </c>
      <c r="RR57" s="133">
        <f t="shared" si="177"/>
        <v>0.45691365592428329</v>
      </c>
      <c r="RS57" s="133">
        <f t="shared" si="415"/>
        <v>0.49853839461171578</v>
      </c>
      <c r="RT57" s="133">
        <f t="shared" si="416"/>
        <v>0.57874461502703212</v>
      </c>
      <c r="RU57" s="134">
        <f t="shared" si="417"/>
        <v>0.68744215221717198</v>
      </c>
      <c r="RV57" s="133">
        <f t="shared" si="418"/>
        <v>0.82197402876995995</v>
      </c>
      <c r="RW57" s="133">
        <f t="shared" si="178"/>
        <v>0.97080682875642821</v>
      </c>
      <c r="RX57" s="133">
        <f t="shared" si="179"/>
        <v>1.0758000590720596</v>
      </c>
      <c r="RY57" s="133">
        <f t="shared" si="180"/>
        <v>1.1782246710084672</v>
      </c>
      <c r="RZ57" s="133">
        <f t="shared" si="181"/>
        <v>1.3126350648708764</v>
      </c>
      <c r="SA57" s="81"/>
      <c r="SB57" s="81">
        <v>57</v>
      </c>
      <c r="SC57" s="133">
        <f t="shared" si="182"/>
        <v>0.35420745929294928</v>
      </c>
      <c r="SD57" s="133">
        <f t="shared" si="183"/>
        <v>0.38340613436446264</v>
      </c>
      <c r="SE57" s="133">
        <f t="shared" si="184"/>
        <v>0.41046340098517076</v>
      </c>
      <c r="SF57" s="133">
        <f t="shared" si="419"/>
        <v>0.44407029872029491</v>
      </c>
      <c r="SG57" s="133">
        <f t="shared" si="420"/>
        <v>0.50645797895167444</v>
      </c>
      <c r="SH57" s="134">
        <f t="shared" si="421"/>
        <v>0.58653304213219548</v>
      </c>
      <c r="SI57" s="133">
        <f t="shared" si="422"/>
        <v>0.67945927197705425</v>
      </c>
      <c r="SJ57" s="133">
        <f t="shared" si="185"/>
        <v>0.77548237494321282</v>
      </c>
      <c r="SK57" s="133">
        <f t="shared" si="186"/>
        <v>0.83952416934911822</v>
      </c>
      <c r="SL57" s="133">
        <f t="shared" si="187"/>
        <v>0.89939817935948918</v>
      </c>
      <c r="SM57" s="133">
        <f t="shared" si="188"/>
        <v>0.97447981568880948</v>
      </c>
      <c r="SN57" s="81"/>
      <c r="SO57" s="81">
        <v>55</v>
      </c>
      <c r="SP57" s="133">
        <f t="shared" si="189"/>
        <v>0.26173083162845001</v>
      </c>
      <c r="SQ57" s="133">
        <f t="shared" si="190"/>
        <v>0.27861124236939011</v>
      </c>
      <c r="SR57" s="133">
        <f t="shared" si="191"/>
        <v>0.29376852082153482</v>
      </c>
      <c r="SS57" s="133">
        <f t="shared" si="423"/>
        <v>0.31199907912904179</v>
      </c>
      <c r="ST57" s="133">
        <f t="shared" si="424"/>
        <v>0.34427502964477813</v>
      </c>
      <c r="SU57" s="134">
        <f t="shared" si="425"/>
        <v>0.38311985562047712</v>
      </c>
      <c r="SV57" s="133">
        <f t="shared" si="426"/>
        <v>0.42514884743960413</v>
      </c>
      <c r="SW57" s="133">
        <f t="shared" si="192"/>
        <v>0.46570478587182657</v>
      </c>
      <c r="SX57" s="133">
        <f t="shared" si="193"/>
        <v>0.4913613607549609</v>
      </c>
      <c r="SY57" s="133">
        <f t="shared" si="194"/>
        <v>0.51445698086323621</v>
      </c>
      <c r="SZ57" s="133">
        <f t="shared" si="195"/>
        <v>0.54231956512970703</v>
      </c>
      <c r="TA57" s="81"/>
      <c r="TB57" s="81">
        <v>55</v>
      </c>
      <c r="TC57" s="133">
        <f t="shared" si="196"/>
        <v>0.28123528900865574</v>
      </c>
      <c r="TD57" s="133">
        <f t="shared" si="197"/>
        <v>0.29853548574690014</v>
      </c>
      <c r="TE57" s="133">
        <f t="shared" si="198"/>
        <v>0.31410904788909849</v>
      </c>
      <c r="TF57" s="133">
        <f t="shared" si="427"/>
        <v>0.33289117967756365</v>
      </c>
      <c r="TG57" s="133">
        <f t="shared" si="428"/>
        <v>0.36628381041288494</v>
      </c>
      <c r="TH57" s="134">
        <f t="shared" si="429"/>
        <v>0.40671573869667849</v>
      </c>
      <c r="TI57" s="133">
        <f t="shared" si="430"/>
        <v>0.450765392150767</v>
      </c>
      <c r="TJ57" s="133">
        <f t="shared" si="199"/>
        <v>0.49357114879609937</v>
      </c>
      <c r="TK57" s="133">
        <f t="shared" si="200"/>
        <v>0.5208025945906628</v>
      </c>
      <c r="TL57" s="133">
        <f t="shared" si="201"/>
        <v>0.54541573198204585</v>
      </c>
      <c r="TM57" s="133">
        <f t="shared" si="202"/>
        <v>0.57523406787474207</v>
      </c>
      <c r="TN57" s="81"/>
      <c r="TO57" s="81">
        <v>57</v>
      </c>
      <c r="TP57" s="133">
        <f t="shared" si="203"/>
        <v>0.26239487511281218</v>
      </c>
      <c r="TQ57" s="133">
        <f t="shared" si="204"/>
        <v>0.27785300925780398</v>
      </c>
      <c r="TR57" s="133">
        <f t="shared" si="205"/>
        <v>0.29154758092432104</v>
      </c>
      <c r="TS57" s="133">
        <f t="shared" si="431"/>
        <v>0.30779843855276318</v>
      </c>
      <c r="TT57" s="133">
        <f t="shared" si="432"/>
        <v>0.33601753673589102</v>
      </c>
      <c r="TU57" s="134">
        <f t="shared" si="433"/>
        <v>0.36912199954181485</v>
      </c>
      <c r="TV57" s="133">
        <f t="shared" si="434"/>
        <v>0.40398769177622396</v>
      </c>
      <c r="TW57" s="133">
        <f t="shared" si="206"/>
        <v>0.4367843512258538</v>
      </c>
      <c r="TX57" s="133">
        <f t="shared" si="207"/>
        <v>0.45713786258029521</v>
      </c>
      <c r="TY57" s="133">
        <f t="shared" si="208"/>
        <v>0.47521521571887182</v>
      </c>
      <c r="TZ57" s="133">
        <f t="shared" si="209"/>
        <v>0.49673167773849564</v>
      </c>
      <c r="UA57" s="81"/>
      <c r="UB57" s="81">
        <v>55</v>
      </c>
      <c r="UC57" s="133">
        <f t="shared" si="210"/>
        <v>-14.516421757272589</v>
      </c>
      <c r="UD57" s="133">
        <f t="shared" si="211"/>
        <v>-11.325753286235816</v>
      </c>
      <c r="UE57" s="133">
        <f t="shared" si="212"/>
        <v>-8.645298780703726</v>
      </c>
      <c r="UF57" s="133">
        <f t="shared" si="435"/>
        <v>-5.6209687309691958</v>
      </c>
      <c r="UG57" s="133">
        <f t="shared" si="436"/>
        <v>-0.7164628595891358</v>
      </c>
      <c r="UH57" s="134">
        <f t="shared" si="437"/>
        <v>4.5684778193189004</v>
      </c>
      <c r="UI57" s="133">
        <f t="shared" si="438"/>
        <v>9.6874376602624324</v>
      </c>
      <c r="UJ57" s="133">
        <f t="shared" si="213"/>
        <v>14.155941489917041</v>
      </c>
      <c r="UK57" s="133">
        <f t="shared" si="214"/>
        <v>16.783657712200139</v>
      </c>
      <c r="UL57" s="133">
        <f t="shared" si="215"/>
        <v>19.034045556232698</v>
      </c>
      <c r="UM57" s="133">
        <f t="shared" si="216"/>
        <v>21.61884424493681</v>
      </c>
      <c r="UN57" s="81"/>
      <c r="UO57" s="81">
        <v>55</v>
      </c>
      <c r="UP57" s="133">
        <f t="shared" si="217"/>
        <v>-10.443996227863657</v>
      </c>
      <c r="UQ57" s="133">
        <f t="shared" si="218"/>
        <v>-7.7276563602699717</v>
      </c>
      <c r="UR57" s="133">
        <f t="shared" si="219"/>
        <v>-5.3959707604085096</v>
      </c>
      <c r="US57" s="133">
        <f t="shared" si="439"/>
        <v>-2.7123799875951811</v>
      </c>
      <c r="UT57" s="133">
        <f t="shared" si="440"/>
        <v>1.7542736460619182</v>
      </c>
      <c r="UU57" s="134">
        <f t="shared" si="441"/>
        <v>6.7196721754759707</v>
      </c>
      <c r="UV57" s="133">
        <f t="shared" si="442"/>
        <v>11.672959868243119</v>
      </c>
      <c r="UW57" s="133">
        <f t="shared" si="220"/>
        <v>16.107825334108938</v>
      </c>
      <c r="UX57" s="133">
        <f t="shared" si="221"/>
        <v>18.762528862140122</v>
      </c>
      <c r="UY57" s="133">
        <f t="shared" si="222"/>
        <v>21.062919078659249</v>
      </c>
      <c r="UZ57" s="133">
        <f t="shared" si="223"/>
        <v>23.735213904650529</v>
      </c>
      <c r="VA57" s="81"/>
      <c r="VB57" s="81">
        <v>58</v>
      </c>
      <c r="VC57" s="133">
        <f t="shared" si="224"/>
        <v>-14.519880038084573</v>
      </c>
      <c r="VD57" s="133">
        <f t="shared" si="225"/>
        <v>-11.413013407103648</v>
      </c>
      <c r="VE57" s="133">
        <f t="shared" si="226"/>
        <v>-8.8321203995079145</v>
      </c>
      <c r="VF57" s="133">
        <f t="shared" si="443"/>
        <v>-5.949222967851675</v>
      </c>
      <c r="VG57" s="133">
        <f t="shared" si="444"/>
        <v>-1.3332871206301391</v>
      </c>
      <c r="VH57" s="134">
        <f t="shared" si="445"/>
        <v>3.5676964671259555</v>
      </c>
      <c r="VI57" s="133">
        <f t="shared" si="446"/>
        <v>8.250884318369188</v>
      </c>
      <c r="VJ57" s="133">
        <f t="shared" si="227"/>
        <v>12.292869348028276</v>
      </c>
      <c r="VK57" s="133">
        <f t="shared" si="228"/>
        <v>14.651277514007262</v>
      </c>
      <c r="VL57" s="133">
        <f t="shared" si="229"/>
        <v>16.660764785634882</v>
      </c>
      <c r="VM57" s="133">
        <f t="shared" si="230"/>
        <v>18.957689409169348</v>
      </c>
      <c r="VN57" s="81"/>
      <c r="VO57" s="81">
        <v>55</v>
      </c>
      <c r="VP57" s="133">
        <f t="shared" si="231"/>
        <v>-25.974448811606418</v>
      </c>
      <c r="VQ57" s="133">
        <f t="shared" si="232"/>
        <v>-21.247359278625296</v>
      </c>
      <c r="VR57" s="133">
        <f t="shared" si="233"/>
        <v>-16.947831628958923</v>
      </c>
      <c r="VS57" s="133">
        <f t="shared" si="447"/>
        <v>-11.728198402348291</v>
      </c>
      <c r="VT57" s="133">
        <f t="shared" si="448"/>
        <v>-2.4108025411928367</v>
      </c>
      <c r="VU57" s="134">
        <f t="shared" si="449"/>
        <v>8.84713666952306</v>
      </c>
      <c r="VV57" s="133">
        <f t="shared" si="450"/>
        <v>20.996408806305247</v>
      </c>
      <c r="VW57" s="133">
        <f t="shared" si="234"/>
        <v>32.633712615587704</v>
      </c>
      <c r="VX57" s="133">
        <f t="shared" si="235"/>
        <v>39.936651951358847</v>
      </c>
      <c r="VY57" s="133">
        <f t="shared" si="236"/>
        <v>46.466087896935711</v>
      </c>
      <c r="VZ57" s="133">
        <f t="shared" si="237"/>
        <v>54.283176458409166</v>
      </c>
      <c r="WA57" s="81"/>
      <c r="WB57" s="81">
        <v>55</v>
      </c>
      <c r="WC57" s="133">
        <f t="shared" si="238"/>
        <v>-20.499427503062808</v>
      </c>
      <c r="WD57" s="133">
        <f t="shared" si="239"/>
        <v>-15.83029693717782</v>
      </c>
      <c r="WE57" s="133">
        <f t="shared" si="240"/>
        <v>-11.581047211508974</v>
      </c>
      <c r="WF57" s="133">
        <f t="shared" si="451"/>
        <v>-6.4197555920021969</v>
      </c>
      <c r="WG57" s="133">
        <f t="shared" si="452"/>
        <v>2.7997314890038894</v>
      </c>
      <c r="WH57" s="134">
        <f t="shared" si="453"/>
        <v>13.948185870205549</v>
      </c>
      <c r="WI57" s="133">
        <f t="shared" si="454"/>
        <v>25.988141443090051</v>
      </c>
      <c r="WJ57" s="133">
        <f t="shared" si="241"/>
        <v>37.527907589303716</v>
      </c>
      <c r="WK57" s="133">
        <f t="shared" si="242"/>
        <v>44.77275508709139</v>
      </c>
      <c r="WL57" s="133">
        <f t="shared" si="243"/>
        <v>51.252091270659811</v>
      </c>
      <c r="WM57" s="133">
        <f t="shared" si="244"/>
        <v>59.011312051135697</v>
      </c>
      <c r="WN57" s="81"/>
      <c r="WO57" s="81">
        <v>58</v>
      </c>
      <c r="WP57" s="133">
        <f t="shared" si="245"/>
        <v>-26.952322007381429</v>
      </c>
      <c r="WQ57" s="133">
        <f t="shared" si="246"/>
        <v>-22.267475992257808</v>
      </c>
      <c r="WR57" s="133">
        <f t="shared" si="247"/>
        <v>-18.048732317668595</v>
      </c>
      <c r="WS57" s="133">
        <f t="shared" si="455"/>
        <v>-12.976695081601832</v>
      </c>
      <c r="WT57" s="133">
        <f t="shared" si="456"/>
        <v>-4.0434353350131502</v>
      </c>
      <c r="WU57" s="134">
        <f t="shared" si="457"/>
        <v>6.5710071992864059</v>
      </c>
      <c r="WV57" s="133">
        <f t="shared" si="458"/>
        <v>17.838037593254448</v>
      </c>
      <c r="WW57" s="133">
        <f t="shared" si="248"/>
        <v>28.47296648746012</v>
      </c>
      <c r="WX57" s="133">
        <f t="shared" si="249"/>
        <v>35.077106992545986</v>
      </c>
      <c r="WY57" s="133">
        <f t="shared" si="250"/>
        <v>40.940085380526703</v>
      </c>
      <c r="WZ57" s="133">
        <f t="shared" si="251"/>
        <v>47.911027581559701</v>
      </c>
      <c r="XA57" s="81"/>
      <c r="XB57" s="81">
        <v>55</v>
      </c>
      <c r="XC57" s="133">
        <f t="shared" si="252"/>
        <v>-31.420901601817661</v>
      </c>
      <c r="XD57" s="133">
        <f t="shared" si="253"/>
        <v>-26.323812971728824</v>
      </c>
      <c r="XE57" s="133">
        <f t="shared" si="254"/>
        <v>-21.765702576666463</v>
      </c>
      <c r="XF57" s="133">
        <f t="shared" si="459"/>
        <v>-16.326413933956395</v>
      </c>
      <c r="XG57" s="133">
        <f t="shared" si="460"/>
        <v>-6.8514782599214996</v>
      </c>
      <c r="XH57" s="134">
        <f t="shared" si="461"/>
        <v>4.2442399977379708</v>
      </c>
      <c r="XI57" s="133">
        <f t="shared" si="462"/>
        <v>15.848514751484934</v>
      </c>
      <c r="XJ57" s="133">
        <f t="shared" si="255"/>
        <v>26.655205577721951</v>
      </c>
      <c r="XK57" s="133">
        <f t="shared" si="256"/>
        <v>33.300866629336248</v>
      </c>
      <c r="XL57" s="133">
        <f t="shared" si="257"/>
        <v>39.161832074022406</v>
      </c>
      <c r="XM57" s="133">
        <f t="shared" si="258"/>
        <v>46.085496098484761</v>
      </c>
      <c r="XN57" s="81"/>
      <c r="XO57" s="81">
        <v>55</v>
      </c>
      <c r="XP57" s="133">
        <f t="shared" si="259"/>
        <v>-21.818297929071608</v>
      </c>
      <c r="XQ57" s="133">
        <f t="shared" si="260"/>
        <v>-17.106778748607383</v>
      </c>
      <c r="XR57" s="133">
        <f t="shared" si="261"/>
        <v>-12.940209612199013</v>
      </c>
      <c r="XS57" s="133">
        <f t="shared" si="463"/>
        <v>-8.0140812063716709</v>
      </c>
      <c r="XT57" s="133">
        <f t="shared" si="464"/>
        <v>0.47337023799957478</v>
      </c>
      <c r="XU57" s="134">
        <f t="shared" si="465"/>
        <v>10.297204127076043</v>
      </c>
      <c r="XV57" s="133">
        <f t="shared" si="466"/>
        <v>20.470196367141817</v>
      </c>
      <c r="XW57" s="133">
        <f t="shared" si="262"/>
        <v>29.870711946133774</v>
      </c>
      <c r="XX57" s="133">
        <f t="shared" si="263"/>
        <v>35.622249605468191</v>
      </c>
      <c r="XY57" s="133">
        <f t="shared" si="264"/>
        <v>40.67829222342008</v>
      </c>
      <c r="XZ57" s="133">
        <f t="shared" si="265"/>
        <v>46.633102038347523</v>
      </c>
      <c r="YA57" s="81"/>
      <c r="YB57" s="81">
        <v>58</v>
      </c>
      <c r="YC57" s="133">
        <f t="shared" si="266"/>
        <v>-33.542300955061421</v>
      </c>
      <c r="YD57" s="133">
        <f t="shared" si="267"/>
        <v>-28.535009014897152</v>
      </c>
      <c r="YE57" s="133">
        <f t="shared" si="268"/>
        <v>-24.082598175275283</v>
      </c>
      <c r="YF57" s="133">
        <f t="shared" si="467"/>
        <v>-18.798249988621187</v>
      </c>
      <c r="YG57" s="133">
        <f t="shared" si="468"/>
        <v>-9.660236237316667</v>
      </c>
      <c r="YH57" s="134">
        <f t="shared" si="469"/>
        <v>0.94668524021700051</v>
      </c>
      <c r="YI57" s="133">
        <f t="shared" si="470"/>
        <v>11.946668042088895</v>
      </c>
      <c r="YJ57" s="133">
        <f t="shared" si="269"/>
        <v>22.116474882040514</v>
      </c>
      <c r="YK57" s="133">
        <f t="shared" si="270"/>
        <v>28.338749031108158</v>
      </c>
      <c r="YL57" s="133">
        <f t="shared" si="271"/>
        <v>33.80785103955855</v>
      </c>
      <c r="YM57" s="133">
        <f t="shared" si="272"/>
        <v>40.247671403651786</v>
      </c>
      <c r="YN57" s="81"/>
      <c r="YO57" s="81">
        <v>55</v>
      </c>
      <c r="YP57" s="133">
        <v>17.667000789758344</v>
      </c>
      <c r="YQ57" s="133">
        <v>19.637965526259794</v>
      </c>
      <c r="YR57" s="133">
        <v>21.508093827743608</v>
      </c>
      <c r="YS57" s="133">
        <v>23.886317243387452</v>
      </c>
      <c r="YT57" s="133">
        <v>28.453133744055837</v>
      </c>
      <c r="YU57" s="134">
        <v>34.579422003950938</v>
      </c>
      <c r="YV57" s="133">
        <v>42.024770869997006</v>
      </c>
      <c r="YW57" s="133">
        <v>50.059471870170668</v>
      </c>
      <c r="YX57" s="133">
        <v>55.594718700033198</v>
      </c>
      <c r="YY57" s="133">
        <v>60.889017476295756</v>
      </c>
      <c r="YZ57" s="133">
        <v>67.681913888887237</v>
      </c>
      <c r="ZA57" s="81"/>
      <c r="ZB57" s="81">
        <v>55</v>
      </c>
      <c r="ZC57" s="133">
        <v>15.08938593880816</v>
      </c>
      <c r="ZD57" s="133">
        <v>16.864912437209728</v>
      </c>
      <c r="ZE57" s="133">
        <v>18.55818360187757</v>
      </c>
      <c r="ZF57" s="133">
        <v>20.722473317370561</v>
      </c>
      <c r="ZG57" s="133">
        <v>24.90906780224201</v>
      </c>
      <c r="ZH57" s="134">
        <v>30.579542800681118</v>
      </c>
      <c r="ZI57" s="133">
        <v>37.540884521359779</v>
      </c>
      <c r="ZJ57" s="133">
        <v>45.125329567433226</v>
      </c>
      <c r="ZK57" s="133">
        <v>50.387929010686214</v>
      </c>
      <c r="ZL57" s="133">
        <v>55.446978534885297</v>
      </c>
      <c r="ZM57" s="133">
        <v>61.971271839081062</v>
      </c>
      <c r="ZN57" s="81"/>
      <c r="ZO57" s="81">
        <v>58</v>
      </c>
      <c r="ZP57" s="133">
        <v>20.195966073790718</v>
      </c>
      <c r="ZQ57" s="133">
        <v>22.198494162285769</v>
      </c>
      <c r="ZR57" s="133">
        <v>24.078884771404237</v>
      </c>
      <c r="ZS57" s="133">
        <v>26.445383304780989</v>
      </c>
      <c r="ZT57" s="133">
        <v>30.921971966857242</v>
      </c>
      <c r="ZU57" s="134">
        <v>36.810117138942132</v>
      </c>
      <c r="ZV57" s="133">
        <v>43.819479729007547</v>
      </c>
      <c r="ZW57" s="133">
        <v>51.237099049257367</v>
      </c>
      <c r="ZX57" s="133">
        <v>56.272735911415758</v>
      </c>
      <c r="ZY57" s="133">
        <v>61.039488258834176</v>
      </c>
      <c r="ZZ57" s="133">
        <v>67.091849869022596</v>
      </c>
      <c r="AAA57" s="81"/>
      <c r="AAB57" s="81">
        <v>55</v>
      </c>
      <c r="AAC57" s="133">
        <v>10.109698275054324</v>
      </c>
      <c r="AAD57" s="133">
        <v>11.196985402666256</v>
      </c>
      <c r="AAE57" s="133">
        <v>12.225189899369342</v>
      </c>
      <c r="AAF57" s="133">
        <v>13.528366289717059</v>
      </c>
      <c r="AAG57" s="133">
        <v>16.018727759522562</v>
      </c>
      <c r="AAH57" s="134">
        <v>19.338361216349259</v>
      </c>
      <c r="AAI57" s="133">
        <v>23.345937339604763</v>
      </c>
      <c r="AAJ57" s="133">
        <v>27.643560687609277</v>
      </c>
      <c r="AAK57" s="133">
        <v>30.590299014765673</v>
      </c>
      <c r="AAL57" s="133">
        <v>33.39936608696032</v>
      </c>
      <c r="AAM57" s="133">
        <v>36.991431827078102</v>
      </c>
      <c r="AAN57" s="81"/>
      <c r="AAO57" s="81">
        <v>55</v>
      </c>
      <c r="AAP57" s="133">
        <v>9.4984163257759402</v>
      </c>
      <c r="AAQ57" s="133">
        <v>10.61364545769897</v>
      </c>
      <c r="AAR57" s="133">
        <v>11.676983832749256</v>
      </c>
      <c r="AAS57" s="133">
        <v>13.035823926480564</v>
      </c>
      <c r="AAT57" s="133">
        <v>15.663556015053356</v>
      </c>
      <c r="AAU57" s="134">
        <v>19.221225637553058</v>
      </c>
      <c r="AAV57" s="133">
        <v>23.586950157082111</v>
      </c>
      <c r="AAW57" s="133">
        <v>28.341554557148228</v>
      </c>
      <c r="AAX57" s="133">
        <v>31.63963573997188</v>
      </c>
      <c r="AAY57" s="133">
        <v>34.809483365748754</v>
      </c>
      <c r="AAZ57" s="133">
        <v>38.896538363677777</v>
      </c>
      <c r="ABA57" s="81"/>
      <c r="ABB57" s="81">
        <v>58</v>
      </c>
      <c r="ABC57" s="133">
        <v>10.372288769188266</v>
      </c>
      <c r="ABD57" s="133">
        <v>11.435418094542181</v>
      </c>
      <c r="ABE57" s="133">
        <v>12.436521894917291</v>
      </c>
      <c r="ABF57" s="133">
        <v>13.699979291146382</v>
      </c>
      <c r="ABG57" s="133">
        <v>16.099720066739543</v>
      </c>
      <c r="ABH57" s="134">
        <v>19.273002343891868</v>
      </c>
      <c r="ABI57" s="133">
        <v>23.071743968706528</v>
      </c>
      <c r="ABJ57" s="133">
        <v>27.113078892587112</v>
      </c>
      <c r="ABK57" s="133">
        <v>29.867564459438583</v>
      </c>
      <c r="ABL57" s="133">
        <v>32.482294593578871</v>
      </c>
      <c r="ABM57" s="133">
        <v>35.81163498369618</v>
      </c>
      <c r="ABN57" s="81"/>
      <c r="ABO57" s="81">
        <v>55</v>
      </c>
      <c r="ABP57" s="133">
        <f t="shared" si="273"/>
        <v>0.27731726753522362</v>
      </c>
      <c r="ABQ57" s="133">
        <f t="shared" si="274"/>
        <v>0.31264695427555605</v>
      </c>
      <c r="ABR57" s="133">
        <f t="shared" si="275"/>
        <v>0.34556400898575085</v>
      </c>
      <c r="ABS57" s="133">
        <f t="shared" si="471"/>
        <v>0.38657191415202041</v>
      </c>
      <c r="ABT57" s="133">
        <f t="shared" si="472"/>
        <v>0.46271937214370795</v>
      </c>
      <c r="ABU57" s="134">
        <f t="shared" si="473"/>
        <v>0.55987586995949956</v>
      </c>
      <c r="ABV57" s="133">
        <f t="shared" si="474"/>
        <v>0.671119123361134</v>
      </c>
      <c r="ABW57" s="133">
        <f t="shared" si="276"/>
        <v>0.78391517242382236</v>
      </c>
      <c r="ABX57" s="133">
        <f t="shared" si="277"/>
        <v>0.85781383525093968</v>
      </c>
      <c r="ABY57" s="133">
        <f t="shared" si="278"/>
        <v>0.92591376248617907</v>
      </c>
      <c r="ABZ57" s="133">
        <f t="shared" si="279"/>
        <v>1.0099557084136641</v>
      </c>
      <c r="ACA57" s="81"/>
      <c r="ACB57" s="81">
        <v>55</v>
      </c>
      <c r="ACC57" s="133">
        <f t="shared" si="280"/>
        <v>0.33261413755700053</v>
      </c>
      <c r="ACD57" s="133">
        <f t="shared" si="281"/>
        <v>0.36735630241844497</v>
      </c>
      <c r="ACE57" s="133">
        <f t="shared" si="282"/>
        <v>0.39968575315034666</v>
      </c>
      <c r="ACF57" s="133">
        <f t="shared" si="475"/>
        <v>0.43996528224503445</v>
      </c>
      <c r="ACG57" s="133">
        <f t="shared" si="476"/>
        <v>0.51493049884193598</v>
      </c>
      <c r="ACH57" s="134">
        <f t="shared" si="477"/>
        <v>0.61117283556161339</v>
      </c>
      <c r="ACI57" s="133">
        <f t="shared" si="478"/>
        <v>0.72247682614397712</v>
      </c>
      <c r="ACJ57" s="133">
        <f t="shared" si="283"/>
        <v>0.83673163539384421</v>
      </c>
      <c r="ACK57" s="133">
        <f t="shared" si="284"/>
        <v>0.91240062082354456</v>
      </c>
      <c r="ACL57" s="133">
        <f t="shared" si="285"/>
        <v>0.98271999027287671</v>
      </c>
      <c r="ACM57" s="133">
        <f t="shared" si="286"/>
        <v>1.0702892729727904</v>
      </c>
      <c r="ACN57" s="81"/>
      <c r="ACO57" s="81">
        <v>58</v>
      </c>
      <c r="ACP57" s="133">
        <f t="shared" si="287"/>
        <v>0.26034421350316855</v>
      </c>
      <c r="ACQ57" s="133">
        <f t="shared" si="288"/>
        <v>0.29670627194925753</v>
      </c>
      <c r="ACR57" s="133">
        <f t="shared" si="289"/>
        <v>0.32994466322095445</v>
      </c>
      <c r="ACS57" s="133">
        <f t="shared" si="479"/>
        <v>0.37053027227025753</v>
      </c>
      <c r="ACT57" s="133">
        <f t="shared" si="480"/>
        <v>0.44371684957848845</v>
      </c>
      <c r="ACU57" s="134">
        <f t="shared" si="481"/>
        <v>0.53318370306313589</v>
      </c>
      <c r="ACV57" s="133">
        <f t="shared" si="482"/>
        <v>0.63114838797540795</v>
      </c>
      <c r="ACW57" s="133">
        <f t="shared" si="290"/>
        <v>0.72646598057600376</v>
      </c>
      <c r="ACX57" s="133">
        <f t="shared" si="291"/>
        <v>0.78687430889415277</v>
      </c>
      <c r="ACY57" s="133">
        <f t="shared" si="292"/>
        <v>0.84128784228018894</v>
      </c>
      <c r="ACZ57" s="133">
        <f t="shared" si="293"/>
        <v>0.90691846127770215</v>
      </c>
      <c r="ADA57" s="81"/>
      <c r="ADB57" s="81">
        <v>55</v>
      </c>
      <c r="ADC57" s="133">
        <f t="shared" si="294"/>
        <v>0.21919399715981852</v>
      </c>
      <c r="ADD57" s="133">
        <f t="shared" si="295"/>
        <v>0.23997716903176719</v>
      </c>
      <c r="ADE57" s="133">
        <f t="shared" si="296"/>
        <v>0.25818321085165657</v>
      </c>
      <c r="ADF57" s="133">
        <f t="shared" si="483"/>
        <v>0.27953742082579408</v>
      </c>
      <c r="ADG57" s="133">
        <f t="shared" si="484"/>
        <v>0.31598418300636549</v>
      </c>
      <c r="ADH57" s="134">
        <f t="shared" si="485"/>
        <v>0.35775092411637938</v>
      </c>
      <c r="ADI57" s="133">
        <f t="shared" si="486"/>
        <v>0.4006462691467515</v>
      </c>
      <c r="ADJ57" s="133">
        <f t="shared" si="297"/>
        <v>0.44003573995558565</v>
      </c>
      <c r="ADK57" s="133">
        <f t="shared" si="298"/>
        <v>0.46403907839513087</v>
      </c>
      <c r="ADL57" s="133">
        <f t="shared" si="299"/>
        <v>0.4850876320569274</v>
      </c>
      <c r="ADM57" s="133">
        <f t="shared" si="300"/>
        <v>0.50982180586457104</v>
      </c>
      <c r="ADN57" s="81"/>
      <c r="ADO57" s="81">
        <v>55</v>
      </c>
      <c r="ADP57" s="133">
        <f t="shared" si="301"/>
        <v>0.25131237460079014</v>
      </c>
      <c r="ADQ57" s="133">
        <f t="shared" si="302"/>
        <v>0.26989949946359792</v>
      </c>
      <c r="ADR57" s="133">
        <f t="shared" si="303"/>
        <v>0.28629837610540709</v>
      </c>
      <c r="ADS57" s="133">
        <f t="shared" si="487"/>
        <v>0.30567256731605014</v>
      </c>
      <c r="ADT57" s="133">
        <f t="shared" si="488"/>
        <v>0.33908777815293906</v>
      </c>
      <c r="ADU57" s="134">
        <f t="shared" si="489"/>
        <v>0.37791441785385643</v>
      </c>
      <c r="ADV57" s="133">
        <f t="shared" si="490"/>
        <v>0.41837189621440063</v>
      </c>
      <c r="ADW57" s="133">
        <f t="shared" si="304"/>
        <v>0.45602869899467763</v>
      </c>
      <c r="ADX57" s="133">
        <f t="shared" si="305"/>
        <v>0.4792080427397083</v>
      </c>
      <c r="ADY57" s="133">
        <f t="shared" si="306"/>
        <v>0.49967568762103654</v>
      </c>
      <c r="ADZ57" s="133">
        <f t="shared" si="307"/>
        <v>0.52389360025101528</v>
      </c>
      <c r="AEA57" s="81"/>
      <c r="AEB57" s="81">
        <v>58</v>
      </c>
      <c r="AEC57" s="133">
        <f t="shared" si="308"/>
        <v>0.20905581824489841</v>
      </c>
      <c r="AED57" s="133">
        <f t="shared" si="309"/>
        <v>0.23094416422756189</v>
      </c>
      <c r="AEE57" s="133">
        <f t="shared" si="310"/>
        <v>0.24970279095279196</v>
      </c>
      <c r="AEF57" s="133">
        <f t="shared" si="491"/>
        <v>0.27126076402117266</v>
      </c>
      <c r="AEG57" s="133">
        <f t="shared" si="492"/>
        <v>0.30707379360192449</v>
      </c>
      <c r="AEH57" s="134">
        <f t="shared" si="493"/>
        <v>0.3467951126934955</v>
      </c>
      <c r="AEI57" s="133">
        <f t="shared" si="494"/>
        <v>0.38633485861165634</v>
      </c>
      <c r="AEJ57" s="133">
        <f t="shared" si="311"/>
        <v>0.42167158249331277</v>
      </c>
      <c r="AEK57" s="133">
        <f t="shared" si="312"/>
        <v>0.44279708978733368</v>
      </c>
      <c r="AEL57" s="133">
        <f t="shared" si="313"/>
        <v>0.46108762737857195</v>
      </c>
      <c r="AEM57" s="133">
        <f t="shared" si="314"/>
        <v>0.48231800100170152</v>
      </c>
      <c r="AEN57" s="81"/>
    </row>
    <row r="58" spans="1:820">
      <c r="A58" s="81"/>
      <c r="B58" s="81">
        <v>57</v>
      </c>
      <c r="C58" s="133">
        <f t="shared" si="0"/>
        <v>2.2168219299029328</v>
      </c>
      <c r="D58" s="133">
        <f t="shared" si="1"/>
        <v>2.6740984139098356</v>
      </c>
      <c r="E58" s="133">
        <f t="shared" si="2"/>
        <v>3.1589783090031194</v>
      </c>
      <c r="F58" s="133">
        <f t="shared" si="315"/>
        <v>3.8533136670052537</v>
      </c>
      <c r="G58" s="133">
        <f t="shared" si="316"/>
        <v>5.4599914489898191</v>
      </c>
      <c r="H58" s="134">
        <f t="shared" si="317"/>
        <v>8.2829665636086087</v>
      </c>
      <c r="I58" s="133">
        <f t="shared" si="318"/>
        <v>13.008292233403207</v>
      </c>
      <c r="J58" s="133">
        <f t="shared" si="3"/>
        <v>20.189579351495016</v>
      </c>
      <c r="K58" s="133">
        <f t="shared" si="4"/>
        <v>26.757053224909896</v>
      </c>
      <c r="L58" s="133">
        <f t="shared" si="5"/>
        <v>34.587010372933428</v>
      </c>
      <c r="M58" s="133">
        <f t="shared" si="6"/>
        <v>47.371147506897422</v>
      </c>
      <c r="N58" s="81"/>
      <c r="O58" s="75">
        <v>57</v>
      </c>
      <c r="P58" s="151">
        <f t="shared" si="7"/>
        <v>2.9299356358507773</v>
      </c>
      <c r="Q58" s="151">
        <f t="shared" si="8"/>
        <v>3.3794145321838398</v>
      </c>
      <c r="R58" s="151">
        <f t="shared" si="9"/>
        <v>3.8473325399183667</v>
      </c>
      <c r="S58" s="151">
        <f t="shared" si="319"/>
        <v>4.5078396370798002</v>
      </c>
      <c r="T58" s="151">
        <f t="shared" si="320"/>
        <v>6.019175163612787</v>
      </c>
      <c r="U58" s="134">
        <f t="shared" si="321"/>
        <v>8.6945160905455428</v>
      </c>
      <c r="V58" s="151">
        <f t="shared" si="322"/>
        <v>13.390934207128486</v>
      </c>
      <c r="W58" s="151">
        <f t="shared" si="10"/>
        <v>21.2984965028195</v>
      </c>
      <c r="X58" s="151">
        <f t="shared" si="11"/>
        <v>29.520812189644023</v>
      </c>
      <c r="Y58" s="151">
        <f t="shared" si="12"/>
        <v>40.765118963868034</v>
      </c>
      <c r="Z58" s="151">
        <f t="shared" si="13"/>
        <v>63.111081671004882</v>
      </c>
      <c r="AA58" s="81"/>
      <c r="AB58" s="75">
        <v>59</v>
      </c>
      <c r="AC58" s="151">
        <f t="shared" si="14"/>
        <v>1.9677432763182472</v>
      </c>
      <c r="AD58" s="151">
        <f t="shared" si="15"/>
        <v>2.3695306096845443</v>
      </c>
      <c r="AE58" s="151">
        <f t="shared" si="16"/>
        <v>2.7981334291840185</v>
      </c>
      <c r="AF58" s="151">
        <f t="shared" si="323"/>
        <v>3.4167610200159726</v>
      </c>
      <c r="AG58" s="151">
        <f t="shared" si="324"/>
        <v>4.8708655197954194</v>
      </c>
      <c r="AH58" s="134">
        <f t="shared" si="325"/>
        <v>7.5005657034205973</v>
      </c>
      <c r="AI58" s="151">
        <f t="shared" si="326"/>
        <v>12.099629780375174</v>
      </c>
      <c r="AJ58" s="151">
        <f t="shared" si="17"/>
        <v>19.509871212899835</v>
      </c>
      <c r="AK58" s="151">
        <f t="shared" si="18"/>
        <v>26.68343755133386</v>
      </c>
      <c r="AL58" s="151">
        <f t="shared" si="19"/>
        <v>35.684899672446768</v>
      </c>
      <c r="AM58" s="151">
        <f t="shared" si="20"/>
        <v>51.341454651136871</v>
      </c>
      <c r="AN58" s="81"/>
      <c r="AO58" s="81">
        <v>57</v>
      </c>
      <c r="AP58" s="133">
        <f t="shared" si="21"/>
        <v>1.8085763891254887</v>
      </c>
      <c r="AQ58" s="133">
        <f t="shared" si="22"/>
        <v>4.4208115273491648</v>
      </c>
      <c r="AR58" s="133">
        <f t="shared" si="23"/>
        <v>6.9535644324346757</v>
      </c>
      <c r="AS58" s="133">
        <f t="shared" si="327"/>
        <v>10.2056826741157</v>
      </c>
      <c r="AT58" s="133">
        <f t="shared" si="328"/>
        <v>16.4318389594699</v>
      </c>
      <c r="AU58" s="134">
        <f t="shared" si="329"/>
        <v>24.568196180835077</v>
      </c>
      <c r="AV58" s="133">
        <f t="shared" si="330"/>
        <v>33.984418584776954</v>
      </c>
      <c r="AW58" s="133">
        <f t="shared" si="24"/>
        <v>43.535705363239032</v>
      </c>
      <c r="AX58" s="133">
        <f t="shared" si="25"/>
        <v>49.766308722737307</v>
      </c>
      <c r="AY58" s="133">
        <f t="shared" si="26"/>
        <v>55.479113166386774</v>
      </c>
      <c r="AZ58" s="133">
        <f t="shared" si="27"/>
        <v>62.483959043262011</v>
      </c>
      <c r="BA58" s="81"/>
      <c r="BB58" s="81">
        <v>57</v>
      </c>
      <c r="BC58" s="133">
        <f t="shared" si="28"/>
        <v>4.6741971784965406</v>
      </c>
      <c r="BD58" s="133">
        <f t="shared" si="29"/>
        <v>7.693585259143032</v>
      </c>
      <c r="BE58" s="133">
        <f t="shared" si="30"/>
        <v>10.515643365617073</v>
      </c>
      <c r="BF58" s="133">
        <f t="shared" si="331"/>
        <v>14.019176483641967</v>
      </c>
      <c r="BG58" s="133">
        <f t="shared" si="332"/>
        <v>20.43785596766563</v>
      </c>
      <c r="BH58" s="134">
        <f t="shared" si="333"/>
        <v>28.403978895038168</v>
      </c>
      <c r="BI58" s="133">
        <f t="shared" si="334"/>
        <v>37.190128400632091</v>
      </c>
      <c r="BJ58" s="133">
        <f t="shared" si="31"/>
        <v>45.745179515930978</v>
      </c>
      <c r="BK58" s="133">
        <f t="shared" si="32"/>
        <v>51.169843069809197</v>
      </c>
      <c r="BL58" s="133">
        <f t="shared" si="33"/>
        <v>56.051150339907906</v>
      </c>
      <c r="BM58" s="133">
        <f t="shared" si="34"/>
        <v>61.929397636257811</v>
      </c>
      <c r="BN58" s="81"/>
      <c r="BO58" s="75">
        <v>59</v>
      </c>
      <c r="BP58" s="151">
        <f t="shared" si="35"/>
        <v>4.7730842579193196</v>
      </c>
      <c r="BQ58" s="151">
        <f t="shared" si="36"/>
        <v>6.1410983408883579</v>
      </c>
      <c r="BR58" s="151">
        <f t="shared" si="37"/>
        <v>7.5721240462367492</v>
      </c>
      <c r="BS58" s="151">
        <f t="shared" si="335"/>
        <v>9.5657139180179698</v>
      </c>
      <c r="BT58" s="151">
        <f t="shared" si="336"/>
        <v>13.886530956672608</v>
      </c>
      <c r="BU58" s="134">
        <f t="shared" si="337"/>
        <v>20.56285197281716</v>
      </c>
      <c r="BV58" s="151">
        <f t="shared" si="338"/>
        <v>29.799505541948044</v>
      </c>
      <c r="BW58" s="151">
        <f t="shared" si="38"/>
        <v>40.888852617180014</v>
      </c>
      <c r="BX58" s="151">
        <f t="shared" si="39"/>
        <v>49.089195332384485</v>
      </c>
      <c r="BY58" s="151">
        <f t="shared" si="40"/>
        <v>57.298043120966661</v>
      </c>
      <c r="BZ58" s="151">
        <f t="shared" si="41"/>
        <v>68.286718422729038</v>
      </c>
      <c r="CA58" s="81"/>
      <c r="CB58" s="81">
        <v>57</v>
      </c>
      <c r="CC58" s="133">
        <f t="shared" si="42"/>
        <v>-3.9733470102922297</v>
      </c>
      <c r="CD58" s="133">
        <f t="shared" si="43"/>
        <v>-1.3735760675070585</v>
      </c>
      <c r="CE58" s="133">
        <f t="shared" si="44"/>
        <v>1.1982734544640197</v>
      </c>
      <c r="CF58" s="133">
        <f t="shared" si="339"/>
        <v>4.4859556442288868</v>
      </c>
      <c r="CG58" s="133">
        <f t="shared" si="340"/>
        <v>10.625249152300615</v>
      </c>
      <c r="CH58" s="134">
        <f t="shared" si="341"/>
        <v>18.292462245982101</v>
      </c>
      <c r="CI58" s="133">
        <f t="shared" si="342"/>
        <v>26.709939463246616</v>
      </c>
      <c r="CJ58" s="133">
        <f t="shared" si="45"/>
        <v>34.829508351847274</v>
      </c>
      <c r="CK58" s="133">
        <f t="shared" si="46"/>
        <v>39.933413577530516</v>
      </c>
      <c r="CL58" s="133">
        <f t="shared" si="47"/>
        <v>44.495798825958651</v>
      </c>
      <c r="CM58" s="133">
        <f t="shared" si="48"/>
        <v>49.952196039891199</v>
      </c>
      <c r="CN58" s="81"/>
      <c r="CO58" s="81">
        <v>57</v>
      </c>
      <c r="CP58" s="133">
        <f t="shared" si="49"/>
        <v>1.9062315933477194</v>
      </c>
      <c r="CQ58" s="133">
        <f t="shared" si="50"/>
        <v>4.5817979265498403</v>
      </c>
      <c r="CR58" s="133">
        <f t="shared" si="51"/>
        <v>7.062629597130452</v>
      </c>
      <c r="CS58" s="133">
        <f t="shared" si="343"/>
        <v>10.11091264078739</v>
      </c>
      <c r="CT58" s="133">
        <f t="shared" si="344"/>
        <v>15.603644606710294</v>
      </c>
      <c r="CU58" s="134">
        <f t="shared" si="345"/>
        <v>22.268137251460391</v>
      </c>
      <c r="CV58" s="133">
        <f t="shared" si="346"/>
        <v>29.448621604142108</v>
      </c>
      <c r="CW58" s="133">
        <f t="shared" si="52"/>
        <v>36.293406357179727</v>
      </c>
      <c r="CX58" s="133">
        <f t="shared" si="53"/>
        <v>40.567697863560625</v>
      </c>
      <c r="CY58" s="133">
        <f t="shared" si="54"/>
        <v>44.374267754668061</v>
      </c>
      <c r="CZ58" s="133">
        <f t="shared" si="55"/>
        <v>48.912270563408427</v>
      </c>
      <c r="DA58" s="81"/>
      <c r="DB58" s="81">
        <v>59</v>
      </c>
      <c r="DC58" s="133">
        <f t="shared" si="56"/>
        <v>-4.3727083497485282</v>
      </c>
      <c r="DD58" s="133">
        <f t="shared" si="57"/>
        <v>-2.3781956667196784</v>
      </c>
      <c r="DE58" s="133">
        <f t="shared" si="58"/>
        <v>-0.32906689629156816</v>
      </c>
      <c r="DF58" s="133">
        <f t="shared" si="347"/>
        <v>2.3838865654415899</v>
      </c>
      <c r="DG58" s="133">
        <f t="shared" si="348"/>
        <v>7.6774896330483218</v>
      </c>
      <c r="DH58" s="134">
        <f t="shared" si="349"/>
        <v>14.616925239702301</v>
      </c>
      <c r="DI58" s="133">
        <f t="shared" si="350"/>
        <v>22.56652028830462</v>
      </c>
      <c r="DJ58" s="133">
        <f t="shared" si="59"/>
        <v>30.503466909604544</v>
      </c>
      <c r="DK58" s="133">
        <f t="shared" si="60"/>
        <v>35.609193497909871</v>
      </c>
      <c r="DL58" s="133">
        <f t="shared" si="61"/>
        <v>40.241927958368102</v>
      </c>
      <c r="DM58" s="133">
        <f t="shared" si="62"/>
        <v>45.861279893208973</v>
      </c>
      <c r="DN58" s="81"/>
      <c r="DO58" s="81">
        <v>57</v>
      </c>
      <c r="DP58" s="133">
        <v>13.304301069632881</v>
      </c>
      <c r="DQ58" s="133">
        <v>14.478151866446872</v>
      </c>
      <c r="DR58" s="133">
        <v>15.570236991741885</v>
      </c>
      <c r="DS58" s="133">
        <v>16.931966134392212</v>
      </c>
      <c r="DT58" s="133">
        <v>19.473738268243963</v>
      </c>
      <c r="DU58" s="134">
        <v>22.758924497939709</v>
      </c>
      <c r="DV58" s="133">
        <v>26.598316007336773</v>
      </c>
      <c r="DW58" s="133">
        <v>30.591169400629852</v>
      </c>
      <c r="DX58" s="133">
        <v>33.266587051798858</v>
      </c>
      <c r="DY58" s="133">
        <v>35.775881416419779</v>
      </c>
      <c r="DZ58" s="133">
        <v>38.932420545201403</v>
      </c>
      <c r="EA58" s="81"/>
      <c r="EB58" s="81">
        <v>57</v>
      </c>
      <c r="EC58" s="133">
        <v>12.799803507033118</v>
      </c>
      <c r="ED58" s="133">
        <v>13.862934777732118</v>
      </c>
      <c r="EE58" s="133">
        <v>14.847648009800441</v>
      </c>
      <c r="EF58" s="133">
        <v>16.070080453013539</v>
      </c>
      <c r="EG58" s="133">
        <v>18.337378771695619</v>
      </c>
      <c r="EH58" s="134">
        <v>21.243433696230827</v>
      </c>
      <c r="EI58" s="133">
        <v>24.610031827598331</v>
      </c>
      <c r="EJ58" s="133">
        <v>28.082216297898395</v>
      </c>
      <c r="EK58" s="133">
        <v>30.394273551492997</v>
      </c>
      <c r="EL58" s="133">
        <v>32.553242328676824</v>
      </c>
      <c r="EM58" s="133">
        <v>35.257062732110548</v>
      </c>
      <c r="EN58" s="81"/>
      <c r="EO58" s="81">
        <v>59</v>
      </c>
      <c r="EP58" s="133">
        <v>12.984364823924208</v>
      </c>
      <c r="EQ58" s="133">
        <v>14.207275498461762</v>
      </c>
      <c r="ER58" s="133">
        <v>15.350777963704905</v>
      </c>
      <c r="ES58" s="133">
        <v>16.783852693642878</v>
      </c>
      <c r="ET58" s="133">
        <v>19.478356609397199</v>
      </c>
      <c r="EU58" s="134">
        <v>22.994421280817289</v>
      </c>
      <c r="EV58" s="133">
        <v>27.145175573211056</v>
      </c>
      <c r="EW58" s="133">
        <v>31.503101206314337</v>
      </c>
      <c r="EX58" s="133">
        <v>34.444079074679742</v>
      </c>
      <c r="EY58" s="133">
        <v>37.216383260601276</v>
      </c>
      <c r="EZ58" s="133">
        <v>40.721546044783977</v>
      </c>
      <c r="FA58" s="81"/>
      <c r="FB58" s="81">
        <v>57</v>
      </c>
      <c r="FC58" s="133">
        <v>9.1016592221605457</v>
      </c>
      <c r="FD58" s="133">
        <v>9.8870453068007116</v>
      </c>
      <c r="FE58" s="133">
        <v>10.616515125468327</v>
      </c>
      <c r="FF58" s="133">
        <v>11.524592048081047</v>
      </c>
      <c r="FG58" s="133">
        <v>13.215553414310994</v>
      </c>
      <c r="FH58" s="134">
        <v>15.394255652255593</v>
      </c>
      <c r="FI58" s="133">
        <v>17.932136449948178</v>
      </c>
      <c r="FJ58" s="133">
        <v>20.563253440842033</v>
      </c>
      <c r="FK58" s="133">
        <v>22.322118349221434</v>
      </c>
      <c r="FL58" s="133">
        <v>23.969052404766146</v>
      </c>
      <c r="FM58" s="133">
        <v>26.037352234634469</v>
      </c>
      <c r="FN58" s="81"/>
      <c r="FO58" s="81">
        <v>57</v>
      </c>
      <c r="FP58" s="133">
        <v>9.0441723041478124</v>
      </c>
      <c r="FQ58" s="133">
        <v>9.7524219265246721</v>
      </c>
      <c r="FR58" s="133">
        <v>10.40575966600324</v>
      </c>
      <c r="FS58" s="133">
        <v>11.213521188951251</v>
      </c>
      <c r="FT58" s="133">
        <v>12.702954342104277</v>
      </c>
      <c r="FU58" s="134">
        <v>14.597349896843596</v>
      </c>
      <c r="FV58" s="133">
        <v>16.774257253260519</v>
      </c>
      <c r="FW58" s="133">
        <v>19.002293786257919</v>
      </c>
      <c r="FX58" s="133">
        <v>20.477373190449921</v>
      </c>
      <c r="FY58" s="133">
        <v>21.849200702785119</v>
      </c>
      <c r="FZ58" s="133">
        <v>23.560212791739545</v>
      </c>
      <c r="GA58" s="81"/>
      <c r="GB58" s="81">
        <v>59</v>
      </c>
      <c r="GC58" s="133">
        <v>8.8533708724995641</v>
      </c>
      <c r="GD58" s="133">
        <v>9.6793476363580719</v>
      </c>
      <c r="GE58" s="133">
        <v>10.451108762747525</v>
      </c>
      <c r="GF58" s="133">
        <v>11.417576784712228</v>
      </c>
      <c r="GG58" s="133">
        <v>13.232784511085859</v>
      </c>
      <c r="GH58" s="134">
        <v>15.598082403449878</v>
      </c>
      <c r="GI58" s="133">
        <v>18.386166151272711</v>
      </c>
      <c r="GJ58" s="133">
        <v>21.309265464330743</v>
      </c>
      <c r="GK58" s="133">
        <v>23.279843334139283</v>
      </c>
      <c r="GL58" s="133">
        <v>25.136009554085625</v>
      </c>
      <c r="GM58" s="133">
        <v>27.481077904524959</v>
      </c>
      <c r="GN58" s="81"/>
      <c r="GO58" s="81">
        <v>57</v>
      </c>
      <c r="GP58" s="133">
        <f t="shared" si="63"/>
        <v>0.50000674531556544</v>
      </c>
      <c r="GQ58" s="133">
        <f t="shared" si="64"/>
        <v>0.53260831743186288</v>
      </c>
      <c r="GR58" s="133">
        <f t="shared" si="65"/>
        <v>0.55904286957973726</v>
      </c>
      <c r="GS58" s="133">
        <f t="shared" si="351"/>
        <v>0.58796341714398637</v>
      </c>
      <c r="GT58" s="133">
        <f t="shared" si="352"/>
        <v>0.63438599329258594</v>
      </c>
      <c r="GU58" s="134">
        <f t="shared" si="353"/>
        <v>0.6797130958692994</v>
      </c>
      <c r="GV58" s="133">
        <f t="shared" si="354"/>
        <v>0.72204157900299637</v>
      </c>
      <c r="GW58" s="133">
        <f t="shared" si="66"/>
        <v>0.75989291531178504</v>
      </c>
      <c r="GX58" s="133">
        <f t="shared" si="67"/>
        <v>0.78104225859166965</v>
      </c>
      <c r="GY58" s="133">
        <f t="shared" si="68"/>
        <v>0.7989063712222304</v>
      </c>
      <c r="GZ58" s="133">
        <f t="shared" si="69"/>
        <v>0.819158997448032</v>
      </c>
      <c r="HA58" s="81"/>
      <c r="HB58" s="81">
        <v>57</v>
      </c>
      <c r="HC58" s="133">
        <f t="shared" si="70"/>
        <v>0.4902543603518727</v>
      </c>
      <c r="HD58" s="133">
        <f t="shared" si="71"/>
        <v>0.52479754608800511</v>
      </c>
      <c r="HE58" s="133">
        <f t="shared" si="72"/>
        <v>0.55271764690740954</v>
      </c>
      <c r="HF58" s="133">
        <f t="shared" si="355"/>
        <v>0.58318863771355023</v>
      </c>
      <c r="HG58" s="133">
        <f t="shared" si="356"/>
        <v>0.63063056055281719</v>
      </c>
      <c r="HH58" s="134">
        <f t="shared" si="357"/>
        <v>0.6794733384064684</v>
      </c>
      <c r="HI58" s="133">
        <f t="shared" si="358"/>
        <v>0.72491079437464734</v>
      </c>
      <c r="HJ58" s="133">
        <f t="shared" si="73"/>
        <v>0.76329181321415152</v>
      </c>
      <c r="HK58" s="133">
        <f t="shared" si="74"/>
        <v>0.78536629720475493</v>
      </c>
      <c r="HL58" s="133">
        <f t="shared" si="75"/>
        <v>0.80400283198995914</v>
      </c>
      <c r="HM58" s="133">
        <f t="shared" si="76"/>
        <v>0.82512218268516269</v>
      </c>
      <c r="HN58" s="81"/>
      <c r="HO58" s="81">
        <v>59</v>
      </c>
      <c r="HP58" s="83">
        <f t="shared" si="77"/>
        <v>0.50962181329110712</v>
      </c>
      <c r="HQ58" s="83">
        <f t="shared" si="78"/>
        <v>0.54072243002169307</v>
      </c>
      <c r="HR58" s="83">
        <f t="shared" si="79"/>
        <v>0.56600215686015132</v>
      </c>
      <c r="HS58" s="83">
        <f t="shared" si="359"/>
        <v>0.59371245359117708</v>
      </c>
      <c r="HT58" s="83">
        <f t="shared" si="360"/>
        <v>0.63706209599116193</v>
      </c>
      <c r="HU58" s="84">
        <f t="shared" si="361"/>
        <v>0.68189981073832451</v>
      </c>
      <c r="HV58" s="83">
        <f t="shared" si="362"/>
        <v>0.72375851994950535</v>
      </c>
      <c r="HW58" s="83">
        <f t="shared" si="80"/>
        <v>0.75920408286834784</v>
      </c>
      <c r="HX58" s="83">
        <f t="shared" si="81"/>
        <v>0.77962045782059031</v>
      </c>
      <c r="HY58" s="83">
        <f t="shared" si="82"/>
        <v>0.79687209581264684</v>
      </c>
      <c r="HZ58" s="83">
        <f t="shared" si="83"/>
        <v>0.81643695743709854</v>
      </c>
      <c r="IA58" s="81"/>
      <c r="IB58" s="81">
        <v>57</v>
      </c>
      <c r="IC58" s="83">
        <f t="shared" si="84"/>
        <v>0.33442767927744532</v>
      </c>
      <c r="ID58" s="83">
        <f t="shared" si="85"/>
        <v>0.34802980489899782</v>
      </c>
      <c r="IE58" s="83">
        <f t="shared" si="86"/>
        <v>0.35870939741633956</v>
      </c>
      <c r="IF58" s="83">
        <f t="shared" si="363"/>
        <v>0.37007364761479905</v>
      </c>
      <c r="IG58" s="83">
        <f t="shared" si="364"/>
        <v>0.38722114736201108</v>
      </c>
      <c r="IH58" s="84">
        <f t="shared" si="365"/>
        <v>0.40425415682685401</v>
      </c>
      <c r="II58" s="83">
        <f t="shared" si="366"/>
        <v>0.41959623175493171</v>
      </c>
      <c r="IJ58" s="83">
        <f t="shared" si="87"/>
        <v>0.43221383705295774</v>
      </c>
      <c r="IK58" s="83">
        <f t="shared" si="88"/>
        <v>0.43933923221772742</v>
      </c>
      <c r="IL58" s="83">
        <f t="shared" si="89"/>
        <v>0.44528403625239144</v>
      </c>
      <c r="IM58" s="83">
        <f t="shared" si="90"/>
        <v>0.45194550267264322</v>
      </c>
      <c r="IN58" s="81"/>
      <c r="IO58" s="81">
        <v>57</v>
      </c>
      <c r="IP58" s="133">
        <f t="shared" si="91"/>
        <v>0.32980760507380347</v>
      </c>
      <c r="IQ58" s="133">
        <f t="shared" si="92"/>
        <v>0.34445011122940888</v>
      </c>
      <c r="IR58" s="133">
        <f t="shared" si="93"/>
        <v>0.35587529064816614</v>
      </c>
      <c r="IS58" s="133">
        <f t="shared" si="367"/>
        <v>0.36797535285660821</v>
      </c>
      <c r="IT58" s="133">
        <f t="shared" si="368"/>
        <v>0.38613990793416275</v>
      </c>
      <c r="IU58" s="134">
        <f t="shared" si="369"/>
        <v>0.40409315616238756</v>
      </c>
      <c r="IV58" s="133">
        <f t="shared" si="370"/>
        <v>0.42020256664379796</v>
      </c>
      <c r="IW58" s="133">
        <f t="shared" si="94"/>
        <v>0.43341528016666198</v>
      </c>
      <c r="IX58" s="133">
        <f t="shared" si="95"/>
        <v>0.44086438982634352</v>
      </c>
      <c r="IY58" s="133">
        <f t="shared" si="96"/>
        <v>0.447073142493845</v>
      </c>
      <c r="IZ58" s="133">
        <f t="shared" si="97"/>
        <v>0.45402426597238549</v>
      </c>
      <c r="JA58" s="81"/>
      <c r="JB58" s="81">
        <v>59</v>
      </c>
      <c r="JC58" s="133">
        <f t="shared" si="98"/>
        <v>0.33894032404865887</v>
      </c>
      <c r="JD58" s="133">
        <f t="shared" si="99"/>
        <v>0.35170673078664627</v>
      </c>
      <c r="JE58" s="133">
        <f t="shared" si="100"/>
        <v>0.36178056251714774</v>
      </c>
      <c r="JF58" s="133">
        <f t="shared" si="371"/>
        <v>0.37254196332756789</v>
      </c>
      <c r="JG58" s="133">
        <f t="shared" si="372"/>
        <v>0.38884894229529804</v>
      </c>
      <c r="JH58" s="134">
        <f t="shared" si="373"/>
        <v>0.40511525917682367</v>
      </c>
      <c r="JI58" s="133">
        <f t="shared" si="374"/>
        <v>0.4198143105832855</v>
      </c>
      <c r="JJ58" s="133">
        <f t="shared" si="101"/>
        <v>0.43193127327818248</v>
      </c>
      <c r="JK58" s="133">
        <f t="shared" si="102"/>
        <v>0.43878372305473889</v>
      </c>
      <c r="JL58" s="133">
        <f t="shared" si="103"/>
        <v>0.44450568588115491</v>
      </c>
      <c r="JM58" s="133">
        <f t="shared" si="104"/>
        <v>0.45092233196862469</v>
      </c>
      <c r="JN58" s="81"/>
      <c r="JO58" s="81">
        <v>56</v>
      </c>
      <c r="JP58" s="133">
        <f t="shared" si="105"/>
        <v>-1.1946261045630422</v>
      </c>
      <c r="JQ58" s="133">
        <f t="shared" si="106"/>
        <v>0.2535298158159307</v>
      </c>
      <c r="JR58" s="133">
        <f t="shared" si="107"/>
        <v>1.5131178772656533</v>
      </c>
      <c r="JS58" s="133">
        <f t="shared" si="375"/>
        <v>2.9808676631649718</v>
      </c>
      <c r="JT58" s="133">
        <f t="shared" si="376"/>
        <v>5.4646146095330792</v>
      </c>
      <c r="JU58" s="134">
        <f t="shared" si="377"/>
        <v>8.2820788498697908</v>
      </c>
      <c r="JV58" s="133">
        <f t="shared" si="378"/>
        <v>11.148133685955589</v>
      </c>
      <c r="JW58" s="133">
        <f t="shared" si="108"/>
        <v>13.758527405201573</v>
      </c>
      <c r="JX58" s="133">
        <f t="shared" si="109"/>
        <v>15.340228027658302</v>
      </c>
      <c r="JY58" s="133">
        <f t="shared" si="110"/>
        <v>16.722018315140179</v>
      </c>
      <c r="JZ58" s="133">
        <f t="shared" si="111"/>
        <v>18.339911137214461</v>
      </c>
      <c r="KA58" s="81"/>
      <c r="KB58" s="81">
        <v>56</v>
      </c>
      <c r="KC58" s="133">
        <f t="shared" si="112"/>
        <v>0.28686869338001841</v>
      </c>
      <c r="KD58" s="133">
        <f t="shared" si="113"/>
        <v>1.656872693782093</v>
      </c>
      <c r="KE58" s="133">
        <f t="shared" si="114"/>
        <v>2.8713551093782694</v>
      </c>
      <c r="KF58" s="133">
        <f t="shared" si="379"/>
        <v>4.3117286239355668</v>
      </c>
      <c r="KG58" s="133">
        <f t="shared" si="380"/>
        <v>6.8065587523066515</v>
      </c>
      <c r="KH58" s="134">
        <f t="shared" si="381"/>
        <v>9.7167572246964315</v>
      </c>
      <c r="KI58" s="133">
        <f t="shared" si="382"/>
        <v>12.756729072472682</v>
      </c>
      <c r="KJ58" s="133">
        <f t="shared" si="115"/>
        <v>15.589614940843981</v>
      </c>
      <c r="KK58" s="133">
        <f t="shared" si="116"/>
        <v>17.333926106459941</v>
      </c>
      <c r="KL58" s="133">
        <f t="shared" si="117"/>
        <v>18.874115169105288</v>
      </c>
      <c r="KM58" s="133">
        <f t="shared" si="118"/>
        <v>20.696111934757802</v>
      </c>
      <c r="KN58" s="81"/>
      <c r="KO58" s="81">
        <v>58</v>
      </c>
      <c r="KP58" s="133">
        <f t="shared" si="119"/>
        <v>-0.8425374513626096</v>
      </c>
      <c r="KQ58" s="133">
        <f t="shared" si="120"/>
        <v>0.46687451693298598</v>
      </c>
      <c r="KR58" s="133">
        <f t="shared" si="121"/>
        <v>1.5892060330787174</v>
      </c>
      <c r="KS58" s="133">
        <f t="shared" si="383"/>
        <v>2.8790532955409596</v>
      </c>
      <c r="KT58" s="133">
        <f t="shared" si="384"/>
        <v>5.0215879915352204</v>
      </c>
      <c r="KU58" s="134">
        <f t="shared" si="385"/>
        <v>7.3972523387698281</v>
      </c>
      <c r="KV58" s="133">
        <f t="shared" si="386"/>
        <v>9.7610370199392236</v>
      </c>
      <c r="KW58" s="133">
        <f t="shared" si="122"/>
        <v>11.872532937267767</v>
      </c>
      <c r="KX58" s="133">
        <f t="shared" si="123"/>
        <v>13.134357996820849</v>
      </c>
      <c r="KY58" s="133">
        <f t="shared" si="124"/>
        <v>14.226535994235388</v>
      </c>
      <c r="KZ58" s="133">
        <f t="shared" si="125"/>
        <v>15.493885312323496</v>
      </c>
      <c r="LA58" s="81"/>
      <c r="LB58" s="81">
        <v>56</v>
      </c>
      <c r="LC58" s="133">
        <f t="shared" si="126"/>
        <v>-1.6943224555665637</v>
      </c>
      <c r="LD58" s="133">
        <f t="shared" si="127"/>
        <v>2.0142256484882211</v>
      </c>
      <c r="LE58" s="133">
        <f t="shared" si="128"/>
        <v>5.2645423536959299</v>
      </c>
      <c r="LF58" s="133">
        <f t="shared" si="387"/>
        <v>9.0780555466172856</v>
      </c>
      <c r="LG58" s="133">
        <f t="shared" si="388"/>
        <v>15.587978132407969</v>
      </c>
      <c r="LH58" s="134">
        <f t="shared" si="389"/>
        <v>23.047449115508577</v>
      </c>
      <c r="LI58" s="133">
        <f t="shared" si="390"/>
        <v>30.705634139831538</v>
      </c>
      <c r="LJ58" s="133">
        <f t="shared" si="129"/>
        <v>37.734188323877028</v>
      </c>
      <c r="LK58" s="133">
        <f t="shared" si="130"/>
        <v>42.015234658625026</v>
      </c>
      <c r="LL58" s="133">
        <f t="shared" si="131"/>
        <v>45.767913865552565</v>
      </c>
      <c r="LM58" s="133">
        <f t="shared" si="132"/>
        <v>50.175979568969048</v>
      </c>
      <c r="LN58" s="81"/>
      <c r="LO58" s="81">
        <v>56</v>
      </c>
      <c r="LP58" s="133">
        <f t="shared" si="133"/>
        <v>2.843764824409039</v>
      </c>
      <c r="LQ58" s="133">
        <f t="shared" si="134"/>
        <v>6.581741364782598</v>
      </c>
      <c r="LR58" s="133">
        <f t="shared" si="135"/>
        <v>9.8665442548514228</v>
      </c>
      <c r="LS58" s="133">
        <f t="shared" si="391"/>
        <v>13.730052460337074</v>
      </c>
      <c r="LT58" s="133">
        <f t="shared" si="392"/>
        <v>20.346970791680565</v>
      </c>
      <c r="LU58" s="134">
        <f t="shared" si="393"/>
        <v>27.95909683682881</v>
      </c>
      <c r="LV58" s="133">
        <f t="shared" si="394"/>
        <v>35.803604053608268</v>
      </c>
      <c r="LW58" s="133">
        <f t="shared" si="136"/>
        <v>43.026807861722276</v>
      </c>
      <c r="LX58" s="133">
        <f t="shared" si="137"/>
        <v>47.436595633872116</v>
      </c>
      <c r="LY58" s="133">
        <f t="shared" si="138"/>
        <v>51.308080827543563</v>
      </c>
      <c r="LZ58" s="133">
        <f t="shared" si="139"/>
        <v>55.862468492698611</v>
      </c>
      <c r="MA58" s="81"/>
      <c r="MB58" s="81">
        <v>58</v>
      </c>
      <c r="MC58" s="133">
        <f t="shared" si="140"/>
        <v>-0.5271143822232176</v>
      </c>
      <c r="MD58" s="133">
        <f t="shared" si="141"/>
        <v>2.5762526482406898</v>
      </c>
      <c r="ME58" s="133">
        <f t="shared" si="142"/>
        <v>5.2702142333900568</v>
      </c>
      <c r="MF58" s="133">
        <f t="shared" si="395"/>
        <v>8.4031935774507573</v>
      </c>
      <c r="MG58" s="133">
        <f t="shared" si="396"/>
        <v>13.68994470863111</v>
      </c>
      <c r="MH58" s="134">
        <f t="shared" si="397"/>
        <v>19.665008484465531</v>
      </c>
      <c r="MI58" s="133">
        <f t="shared" si="398"/>
        <v>25.720143982725105</v>
      </c>
      <c r="MJ58" s="133">
        <f t="shared" si="143"/>
        <v>31.215937534258977</v>
      </c>
      <c r="MK58" s="133">
        <f t="shared" si="144"/>
        <v>34.53743660163574</v>
      </c>
      <c r="ML58" s="133">
        <f t="shared" si="145"/>
        <v>37.434037706153013</v>
      </c>
      <c r="MM58" s="133">
        <f t="shared" si="146"/>
        <v>40.819698553489253</v>
      </c>
      <c r="MN58" s="81"/>
      <c r="MO58" s="81">
        <v>56</v>
      </c>
      <c r="MP58" s="133">
        <f t="shared" si="147"/>
        <v>-7.9712609710154965</v>
      </c>
      <c r="MQ58" s="133">
        <f t="shared" si="148"/>
        <v>-3.8118577844756487</v>
      </c>
      <c r="MR58" s="133">
        <f t="shared" si="149"/>
        <v>-0.22104640482057647</v>
      </c>
      <c r="MS58" s="133">
        <f t="shared" si="399"/>
        <v>3.9328590131460857</v>
      </c>
      <c r="MT58" s="133">
        <f t="shared" si="400"/>
        <v>10.891882408690741</v>
      </c>
      <c r="MU58" s="134">
        <f t="shared" si="401"/>
        <v>18.686600171066843</v>
      </c>
      <c r="MV58" s="133">
        <f t="shared" si="402"/>
        <v>26.516499330313827</v>
      </c>
      <c r="MW58" s="133">
        <f t="shared" si="150"/>
        <v>33.567963406051227</v>
      </c>
      <c r="MX58" s="133">
        <f t="shared" si="151"/>
        <v>37.806005129123413</v>
      </c>
      <c r="MY58" s="133">
        <f t="shared" si="152"/>
        <v>41.488121513559683</v>
      </c>
      <c r="MZ58" s="133">
        <f t="shared" si="153"/>
        <v>45.776330332372488</v>
      </c>
      <c r="NA58" s="81"/>
      <c r="NB58" s="81">
        <v>56</v>
      </c>
      <c r="NC58" s="133">
        <f t="shared" si="154"/>
        <v>0.69876670256754281</v>
      </c>
      <c r="ND58" s="133">
        <f t="shared" si="155"/>
        <v>4.3523713095394463</v>
      </c>
      <c r="NE58" s="133">
        <f t="shared" si="156"/>
        <v>7.5093587982468328</v>
      </c>
      <c r="NF58" s="133">
        <f t="shared" si="403"/>
        <v>11.164511835777798</v>
      </c>
      <c r="NG58" s="133">
        <f t="shared" si="404"/>
        <v>17.294944631436021</v>
      </c>
      <c r="NH58" s="134">
        <f t="shared" si="405"/>
        <v>24.171081784789738</v>
      </c>
      <c r="NI58" s="133">
        <f t="shared" si="406"/>
        <v>31.087437355210913</v>
      </c>
      <c r="NJ58" s="133">
        <f t="shared" si="157"/>
        <v>37.323369893203704</v>
      </c>
      <c r="NK58" s="133">
        <f t="shared" si="158"/>
        <v>41.07431351299239</v>
      </c>
      <c r="NL58" s="133">
        <f t="shared" si="159"/>
        <v>44.334988667360165</v>
      </c>
      <c r="NM58" s="133">
        <f t="shared" si="160"/>
        <v>48.134365889993418</v>
      </c>
      <c r="NN58" s="81"/>
      <c r="NO58" s="81">
        <v>58</v>
      </c>
      <c r="NP58" s="133">
        <f t="shared" si="161"/>
        <v>-9.5006844538155626</v>
      </c>
      <c r="NQ58" s="133">
        <f t="shared" si="162"/>
        <v>-5.7778051431577317</v>
      </c>
      <c r="NR58" s="133">
        <f t="shared" si="163"/>
        <v>-2.5741382322254722</v>
      </c>
      <c r="NS58" s="133">
        <f t="shared" si="407"/>
        <v>1.1213333624008968</v>
      </c>
      <c r="NT58" s="133">
        <f t="shared" si="408"/>
        <v>7.289948777370661</v>
      </c>
      <c r="NU58" s="134">
        <f t="shared" si="409"/>
        <v>14.170488154619072</v>
      </c>
      <c r="NV58" s="133">
        <f t="shared" si="410"/>
        <v>21.055670407671101</v>
      </c>
      <c r="NW58" s="133">
        <f t="shared" si="164"/>
        <v>27.236486886745546</v>
      </c>
      <c r="NX58" s="133">
        <f t="shared" si="165"/>
        <v>30.94306552119324</v>
      </c>
      <c r="NY58" s="133">
        <f t="shared" si="166"/>
        <v>34.158787902210214</v>
      </c>
      <c r="NZ58" s="133">
        <f t="shared" si="167"/>
        <v>37.898677405467446</v>
      </c>
      <c r="OA58" s="81"/>
      <c r="OB58" s="81">
        <v>56</v>
      </c>
      <c r="OC58" s="133">
        <v>14.143354007692478</v>
      </c>
      <c r="OD58" s="133">
        <v>15.490198270377819</v>
      </c>
      <c r="OE58" s="133">
        <v>16.75070278888397</v>
      </c>
      <c r="OF58" s="133">
        <v>18.33180748110097</v>
      </c>
      <c r="OG58" s="133">
        <v>21.3084341978685</v>
      </c>
      <c r="OH58" s="134">
        <v>25.199148661665824</v>
      </c>
      <c r="OI58" s="133">
        <v>29.800270042190775</v>
      </c>
      <c r="OJ58" s="133">
        <v>34.639088040138937</v>
      </c>
      <c r="OK58" s="133">
        <v>37.908683669925068</v>
      </c>
      <c r="OL58" s="133">
        <v>40.993477435795683</v>
      </c>
      <c r="OM58" s="133">
        <v>44.897207050559814</v>
      </c>
      <c r="ON58" s="81"/>
      <c r="OO58" s="81">
        <v>56</v>
      </c>
      <c r="OP58" s="133">
        <v>13.658859906627052</v>
      </c>
      <c r="OQ58" s="133">
        <v>14.721943021470313</v>
      </c>
      <c r="OR58" s="133">
        <v>15.702198907993358</v>
      </c>
      <c r="OS58" s="133">
        <v>16.913650103729903</v>
      </c>
      <c r="OT58" s="133">
        <v>25.241890686200733</v>
      </c>
      <c r="OU58" s="134">
        <v>21.98337482469913</v>
      </c>
      <c r="OV58" s="133">
        <v>25.241075930143321</v>
      </c>
      <c r="OW58" s="133">
        <v>28.572706998156598</v>
      </c>
      <c r="OX58" s="133">
        <v>30.777139655083769</v>
      </c>
      <c r="OY58" s="133">
        <v>32.826425695196754</v>
      </c>
      <c r="OZ58" s="133">
        <v>35.381340169448677</v>
      </c>
      <c r="PA58" s="81"/>
      <c r="PB58" s="81">
        <v>58</v>
      </c>
      <c r="PC58" s="133">
        <v>16.372998613047869</v>
      </c>
      <c r="PD58" s="133">
        <v>17.691480212222864</v>
      </c>
      <c r="PE58" s="133">
        <v>18.910059643156977</v>
      </c>
      <c r="PF58" s="133">
        <v>20.419537496624507</v>
      </c>
      <c r="PG58" s="133">
        <v>23.210506028475404</v>
      </c>
      <c r="PH58" s="134">
        <v>26.773121094941093</v>
      </c>
      <c r="PI58" s="133">
        <v>30.882567242824702</v>
      </c>
      <c r="PJ58" s="133">
        <v>35.103636078088051</v>
      </c>
      <c r="PK58" s="133">
        <v>37.905751049482795</v>
      </c>
      <c r="PL58" s="133">
        <v>40.516678342671973</v>
      </c>
      <c r="PM58" s="133">
        <v>43.779397415519938</v>
      </c>
      <c r="PN58" s="81"/>
      <c r="PO58" s="81">
        <v>56</v>
      </c>
      <c r="PP58" s="133">
        <v>9.5217671751052215</v>
      </c>
      <c r="PQ58" s="133">
        <v>10.344487083546513</v>
      </c>
      <c r="PR58" s="133">
        <v>11.108706945533312</v>
      </c>
      <c r="PS58" s="133">
        <v>12.060134635871604</v>
      </c>
      <c r="PT58" s="133">
        <v>13.83206849816321</v>
      </c>
      <c r="PU58" s="134">
        <v>16.115517932169258</v>
      </c>
      <c r="PV58" s="133">
        <v>18.775927711502902</v>
      </c>
      <c r="PW58" s="133">
        <v>21.534578681202213</v>
      </c>
      <c r="PX58" s="133">
        <v>23.37895125827362</v>
      </c>
      <c r="PY58" s="133">
        <v>25.106118469145972</v>
      </c>
      <c r="PZ58" s="133">
        <v>27.275390528460282</v>
      </c>
      <c r="QA58" s="81"/>
      <c r="QB58" s="81">
        <v>56</v>
      </c>
      <c r="QC58" s="133">
        <v>9.4382412787992092</v>
      </c>
      <c r="QD58" s="133">
        <v>10.246625101230089</v>
      </c>
      <c r="QE58" s="133">
        <v>10.997044308501438</v>
      </c>
      <c r="QF58" s="133">
        <v>11.930689027222719</v>
      </c>
      <c r="QG58" s="133">
        <v>13.667892591052654</v>
      </c>
      <c r="QH58" s="134">
        <v>15.903861176558229</v>
      </c>
      <c r="QI58" s="133">
        <v>18.505618085469319</v>
      </c>
      <c r="QJ58" s="133">
        <v>21.200183807163974</v>
      </c>
      <c r="QK58" s="133">
        <v>23.000071039788608</v>
      </c>
      <c r="QL58" s="133">
        <v>24.684498342080648</v>
      </c>
      <c r="QM58" s="133">
        <v>26.798721589306073</v>
      </c>
      <c r="QN58" s="81"/>
      <c r="QO58" s="81">
        <v>58</v>
      </c>
      <c r="QP58" s="133">
        <v>9.4303303002147327</v>
      </c>
      <c r="QQ58" s="133">
        <v>10.270684681676208</v>
      </c>
      <c r="QR58" s="133">
        <v>11.053090825022167</v>
      </c>
      <c r="QS58" s="133">
        <v>12.029411435524247</v>
      </c>
      <c r="QT58" s="133">
        <v>13.853759044292438</v>
      </c>
      <c r="QU58" s="134">
        <v>16.21503768997766</v>
      </c>
      <c r="QV58" s="133">
        <v>18.978780159722682</v>
      </c>
      <c r="QW58" s="133">
        <v>21.857050005866519</v>
      </c>
      <c r="QX58" s="133">
        <v>23.787685403993656</v>
      </c>
      <c r="QY58" s="133">
        <v>25.599797426989589</v>
      </c>
      <c r="QZ58" s="133">
        <v>27.881043284497576</v>
      </c>
      <c r="RA58" s="81"/>
      <c r="RB58" s="81">
        <v>56</v>
      </c>
      <c r="RC58" s="133">
        <f t="shared" si="168"/>
        <v>0.35762666576851437</v>
      </c>
      <c r="RD58" s="133">
        <f t="shared" si="169"/>
        <v>0.38981816160586924</v>
      </c>
      <c r="RE58" s="133">
        <f t="shared" si="170"/>
        <v>0.4202019102983941</v>
      </c>
      <c r="RF58" s="133">
        <f t="shared" si="411"/>
        <v>0.45868310223409414</v>
      </c>
      <c r="RG58" s="133">
        <f t="shared" si="412"/>
        <v>0.53230476301622376</v>
      </c>
      <c r="RH58" s="134">
        <f t="shared" si="413"/>
        <v>0.63096709369838366</v>
      </c>
      <c r="RI58" s="133">
        <f t="shared" si="414"/>
        <v>0.75134415182255532</v>
      </c>
      <c r="RJ58" s="133">
        <f t="shared" si="171"/>
        <v>0.88237852935392913</v>
      </c>
      <c r="RK58" s="133">
        <f t="shared" si="172"/>
        <v>0.97353272149642678</v>
      </c>
      <c r="RL58" s="133">
        <f t="shared" si="173"/>
        <v>1.0614838879122928</v>
      </c>
      <c r="RM58" s="133">
        <f t="shared" si="174"/>
        <v>1.175511581384177</v>
      </c>
      <c r="RN58" s="81"/>
      <c r="RO58" s="81">
        <v>56</v>
      </c>
      <c r="RP58" s="133">
        <f t="shared" si="175"/>
        <v>0.39453853734872751</v>
      </c>
      <c r="RQ58" s="133">
        <f t="shared" si="176"/>
        <v>0.42968325113464945</v>
      </c>
      <c r="RR58" s="133">
        <f t="shared" si="177"/>
        <v>0.46299276072533668</v>
      </c>
      <c r="RS58" s="133">
        <f t="shared" si="415"/>
        <v>0.50537848027743493</v>
      </c>
      <c r="RT58" s="133">
        <f t="shared" si="416"/>
        <v>0.58710756576820222</v>
      </c>
      <c r="RU58" s="134">
        <f t="shared" si="417"/>
        <v>0.69797561765790905</v>
      </c>
      <c r="RV58" s="133">
        <f t="shared" si="418"/>
        <v>0.83534311999486843</v>
      </c>
      <c r="RW58" s="133">
        <f t="shared" si="178"/>
        <v>0.98748121605552697</v>
      </c>
      <c r="RX58" s="133">
        <f t="shared" si="179"/>
        <v>1.0949009673869263</v>
      </c>
      <c r="RY58" s="133">
        <f t="shared" si="180"/>
        <v>1.1997616820788168</v>
      </c>
      <c r="RZ58" s="133">
        <f t="shared" si="181"/>
        <v>1.3374644770568771</v>
      </c>
      <c r="SA58" s="81"/>
      <c r="SB58" s="81">
        <v>58</v>
      </c>
      <c r="SC58" s="133">
        <f t="shared" si="182"/>
        <v>0.35942117765406534</v>
      </c>
      <c r="SD58" s="133">
        <f t="shared" si="183"/>
        <v>0.38890106208214109</v>
      </c>
      <c r="SE58" s="133">
        <f t="shared" si="184"/>
        <v>0.41620909453443933</v>
      </c>
      <c r="SF58" s="133">
        <f t="shared" si="419"/>
        <v>0.45011525458471291</v>
      </c>
      <c r="SG58" s="133">
        <f t="shared" si="420"/>
        <v>0.51302581478145526</v>
      </c>
      <c r="SH58" s="134">
        <f t="shared" si="421"/>
        <v>0.59371677151990909</v>
      </c>
      <c r="SI58" s="133">
        <f t="shared" si="422"/>
        <v>0.6872901456296765</v>
      </c>
      <c r="SJ58" s="133">
        <f t="shared" si="185"/>
        <v>0.783915676056679</v>
      </c>
      <c r="SK58" s="133">
        <f t="shared" si="186"/>
        <v>0.84832594772006653</v>
      </c>
      <c r="SL58" s="133">
        <f t="shared" si="187"/>
        <v>0.90852246153517835</v>
      </c>
      <c r="SM58" s="133">
        <f t="shared" si="188"/>
        <v>0.98398066453807675</v>
      </c>
      <c r="SN58" s="81"/>
      <c r="SO58" s="81">
        <v>56</v>
      </c>
      <c r="SP58" s="133">
        <f t="shared" si="189"/>
        <v>0.26419378125536641</v>
      </c>
      <c r="SQ58" s="133">
        <f t="shared" si="190"/>
        <v>0.28117392080714987</v>
      </c>
      <c r="SR58" s="133">
        <f t="shared" si="191"/>
        <v>0.29641855524239502</v>
      </c>
      <c r="SS58" s="133">
        <f t="shared" si="423"/>
        <v>0.31475162805882606</v>
      </c>
      <c r="ST58" s="133">
        <f t="shared" si="424"/>
        <v>0.34720281712291012</v>
      </c>
      <c r="SU58" s="134">
        <f t="shared" si="425"/>
        <v>0.38624906532265396</v>
      </c>
      <c r="SV58" s="133">
        <f t="shared" si="426"/>
        <v>0.42848574198338057</v>
      </c>
      <c r="SW58" s="133">
        <f t="shared" si="192"/>
        <v>0.46923318378781603</v>
      </c>
      <c r="SX58" s="133">
        <f t="shared" si="193"/>
        <v>0.49500683564448411</v>
      </c>
      <c r="SY58" s="133">
        <f t="shared" si="194"/>
        <v>0.51820535292065217</v>
      </c>
      <c r="SZ58" s="133">
        <f t="shared" si="195"/>
        <v>0.54618912207083958</v>
      </c>
      <c r="TA58" s="81"/>
      <c r="TB58" s="81">
        <v>56</v>
      </c>
      <c r="TC58" s="133">
        <f t="shared" si="196"/>
        <v>0.28378337928881653</v>
      </c>
      <c r="TD58" s="133">
        <f t="shared" si="197"/>
        <v>0.3012401427782434</v>
      </c>
      <c r="TE58" s="133">
        <f t="shared" si="198"/>
        <v>0.31695463853032352</v>
      </c>
      <c r="TF58" s="133">
        <f t="shared" si="427"/>
        <v>0.33590673163670365</v>
      </c>
      <c r="TG58" s="133">
        <f t="shared" si="428"/>
        <v>0.36960151462933771</v>
      </c>
      <c r="TH58" s="134">
        <f t="shared" si="429"/>
        <v>0.41039925775582931</v>
      </c>
      <c r="TI58" s="133">
        <f t="shared" si="430"/>
        <v>0.45484742228888952</v>
      </c>
      <c r="TJ58" s="133">
        <f t="shared" si="199"/>
        <v>0.49804040485687867</v>
      </c>
      <c r="TK58" s="133">
        <f t="shared" si="200"/>
        <v>0.5255181747047255</v>
      </c>
      <c r="TL58" s="133">
        <f t="shared" si="201"/>
        <v>0.55035394284188965</v>
      </c>
      <c r="TM58" s="133">
        <f t="shared" si="202"/>
        <v>0.58044198051299079</v>
      </c>
      <c r="TN58" s="81"/>
      <c r="TO58" s="81">
        <v>58</v>
      </c>
      <c r="TP58" s="133">
        <f t="shared" si="203"/>
        <v>0.26525660835189252</v>
      </c>
      <c r="TQ58" s="133">
        <f t="shared" si="204"/>
        <v>0.28072356185573982</v>
      </c>
      <c r="TR58" s="133">
        <f t="shared" si="205"/>
        <v>0.29442195888315914</v>
      </c>
      <c r="TS58" s="133">
        <f t="shared" si="431"/>
        <v>0.31067285294300023</v>
      </c>
      <c r="TT58" s="133">
        <f t="shared" si="432"/>
        <v>0.33888141875312217</v>
      </c>
      <c r="TU58" s="134">
        <f t="shared" si="433"/>
        <v>0.37195822692885339</v>
      </c>
      <c r="TV58" s="133">
        <f t="shared" si="434"/>
        <v>0.40677911748978601</v>
      </c>
      <c r="TW58" s="133">
        <f t="shared" si="206"/>
        <v>0.43952068599950284</v>
      </c>
      <c r="TX58" s="133">
        <f t="shared" si="207"/>
        <v>0.45983430766465022</v>
      </c>
      <c r="TY58" s="133">
        <f t="shared" si="208"/>
        <v>0.47787284400598362</v>
      </c>
      <c r="TZ58" s="133">
        <f t="shared" si="209"/>
        <v>0.49933919830631157</v>
      </c>
      <c r="UA58" s="81"/>
      <c r="UB58" s="81">
        <v>56</v>
      </c>
      <c r="UC58" s="133">
        <f t="shared" si="210"/>
        <v>-14.016236966047359</v>
      </c>
      <c r="UD58" s="133">
        <f t="shared" si="211"/>
        <v>-10.848568897249905</v>
      </c>
      <c r="UE58" s="133">
        <f t="shared" si="212"/>
        <v>-8.1864356877018238</v>
      </c>
      <c r="UF58" s="133">
        <f t="shared" si="435"/>
        <v>-5.1818152460339206</v>
      </c>
      <c r="UG58" s="133">
        <f t="shared" si="436"/>
        <v>-0.30739937660233352</v>
      </c>
      <c r="UH58" s="134">
        <f t="shared" si="437"/>
        <v>4.9473025386081275</v>
      </c>
      <c r="UI58" s="133">
        <f t="shared" si="438"/>
        <v>10.038767507870716</v>
      </c>
      <c r="UJ58" s="133">
        <f t="shared" si="213"/>
        <v>14.484489409400652</v>
      </c>
      <c r="UK58" s="133">
        <f t="shared" si="214"/>
        <v>17.099274159263487</v>
      </c>
      <c r="UL58" s="133">
        <f t="shared" si="215"/>
        <v>19.338836515799485</v>
      </c>
      <c r="UM58" s="133">
        <f t="shared" si="216"/>
        <v>21.911464629682243</v>
      </c>
      <c r="UN58" s="81"/>
      <c r="UO58" s="81">
        <v>56</v>
      </c>
      <c r="UP58" s="133">
        <f t="shared" si="217"/>
        <v>-9.9493448171069154</v>
      </c>
      <c r="UQ58" s="133">
        <f t="shared" si="218"/>
        <v>-7.2464281532589716</v>
      </c>
      <c r="UR58" s="133">
        <f t="shared" si="219"/>
        <v>-4.9261617437707841</v>
      </c>
      <c r="US58" s="133">
        <f t="shared" si="439"/>
        <v>-2.2556158757486848</v>
      </c>
      <c r="UT58" s="133">
        <f t="shared" si="440"/>
        <v>2.1895140566681945</v>
      </c>
      <c r="UU58" s="134">
        <f t="shared" si="441"/>
        <v>7.1312039547947847</v>
      </c>
      <c r="UV58" s="133">
        <f t="shared" si="442"/>
        <v>12.061018871945784</v>
      </c>
      <c r="UW58" s="133">
        <f t="shared" si="220"/>
        <v>16.474988759398322</v>
      </c>
      <c r="UX58" s="133">
        <f t="shared" si="221"/>
        <v>19.117230065448318</v>
      </c>
      <c r="UY58" s="133">
        <f t="shared" si="222"/>
        <v>21.406845855309719</v>
      </c>
      <c r="UZ58" s="133">
        <f t="shared" si="223"/>
        <v>24.066650338601001</v>
      </c>
      <c r="VA58" s="81"/>
      <c r="VB58" s="81">
        <v>59</v>
      </c>
      <c r="VC58" s="133">
        <f t="shared" si="224"/>
        <v>-14.000051171147696</v>
      </c>
      <c r="VD58" s="133">
        <f t="shared" si="225"/>
        <v>-10.927880602248038</v>
      </c>
      <c r="VE58" s="133">
        <f t="shared" si="226"/>
        <v>-8.3740392600144773</v>
      </c>
      <c r="VF58" s="133">
        <f t="shared" si="443"/>
        <v>-5.5197043140874911</v>
      </c>
      <c r="VG58" s="133">
        <f t="shared" si="444"/>
        <v>-0.94637820096961178</v>
      </c>
      <c r="VH58" s="134">
        <f t="shared" si="445"/>
        <v>3.9128929446536205</v>
      </c>
      <c r="VI58" s="133">
        <f t="shared" si="446"/>
        <v>8.559029611275605</v>
      </c>
      <c r="VJ58" s="133">
        <f t="shared" si="227"/>
        <v>12.570895384852406</v>
      </c>
      <c r="VK58" s="133">
        <f t="shared" si="228"/>
        <v>14.912426809072898</v>
      </c>
      <c r="VL58" s="133">
        <f t="shared" si="229"/>
        <v>16.907902529390299</v>
      </c>
      <c r="VM58" s="133">
        <f t="shared" si="230"/>
        <v>19.189197222019288</v>
      </c>
      <c r="VN58" s="81"/>
      <c r="VO58" s="81">
        <v>56</v>
      </c>
      <c r="VP58" s="133">
        <f t="shared" si="231"/>
        <v>-25.101447913899186</v>
      </c>
      <c r="VQ58" s="133">
        <f t="shared" si="232"/>
        <v>-20.355865972966093</v>
      </c>
      <c r="VR58" s="133">
        <f t="shared" si="233"/>
        <v>-16.045001671292383</v>
      </c>
      <c r="VS58" s="133">
        <f t="shared" si="447"/>
        <v>-10.817296294317309</v>
      </c>
      <c r="VT58" s="133">
        <f t="shared" si="448"/>
        <v>-1.4977445585834772</v>
      </c>
      <c r="VU58" s="134">
        <f t="shared" si="449"/>
        <v>9.7468823455589657</v>
      </c>
      <c r="VV58" s="133">
        <f t="shared" si="450"/>
        <v>21.867257512607559</v>
      </c>
      <c r="VW58" s="133">
        <f t="shared" si="234"/>
        <v>33.466060240868636</v>
      </c>
      <c r="VX58" s="133">
        <f t="shared" si="235"/>
        <v>40.740441788604876</v>
      </c>
      <c r="VY58" s="133">
        <f t="shared" si="236"/>
        <v>47.241876537557097</v>
      </c>
      <c r="VZ58" s="133">
        <f t="shared" si="237"/>
        <v>55.022713913006207</v>
      </c>
      <c r="WA58" s="81"/>
      <c r="WB58" s="81">
        <v>56</v>
      </c>
      <c r="WC58" s="133">
        <f t="shared" si="238"/>
        <v>-19.502705833528289</v>
      </c>
      <c r="WD58" s="133">
        <f t="shared" si="239"/>
        <v>-14.814606009228385</v>
      </c>
      <c r="WE58" s="133">
        <f t="shared" si="240"/>
        <v>-10.554529712461047</v>
      </c>
      <c r="WF58" s="133">
        <f t="shared" si="451"/>
        <v>-5.3867703028513887</v>
      </c>
      <c r="WG58" s="133">
        <f t="shared" si="452"/>
        <v>3.8298735073978278</v>
      </c>
      <c r="WH58" s="134">
        <f t="shared" si="453"/>
        <v>14.95617929677698</v>
      </c>
      <c r="WI58" s="133">
        <f t="shared" si="454"/>
        <v>26.955126206891201</v>
      </c>
      <c r="WJ58" s="133">
        <f t="shared" si="241"/>
        <v>38.44285487041757</v>
      </c>
      <c r="WK58" s="133">
        <f t="shared" si="242"/>
        <v>45.649858136533744</v>
      </c>
      <c r="WL58" s="133">
        <f t="shared" si="243"/>
        <v>52.092443440291568</v>
      </c>
      <c r="WM58" s="133">
        <f t="shared" si="244"/>
        <v>59.804441925568803</v>
      </c>
      <c r="WN58" s="81"/>
      <c r="WO58" s="81">
        <v>59</v>
      </c>
      <c r="WP58" s="133">
        <f t="shared" si="245"/>
        <v>-26.137732421624509</v>
      </c>
      <c r="WQ58" s="133">
        <f t="shared" si="246"/>
        <v>-21.445933115348822</v>
      </c>
      <c r="WR58" s="133">
        <f t="shared" si="247"/>
        <v>-17.225542967708897</v>
      </c>
      <c r="WS58" s="133">
        <f t="shared" si="455"/>
        <v>-12.156159972224067</v>
      </c>
      <c r="WT58" s="133">
        <f t="shared" si="456"/>
        <v>-3.2371892103994284</v>
      </c>
      <c r="WU58" s="134">
        <f t="shared" si="457"/>
        <v>7.3482758229032257</v>
      </c>
      <c r="WV58" s="133">
        <f t="shared" si="458"/>
        <v>18.574020554561706</v>
      </c>
      <c r="WW58" s="133">
        <f t="shared" si="248"/>
        <v>29.162399240237484</v>
      </c>
      <c r="WX58" s="133">
        <f t="shared" si="249"/>
        <v>35.734624544399374</v>
      </c>
      <c r="WY58" s="133">
        <f t="shared" si="250"/>
        <v>41.5676092545609</v>
      </c>
      <c r="WZ58" s="133">
        <f t="shared" si="251"/>
        <v>48.501079896034405</v>
      </c>
      <c r="XA58" s="81"/>
      <c r="XB58" s="81">
        <v>56</v>
      </c>
      <c r="XC58" s="133">
        <f t="shared" si="252"/>
        <v>-30.538591135225889</v>
      </c>
      <c r="XD58" s="133">
        <f t="shared" si="253"/>
        <v>-25.432684084808237</v>
      </c>
      <c r="XE58" s="133">
        <f t="shared" si="254"/>
        <v>-20.871736903541631</v>
      </c>
      <c r="XF58" s="133">
        <f t="shared" si="459"/>
        <v>-15.433788140788984</v>
      </c>
      <c r="XG58" s="133">
        <f t="shared" si="460"/>
        <v>-5.970314249641568</v>
      </c>
      <c r="XH58" s="134">
        <f t="shared" si="461"/>
        <v>5.1014035255453791</v>
      </c>
      <c r="XI58" s="133">
        <f t="shared" si="462"/>
        <v>16.671938242169098</v>
      </c>
      <c r="XJ58" s="133">
        <f t="shared" si="255"/>
        <v>27.441335579732204</v>
      </c>
      <c r="XK58" s="133">
        <f t="shared" si="256"/>
        <v>34.061823721963329</v>
      </c>
      <c r="XL58" s="133">
        <f t="shared" si="257"/>
        <v>39.899386624790132</v>
      </c>
      <c r="XM58" s="133">
        <f t="shared" si="258"/>
        <v>46.794122023394344</v>
      </c>
      <c r="XN58" s="81"/>
      <c r="XO58" s="81">
        <v>56</v>
      </c>
      <c r="XP58" s="133">
        <f t="shared" si="259"/>
        <v>-20.708377669018567</v>
      </c>
      <c r="XQ58" s="133">
        <f t="shared" si="260"/>
        <v>-16.011222283745667</v>
      </c>
      <c r="XR58" s="133">
        <f t="shared" si="261"/>
        <v>-11.861305250155254</v>
      </c>
      <c r="XS58" s="133">
        <f t="shared" si="463"/>
        <v>-6.9586991958373048</v>
      </c>
      <c r="XT58" s="133">
        <f t="shared" si="464"/>
        <v>1.4805714417073901</v>
      </c>
      <c r="XU58" s="134">
        <f t="shared" si="465"/>
        <v>11.239467979028653</v>
      </c>
      <c r="XV58" s="133">
        <f t="shared" si="466"/>
        <v>21.337484393422066</v>
      </c>
      <c r="XW58" s="133">
        <f t="shared" si="262"/>
        <v>30.663332962401491</v>
      </c>
      <c r="XX58" s="133">
        <f t="shared" si="263"/>
        <v>36.367098615182833</v>
      </c>
      <c r="XY58" s="133">
        <f t="shared" si="264"/>
        <v>41.380012597239833</v>
      </c>
      <c r="XZ58" s="133">
        <f t="shared" si="265"/>
        <v>47.282808966123035</v>
      </c>
      <c r="YA58" s="81"/>
      <c r="YB58" s="81">
        <v>59</v>
      </c>
      <c r="YC58" s="133">
        <f t="shared" si="266"/>
        <v>-32.738633995967973</v>
      </c>
      <c r="YD58" s="133">
        <f t="shared" si="267"/>
        <v>-27.730421363581542</v>
      </c>
      <c r="YE58" s="133">
        <f t="shared" si="268"/>
        <v>-23.281518377797617</v>
      </c>
      <c r="YF58" s="133">
        <f t="shared" si="467"/>
        <v>-18.005248904643736</v>
      </c>
      <c r="YG58" s="133">
        <f t="shared" si="468"/>
        <v>-8.8885243619678818</v>
      </c>
      <c r="YH58" s="134">
        <f t="shared" si="469"/>
        <v>1.6854772338601549</v>
      </c>
      <c r="YI58" s="133">
        <f t="shared" si="470"/>
        <v>12.644817569588589</v>
      </c>
      <c r="YJ58" s="133">
        <f t="shared" si="269"/>
        <v>22.772733992963587</v>
      </c>
      <c r="YK58" s="133">
        <f t="shared" si="270"/>
        <v>28.967759109816804</v>
      </c>
      <c r="YL58" s="133">
        <f t="shared" si="271"/>
        <v>34.412050960918428</v>
      </c>
      <c r="YM58" s="133">
        <f t="shared" si="272"/>
        <v>40.821748101148152</v>
      </c>
      <c r="YN58" s="81"/>
      <c r="YO58" s="81">
        <v>56</v>
      </c>
      <c r="YP58" s="133">
        <v>17.711343234530638</v>
      </c>
      <c r="YQ58" s="133">
        <v>19.67078823045583</v>
      </c>
      <c r="YR58" s="133">
        <v>21.528543416530532</v>
      </c>
      <c r="YS58" s="133">
        <v>23.889198349808353</v>
      </c>
      <c r="YT58" s="133">
        <v>28.417205457114854</v>
      </c>
      <c r="YU58" s="134">
        <v>34.482519519603734</v>
      </c>
      <c r="YV58" s="133">
        <v>41.842402632245815</v>
      </c>
      <c r="YW58" s="133">
        <v>49.773296491943277</v>
      </c>
      <c r="YX58" s="133">
        <v>55.2310543920428</v>
      </c>
      <c r="YY58" s="133">
        <v>60.447204173490263</v>
      </c>
      <c r="YZ58" s="133">
        <v>67.134611795092582</v>
      </c>
      <c r="ZA58" s="81"/>
      <c r="ZB58" s="81">
        <v>56</v>
      </c>
      <c r="ZC58" s="133">
        <v>15.247357692502197</v>
      </c>
      <c r="ZD58" s="133">
        <v>17.01114721406417</v>
      </c>
      <c r="ZE58" s="133">
        <v>18.690448338060552</v>
      </c>
      <c r="ZF58" s="133">
        <v>20.8333369567519</v>
      </c>
      <c r="ZG58" s="133">
        <v>24.968659507980984</v>
      </c>
      <c r="ZH58" s="134">
        <v>30.552209594129092</v>
      </c>
      <c r="ZI58" s="133">
        <v>37.38436622059065</v>
      </c>
      <c r="ZJ58" s="133">
        <v>44.80499273934484</v>
      </c>
      <c r="ZK58" s="133">
        <v>49.941953997046475</v>
      </c>
      <c r="ZL58" s="133">
        <v>54.872108232175115</v>
      </c>
      <c r="ZM58" s="133">
        <v>61.21962440368317</v>
      </c>
      <c r="ZN58" s="81"/>
      <c r="ZO58" s="81">
        <v>59</v>
      </c>
      <c r="ZP58" s="133">
        <v>20.132019464254359</v>
      </c>
      <c r="ZQ58" s="133">
        <v>22.127197060582219</v>
      </c>
      <c r="ZR58" s="133">
        <v>24.000606152773454</v>
      </c>
      <c r="ZS58" s="133">
        <v>26.358218522146252</v>
      </c>
      <c r="ZT58" s="133">
        <v>30.8177256121173</v>
      </c>
      <c r="ZU58" s="134">
        <v>36.682933491258645</v>
      </c>
      <c r="ZV58" s="133">
        <v>43.664403611764605</v>
      </c>
      <c r="ZW58" s="133">
        <v>51.051917958472693</v>
      </c>
      <c r="ZX58" s="133">
        <v>56.066817686127777</v>
      </c>
      <c r="ZY58" s="133">
        <v>60.813740024996143</v>
      </c>
      <c r="ZZ58" s="133">
        <v>66.840667023661879</v>
      </c>
      <c r="AAA58" s="81"/>
      <c r="AAB58" s="81">
        <v>56</v>
      </c>
      <c r="AAC58" s="133">
        <v>10.185889158427111</v>
      </c>
      <c r="AAD58" s="133">
        <v>11.278046076753647</v>
      </c>
      <c r="AAE58" s="133">
        <v>12.310573354966643</v>
      </c>
      <c r="AAF58" s="133">
        <v>13.618870727619891</v>
      </c>
      <c r="AAG58" s="133">
        <v>16.118032807662786</v>
      </c>
      <c r="AAH58" s="134">
        <v>19.447675155224758</v>
      </c>
      <c r="AAI58" s="133">
        <v>23.465150707680525</v>
      </c>
      <c r="AAJ58" s="133">
        <v>27.771176957874303</v>
      </c>
      <c r="AAK58" s="133">
        <v>30.72253891331216</v>
      </c>
      <c r="AAL58" s="133">
        <v>33.535247716598583</v>
      </c>
      <c r="AAM58" s="133">
        <v>37.130982191205121</v>
      </c>
      <c r="AAN58" s="81"/>
      <c r="AAO58" s="81">
        <v>56</v>
      </c>
      <c r="AAP58" s="133">
        <v>9.6242301578447655</v>
      </c>
      <c r="AAQ58" s="133">
        <v>10.746469257170522</v>
      </c>
      <c r="AAR58" s="133">
        <v>11.815774994864977</v>
      </c>
      <c r="AAS58" s="133">
        <v>13.181325427789817</v>
      </c>
      <c r="AAT58" s="133">
        <v>15.81948216397454</v>
      </c>
      <c r="AAU58" s="134">
        <v>19.386742405819351</v>
      </c>
      <c r="AAV58" s="133">
        <v>23.758412393896297</v>
      </c>
      <c r="AAW58" s="133">
        <v>28.513504439941162</v>
      </c>
      <c r="AAX58" s="133">
        <v>31.808813325654313</v>
      </c>
      <c r="AAY58" s="133">
        <v>34.973885107316825</v>
      </c>
      <c r="AAZ58" s="133">
        <v>39.052035845510204</v>
      </c>
      <c r="ABA58" s="81"/>
      <c r="ABB58" s="81">
        <v>59</v>
      </c>
      <c r="ABC58" s="133">
        <v>10.367346310967212</v>
      </c>
      <c r="ABD58" s="133">
        <v>11.435444548914653</v>
      </c>
      <c r="ABE58" s="133">
        <v>12.441674437424028</v>
      </c>
      <c r="ABF58" s="133">
        <v>13.712165712625092</v>
      </c>
      <c r="ABG58" s="133">
        <v>16.12681210043629</v>
      </c>
      <c r="ABH58" s="134">
        <v>19.32248860381663</v>
      </c>
      <c r="ABI58" s="133">
        <v>23.151417869779902</v>
      </c>
      <c r="ABJ58" s="133">
        <v>27.228271133046771</v>
      </c>
      <c r="ABK58" s="133">
        <v>30.00870724615465</v>
      </c>
      <c r="ABL58" s="133">
        <v>32.649239323193555</v>
      </c>
      <c r="ABM58" s="133">
        <v>36.012934713067509</v>
      </c>
      <c r="ABN58" s="81"/>
      <c r="ABO58" s="81">
        <v>56</v>
      </c>
      <c r="ABP58" s="133">
        <f t="shared" si="273"/>
        <v>0.28094102222562378</v>
      </c>
      <c r="ABQ58" s="133">
        <f t="shared" si="274"/>
        <v>0.31662562199461586</v>
      </c>
      <c r="ABR58" s="133">
        <f t="shared" si="275"/>
        <v>0.34986599210918856</v>
      </c>
      <c r="ABS58" s="133">
        <f t="shared" si="471"/>
        <v>0.39126805260270359</v>
      </c>
      <c r="ABT58" s="133">
        <f t="shared" si="472"/>
        <v>0.46812595261104767</v>
      </c>
      <c r="ABU58" s="134">
        <f t="shared" si="473"/>
        <v>0.56615596451740613</v>
      </c>
      <c r="ABV58" s="133">
        <f t="shared" si="474"/>
        <v>0.67836349195022094</v>
      </c>
      <c r="ABW58" s="133">
        <f t="shared" si="276"/>
        <v>0.79210595308105181</v>
      </c>
      <c r="ABX58" s="133">
        <f t="shared" si="277"/>
        <v>0.8666103565001142</v>
      </c>
      <c r="ABY58" s="133">
        <f t="shared" si="278"/>
        <v>0.93525973206812341</v>
      </c>
      <c r="ABZ58" s="133">
        <f t="shared" si="279"/>
        <v>1.0199693464356248</v>
      </c>
      <c r="ACA58" s="81"/>
      <c r="ACB58" s="81">
        <v>56</v>
      </c>
      <c r="ACC58" s="133">
        <f t="shared" si="280"/>
        <v>0.33826794488752315</v>
      </c>
      <c r="ACD58" s="133">
        <f t="shared" si="281"/>
        <v>0.37337943013129105</v>
      </c>
      <c r="ACE58" s="133">
        <f t="shared" si="282"/>
        <v>0.40603732300678236</v>
      </c>
      <c r="ACF58" s="133">
        <f t="shared" si="475"/>
        <v>0.44670759811016619</v>
      </c>
      <c r="ACG58" s="133">
        <f t="shared" si="476"/>
        <v>0.52235216909854398</v>
      </c>
      <c r="ACH58" s="134">
        <f t="shared" si="477"/>
        <v>0.61938918376713437</v>
      </c>
      <c r="ACI58" s="133">
        <f t="shared" si="478"/>
        <v>0.73152233511272147</v>
      </c>
      <c r="ACJ58" s="133">
        <f t="shared" si="283"/>
        <v>0.84654491475759464</v>
      </c>
      <c r="ACK58" s="133">
        <f t="shared" si="284"/>
        <v>0.9226824046724883</v>
      </c>
      <c r="ACL58" s="133">
        <f t="shared" si="285"/>
        <v>0.9934117298227082</v>
      </c>
      <c r="ACM58" s="133">
        <f t="shared" si="286"/>
        <v>1.0814603584451745</v>
      </c>
      <c r="ACN58" s="81"/>
      <c r="ACO58" s="81">
        <v>59</v>
      </c>
      <c r="ACP58" s="133">
        <f t="shared" si="287"/>
        <v>0.2632551528464086</v>
      </c>
      <c r="ACQ58" s="133">
        <f t="shared" si="288"/>
        <v>0.2998669910446789</v>
      </c>
      <c r="ACR58" s="133">
        <f t="shared" si="289"/>
        <v>0.33332578523422585</v>
      </c>
      <c r="ACS58" s="133">
        <f t="shared" si="479"/>
        <v>0.37417189981691162</v>
      </c>
      <c r="ACT58" s="133">
        <f t="shared" si="480"/>
        <v>0.44780865073334658</v>
      </c>
      <c r="ACU58" s="134">
        <f t="shared" si="481"/>
        <v>0.53779887671510374</v>
      </c>
      <c r="ACV58" s="133">
        <f t="shared" si="482"/>
        <v>0.63631051487054302</v>
      </c>
      <c r="ACW58" s="133">
        <f t="shared" si="290"/>
        <v>0.73213971032054637</v>
      </c>
      <c r="ACX58" s="133">
        <f t="shared" si="291"/>
        <v>0.79286358820823544</v>
      </c>
      <c r="ACY58" s="133">
        <f t="shared" si="292"/>
        <v>0.84755634739020325</v>
      </c>
      <c r="ACZ58" s="133">
        <f t="shared" si="293"/>
        <v>0.91351809270058559</v>
      </c>
      <c r="ADA58" s="81"/>
      <c r="ADB58" s="81">
        <v>56</v>
      </c>
      <c r="ADC58" s="133">
        <f t="shared" si="294"/>
        <v>0.22147238775486325</v>
      </c>
      <c r="ADD58" s="133">
        <f t="shared" si="295"/>
        <v>0.24230515190916782</v>
      </c>
      <c r="ADE58" s="133">
        <f t="shared" si="296"/>
        <v>0.26055217307153927</v>
      </c>
      <c r="ADF58" s="133">
        <f t="shared" si="483"/>
        <v>0.28195190839332152</v>
      </c>
      <c r="ADG58" s="133">
        <f t="shared" si="484"/>
        <v>0.3184709918590215</v>
      </c>
      <c r="ADH58" s="134">
        <f t="shared" si="485"/>
        <v>0.36031373566579111</v>
      </c>
      <c r="ADI58" s="133">
        <f t="shared" si="486"/>
        <v>0.40328095664846625</v>
      </c>
      <c r="ADJ58" s="133">
        <f t="shared" si="297"/>
        <v>0.44273189027289511</v>
      </c>
      <c r="ADK58" s="133">
        <f t="shared" si="298"/>
        <v>0.46677085424079201</v>
      </c>
      <c r="ADL58" s="133">
        <f t="shared" si="299"/>
        <v>0.48784962936719184</v>
      </c>
      <c r="ADM58" s="133">
        <f t="shared" si="300"/>
        <v>0.5126182013647711</v>
      </c>
      <c r="ADN58" s="81"/>
      <c r="ADO58" s="81">
        <v>56</v>
      </c>
      <c r="ADP58" s="133">
        <f t="shared" si="301"/>
        <v>0.25449330851057012</v>
      </c>
      <c r="ADQ58" s="133">
        <f t="shared" si="302"/>
        <v>0.27309007620945919</v>
      </c>
      <c r="ADR58" s="133">
        <f t="shared" si="303"/>
        <v>0.28949271165922008</v>
      </c>
      <c r="ADS58" s="133">
        <f t="shared" si="487"/>
        <v>0.30886617746460066</v>
      </c>
      <c r="ADT58" s="133">
        <f t="shared" si="488"/>
        <v>0.34226850773373235</v>
      </c>
      <c r="ADU58" s="134">
        <f t="shared" si="489"/>
        <v>0.3810642542639926</v>
      </c>
      <c r="ADV58" s="133">
        <f t="shared" si="490"/>
        <v>0.42147414463395549</v>
      </c>
      <c r="ADW58" s="133">
        <f t="shared" si="304"/>
        <v>0.4590746000321223</v>
      </c>
      <c r="ADX58" s="133">
        <f t="shared" si="305"/>
        <v>0.48221416713111198</v>
      </c>
      <c r="ADY58" s="133">
        <f t="shared" si="306"/>
        <v>0.50264375375784442</v>
      </c>
      <c r="ADZ58" s="133">
        <f t="shared" si="307"/>
        <v>0.52681333382362883</v>
      </c>
      <c r="AEA58" s="81"/>
      <c r="AEB58" s="81">
        <v>59</v>
      </c>
      <c r="AEC58" s="133">
        <f t="shared" si="308"/>
        <v>0.21095791035288636</v>
      </c>
      <c r="AED58" s="133">
        <f t="shared" si="309"/>
        <v>0.23285417102850647</v>
      </c>
      <c r="AEE58" s="133">
        <f t="shared" si="310"/>
        <v>0.25162010475586227</v>
      </c>
      <c r="AEF58" s="133">
        <f t="shared" si="491"/>
        <v>0.27318697606516906</v>
      </c>
      <c r="AEG58" s="133">
        <f t="shared" si="492"/>
        <v>0.30901576317003238</v>
      </c>
      <c r="AEH58" s="134">
        <f t="shared" si="493"/>
        <v>0.34875569866926637</v>
      </c>
      <c r="AEI58" s="133">
        <f t="shared" si="494"/>
        <v>0.3883149124974411</v>
      </c>
      <c r="AEJ58" s="133">
        <f t="shared" si="311"/>
        <v>0.42366967295647073</v>
      </c>
      <c r="AEK58" s="133">
        <f t="shared" si="312"/>
        <v>0.44480620703599749</v>
      </c>
      <c r="AEL58" s="133">
        <f t="shared" si="313"/>
        <v>0.46310642246043898</v>
      </c>
      <c r="AEM58" s="133">
        <f t="shared" si="314"/>
        <v>0.48434816840236977</v>
      </c>
      <c r="AEN58" s="81"/>
    </row>
    <row r="59" spans="1:820">
      <c r="A59" s="81"/>
      <c r="B59" s="81">
        <v>58</v>
      </c>
      <c r="C59" s="133">
        <f t="shared" si="0"/>
        <v>2.2369709963454714</v>
      </c>
      <c r="D59" s="133">
        <f t="shared" si="1"/>
        <v>2.6995140712048724</v>
      </c>
      <c r="E59" s="133">
        <f t="shared" si="2"/>
        <v>3.1902070742270583</v>
      </c>
      <c r="F59" s="133">
        <f t="shared" si="315"/>
        <v>3.8932192535532302</v>
      </c>
      <c r="G59" s="133">
        <f t="shared" si="316"/>
        <v>5.5212787243781127</v>
      </c>
      <c r="H59" s="134">
        <f t="shared" si="317"/>
        <v>8.3851836212342619</v>
      </c>
      <c r="I59" s="133">
        <f t="shared" si="318"/>
        <v>13.185876242072387</v>
      </c>
      <c r="J59" s="133">
        <f t="shared" si="3"/>
        <v>20.493220522454195</v>
      </c>
      <c r="K59" s="133">
        <f t="shared" si="4"/>
        <v>27.184921251978839</v>
      </c>
      <c r="L59" s="133">
        <f t="shared" si="5"/>
        <v>35.171631474994385</v>
      </c>
      <c r="M59" s="133">
        <f t="shared" si="6"/>
        <v>48.227728654489248</v>
      </c>
      <c r="N59" s="81"/>
      <c r="O59" s="75">
        <v>58</v>
      </c>
      <c r="P59" s="151">
        <f t="shared" si="7"/>
        <v>2.9506901562029162</v>
      </c>
      <c r="Q59" s="151">
        <f t="shared" si="8"/>
        <v>3.4062791559273111</v>
      </c>
      <c r="R59" s="151">
        <f t="shared" si="9"/>
        <v>3.8811182174019225</v>
      </c>
      <c r="S59" s="151">
        <f t="shared" si="319"/>
        <v>4.5522891249466007</v>
      </c>
      <c r="T59" s="151">
        <f t="shared" si="320"/>
        <v>6.0915309857068012</v>
      </c>
      <c r="U59" s="134">
        <f t="shared" si="321"/>
        <v>8.8264135309511751</v>
      </c>
      <c r="V59" s="151">
        <f t="shared" si="322"/>
        <v>13.652587395774265</v>
      </c>
      <c r="W59" s="151">
        <f t="shared" si="10"/>
        <v>21.835291234727961</v>
      </c>
      <c r="X59" s="151">
        <f t="shared" si="11"/>
        <v>30.403651973642081</v>
      </c>
      <c r="Y59" s="151">
        <f t="shared" si="12"/>
        <v>42.201687654752519</v>
      </c>
      <c r="Z59" s="151">
        <f t="shared" si="13"/>
        <v>65.871809763373534</v>
      </c>
      <c r="AA59" s="81"/>
      <c r="AB59" s="75">
        <v>60</v>
      </c>
      <c r="AC59" s="151">
        <f t="shared" si="14"/>
        <v>1.9910486471383644</v>
      </c>
      <c r="AD59" s="151">
        <f t="shared" si="15"/>
        <v>2.3967784128531289</v>
      </c>
      <c r="AE59" s="151">
        <f t="shared" si="16"/>
        <v>2.8294128946024832</v>
      </c>
      <c r="AF59" s="151">
        <f t="shared" si="323"/>
        <v>3.4535853907079304</v>
      </c>
      <c r="AG59" s="151">
        <f t="shared" si="324"/>
        <v>4.9196719371796034</v>
      </c>
      <c r="AH59" s="134">
        <f t="shared" si="325"/>
        <v>7.5681717084984461</v>
      </c>
      <c r="AI59" s="151">
        <f t="shared" si="326"/>
        <v>12.193762742377546</v>
      </c>
      <c r="AJ59" s="151">
        <f t="shared" si="17"/>
        <v>19.634921483502026</v>
      </c>
      <c r="AK59" s="151">
        <f t="shared" si="18"/>
        <v>26.828318543080222</v>
      </c>
      <c r="AL59" s="151">
        <f t="shared" si="19"/>
        <v>35.843951514240942</v>
      </c>
      <c r="AM59" s="151">
        <f t="shared" si="20"/>
        <v>51.503118823535033</v>
      </c>
      <c r="AN59" s="81"/>
      <c r="AO59" s="81">
        <v>58</v>
      </c>
      <c r="AP59" s="133">
        <f t="shared" si="21"/>
        <v>1.8570566266352246</v>
      </c>
      <c r="AQ59" s="133">
        <f t="shared" si="22"/>
        <v>4.5022751527050149</v>
      </c>
      <c r="AR59" s="133">
        <f t="shared" si="23"/>
        <v>7.0688188096964923</v>
      </c>
      <c r="AS59" s="133">
        <f t="shared" si="327"/>
        <v>10.366210505371573</v>
      </c>
      <c r="AT59" s="133">
        <f t="shared" si="328"/>
        <v>16.683176161782306</v>
      </c>
      <c r="AU59" s="134">
        <f t="shared" si="329"/>
        <v>24.943658422927239</v>
      </c>
      <c r="AV59" s="133">
        <f t="shared" si="330"/>
        <v>34.508579699488671</v>
      </c>
      <c r="AW59" s="133">
        <f t="shared" si="24"/>
        <v>44.214507024038326</v>
      </c>
      <c r="AX59" s="133">
        <f t="shared" si="25"/>
        <v>50.547544723297065</v>
      </c>
      <c r="AY59" s="133">
        <f t="shared" si="26"/>
        <v>56.355151642494796</v>
      </c>
      <c r="AZ59" s="133">
        <f t="shared" si="27"/>
        <v>63.477224899247354</v>
      </c>
      <c r="BA59" s="81"/>
      <c r="BB59" s="81">
        <v>58</v>
      </c>
      <c r="BC59" s="133">
        <f t="shared" si="28"/>
        <v>4.7177552814567045</v>
      </c>
      <c r="BD59" s="133">
        <f t="shared" si="29"/>
        <v>7.7792981677465045</v>
      </c>
      <c r="BE59" s="133">
        <f t="shared" si="30"/>
        <v>10.642793644939431</v>
      </c>
      <c r="BF59" s="133">
        <f t="shared" si="331"/>
        <v>14.19978040881751</v>
      </c>
      <c r="BG59" s="133">
        <f t="shared" si="332"/>
        <v>20.720525495550959</v>
      </c>
      <c r="BH59" s="134">
        <f t="shared" si="333"/>
        <v>28.818430805914534</v>
      </c>
      <c r="BI59" s="133">
        <f t="shared" si="334"/>
        <v>37.754367000708399</v>
      </c>
      <c r="BJ59" s="133">
        <f t="shared" si="31"/>
        <v>46.458440726721612</v>
      </c>
      <c r="BK59" s="133">
        <f t="shared" si="32"/>
        <v>51.978850843446082</v>
      </c>
      <c r="BL59" s="133">
        <f t="shared" si="33"/>
        <v>56.947004435917457</v>
      </c>
      <c r="BM59" s="133">
        <f t="shared" si="34"/>
        <v>62.930588410004212</v>
      </c>
      <c r="BN59" s="81"/>
      <c r="BO59" s="75">
        <v>60</v>
      </c>
      <c r="BP59" s="151">
        <f t="shared" si="35"/>
        <v>4.8700100808347662</v>
      </c>
      <c r="BQ59" s="151">
        <f t="shared" si="36"/>
        <v>6.264015861021571</v>
      </c>
      <c r="BR59" s="151">
        <f t="shared" si="37"/>
        <v>7.721913579889514</v>
      </c>
      <c r="BS59" s="151">
        <f t="shared" si="335"/>
        <v>9.7525251969688664</v>
      </c>
      <c r="BT59" s="151">
        <f t="shared" si="336"/>
        <v>14.152379971369301</v>
      </c>
      <c r="BU59" s="134">
        <f t="shared" si="337"/>
        <v>20.948641082711241</v>
      </c>
      <c r="BV59" s="151">
        <f t="shared" si="338"/>
        <v>30.348399342987708</v>
      </c>
      <c r="BW59" s="151">
        <f t="shared" si="38"/>
        <v>41.630680887420304</v>
      </c>
      <c r="BX59" s="151">
        <f t="shared" si="39"/>
        <v>49.972229212833867</v>
      </c>
      <c r="BY59" s="151">
        <f t="shared" si="40"/>
        <v>58.32145145750404</v>
      </c>
      <c r="BZ59" s="151">
        <f t="shared" si="41"/>
        <v>69.496778974600716</v>
      </c>
      <c r="CA59" s="81"/>
      <c r="CB59" s="81">
        <v>58</v>
      </c>
      <c r="CC59" s="133">
        <f t="shared" si="42"/>
        <v>-3.8067555950911625</v>
      </c>
      <c r="CD59" s="133">
        <f t="shared" si="43"/>
        <v>-1.1673687054485749</v>
      </c>
      <c r="CE59" s="133">
        <f t="shared" si="44"/>
        <v>1.4349989726868726</v>
      </c>
      <c r="CF59" s="133">
        <f t="shared" si="339"/>
        <v>4.755656451498985</v>
      </c>
      <c r="CG59" s="133">
        <f t="shared" si="340"/>
        <v>10.947072408051067</v>
      </c>
      <c r="CH59" s="134">
        <f t="shared" si="341"/>
        <v>18.670275748095523</v>
      </c>
      <c r="CI59" s="133">
        <f t="shared" si="342"/>
        <v>27.142848556885166</v>
      </c>
      <c r="CJ59" s="133">
        <f t="shared" si="45"/>
        <v>35.31166657685587</v>
      </c>
      <c r="CK59" s="133">
        <f t="shared" si="46"/>
        <v>40.445142550103903</v>
      </c>
      <c r="CL59" s="133">
        <f t="shared" si="47"/>
        <v>45.033246684449182</v>
      </c>
      <c r="CM59" s="133">
        <f t="shared" si="48"/>
        <v>50.519659295027701</v>
      </c>
      <c r="CN59" s="81"/>
      <c r="CO59" s="81">
        <v>58</v>
      </c>
      <c r="CP59" s="133">
        <f t="shared" si="49"/>
        <v>2.0841112320290973</v>
      </c>
      <c r="CQ59" s="133">
        <f t="shared" si="50"/>
        <v>4.7852475916333086</v>
      </c>
      <c r="CR59" s="133">
        <f t="shared" si="51"/>
        <v>7.2878905442043154</v>
      </c>
      <c r="CS59" s="133">
        <f t="shared" si="343"/>
        <v>10.361294796368448</v>
      </c>
      <c r="CT59" s="133">
        <f t="shared" si="344"/>
        <v>15.89618060408316</v>
      </c>
      <c r="CU59" s="134">
        <f t="shared" si="345"/>
        <v>22.608353791071401</v>
      </c>
      <c r="CV59" s="133">
        <f t="shared" si="346"/>
        <v>29.837477543371282</v>
      </c>
      <c r="CW59" s="133">
        <f t="shared" si="52"/>
        <v>36.726815409360576</v>
      </c>
      <c r="CX59" s="133">
        <f t="shared" si="53"/>
        <v>41.028249148181068</v>
      </c>
      <c r="CY59" s="133">
        <f t="shared" si="54"/>
        <v>44.858629905316384</v>
      </c>
      <c r="CZ59" s="133">
        <f t="shared" si="55"/>
        <v>49.424635044439071</v>
      </c>
      <c r="DA59" s="81"/>
      <c r="DB59" s="81">
        <v>60</v>
      </c>
      <c r="DC59" s="133">
        <f t="shared" si="56"/>
        <v>-4.2188294706156908</v>
      </c>
      <c r="DD59" s="133">
        <f t="shared" si="57"/>
        <v>-2.1805680258120761</v>
      </c>
      <c r="DE59" s="133">
        <f t="shared" si="58"/>
        <v>-9.5058338098031214E-2</v>
      </c>
      <c r="DF59" s="133">
        <f t="shared" si="347"/>
        <v>2.6591776903826867</v>
      </c>
      <c r="DG59" s="133">
        <f t="shared" si="348"/>
        <v>8.0212276612219746</v>
      </c>
      <c r="DH59" s="134">
        <f t="shared" si="349"/>
        <v>15.037509135390255</v>
      </c>
      <c r="DI59" s="133">
        <f t="shared" si="350"/>
        <v>23.06532598798405</v>
      </c>
      <c r="DJ59" s="133">
        <f t="shared" si="59"/>
        <v>31.073990323572541</v>
      </c>
      <c r="DK59" s="133">
        <f t="shared" si="60"/>
        <v>36.223490796427441</v>
      </c>
      <c r="DL59" s="133">
        <f t="shared" si="61"/>
        <v>40.894694473823563</v>
      </c>
      <c r="DM59" s="133">
        <f t="shared" si="62"/>
        <v>46.559380264359923</v>
      </c>
      <c r="DN59" s="81"/>
      <c r="DO59" s="81">
        <v>58</v>
      </c>
      <c r="DP59" s="133">
        <v>13.354328366326925</v>
      </c>
      <c r="DQ59" s="133">
        <v>14.527905226026625</v>
      </c>
      <c r="DR59" s="133">
        <v>15.619408580708551</v>
      </c>
      <c r="DS59" s="133">
        <v>16.980005089819791</v>
      </c>
      <c r="DT59" s="133">
        <v>19.518569298951064</v>
      </c>
      <c r="DU59" s="134">
        <v>22.797753608865975</v>
      </c>
      <c r="DV59" s="133">
        <v>26.627851747232945</v>
      </c>
      <c r="DW59" s="133">
        <v>30.608799400311455</v>
      </c>
      <c r="DX59" s="133">
        <v>33.275111981671749</v>
      </c>
      <c r="DY59" s="133">
        <v>35.775121156452478</v>
      </c>
      <c r="DZ59" s="133">
        <v>38.919034739409661</v>
      </c>
      <c r="EA59" s="81"/>
      <c r="EB59" s="81">
        <v>58</v>
      </c>
      <c r="EC59" s="133">
        <v>12.826519538432645</v>
      </c>
      <c r="ED59" s="133">
        <v>13.903682997641166</v>
      </c>
      <c r="EE59" s="133">
        <v>14.902180938638654</v>
      </c>
      <c r="EF59" s="133">
        <v>16.142703416404228</v>
      </c>
      <c r="EG59" s="133">
        <v>18.446165672091116</v>
      </c>
      <c r="EH59" s="134">
        <v>21.402976271948805</v>
      </c>
      <c r="EI59" s="133">
        <v>24.833746017508986</v>
      </c>
      <c r="EJ59" s="133">
        <v>28.377365394206198</v>
      </c>
      <c r="EK59" s="133">
        <v>30.73962094433212</v>
      </c>
      <c r="EL59" s="133">
        <v>32.947197758703247</v>
      </c>
      <c r="EM59" s="133">
        <v>35.71408377190842</v>
      </c>
      <c r="EN59" s="81"/>
      <c r="EO59" s="81">
        <v>60</v>
      </c>
      <c r="EP59" s="133">
        <v>12.794226905311334</v>
      </c>
      <c r="EQ59" s="133">
        <v>14.039077161921902</v>
      </c>
      <c r="ER59" s="133">
        <v>15.206169125214847</v>
      </c>
      <c r="ES59" s="133">
        <v>16.672668739228573</v>
      </c>
      <c r="ET59" s="133">
        <v>19.44051130832591</v>
      </c>
      <c r="EU59" s="134">
        <v>23.07032680650595</v>
      </c>
      <c r="EV59" s="133">
        <v>27.37787965129505</v>
      </c>
      <c r="EW59" s="133">
        <v>31.922902522899474</v>
      </c>
      <c r="EX59" s="133">
        <v>35.001582224705594</v>
      </c>
      <c r="EY59" s="133">
        <v>37.911322291366723</v>
      </c>
      <c r="EZ59" s="133">
        <v>41.600010918833675</v>
      </c>
      <c r="FA59" s="81"/>
      <c r="FB59" s="81">
        <v>58</v>
      </c>
      <c r="FC59" s="133">
        <v>9.1774917490206604</v>
      </c>
      <c r="FD59" s="133">
        <v>9.9616215629667533</v>
      </c>
      <c r="FE59" s="133">
        <v>10.689395615958295</v>
      </c>
      <c r="FF59" s="133">
        <v>11.59470413727702</v>
      </c>
      <c r="FG59" s="133">
        <v>13.278749947576227</v>
      </c>
      <c r="FH59" s="134">
        <v>15.445566088482035</v>
      </c>
      <c r="FI59" s="133">
        <v>17.965961610506248</v>
      </c>
      <c r="FJ59" s="133">
        <v>20.575385880410462</v>
      </c>
      <c r="FK59" s="133">
        <v>22.317960749577811</v>
      </c>
      <c r="FL59" s="133">
        <v>23.948461632045493</v>
      </c>
      <c r="FM59" s="133">
        <v>25.994631029673652</v>
      </c>
      <c r="FN59" s="81"/>
      <c r="FO59" s="81">
        <v>58</v>
      </c>
      <c r="FP59" s="133">
        <v>9.1212099277115755</v>
      </c>
      <c r="FQ59" s="133">
        <v>9.8340236264795493</v>
      </c>
      <c r="FR59" s="133">
        <v>10.491480419624114</v>
      </c>
      <c r="FS59" s="133">
        <v>11.304222014969627</v>
      </c>
      <c r="FT59" s="133">
        <v>12.802539435983071</v>
      </c>
      <c r="FU59" s="134">
        <v>14.707735942721044</v>
      </c>
      <c r="FV59" s="133">
        <v>16.896452273587396</v>
      </c>
      <c r="FW59" s="133">
        <v>19.135991514882654</v>
      </c>
      <c r="FX59" s="133">
        <v>20.618395870633346</v>
      </c>
      <c r="FY59" s="133">
        <v>21.996845317550569</v>
      </c>
      <c r="FZ59" s="133">
        <v>23.715877419245011</v>
      </c>
      <c r="GA59" s="81"/>
      <c r="GB59" s="81">
        <v>60</v>
      </c>
      <c r="GC59" s="133">
        <v>8.7582830953560613</v>
      </c>
      <c r="GD59" s="133">
        <v>9.5966611144734486</v>
      </c>
      <c r="GE59" s="133">
        <v>10.381624461285687</v>
      </c>
      <c r="GF59" s="133">
        <v>11.366651140167569</v>
      </c>
      <c r="GG59" s="133">
        <v>13.222208801796281</v>
      </c>
      <c r="GH59" s="134">
        <v>15.649513478532697</v>
      </c>
      <c r="GI59" s="133">
        <v>18.522417531441871</v>
      </c>
      <c r="GJ59" s="133">
        <v>21.546123752256381</v>
      </c>
      <c r="GK59" s="133">
        <v>23.590457642545719</v>
      </c>
      <c r="GL59" s="133">
        <v>25.520050066727212</v>
      </c>
      <c r="GM59" s="133">
        <v>27.962931712567578</v>
      </c>
      <c r="GN59" s="81"/>
      <c r="GO59" s="81">
        <v>58</v>
      </c>
      <c r="GP59" s="133">
        <f t="shared" si="63"/>
        <v>0.50238766657036138</v>
      </c>
      <c r="GQ59" s="133">
        <f t="shared" si="64"/>
        <v>0.53486820173795901</v>
      </c>
      <c r="GR59" s="133">
        <f t="shared" si="65"/>
        <v>0.56121664415933137</v>
      </c>
      <c r="GS59" s="133">
        <f t="shared" si="351"/>
        <v>0.59005345877858095</v>
      </c>
      <c r="GT59" s="133">
        <f t="shared" si="352"/>
        <v>0.6363607983948989</v>
      </c>
      <c r="GU59" s="134">
        <f t="shared" si="353"/>
        <v>0.68159407934691774</v>
      </c>
      <c r="GV59" s="133">
        <f t="shared" si="354"/>
        <v>0.72384848880396069</v>
      </c>
      <c r="GW59" s="133">
        <f t="shared" si="66"/>
        <v>0.76164280733504042</v>
      </c>
      <c r="GX59" s="133">
        <f t="shared" si="67"/>
        <v>0.78276358415956671</v>
      </c>
      <c r="GY59" s="133">
        <f t="shared" si="68"/>
        <v>0.80060522676576229</v>
      </c>
      <c r="GZ59" s="133">
        <f t="shared" si="69"/>
        <v>0.8208340812196484</v>
      </c>
      <c r="HA59" s="81"/>
      <c r="HB59" s="81">
        <v>58</v>
      </c>
      <c r="HC59" s="133">
        <f t="shared" si="70"/>
        <v>0.49324616373119379</v>
      </c>
      <c r="HD59" s="133">
        <f t="shared" si="71"/>
        <v>0.52757978394483718</v>
      </c>
      <c r="HE59" s="133">
        <f t="shared" si="72"/>
        <v>0.55534955847227552</v>
      </c>
      <c r="HF59" s="133">
        <f t="shared" si="355"/>
        <v>0.58567282651034802</v>
      </c>
      <c r="HG59" s="133">
        <f t="shared" si="356"/>
        <v>0.63291297760251375</v>
      </c>
      <c r="HH59" s="134">
        <f t="shared" si="357"/>
        <v>0.6815772078501221</v>
      </c>
      <c r="HI59" s="133">
        <f t="shared" si="358"/>
        <v>0.72686992157761099</v>
      </c>
      <c r="HJ59" s="133">
        <f t="shared" si="73"/>
        <v>0.76514190975403651</v>
      </c>
      <c r="HK59" s="133">
        <f t="shared" si="74"/>
        <v>0.78715842977370243</v>
      </c>
      <c r="HL59" s="133">
        <f t="shared" si="75"/>
        <v>0.80574845777777726</v>
      </c>
      <c r="HM59" s="133">
        <f t="shared" si="76"/>
        <v>0.82681759158126367</v>
      </c>
      <c r="HN59" s="81"/>
      <c r="HO59" s="81">
        <v>60</v>
      </c>
      <c r="HP59" s="83">
        <f t="shared" si="77"/>
        <v>0.51127899050045744</v>
      </c>
      <c r="HQ59" s="83">
        <f t="shared" si="78"/>
        <v>0.54235522629877009</v>
      </c>
      <c r="HR59" s="83">
        <f t="shared" si="79"/>
        <v>0.56762043086082603</v>
      </c>
      <c r="HS59" s="83">
        <f t="shared" si="359"/>
        <v>0.59531947545237063</v>
      </c>
      <c r="HT59" s="83">
        <f t="shared" si="360"/>
        <v>0.63865979262878014</v>
      </c>
      <c r="HU59" s="84">
        <f t="shared" si="361"/>
        <v>0.68349664267931465</v>
      </c>
      <c r="HV59" s="83">
        <f t="shared" si="362"/>
        <v>0.7253611237829265</v>
      </c>
      <c r="HW59" s="83">
        <f t="shared" si="80"/>
        <v>0.76081572481353443</v>
      </c>
      <c r="HX59" s="83">
        <f t="shared" si="81"/>
        <v>0.78123881165289488</v>
      </c>
      <c r="HY59" s="83">
        <f t="shared" si="82"/>
        <v>0.79849689861797057</v>
      </c>
      <c r="HZ59" s="83">
        <f t="shared" si="83"/>
        <v>0.81806987389003905</v>
      </c>
      <c r="IA59" s="81"/>
      <c r="IB59" s="81">
        <v>58</v>
      </c>
      <c r="IC59" s="83">
        <f t="shared" si="84"/>
        <v>0.33547075680558508</v>
      </c>
      <c r="ID59" s="83">
        <f t="shared" si="85"/>
        <v>0.34897829510473799</v>
      </c>
      <c r="IE59" s="83">
        <f t="shared" si="86"/>
        <v>0.35959261017863764</v>
      </c>
      <c r="IF59" s="83">
        <f t="shared" si="363"/>
        <v>0.37089484094575675</v>
      </c>
      <c r="IG59" s="83">
        <f t="shared" si="364"/>
        <v>0.38796111350569717</v>
      </c>
      <c r="IH59" s="84">
        <f t="shared" si="365"/>
        <v>0.40492570476710321</v>
      </c>
      <c r="II59" s="83">
        <f t="shared" si="366"/>
        <v>0.42021479359515579</v>
      </c>
      <c r="IJ59" s="83">
        <f t="shared" si="87"/>
        <v>0.43279400944806995</v>
      </c>
      <c r="IK59" s="83">
        <f t="shared" si="88"/>
        <v>0.43989954633633943</v>
      </c>
      <c r="IL59" s="83">
        <f t="shared" si="89"/>
        <v>0.44582870065852515</v>
      </c>
      <c r="IM59" s="83">
        <f t="shared" si="90"/>
        <v>0.45247355773979347</v>
      </c>
      <c r="IN59" s="81"/>
      <c r="IO59" s="81">
        <v>58</v>
      </c>
      <c r="IP59" s="133">
        <f t="shared" si="91"/>
        <v>0.33112826249983962</v>
      </c>
      <c r="IQ59" s="133">
        <f t="shared" si="92"/>
        <v>0.34562399236224528</v>
      </c>
      <c r="IR59" s="133">
        <f t="shared" si="93"/>
        <v>0.35694881709382392</v>
      </c>
      <c r="IS59" s="133">
        <f t="shared" si="367"/>
        <v>0.36895408890405129</v>
      </c>
      <c r="IT59" s="133">
        <f t="shared" si="368"/>
        <v>0.38699504636937898</v>
      </c>
      <c r="IU59" s="134">
        <f t="shared" si="369"/>
        <v>0.40484436009733388</v>
      </c>
      <c r="IV59" s="133">
        <f t="shared" si="370"/>
        <v>0.42087313440286689</v>
      </c>
      <c r="IW59" s="133">
        <f t="shared" si="94"/>
        <v>0.43402719604877005</v>
      </c>
      <c r="IX59" s="133">
        <f t="shared" si="95"/>
        <v>0.44144584463715381</v>
      </c>
      <c r="IY59" s="133">
        <f t="shared" si="96"/>
        <v>0.44763051533761677</v>
      </c>
      <c r="IZ59" s="133">
        <f t="shared" si="97"/>
        <v>0.45455599163744642</v>
      </c>
      <c r="JA59" s="81"/>
      <c r="JB59" s="81">
        <v>60</v>
      </c>
      <c r="JC59" s="133">
        <f t="shared" si="98"/>
        <v>0.33966676056243461</v>
      </c>
      <c r="JD59" s="133">
        <f t="shared" si="99"/>
        <v>0.35239214368442895</v>
      </c>
      <c r="JE59" s="133">
        <f t="shared" si="100"/>
        <v>0.36243790234608758</v>
      </c>
      <c r="JF59" s="133">
        <f t="shared" si="371"/>
        <v>0.37317293452481665</v>
      </c>
      <c r="JG59" s="133">
        <f t="shared" si="372"/>
        <v>0.38944606413910254</v>
      </c>
      <c r="JH59" s="134">
        <f t="shared" si="373"/>
        <v>0.40568477531374914</v>
      </c>
      <c r="JI59" s="133">
        <f t="shared" si="374"/>
        <v>0.42036328025095177</v>
      </c>
      <c r="JJ59" s="133">
        <f t="shared" si="101"/>
        <v>0.43246597526224018</v>
      </c>
      <c r="JK59" s="133">
        <f t="shared" si="102"/>
        <v>0.43931130001450869</v>
      </c>
      <c r="JL59" s="133">
        <f t="shared" si="103"/>
        <v>0.4450277913949241</v>
      </c>
      <c r="JM59" s="133">
        <f t="shared" si="104"/>
        <v>0.45143878604881077</v>
      </c>
      <c r="JN59" s="81"/>
      <c r="JO59" s="81">
        <v>57</v>
      </c>
      <c r="JP59" s="133">
        <f t="shared" si="105"/>
        <v>-0.93669855067814112</v>
      </c>
      <c r="JQ59" s="133">
        <f t="shared" si="106"/>
        <v>0.51012958850332524</v>
      </c>
      <c r="JR59" s="133">
        <f t="shared" si="107"/>
        <v>1.768379277127142</v>
      </c>
      <c r="JS59" s="133">
        <f t="shared" si="375"/>
        <v>3.2343776820621102</v>
      </c>
      <c r="JT59" s="133">
        <f t="shared" si="376"/>
        <v>5.7147492947849123</v>
      </c>
      <c r="JU59" s="134">
        <f t="shared" si="377"/>
        <v>8.5278507791849592</v>
      </c>
      <c r="JV59" s="133">
        <f t="shared" si="378"/>
        <v>11.388980009080637</v>
      </c>
      <c r="JW59" s="133">
        <f t="shared" si="108"/>
        <v>13.994524588977011</v>
      </c>
      <c r="JX59" s="133">
        <f t="shared" si="109"/>
        <v>15.573139229878425</v>
      </c>
      <c r="JY59" s="133">
        <f t="shared" si="110"/>
        <v>16.952150708765128</v>
      </c>
      <c r="JZ59" s="133">
        <f t="shared" si="111"/>
        <v>18.566698808705123</v>
      </c>
      <c r="KA59" s="81"/>
      <c r="KB59" s="81">
        <v>57</v>
      </c>
      <c r="KC59" s="133">
        <f t="shared" si="112"/>
        <v>0.53847160515107895</v>
      </c>
      <c r="KD59" s="133">
        <f t="shared" si="113"/>
        <v>1.9146491858464625</v>
      </c>
      <c r="KE59" s="133">
        <f t="shared" si="114"/>
        <v>3.1340729479003002</v>
      </c>
      <c r="KF59" s="133">
        <f t="shared" si="379"/>
        <v>4.5797541707499345</v>
      </c>
      <c r="KG59" s="133">
        <f t="shared" si="380"/>
        <v>7.0825923459296884</v>
      </c>
      <c r="KH59" s="134">
        <f t="shared" si="381"/>
        <v>10.000597306812653</v>
      </c>
      <c r="KI59" s="133">
        <f t="shared" si="382"/>
        <v>13.047325701423185</v>
      </c>
      <c r="KJ59" s="133">
        <f t="shared" si="115"/>
        <v>15.88546922506635</v>
      </c>
      <c r="KK59" s="133">
        <f t="shared" si="116"/>
        <v>17.63259591944378</v>
      </c>
      <c r="KL59" s="133">
        <f t="shared" si="117"/>
        <v>19.175034658013445</v>
      </c>
      <c r="KM59" s="133">
        <f t="shared" si="118"/>
        <v>20.999432422392907</v>
      </c>
      <c r="KN59" s="81"/>
      <c r="KO59" s="81">
        <v>59</v>
      </c>
      <c r="KP59" s="133">
        <f t="shared" si="119"/>
        <v>-0.53501151867599717</v>
      </c>
      <c r="KQ59" s="133">
        <f t="shared" si="120"/>
        <v>0.76120871670805101</v>
      </c>
      <c r="KR59" s="133">
        <f t="shared" si="121"/>
        <v>1.8723223479894884</v>
      </c>
      <c r="KS59" s="133">
        <f t="shared" si="383"/>
        <v>3.1493679325732131</v>
      </c>
      <c r="KT59" s="133">
        <f t="shared" si="384"/>
        <v>5.2708258294470269</v>
      </c>
      <c r="KU59" s="134">
        <f t="shared" si="385"/>
        <v>7.6233545220911125</v>
      </c>
      <c r="KV59" s="133">
        <f t="shared" si="386"/>
        <v>9.9643253162712924</v>
      </c>
      <c r="KW59" s="133">
        <f t="shared" si="122"/>
        <v>12.055590600604535</v>
      </c>
      <c r="KX59" s="133">
        <f t="shared" si="123"/>
        <v>13.305384845487307</v>
      </c>
      <c r="KY59" s="133">
        <f t="shared" si="124"/>
        <v>14.387182003265149</v>
      </c>
      <c r="KZ59" s="133">
        <f t="shared" si="125"/>
        <v>15.642520713191434</v>
      </c>
      <c r="LA59" s="81"/>
      <c r="LB59" s="81">
        <v>57</v>
      </c>
      <c r="LC59" s="133">
        <f t="shared" si="126"/>
        <v>-0.95871284107128929</v>
      </c>
      <c r="LD59" s="133">
        <f t="shared" si="127"/>
        <v>2.7490498211703596</v>
      </c>
      <c r="LE59" s="133">
        <f t="shared" si="128"/>
        <v>5.9974844620792922</v>
      </c>
      <c r="LF59" s="133">
        <f t="shared" si="387"/>
        <v>9.8075806397606868</v>
      </c>
      <c r="LG59" s="133">
        <f t="shared" si="388"/>
        <v>16.309157707561319</v>
      </c>
      <c r="LH59" s="134">
        <f t="shared" si="389"/>
        <v>23.755921612793877</v>
      </c>
      <c r="LI59" s="133">
        <f t="shared" si="390"/>
        <v>31.398293918393001</v>
      </c>
      <c r="LJ59" s="133">
        <f t="shared" si="129"/>
        <v>38.41033960672943</v>
      </c>
      <c r="LK59" s="133">
        <f t="shared" si="130"/>
        <v>42.680536917814131</v>
      </c>
      <c r="LL59" s="133">
        <f t="shared" si="131"/>
        <v>46.42326800827832</v>
      </c>
      <c r="LM59" s="133">
        <f t="shared" si="132"/>
        <v>50.819171867385556</v>
      </c>
      <c r="LN59" s="81"/>
      <c r="LO59" s="81">
        <v>57</v>
      </c>
      <c r="LP59" s="133">
        <f t="shared" si="133"/>
        <v>3.6271371250760787</v>
      </c>
      <c r="LQ59" s="133">
        <f t="shared" si="134"/>
        <v>7.3719385984574508</v>
      </c>
      <c r="LR59" s="133">
        <f t="shared" si="135"/>
        <v>10.661385029425997</v>
      </c>
      <c r="LS59" s="133">
        <f t="shared" si="391"/>
        <v>14.528978322584276</v>
      </c>
      <c r="LT59" s="133">
        <f t="shared" si="392"/>
        <v>21.15001830621117</v>
      </c>
      <c r="LU59" s="134">
        <f t="shared" si="393"/>
        <v>28.763269578385643</v>
      </c>
      <c r="LV59" s="133">
        <f t="shared" si="394"/>
        <v>36.605737323669075</v>
      </c>
      <c r="LW59" s="133">
        <f t="shared" si="136"/>
        <v>43.824745554512774</v>
      </c>
      <c r="LX59" s="133">
        <f t="shared" si="137"/>
        <v>48.231047284979354</v>
      </c>
      <c r="LY59" s="133">
        <f t="shared" si="138"/>
        <v>52.098960522203413</v>
      </c>
      <c r="LZ59" s="133">
        <f t="shared" si="139"/>
        <v>56.648588932272148</v>
      </c>
      <c r="MA59" s="81"/>
      <c r="MB59" s="81">
        <v>59</v>
      </c>
      <c r="MC59" s="133">
        <f t="shared" si="140"/>
        <v>0.26490673939664333</v>
      </c>
      <c r="MD59" s="133">
        <f t="shared" si="141"/>
        <v>3.3462077818495999</v>
      </c>
      <c r="ME59" s="133">
        <f t="shared" si="142"/>
        <v>6.0203490311993377</v>
      </c>
      <c r="MF59" s="133">
        <f t="shared" si="395"/>
        <v>9.1296011502115775</v>
      </c>
      <c r="MG59" s="133">
        <f t="shared" si="396"/>
        <v>14.3749038026655</v>
      </c>
      <c r="MH59" s="134">
        <f t="shared" si="397"/>
        <v>20.301353457755752</v>
      </c>
      <c r="MI59" s="133">
        <f t="shared" si="398"/>
        <v>26.305661765782794</v>
      </c>
      <c r="MJ59" s="133">
        <f t="shared" si="143"/>
        <v>31.754194608703095</v>
      </c>
      <c r="MK59" s="133">
        <f t="shared" si="144"/>
        <v>35.046680855677558</v>
      </c>
      <c r="ML59" s="133">
        <f t="shared" si="145"/>
        <v>37.91773213516263</v>
      </c>
      <c r="MM59" s="133">
        <f t="shared" si="146"/>
        <v>41.273259346311711</v>
      </c>
      <c r="MN59" s="81"/>
      <c r="MO59" s="81">
        <v>57</v>
      </c>
      <c r="MP59" s="133">
        <f t="shared" si="147"/>
        <v>-7.219813617422723</v>
      </c>
      <c r="MQ59" s="133">
        <f t="shared" si="148"/>
        <v>-3.0711265248120085</v>
      </c>
      <c r="MR59" s="133">
        <f t="shared" si="149"/>
        <v>0.51010125807868434</v>
      </c>
      <c r="MS59" s="133">
        <f t="shared" si="399"/>
        <v>4.6526125922972099</v>
      </c>
      <c r="MT59" s="133">
        <f t="shared" si="400"/>
        <v>11.591965404023732</v>
      </c>
      <c r="MU59" s="134">
        <f t="shared" si="401"/>
        <v>19.36399007932561</v>
      </c>
      <c r="MV59" s="133">
        <f t="shared" si="402"/>
        <v>27.170565676367438</v>
      </c>
      <c r="MW59" s="133">
        <f t="shared" si="150"/>
        <v>34.200672785844851</v>
      </c>
      <c r="MX59" s="133">
        <f t="shared" si="151"/>
        <v>38.425746000269022</v>
      </c>
      <c r="MY59" s="133">
        <f t="shared" si="152"/>
        <v>42.096524554369417</v>
      </c>
      <c r="MZ59" s="133">
        <f t="shared" si="153"/>
        <v>46.371454864278569</v>
      </c>
      <c r="NA59" s="81"/>
      <c r="NB59" s="81">
        <v>57</v>
      </c>
      <c r="NC59" s="133">
        <f t="shared" si="154"/>
        <v>1.6020751356804652</v>
      </c>
      <c r="ND59" s="133">
        <f t="shared" si="155"/>
        <v>5.2325315379891357</v>
      </c>
      <c r="NE59" s="133">
        <f t="shared" si="156"/>
        <v>8.3690344265835996</v>
      </c>
      <c r="NF59" s="133">
        <f t="shared" si="403"/>
        <v>12.000012354010796</v>
      </c>
      <c r="NG59" s="133">
        <f t="shared" si="404"/>
        <v>18.089010659262438</v>
      </c>
      <c r="NH59" s="134">
        <f t="shared" si="405"/>
        <v>24.917641084697404</v>
      </c>
      <c r="NI59" s="133">
        <f t="shared" si="406"/>
        <v>31.785367264330166</v>
      </c>
      <c r="NJ59" s="133">
        <f t="shared" si="157"/>
        <v>37.976880665502946</v>
      </c>
      <c r="NK59" s="133">
        <f t="shared" si="158"/>
        <v>41.700887109607891</v>
      </c>
      <c r="NL59" s="133">
        <f t="shared" si="159"/>
        <v>44.938028663648197</v>
      </c>
      <c r="NM59" s="133">
        <f t="shared" si="160"/>
        <v>48.709859659581923</v>
      </c>
      <c r="NN59" s="81"/>
      <c r="NO59" s="81">
        <v>59</v>
      </c>
      <c r="NP59" s="133">
        <f t="shared" si="161"/>
        <v>-8.8091832656634317</v>
      </c>
      <c r="NQ59" s="133">
        <f t="shared" si="162"/>
        <v>-5.096938658825259</v>
      </c>
      <c r="NR59" s="133">
        <f t="shared" si="163"/>
        <v>-1.9024667918578402</v>
      </c>
      <c r="NS59" s="133">
        <f t="shared" si="407"/>
        <v>1.7823578468184778</v>
      </c>
      <c r="NT59" s="133">
        <f t="shared" si="408"/>
        <v>7.9331245446858603</v>
      </c>
      <c r="NU59" s="134">
        <f t="shared" si="409"/>
        <v>14.793668497314385</v>
      </c>
      <c r="NV59" s="133">
        <f t="shared" si="410"/>
        <v>21.658772387496334</v>
      </c>
      <c r="NW59" s="133">
        <f t="shared" si="164"/>
        <v>27.821518221464082</v>
      </c>
      <c r="NX59" s="133">
        <f t="shared" si="165"/>
        <v>31.517242603329841</v>
      </c>
      <c r="NY59" s="133">
        <f t="shared" si="166"/>
        <v>34.723538870537631</v>
      </c>
      <c r="NZ59" s="133">
        <f t="shared" si="167"/>
        <v>38.452456000862007</v>
      </c>
      <c r="OA59" s="81"/>
      <c r="OB59" s="81">
        <v>57</v>
      </c>
      <c r="OC59" s="133">
        <v>14.179741267353807</v>
      </c>
      <c r="OD59" s="133">
        <v>15.520699627891529</v>
      </c>
      <c r="OE59" s="133">
        <v>16.77499424666453</v>
      </c>
      <c r="OF59" s="133">
        <v>18.347430777877648</v>
      </c>
      <c r="OG59" s="133">
        <v>21.305357281371077</v>
      </c>
      <c r="OH59" s="134">
        <v>25.167546758619753</v>
      </c>
      <c r="OI59" s="133">
        <v>29.729865661588658</v>
      </c>
      <c r="OJ59" s="133">
        <v>34.522839601664465</v>
      </c>
      <c r="OK59" s="133">
        <v>37.758904744379009</v>
      </c>
      <c r="OL59" s="133">
        <v>40.810364547552247</v>
      </c>
      <c r="OM59" s="133">
        <v>44.669743820051849</v>
      </c>
      <c r="ON59" s="81"/>
      <c r="OO59" s="81">
        <v>57</v>
      </c>
      <c r="OP59" s="133">
        <v>13.805811239141144</v>
      </c>
      <c r="OQ59" s="133">
        <v>14.864894998881331</v>
      </c>
      <c r="OR59" s="133">
        <v>15.840522534809502</v>
      </c>
      <c r="OS59" s="133">
        <v>17.045093810184991</v>
      </c>
      <c r="OT59" s="133">
        <v>25.263234799401079</v>
      </c>
      <c r="OU59" s="134">
        <v>22.073932376492461</v>
      </c>
      <c r="OV59" s="133">
        <v>25.296598588567129</v>
      </c>
      <c r="OW59" s="133">
        <v>28.586436424938263</v>
      </c>
      <c r="OX59" s="133">
        <v>30.760253614816879</v>
      </c>
      <c r="OY59" s="133">
        <v>32.779141097103683</v>
      </c>
      <c r="OZ59" s="133">
        <v>35.293723934202831</v>
      </c>
      <c r="PA59" s="81"/>
      <c r="PB59" s="81">
        <v>59</v>
      </c>
      <c r="PC59" s="133">
        <v>16.167098275225204</v>
      </c>
      <c r="PD59" s="133">
        <v>17.485767225829562</v>
      </c>
      <c r="PE59" s="133">
        <v>18.705605789898108</v>
      </c>
      <c r="PF59" s="133">
        <v>20.217988419916541</v>
      </c>
      <c r="PG59" s="133">
        <v>23.017909646958632</v>
      </c>
      <c r="PH59" s="134">
        <v>26.597969486173977</v>
      </c>
      <c r="PI59" s="133">
        <v>30.734849151730785</v>
      </c>
      <c r="PJ59" s="133">
        <v>34.991215055328567</v>
      </c>
      <c r="PK59" s="133">
        <v>37.820319145691542</v>
      </c>
      <c r="PL59" s="133">
        <v>40.458732616685566</v>
      </c>
      <c r="PM59" s="133">
        <v>43.758748090964225</v>
      </c>
      <c r="PN59" s="81"/>
      <c r="PO59" s="81">
        <v>57</v>
      </c>
      <c r="PP59" s="133">
        <v>9.6011869417143227</v>
      </c>
      <c r="PQ59" s="133">
        <v>10.429122415645104</v>
      </c>
      <c r="PR59" s="133">
        <v>11.198074292800467</v>
      </c>
      <c r="PS59" s="133">
        <v>12.155253011435528</v>
      </c>
      <c r="PT59" s="133">
        <v>13.937521894139142</v>
      </c>
      <c r="PU59" s="134">
        <v>16.233654093261862</v>
      </c>
      <c r="PV59" s="133">
        <v>18.908061793287299</v>
      </c>
      <c r="PW59" s="133">
        <v>21.68046399130894</v>
      </c>
      <c r="PX59" s="133">
        <v>23.533646797566686</v>
      </c>
      <c r="PY59" s="133">
        <v>25.268811192046648</v>
      </c>
      <c r="PZ59" s="133">
        <v>27.447806903405972</v>
      </c>
      <c r="QA59" s="81"/>
      <c r="QB59" s="81">
        <v>57</v>
      </c>
      <c r="QC59" s="133">
        <v>9.5411751717363433</v>
      </c>
      <c r="QD59" s="133">
        <v>10.356110407635404</v>
      </c>
      <c r="QE59" s="133">
        <v>11.112457722241713</v>
      </c>
      <c r="QF59" s="133">
        <v>12.053287144407886</v>
      </c>
      <c r="QG59" s="133">
        <v>13.803348149962797</v>
      </c>
      <c r="QH59" s="134">
        <v>16.055002125922709</v>
      </c>
      <c r="QI59" s="133">
        <v>18.673954352450163</v>
      </c>
      <c r="QJ59" s="133">
        <v>21.385294333004573</v>
      </c>
      <c r="QK59" s="133">
        <v>23.195867170542034</v>
      </c>
      <c r="QL59" s="133">
        <v>24.889952223118236</v>
      </c>
      <c r="QM59" s="133">
        <v>27.015864254012424</v>
      </c>
      <c r="QN59" s="81"/>
      <c r="QO59" s="81">
        <v>59</v>
      </c>
      <c r="QP59" s="133">
        <v>9.4232491829492737</v>
      </c>
      <c r="QQ59" s="133">
        <v>10.269145567084914</v>
      </c>
      <c r="QR59" s="133">
        <v>11.057151225745654</v>
      </c>
      <c r="QS59" s="133">
        <v>12.041007743843718</v>
      </c>
      <c r="QT59" s="133">
        <v>13.880913696928568</v>
      </c>
      <c r="QU59" s="134">
        <v>16.264842192525052</v>
      </c>
      <c r="QV59" s="133">
        <v>19.058190067580281</v>
      </c>
      <c r="QW59" s="133">
        <v>21.970344773094158</v>
      </c>
      <c r="QX59" s="133">
        <v>23.925248569610954</v>
      </c>
      <c r="QY59" s="133">
        <v>25.761158980516729</v>
      </c>
      <c r="QZ59" s="133">
        <v>28.073659776122604</v>
      </c>
      <c r="RA59" s="81"/>
      <c r="RB59" s="81">
        <v>57</v>
      </c>
      <c r="RC59" s="133">
        <f t="shared" si="168"/>
        <v>0.36217208806131124</v>
      </c>
      <c r="RD59" s="133">
        <f t="shared" si="169"/>
        <v>0.39481078915013817</v>
      </c>
      <c r="RE59" s="133">
        <f t="shared" si="170"/>
        <v>0.42561984897475874</v>
      </c>
      <c r="RF59" s="133">
        <f t="shared" si="411"/>
        <v>0.46464388312098159</v>
      </c>
      <c r="RG59" s="133">
        <f t="shared" si="412"/>
        <v>0.53931602225811204</v>
      </c>
      <c r="RH59" s="134">
        <f t="shared" si="413"/>
        <v>0.63940798606180982</v>
      </c>
      <c r="RI59" s="133">
        <f t="shared" si="414"/>
        <v>0.76155881903918521</v>
      </c>
      <c r="RJ59" s="133">
        <f t="shared" si="171"/>
        <v>0.89455597779578833</v>
      </c>
      <c r="RK59" s="133">
        <f t="shared" si="172"/>
        <v>0.98709300573862158</v>
      </c>
      <c r="RL59" s="133">
        <f t="shared" si="173"/>
        <v>1.0763907297552004</v>
      </c>
      <c r="RM59" s="133">
        <f t="shared" si="174"/>
        <v>1.192180824781079</v>
      </c>
      <c r="RN59" s="81"/>
      <c r="RO59" s="81">
        <v>57</v>
      </c>
      <c r="RP59" s="133">
        <f t="shared" si="175"/>
        <v>0.39951955877665046</v>
      </c>
      <c r="RQ59" s="133">
        <f t="shared" si="176"/>
        <v>0.43527584000833358</v>
      </c>
      <c r="RR59" s="133">
        <f t="shared" si="177"/>
        <v>0.46917997649225784</v>
      </c>
      <c r="RS59" s="133">
        <f t="shared" si="415"/>
        <v>0.51234213273191498</v>
      </c>
      <c r="RT59" s="133">
        <f t="shared" si="416"/>
        <v>0.59562598308339942</v>
      </c>
      <c r="RU59" s="134">
        <f t="shared" si="417"/>
        <v>0.70871198544392422</v>
      </c>
      <c r="RV59" s="133">
        <f t="shared" si="418"/>
        <v>0.84898006969242312</v>
      </c>
      <c r="RW59" s="133">
        <f t="shared" si="178"/>
        <v>1.0045028043090798</v>
      </c>
      <c r="RX59" s="133">
        <f t="shared" si="179"/>
        <v>1.1144094853136983</v>
      </c>
      <c r="RY59" s="133">
        <f t="shared" si="180"/>
        <v>1.2217685926122377</v>
      </c>
      <c r="RZ59" s="133">
        <f t="shared" si="181"/>
        <v>1.3628503453301939</v>
      </c>
      <c r="SA59" s="81"/>
      <c r="SB59" s="81">
        <v>59</v>
      </c>
      <c r="SC59" s="133">
        <f t="shared" si="182"/>
        <v>0.36472737761095597</v>
      </c>
      <c r="SD59" s="133">
        <f t="shared" si="183"/>
        <v>0.39449043011875284</v>
      </c>
      <c r="SE59" s="133">
        <f t="shared" si="184"/>
        <v>0.42205077052404455</v>
      </c>
      <c r="SF59" s="133">
        <f t="shared" si="419"/>
        <v>0.45625777836689413</v>
      </c>
      <c r="SG59" s="133">
        <f t="shared" si="420"/>
        <v>0.5196933095624624</v>
      </c>
      <c r="SH59" s="134">
        <f t="shared" si="421"/>
        <v>0.60100147005954219</v>
      </c>
      <c r="SI59" s="133">
        <f t="shared" si="422"/>
        <v>0.69522192509858871</v>
      </c>
      <c r="SJ59" s="133">
        <f t="shared" si="185"/>
        <v>0.79244835999764296</v>
      </c>
      <c r="SK59" s="133">
        <f t="shared" si="186"/>
        <v>0.85722540106005674</v>
      </c>
      <c r="SL59" s="133">
        <f t="shared" si="187"/>
        <v>0.91774238576954925</v>
      </c>
      <c r="SM59" s="133">
        <f t="shared" si="188"/>
        <v>0.99357407542423626</v>
      </c>
      <c r="SN59" s="81"/>
      <c r="SO59" s="81">
        <v>57</v>
      </c>
      <c r="SP59" s="133">
        <f t="shared" si="189"/>
        <v>0.26668171629210935</v>
      </c>
      <c r="SQ59" s="133">
        <f t="shared" si="190"/>
        <v>0.28376146144293152</v>
      </c>
      <c r="SR59" s="133">
        <f t="shared" si="191"/>
        <v>0.2990932922797912</v>
      </c>
      <c r="SS59" s="133">
        <f t="shared" si="423"/>
        <v>0.31752863115992086</v>
      </c>
      <c r="ST59" s="133">
        <f t="shared" si="424"/>
        <v>0.3501544819352958</v>
      </c>
      <c r="SU59" s="134">
        <f t="shared" si="425"/>
        <v>0.38940125324329206</v>
      </c>
      <c r="SV59" s="133">
        <f t="shared" si="426"/>
        <v>0.4318444238062763</v>
      </c>
      <c r="SW59" s="133">
        <f t="shared" si="192"/>
        <v>0.47278203305909167</v>
      </c>
      <c r="SX59" s="133">
        <f t="shared" si="193"/>
        <v>0.49867183235312496</v>
      </c>
      <c r="SY59" s="133">
        <f t="shared" si="194"/>
        <v>0.52197235882902671</v>
      </c>
      <c r="SZ59" s="133">
        <f t="shared" si="195"/>
        <v>0.55007618145420678</v>
      </c>
      <c r="TA59" s="81"/>
      <c r="TB59" s="81">
        <v>57</v>
      </c>
      <c r="TC59" s="133">
        <f t="shared" si="196"/>
        <v>0.28635543561752225</v>
      </c>
      <c r="TD59" s="133">
        <f t="shared" si="197"/>
        <v>0.30396962783093567</v>
      </c>
      <c r="TE59" s="133">
        <f t="shared" si="198"/>
        <v>0.31982580886097245</v>
      </c>
      <c r="TF59" s="133">
        <f t="shared" si="427"/>
        <v>0.33894874117309481</v>
      </c>
      <c r="TG59" s="133">
        <f t="shared" si="428"/>
        <v>0.37294716586266052</v>
      </c>
      <c r="TH59" s="134">
        <f t="shared" si="429"/>
        <v>0.41411241684525923</v>
      </c>
      <c r="TI59" s="133">
        <f t="shared" si="430"/>
        <v>0.45896081472164446</v>
      </c>
      <c r="TJ59" s="133">
        <f t="shared" si="199"/>
        <v>0.50254258814865782</v>
      </c>
      <c r="TK59" s="133">
        <f t="shared" si="200"/>
        <v>0.53026762695280383</v>
      </c>
      <c r="TL59" s="133">
        <f t="shared" si="201"/>
        <v>0.55532684841660263</v>
      </c>
      <c r="TM59" s="133">
        <f t="shared" si="202"/>
        <v>0.58568554670748962</v>
      </c>
      <c r="TN59" s="81"/>
      <c r="TO59" s="81">
        <v>59</v>
      </c>
      <c r="TP59" s="133">
        <f t="shared" si="203"/>
        <v>0.26814371851236568</v>
      </c>
      <c r="TQ59" s="133">
        <f t="shared" si="204"/>
        <v>0.28361822048214158</v>
      </c>
      <c r="TR59" s="133">
        <f t="shared" si="205"/>
        <v>0.29731932864688526</v>
      </c>
      <c r="TS59" s="133">
        <f t="shared" si="431"/>
        <v>0.31356895069909652</v>
      </c>
      <c r="TT59" s="133">
        <f t="shared" si="432"/>
        <v>0.34176474606924734</v>
      </c>
      <c r="TU59" s="134">
        <f t="shared" si="433"/>
        <v>0.37481132594628697</v>
      </c>
      <c r="TV59" s="133">
        <f t="shared" si="434"/>
        <v>0.40958476053794934</v>
      </c>
      <c r="TW59" s="133">
        <f t="shared" si="206"/>
        <v>0.44226879025219923</v>
      </c>
      <c r="TX59" s="133">
        <f t="shared" si="207"/>
        <v>0.46254102547858561</v>
      </c>
      <c r="TY59" s="133">
        <f t="shared" si="208"/>
        <v>0.48053942932955218</v>
      </c>
      <c r="TZ59" s="133">
        <f t="shared" si="209"/>
        <v>0.50195412600974854</v>
      </c>
      <c r="UA59" s="81"/>
      <c r="UB59" s="81">
        <v>57</v>
      </c>
      <c r="UC59" s="133">
        <f t="shared" si="210"/>
        <v>-13.516696150467219</v>
      </c>
      <c r="UD59" s="133">
        <f t="shared" si="211"/>
        <v>-10.372018014383137</v>
      </c>
      <c r="UE59" s="133">
        <f t="shared" si="212"/>
        <v>-7.7282298854334073</v>
      </c>
      <c r="UF59" s="133">
        <f t="shared" si="435"/>
        <v>-4.743374279713727</v>
      </c>
      <c r="UG59" s="133">
        <f t="shared" si="436"/>
        <v>0.10081253793143219</v>
      </c>
      <c r="UH59" s="134">
        <f t="shared" si="437"/>
        <v>5.3250753153773474</v>
      </c>
      <c r="UI59" s="133">
        <f t="shared" si="438"/>
        <v>10.388815718528633</v>
      </c>
      <c r="UJ59" s="133">
        <f t="shared" si="213"/>
        <v>14.811534270512425</v>
      </c>
      <c r="UK59" s="133">
        <f t="shared" si="214"/>
        <v>17.413250254269897</v>
      </c>
      <c r="UL59" s="133">
        <f t="shared" si="215"/>
        <v>19.641866080301824</v>
      </c>
      <c r="UM59" s="133">
        <f t="shared" si="216"/>
        <v>22.202181173648469</v>
      </c>
      <c r="UN59" s="81"/>
      <c r="UO59" s="81">
        <v>57</v>
      </c>
      <c r="UP59" s="133">
        <f t="shared" si="217"/>
        <v>-9.454004921581852</v>
      </c>
      <c r="UQ59" s="133">
        <f t="shared" si="218"/>
        <v>-6.7646792659670467</v>
      </c>
      <c r="UR59" s="133">
        <f t="shared" si="219"/>
        <v>-4.4559804391860922</v>
      </c>
      <c r="US59" s="133">
        <f t="shared" si="439"/>
        <v>-1.7986539805014061</v>
      </c>
      <c r="UT59" s="133">
        <f t="shared" si="440"/>
        <v>2.6246553857328365</v>
      </c>
      <c r="UU59" s="134">
        <f t="shared" si="441"/>
        <v>7.5423001270711012</v>
      </c>
      <c r="UV59" s="133">
        <f t="shared" si="442"/>
        <v>12.448301971672223</v>
      </c>
      <c r="UW59" s="133">
        <f t="shared" si="220"/>
        <v>16.841068879067599</v>
      </c>
      <c r="UX59" s="133">
        <f t="shared" si="221"/>
        <v>19.470663020792841</v>
      </c>
      <c r="UY59" s="133">
        <f t="shared" si="222"/>
        <v>21.749343663645121</v>
      </c>
      <c r="UZ59" s="133">
        <f t="shared" si="223"/>
        <v>24.396470638643116</v>
      </c>
      <c r="VA59" s="81"/>
      <c r="VB59" s="81">
        <v>60</v>
      </c>
      <c r="VC59" s="133">
        <f t="shared" si="224"/>
        <v>-13.482450849265007</v>
      </c>
      <c r="VD59" s="133">
        <f t="shared" si="225"/>
        <v>-10.444626937509568</v>
      </c>
      <c r="VE59" s="133">
        <f t="shared" si="226"/>
        <v>-7.9176289058450919</v>
      </c>
      <c r="VF59" s="133">
        <f t="shared" si="443"/>
        <v>-5.0916928728490163</v>
      </c>
      <c r="VG59" s="133">
        <f t="shared" si="444"/>
        <v>-0.5608312470872221</v>
      </c>
      <c r="VH59" s="134">
        <f t="shared" si="445"/>
        <v>4.2567663700014293</v>
      </c>
      <c r="VI59" s="133">
        <f t="shared" si="446"/>
        <v>8.8658101611684259</v>
      </c>
      <c r="VJ59" s="133">
        <f t="shared" si="227"/>
        <v>12.847475373960094</v>
      </c>
      <c r="VK59" s="133">
        <f t="shared" si="228"/>
        <v>15.172067454227616</v>
      </c>
      <c r="VL59" s="133">
        <f t="shared" si="229"/>
        <v>17.153470926492446</v>
      </c>
      <c r="VM59" s="133">
        <f t="shared" si="230"/>
        <v>19.419059094237696</v>
      </c>
      <c r="VN59" s="81"/>
      <c r="VO59" s="81">
        <v>57</v>
      </c>
      <c r="VP59" s="133">
        <f t="shared" si="231"/>
        <v>-24.21714824256102</v>
      </c>
      <c r="VQ59" s="133">
        <f t="shared" si="232"/>
        <v>-19.454396891973637</v>
      </c>
      <c r="VR59" s="133">
        <f t="shared" si="233"/>
        <v>-15.133281240925008</v>
      </c>
      <c r="VS59" s="133">
        <f t="shared" si="447"/>
        <v>-9.8987042231380897</v>
      </c>
      <c r="VT59" s="133">
        <f t="shared" si="448"/>
        <v>-0.57889955898830436</v>
      </c>
      <c r="VU59" s="134">
        <f t="shared" si="449"/>
        <v>10.650410899347243</v>
      </c>
      <c r="VV59" s="133">
        <f t="shared" si="450"/>
        <v>22.739980625903364</v>
      </c>
      <c r="VW59" s="133">
        <f t="shared" si="234"/>
        <v>34.298634411884059</v>
      </c>
      <c r="VX59" s="133">
        <f t="shared" si="235"/>
        <v>41.543494582818631</v>
      </c>
      <c r="VY59" s="133">
        <f t="shared" si="236"/>
        <v>48.016105165858256</v>
      </c>
      <c r="VZ59" s="133">
        <f t="shared" si="237"/>
        <v>55.759747883932214</v>
      </c>
      <c r="WA59" s="81"/>
      <c r="WB59" s="81">
        <v>57</v>
      </c>
      <c r="WC59" s="133">
        <f t="shared" si="238"/>
        <v>-18.491470259191075</v>
      </c>
      <c r="WD59" s="133">
        <f t="shared" si="239"/>
        <v>-13.78613391355141</v>
      </c>
      <c r="WE59" s="133">
        <f t="shared" si="240"/>
        <v>-9.5166347847627861</v>
      </c>
      <c r="WF59" s="133">
        <f t="shared" si="451"/>
        <v>-4.3439401541830804</v>
      </c>
      <c r="WG59" s="133">
        <f t="shared" si="452"/>
        <v>4.867478183439367</v>
      </c>
      <c r="WH59" s="134">
        <f t="shared" si="453"/>
        <v>15.969194149111893</v>
      </c>
      <c r="WI59" s="133">
        <f t="shared" si="454"/>
        <v>27.924876901561682</v>
      </c>
      <c r="WJ59" s="133">
        <f t="shared" si="241"/>
        <v>39.358677646149935</v>
      </c>
      <c r="WK59" s="133">
        <f t="shared" si="242"/>
        <v>46.526756478113462</v>
      </c>
      <c r="WL59" s="133">
        <f t="shared" si="243"/>
        <v>52.931683325543482</v>
      </c>
      <c r="WM59" s="133">
        <f t="shared" si="244"/>
        <v>60.595436205588591</v>
      </c>
      <c r="WN59" s="81"/>
      <c r="WO59" s="81">
        <v>60</v>
      </c>
      <c r="WP59" s="133">
        <f t="shared" si="245"/>
        <v>-25.31514860119643</v>
      </c>
      <c r="WQ59" s="133">
        <f t="shared" si="246"/>
        <v>-20.617605660984466</v>
      </c>
      <c r="WR59" s="133">
        <f t="shared" si="247"/>
        <v>-16.396523932960378</v>
      </c>
      <c r="WS59" s="133">
        <f t="shared" si="455"/>
        <v>-11.330817273891149</v>
      </c>
      <c r="WT59" s="133">
        <f t="shared" si="456"/>
        <v>-2.4276930489320918</v>
      </c>
      <c r="WU59" s="134">
        <f t="shared" si="457"/>
        <v>8.127222273061335</v>
      </c>
      <c r="WV59" s="133">
        <f t="shared" si="458"/>
        <v>19.310235982370138</v>
      </c>
      <c r="WW59" s="133">
        <f t="shared" si="248"/>
        <v>29.850849093360289</v>
      </c>
      <c r="WX59" s="133">
        <f t="shared" si="249"/>
        <v>36.390460188400688</v>
      </c>
      <c r="WY59" s="133">
        <f t="shared" si="250"/>
        <v>42.192860155908114</v>
      </c>
      <c r="WZ59" s="133">
        <f t="shared" si="251"/>
        <v>49.088187647238691</v>
      </c>
      <c r="XA59" s="81"/>
      <c r="XB59" s="81">
        <v>57</v>
      </c>
      <c r="XC59" s="133">
        <f t="shared" si="252"/>
        <v>-29.645944818198384</v>
      </c>
      <c r="XD59" s="133">
        <f t="shared" si="253"/>
        <v>-24.532568671816541</v>
      </c>
      <c r="XE59" s="133">
        <f t="shared" si="254"/>
        <v>-19.969800374556698</v>
      </c>
      <c r="XF59" s="133">
        <f t="shared" si="459"/>
        <v>-14.534245019559854</v>
      </c>
      <c r="XG59" s="133">
        <f t="shared" si="460"/>
        <v>-5.0837982717313963</v>
      </c>
      <c r="XH59" s="134">
        <f t="shared" si="461"/>
        <v>5.9623568369591595</v>
      </c>
      <c r="XI59" s="133">
        <f t="shared" si="462"/>
        <v>17.49770747709028</v>
      </c>
      <c r="XJ59" s="133">
        <f t="shared" si="255"/>
        <v>28.228579047271374</v>
      </c>
      <c r="XK59" s="133">
        <f t="shared" si="256"/>
        <v>34.823175106892855</v>
      </c>
      <c r="XL59" s="133">
        <f t="shared" si="257"/>
        <v>40.63672044445061</v>
      </c>
      <c r="XM59" s="133">
        <f t="shared" si="258"/>
        <v>47.501820077437792</v>
      </c>
      <c r="XN59" s="81"/>
      <c r="XO59" s="81">
        <v>57</v>
      </c>
      <c r="XP59" s="133">
        <f t="shared" si="259"/>
        <v>-19.587473468273863</v>
      </c>
      <c r="XQ59" s="133">
        <f t="shared" si="260"/>
        <v>-14.906228446363976</v>
      </c>
      <c r="XR59" s="133">
        <f t="shared" si="261"/>
        <v>-10.774126434035423</v>
      </c>
      <c r="XS59" s="133">
        <f t="shared" si="463"/>
        <v>-5.8962355245797582</v>
      </c>
      <c r="XT59" s="133">
        <f t="shared" si="464"/>
        <v>2.4931300306211099</v>
      </c>
      <c r="XU59" s="134">
        <f t="shared" si="465"/>
        <v>12.185449413455778</v>
      </c>
      <c r="XV59" s="133">
        <f t="shared" si="466"/>
        <v>22.207059184978739</v>
      </c>
      <c r="XW59" s="133">
        <f t="shared" si="262"/>
        <v>31.457086511603244</v>
      </c>
      <c r="XX59" s="133">
        <f t="shared" si="263"/>
        <v>37.112434154284408</v>
      </c>
      <c r="XY59" s="133">
        <f t="shared" si="264"/>
        <v>42.081682486041991</v>
      </c>
      <c r="XZ59" s="133">
        <f t="shared" si="265"/>
        <v>47.931864740289392</v>
      </c>
      <c r="YA59" s="81"/>
      <c r="YB59" s="81">
        <v>60</v>
      </c>
      <c r="YC59" s="133">
        <f t="shared" si="266"/>
        <v>-31.927020561228318</v>
      </c>
      <c r="YD59" s="133">
        <f t="shared" si="267"/>
        <v>-26.91908747440829</v>
      </c>
      <c r="YE59" s="133">
        <f t="shared" si="268"/>
        <v>-22.474575397766024</v>
      </c>
      <c r="YF59" s="133">
        <f t="shared" si="467"/>
        <v>-17.207287175192448</v>
      </c>
      <c r="YG59" s="133">
        <f t="shared" si="468"/>
        <v>-8.1131762551017346</v>
      </c>
      <c r="YH59" s="134">
        <f t="shared" si="469"/>
        <v>2.4265943833998662</v>
      </c>
      <c r="YI59" s="133">
        <f t="shared" si="470"/>
        <v>13.34408393214013</v>
      </c>
      <c r="YJ59" s="133">
        <f t="shared" si="269"/>
        <v>23.429079305950616</v>
      </c>
      <c r="YK59" s="133">
        <f t="shared" si="270"/>
        <v>29.596253751586708</v>
      </c>
      <c r="YL59" s="133">
        <f t="shared" si="271"/>
        <v>35.015220787520114</v>
      </c>
      <c r="YM59" s="133">
        <f t="shared" si="272"/>
        <v>41.394202786892784</v>
      </c>
      <c r="YN59" s="81"/>
      <c r="YO59" s="81">
        <v>57</v>
      </c>
      <c r="YP59" s="133">
        <v>17.762981911918153</v>
      </c>
      <c r="YQ59" s="133">
        <v>19.711186601713123</v>
      </c>
      <c r="YR59" s="133">
        <v>21.556812153315526</v>
      </c>
      <c r="YS59" s="133">
        <v>23.900183727974166</v>
      </c>
      <c r="YT59" s="133">
        <v>28.38987147381761</v>
      </c>
      <c r="YU59" s="134">
        <v>34.394790946041596</v>
      </c>
      <c r="YV59" s="133">
        <v>41.669848534288739</v>
      </c>
      <c r="YW59" s="133">
        <v>49.497596239699632</v>
      </c>
      <c r="YX59" s="133">
        <v>54.87832040323056</v>
      </c>
      <c r="YY59" s="133">
        <v>60.01676449651633</v>
      </c>
      <c r="YZ59" s="133">
        <v>66.599270893146837</v>
      </c>
      <c r="ZA59" s="81"/>
      <c r="ZB59" s="81">
        <v>57</v>
      </c>
      <c r="ZC59" s="133">
        <v>15.420350553556856</v>
      </c>
      <c r="ZD59" s="133">
        <v>17.172379553978665</v>
      </c>
      <c r="ZE59" s="133">
        <v>18.837625524699362</v>
      </c>
      <c r="ZF59" s="133">
        <v>20.958936850502862</v>
      </c>
      <c r="ZG59" s="133">
        <v>25.042502200084066</v>
      </c>
      <c r="ZH59" s="134">
        <v>30.538312417450854</v>
      </c>
      <c r="ZI59" s="133">
        <v>37.240229345081261</v>
      </c>
      <c r="ZJ59" s="133">
        <v>44.495984312460834</v>
      </c>
      <c r="ZK59" s="133">
        <v>49.506692023527535</v>
      </c>
      <c r="ZL59" s="133">
        <v>54.307472204093102</v>
      </c>
      <c r="ZM59" s="133">
        <v>60.477777211797708</v>
      </c>
      <c r="ZN59" s="81"/>
      <c r="ZO59" s="81">
        <v>60</v>
      </c>
      <c r="ZP59" s="133">
        <v>20.069940320621715</v>
      </c>
      <c r="ZQ59" s="133">
        <v>22.058315055919966</v>
      </c>
      <c r="ZR59" s="133">
        <v>23.925285381590509</v>
      </c>
      <c r="ZS59" s="133">
        <v>26.274730533049478</v>
      </c>
      <c r="ZT59" s="133">
        <v>30.718613864198637</v>
      </c>
      <c r="ZU59" s="134">
        <v>36.562970809866634</v>
      </c>
      <c r="ZV59" s="133">
        <v>43.519243425277331</v>
      </c>
      <c r="ZW59" s="133">
        <v>50.879716264325182</v>
      </c>
      <c r="ZX59" s="133">
        <v>55.876066392579354</v>
      </c>
      <c r="ZY59" s="133">
        <v>60.605301495336903</v>
      </c>
      <c r="ZZ59" s="133">
        <v>66.609606859147178</v>
      </c>
      <c r="AAA59" s="81"/>
      <c r="AAB59" s="81">
        <v>57</v>
      </c>
      <c r="AAC59" s="133">
        <v>10.264126281054562</v>
      </c>
      <c r="AAD59" s="133">
        <v>11.361181579099041</v>
      </c>
      <c r="AAE59" s="133">
        <v>12.398044243672496</v>
      </c>
      <c r="AAF59" s="133">
        <v>13.711460502335102</v>
      </c>
      <c r="AAG59" s="133">
        <v>16.219370142753686</v>
      </c>
      <c r="AAH59" s="134">
        <v>19.558866595761632</v>
      </c>
      <c r="AAI59" s="133">
        <v>23.585950572914903</v>
      </c>
      <c r="AAJ59" s="133">
        <v>27.899964591346833</v>
      </c>
      <c r="AAK59" s="133">
        <v>30.855613594542479</v>
      </c>
      <c r="AAL59" s="133">
        <v>33.671608876894368</v>
      </c>
      <c r="AAM59" s="133">
        <v>37.270514024842662</v>
      </c>
      <c r="AAN59" s="81"/>
      <c r="AAO59" s="81">
        <v>57</v>
      </c>
      <c r="AAP59" s="133">
        <v>9.7555707465047412</v>
      </c>
      <c r="AAQ59" s="133">
        <v>10.884843860423617</v>
      </c>
      <c r="AAR59" s="133">
        <v>11.960093011698715</v>
      </c>
      <c r="AAS59" s="133">
        <v>13.332264652608254</v>
      </c>
      <c r="AAT59" s="133">
        <v>15.980515223899021</v>
      </c>
      <c r="AAU59" s="134">
        <v>19.556648032160449</v>
      </c>
      <c r="AAV59" s="133">
        <v>23.93305077434729</v>
      </c>
      <c r="AAW59" s="133">
        <v>28.686985461167094</v>
      </c>
      <c r="AAX59" s="133">
        <v>31.978219724520606</v>
      </c>
      <c r="AAY59" s="133">
        <v>35.137158342197871</v>
      </c>
      <c r="AAZ59" s="133">
        <v>39.204521415708548</v>
      </c>
      <c r="ABA59" s="81"/>
      <c r="ABB59" s="81">
        <v>60</v>
      </c>
      <c r="ABC59" s="133">
        <v>10.361187220330624</v>
      </c>
      <c r="ABD59" s="133">
        <v>11.434351756154479</v>
      </c>
      <c r="ABE59" s="133">
        <v>12.445822419971609</v>
      </c>
      <c r="ABF59" s="133">
        <v>13.723521882213406</v>
      </c>
      <c r="ABG59" s="133">
        <v>16.153487788897863</v>
      </c>
      <c r="ABH59" s="134">
        <v>19.372253806860765</v>
      </c>
      <c r="ABI59" s="133">
        <v>23.232395533511994</v>
      </c>
      <c r="ABJ59" s="133">
        <v>27.346057431789756</v>
      </c>
      <c r="ABK59" s="133">
        <v>30.153428587830309</v>
      </c>
      <c r="ABL59" s="133">
        <v>32.820768991599067</v>
      </c>
      <c r="ABM59" s="133">
        <v>36.220194614479325</v>
      </c>
      <c r="ABN59" s="81"/>
      <c r="ABO59" s="81">
        <v>57</v>
      </c>
      <c r="ABP59" s="133">
        <f t="shared" si="273"/>
        <v>0.28459672934431379</v>
      </c>
      <c r="ABQ59" s="133">
        <f t="shared" si="274"/>
        <v>0.3206375180551328</v>
      </c>
      <c r="ABR59" s="133">
        <f t="shared" si="275"/>
        <v>0.35420224273302914</v>
      </c>
      <c r="ABS59" s="133">
        <f t="shared" si="471"/>
        <v>0.39599958013981862</v>
      </c>
      <c r="ABT59" s="133">
        <f t="shared" si="472"/>
        <v>0.47356958141966315</v>
      </c>
      <c r="ABU59" s="134">
        <f t="shared" si="473"/>
        <v>0.57247458716028421</v>
      </c>
      <c r="ABV59" s="133">
        <f t="shared" si="474"/>
        <v>0.68564740330286456</v>
      </c>
      <c r="ABW59" s="133">
        <f t="shared" si="276"/>
        <v>0.80033672401520262</v>
      </c>
      <c r="ABX59" s="133">
        <f t="shared" si="277"/>
        <v>0.87544689989604407</v>
      </c>
      <c r="ABY59" s="133">
        <f t="shared" si="278"/>
        <v>0.94464559497867429</v>
      </c>
      <c r="ABZ59" s="133">
        <f t="shared" si="279"/>
        <v>1.030022532638921</v>
      </c>
      <c r="ACA59" s="81"/>
      <c r="ACB59" s="81">
        <v>57</v>
      </c>
      <c r="ACC59" s="133">
        <f t="shared" si="280"/>
        <v>0.34400094214589028</v>
      </c>
      <c r="ACD59" s="133">
        <f t="shared" si="281"/>
        <v>0.37948274362417589</v>
      </c>
      <c r="ACE59" s="133">
        <f t="shared" si="282"/>
        <v>0.41246969602536038</v>
      </c>
      <c r="ACF59" s="133">
        <f t="shared" si="475"/>
        <v>0.45353112606776863</v>
      </c>
      <c r="ACG59" s="133">
        <f t="shared" si="476"/>
        <v>0.52985492383296606</v>
      </c>
      <c r="ACH59" s="134">
        <f t="shared" si="477"/>
        <v>0.62768510495274576</v>
      </c>
      <c r="ACI59" s="133">
        <f t="shared" si="478"/>
        <v>0.74064422606356761</v>
      </c>
      <c r="ACJ59" s="133">
        <f t="shared" si="283"/>
        <v>0.85643006842161262</v>
      </c>
      <c r="ACK59" s="133">
        <f t="shared" si="284"/>
        <v>0.93303252779548151</v>
      </c>
      <c r="ACL59" s="133">
        <f t="shared" si="285"/>
        <v>1.0041681936760554</v>
      </c>
      <c r="ACM59" s="133">
        <f t="shared" si="286"/>
        <v>1.0926912812170544</v>
      </c>
      <c r="ACN59" s="81"/>
      <c r="ACO59" s="81">
        <v>60</v>
      </c>
      <c r="ACP59" s="133">
        <f t="shared" si="287"/>
        <v>0.26617863994146834</v>
      </c>
      <c r="ACQ59" s="133">
        <f t="shared" si="288"/>
        <v>0.30303978750579919</v>
      </c>
      <c r="ACR59" s="133">
        <f t="shared" si="289"/>
        <v>0.33671850604746684</v>
      </c>
      <c r="ACS59" s="133">
        <f t="shared" si="479"/>
        <v>0.37782448919315303</v>
      </c>
      <c r="ACT59" s="133">
        <f t="shared" si="480"/>
        <v>0.45191014607514107</v>
      </c>
      <c r="ACU59" s="134">
        <f t="shared" si="481"/>
        <v>0.54242203212640983</v>
      </c>
      <c r="ACV59" s="133">
        <f t="shared" si="482"/>
        <v>0.64147859145313268</v>
      </c>
      <c r="ACW59" s="133">
        <f t="shared" si="290"/>
        <v>0.73781728960644954</v>
      </c>
      <c r="ACX59" s="133">
        <f t="shared" si="291"/>
        <v>0.79885533435711775</v>
      </c>
      <c r="ACY59" s="133">
        <f t="shared" si="292"/>
        <v>0.8538260440833747</v>
      </c>
      <c r="ACZ59" s="133">
        <f t="shared" si="293"/>
        <v>0.92011734400069678</v>
      </c>
      <c r="ADA59" s="81"/>
      <c r="ADB59" s="81">
        <v>57</v>
      </c>
      <c r="ADC59" s="133">
        <f t="shared" si="294"/>
        <v>0.22375449459102242</v>
      </c>
      <c r="ADD59" s="133">
        <f t="shared" si="295"/>
        <v>0.24463608291635841</v>
      </c>
      <c r="ADE59" s="133">
        <f t="shared" si="296"/>
        <v>0.26292343046559835</v>
      </c>
      <c r="ADF59" s="133">
        <f t="shared" si="483"/>
        <v>0.28436794420862016</v>
      </c>
      <c r="ADG59" s="133">
        <f t="shared" si="484"/>
        <v>0.32095811068799501</v>
      </c>
      <c r="ADH59" s="134">
        <f t="shared" si="485"/>
        <v>0.36287547990603952</v>
      </c>
      <c r="ADI59" s="133">
        <f t="shared" si="486"/>
        <v>0.40591319528799458</v>
      </c>
      <c r="ADJ59" s="133">
        <f t="shared" si="297"/>
        <v>0.44542434445417239</v>
      </c>
      <c r="ADK59" s="133">
        <f t="shared" si="298"/>
        <v>0.46949818165576057</v>
      </c>
      <c r="ADL59" s="133">
        <f t="shared" si="299"/>
        <v>0.49060652256675874</v>
      </c>
      <c r="ADM59" s="133">
        <f t="shared" si="300"/>
        <v>0.51540872639318147</v>
      </c>
      <c r="ADN59" s="81"/>
      <c r="ADO59" s="81">
        <v>57</v>
      </c>
      <c r="ADP59" s="133">
        <f t="shared" si="301"/>
        <v>0.25768801829460608</v>
      </c>
      <c r="ADQ59" s="133">
        <f t="shared" si="302"/>
        <v>0.27629289386685152</v>
      </c>
      <c r="ADR59" s="133">
        <f t="shared" si="303"/>
        <v>0.29269798981420586</v>
      </c>
      <c r="ADS59" s="133">
        <f t="shared" si="487"/>
        <v>0.31206925561143573</v>
      </c>
      <c r="ADT59" s="133">
        <f t="shared" si="488"/>
        <v>0.34545629143398349</v>
      </c>
      <c r="ADU59" s="134">
        <f t="shared" si="489"/>
        <v>0.38421851088304609</v>
      </c>
      <c r="ADV59" s="133">
        <f t="shared" si="490"/>
        <v>0.42457822735916018</v>
      </c>
      <c r="ADW59" s="133">
        <f t="shared" si="304"/>
        <v>0.46212004809755486</v>
      </c>
      <c r="ADX59" s="133">
        <f t="shared" si="305"/>
        <v>0.48521847969823972</v>
      </c>
      <c r="ADY59" s="133">
        <f t="shared" si="306"/>
        <v>0.50560883585542316</v>
      </c>
      <c r="ADZ59" s="133">
        <f t="shared" si="307"/>
        <v>0.52972872695923945</v>
      </c>
      <c r="AEA59" s="81"/>
      <c r="AEB59" s="81">
        <v>60</v>
      </c>
      <c r="AEC59" s="133">
        <f t="shared" si="308"/>
        <v>0.2128566180760432</v>
      </c>
      <c r="AED59" s="133">
        <f t="shared" si="309"/>
        <v>0.23476043334613722</v>
      </c>
      <c r="AEE59" s="133">
        <f t="shared" si="310"/>
        <v>0.25353335728951087</v>
      </c>
      <c r="AEF59" s="133">
        <f t="shared" si="491"/>
        <v>0.27510875565998211</v>
      </c>
      <c r="AEG59" s="133">
        <f t="shared" si="492"/>
        <v>0.31095267113963337</v>
      </c>
      <c r="AEH59" s="134">
        <f t="shared" si="493"/>
        <v>0.35071051222945199</v>
      </c>
      <c r="AEI59" s="133">
        <f t="shared" si="494"/>
        <v>0.39028847700051639</v>
      </c>
      <c r="AEJ59" s="133">
        <f t="shared" si="311"/>
        <v>0.42566062758691675</v>
      </c>
      <c r="AEK59" s="133">
        <f t="shared" si="312"/>
        <v>0.44680779999505349</v>
      </c>
      <c r="AEL59" s="133">
        <f t="shared" si="313"/>
        <v>0.46511735592831732</v>
      </c>
      <c r="AEM59" s="133">
        <f t="shared" si="314"/>
        <v>0.48637008163930606</v>
      </c>
      <c r="AEN59" s="81"/>
    </row>
    <row r="60" spans="1:820">
      <c r="A60" s="81"/>
      <c r="B60" s="81">
        <v>59</v>
      </c>
      <c r="C60" s="133">
        <f t="shared" si="0"/>
        <v>2.2573288916485343</v>
      </c>
      <c r="D60" s="133">
        <f t="shared" si="1"/>
        <v>2.7251866818519335</v>
      </c>
      <c r="E60" s="133">
        <f t="shared" si="2"/>
        <v>3.2217459742514492</v>
      </c>
      <c r="F60" s="133">
        <f t="shared" si="315"/>
        <v>3.9335148489654848</v>
      </c>
      <c r="G60" s="133">
        <f t="shared" si="316"/>
        <v>5.5831566224990468</v>
      </c>
      <c r="H60" s="134">
        <f t="shared" si="317"/>
        <v>8.4883920039058669</v>
      </c>
      <c r="I60" s="133">
        <f t="shared" si="318"/>
        <v>13.365241074775209</v>
      </c>
      <c r="J60" s="133">
        <f t="shared" si="3"/>
        <v>20.800081508475106</v>
      </c>
      <c r="K60" s="133">
        <f t="shared" si="4"/>
        <v>27.617539845888004</v>
      </c>
      <c r="L60" s="133">
        <f t="shared" si="5"/>
        <v>35.763060723759409</v>
      </c>
      <c r="M60" s="133">
        <f t="shared" si="6"/>
        <v>49.094952497422568</v>
      </c>
      <c r="N60" s="81"/>
      <c r="O60" s="75">
        <v>59</v>
      </c>
      <c r="P60" s="151">
        <f t="shared" si="7"/>
        <v>2.9716248620709593</v>
      </c>
      <c r="Q60" s="151">
        <f t="shared" si="8"/>
        <v>3.4334011147754659</v>
      </c>
      <c r="R60" s="151">
        <f t="shared" si="9"/>
        <v>3.9152586756003784</v>
      </c>
      <c r="S60" s="151">
        <f t="shared" si="319"/>
        <v>4.597261308645999</v>
      </c>
      <c r="T60" s="151">
        <f t="shared" si="320"/>
        <v>6.1649303132610642</v>
      </c>
      <c r="U60" s="134">
        <f t="shared" si="321"/>
        <v>8.9607516706235391</v>
      </c>
      <c r="V60" s="151">
        <f t="shared" si="322"/>
        <v>13.920619113209153</v>
      </c>
      <c r="W60" s="151">
        <f t="shared" si="10"/>
        <v>22.389360255038216</v>
      </c>
      <c r="X60" s="151">
        <f t="shared" si="11"/>
        <v>31.320705895408327</v>
      </c>
      <c r="Y60" s="151">
        <f t="shared" si="12"/>
        <v>43.704748199170808</v>
      </c>
      <c r="Z60" s="151">
        <f t="shared" si="13"/>
        <v>68.793794120013487</v>
      </c>
      <c r="AA60" s="81"/>
      <c r="AB60" s="75">
        <v>61</v>
      </c>
      <c r="AC60" s="151">
        <f t="shared" si="14"/>
        <v>2.0146784596154288</v>
      </c>
      <c r="AD60" s="151">
        <f t="shared" si="15"/>
        <v>2.4243735947252585</v>
      </c>
      <c r="AE60" s="151">
        <f t="shared" si="16"/>
        <v>2.8610557428407772</v>
      </c>
      <c r="AF60" s="151">
        <f t="shared" si="323"/>
        <v>3.4907831912365559</v>
      </c>
      <c r="AG60" s="151">
        <f t="shared" si="324"/>
        <v>4.9688269402611116</v>
      </c>
      <c r="AH60" s="134">
        <f t="shared" si="325"/>
        <v>7.6359554685162943</v>
      </c>
      <c r="AI60" s="151">
        <f t="shared" si="326"/>
        <v>12.287515368999575</v>
      </c>
      <c r="AJ60" s="151">
        <f t="shared" si="17"/>
        <v>19.758252569743572</v>
      </c>
      <c r="AK60" s="151">
        <f t="shared" si="18"/>
        <v>26.969844816343084</v>
      </c>
      <c r="AL60" s="151">
        <f t="shared" si="19"/>
        <v>35.997271577391324</v>
      </c>
      <c r="AM60" s="151">
        <f t="shared" si="20"/>
        <v>51.6543209539727</v>
      </c>
      <c r="AN60" s="81"/>
      <c r="AO60" s="81">
        <v>59</v>
      </c>
      <c r="AP60" s="133">
        <f t="shared" si="21"/>
        <v>1.9063646944160366</v>
      </c>
      <c r="AQ60" s="133">
        <f t="shared" si="22"/>
        <v>4.5847561277395785</v>
      </c>
      <c r="AR60" s="133">
        <f t="shared" si="23"/>
        <v>7.185291049585774</v>
      </c>
      <c r="AS60" s="133">
        <f t="shared" si="327"/>
        <v>10.528231344454486</v>
      </c>
      <c r="AT60" s="133">
        <f t="shared" si="328"/>
        <v>16.936572392951074</v>
      </c>
      <c r="AU60" s="134">
        <f t="shared" si="329"/>
        <v>25.321971828232879</v>
      </c>
      <c r="AV60" s="133">
        <f t="shared" si="330"/>
        <v>35.036557825636102</v>
      </c>
      <c r="AW60" s="133">
        <f t="shared" si="24"/>
        <v>44.898142775838458</v>
      </c>
      <c r="AX60" s="133">
        <f t="shared" si="25"/>
        <v>51.334293664259803</v>
      </c>
      <c r="AY60" s="133">
        <f t="shared" si="26"/>
        <v>57.237334224765583</v>
      </c>
      <c r="AZ60" s="133">
        <f t="shared" si="27"/>
        <v>64.477418554285251</v>
      </c>
      <c r="BA60" s="81"/>
      <c r="BB60" s="81">
        <v>59</v>
      </c>
      <c r="BC60" s="133">
        <f t="shared" si="28"/>
        <v>4.7619840152118948</v>
      </c>
      <c r="BD60" s="133">
        <f t="shared" si="29"/>
        <v>7.8658222003168659</v>
      </c>
      <c r="BE60" s="133">
        <f t="shared" si="30"/>
        <v>10.770919949410469</v>
      </c>
      <c r="BF60" s="133">
        <f t="shared" si="331"/>
        <v>14.381597104286037</v>
      </c>
      <c r="BG60" s="133">
        <f t="shared" si="332"/>
        <v>21.004905282162994</v>
      </c>
      <c r="BH60" s="134">
        <f t="shared" si="333"/>
        <v>29.235286586070867</v>
      </c>
      <c r="BI60" s="133">
        <f t="shared" si="334"/>
        <v>38.321838570077318</v>
      </c>
      <c r="BJ60" s="133">
        <f t="shared" si="31"/>
        <v>47.175786910216729</v>
      </c>
      <c r="BK60" s="133">
        <f t="shared" si="32"/>
        <v>52.792501170355202</v>
      </c>
      <c r="BL60" s="133">
        <f t="shared" si="33"/>
        <v>57.848012253372794</v>
      </c>
      <c r="BM60" s="133">
        <f t="shared" si="34"/>
        <v>63.937558687003069</v>
      </c>
      <c r="BN60" s="81"/>
      <c r="BO60" s="75">
        <v>61</v>
      </c>
      <c r="BP60" s="151">
        <f t="shared" si="35"/>
        <v>4.9690799445876372</v>
      </c>
      <c r="BQ60" s="151">
        <f t="shared" si="36"/>
        <v>6.3895533295155937</v>
      </c>
      <c r="BR60" s="151">
        <f t="shared" si="37"/>
        <v>7.874797166321704</v>
      </c>
      <c r="BS60" s="151">
        <f t="shared" si="335"/>
        <v>9.9430601631907667</v>
      </c>
      <c r="BT60" s="151">
        <f t="shared" si="336"/>
        <v>14.423228346191044</v>
      </c>
      <c r="BU60" s="134">
        <f t="shared" si="337"/>
        <v>21.341239970958309</v>
      </c>
      <c r="BV60" s="151">
        <f t="shared" si="338"/>
        <v>30.906400946536831</v>
      </c>
      <c r="BW60" s="151">
        <f t="shared" si="38"/>
        <v>42.384166714970505</v>
      </c>
      <c r="BX60" s="151">
        <f t="shared" si="39"/>
        <v>50.868700455914002</v>
      </c>
      <c r="BY60" s="151">
        <f t="shared" si="40"/>
        <v>59.360008570034907</v>
      </c>
      <c r="BZ60" s="151">
        <f t="shared" si="41"/>
        <v>70.724189119079426</v>
      </c>
      <c r="CA60" s="81"/>
      <c r="CB60" s="81">
        <v>59</v>
      </c>
      <c r="CC60" s="133">
        <f t="shared" si="42"/>
        <v>-3.63543336151753</v>
      </c>
      <c r="CD60" s="133">
        <f t="shared" si="43"/>
        <v>-0.95654472302758098</v>
      </c>
      <c r="CE60" s="133">
        <f t="shared" si="44"/>
        <v>1.6763338394796632</v>
      </c>
      <c r="CF60" s="133">
        <f t="shared" si="339"/>
        <v>5.0299846347633776</v>
      </c>
      <c r="CG60" s="133">
        <f t="shared" si="340"/>
        <v>11.273553789705193</v>
      </c>
      <c r="CH60" s="134">
        <f t="shared" si="341"/>
        <v>19.052749176297361</v>
      </c>
      <c r="CI60" s="133">
        <f t="shared" si="342"/>
        <v>27.580376094853317</v>
      </c>
      <c r="CJ60" s="133">
        <f t="shared" si="45"/>
        <v>35.798369679530168</v>
      </c>
      <c r="CK60" s="133">
        <f t="shared" si="46"/>
        <v>40.96135671624031</v>
      </c>
      <c r="CL60" s="133">
        <f t="shared" si="47"/>
        <v>45.57511899561019</v>
      </c>
      <c r="CM60" s="133">
        <f t="shared" si="48"/>
        <v>51.091466352390441</v>
      </c>
      <c r="CN60" s="81"/>
      <c r="CO60" s="81">
        <v>59</v>
      </c>
      <c r="CP60" s="133">
        <f t="shared" si="49"/>
        <v>2.2652117566575987</v>
      </c>
      <c r="CQ60" s="133">
        <f t="shared" si="50"/>
        <v>4.9920497022056241</v>
      </c>
      <c r="CR60" s="133">
        <f t="shared" si="51"/>
        <v>7.516613841155384</v>
      </c>
      <c r="CS60" s="133">
        <f t="shared" si="343"/>
        <v>10.615260718462345</v>
      </c>
      <c r="CT60" s="133">
        <f t="shared" si="344"/>
        <v>16.192489306950911</v>
      </c>
      <c r="CU60" s="134">
        <f t="shared" si="345"/>
        <v>22.952534362686009</v>
      </c>
      <c r="CV60" s="133">
        <f t="shared" si="346"/>
        <v>30.230470561566474</v>
      </c>
      <c r="CW60" s="133">
        <f t="shared" si="52"/>
        <v>37.164503021267301</v>
      </c>
      <c r="CX60" s="133">
        <f t="shared" si="53"/>
        <v>41.493158167772549</v>
      </c>
      <c r="CY60" s="133">
        <f t="shared" si="54"/>
        <v>45.347415297663403</v>
      </c>
      <c r="CZ60" s="133">
        <f t="shared" si="55"/>
        <v>49.941495452378092</v>
      </c>
      <c r="DA60" s="81"/>
      <c r="DB60" s="81">
        <v>61</v>
      </c>
      <c r="DC60" s="133">
        <f t="shared" si="56"/>
        <v>-4.0598049706971597</v>
      </c>
      <c r="DD60" s="133">
        <f t="shared" si="57"/>
        <v>-1.9776483669604206</v>
      </c>
      <c r="DE60" s="133">
        <f t="shared" si="58"/>
        <v>0.144394934270065</v>
      </c>
      <c r="DF60" s="133">
        <f t="shared" si="347"/>
        <v>2.9400919043730296</v>
      </c>
      <c r="DG60" s="133">
        <f t="shared" si="348"/>
        <v>8.370863180584184</v>
      </c>
      <c r="DH60" s="134">
        <f t="shared" si="349"/>
        <v>15.464244221667908</v>
      </c>
      <c r="DI60" s="133">
        <f t="shared" si="350"/>
        <v>23.570476209234752</v>
      </c>
      <c r="DJ60" s="133">
        <f t="shared" si="59"/>
        <v>31.650980847370487</v>
      </c>
      <c r="DK60" s="133">
        <f t="shared" si="60"/>
        <v>36.844306361184579</v>
      </c>
      <c r="DL60" s="133">
        <f t="shared" si="61"/>
        <v>41.554010482237736</v>
      </c>
      <c r="DM60" s="133">
        <f t="shared" si="62"/>
        <v>47.264051482160845</v>
      </c>
      <c r="DN60" s="81"/>
      <c r="DO60" s="81">
        <v>59</v>
      </c>
      <c r="DP60" s="133">
        <v>13.407267911652852</v>
      </c>
      <c r="DQ60" s="133">
        <v>14.580968592997188</v>
      </c>
      <c r="DR60" s="133">
        <v>15.672272514744087</v>
      </c>
      <c r="DS60" s="133">
        <v>17.032228668819368</v>
      </c>
      <c r="DT60" s="133">
        <v>19.56854634832888</v>
      </c>
      <c r="DU60" s="134">
        <v>22.843045162118976</v>
      </c>
      <c r="DV60" s="133">
        <v>26.665481584081395</v>
      </c>
      <c r="DW60" s="133">
        <v>30.63631439107359</v>
      </c>
      <c r="DX60" s="133">
        <v>33.294770224784308</v>
      </c>
      <c r="DY60" s="133">
        <v>35.786697498903777</v>
      </c>
      <c r="DZ60" s="133">
        <v>38.919540932353833</v>
      </c>
      <c r="EA60" s="81"/>
      <c r="EB60" s="81">
        <v>59</v>
      </c>
      <c r="EC60" s="133">
        <v>12.85631476138582</v>
      </c>
      <c r="ED60" s="133">
        <v>13.948259438301296</v>
      </c>
      <c r="EE60" s="133">
        <v>14.961286972996664</v>
      </c>
      <c r="EF60" s="133">
        <v>16.220889317803064</v>
      </c>
      <c r="EG60" s="133">
        <v>18.562530965952927</v>
      </c>
      <c r="EH60" s="134">
        <v>21.572995364654904</v>
      </c>
      <c r="EI60" s="133">
        <v>25.071695764820007</v>
      </c>
      <c r="EJ60" s="133">
        <v>28.691036593945181</v>
      </c>
      <c r="EK60" s="133">
        <v>31.106557199484445</v>
      </c>
      <c r="EL60" s="133">
        <v>33.365749401353312</v>
      </c>
      <c r="EM60" s="133">
        <v>36.199652671949366</v>
      </c>
      <c r="EN60" s="81"/>
      <c r="EO60" s="81">
        <v>61</v>
      </c>
      <c r="EP60" s="133">
        <v>12.602496974864565</v>
      </c>
      <c r="EQ60" s="133">
        <v>13.870546753286435</v>
      </c>
      <c r="ER60" s="133">
        <v>15.062727794305166</v>
      </c>
      <c r="ES60" s="133">
        <v>16.564958751478496</v>
      </c>
      <c r="ET60" s="133">
        <v>19.411716015843922</v>
      </c>
      <c r="EU60" s="134">
        <v>23.164865287532933</v>
      </c>
      <c r="EV60" s="133">
        <v>27.643665472520009</v>
      </c>
      <c r="EW60" s="133">
        <v>32.394344703191813</v>
      </c>
      <c r="EX60" s="133">
        <v>35.625086711878772</v>
      </c>
      <c r="EY60" s="133">
        <v>38.687082299939291</v>
      </c>
      <c r="EZ60" s="133">
        <v>42.579735179449635</v>
      </c>
      <c r="FA60" s="81"/>
      <c r="FB60" s="81">
        <v>59</v>
      </c>
      <c r="FC60" s="133">
        <v>9.2546519145818085</v>
      </c>
      <c r="FD60" s="133">
        <v>10.037672282498589</v>
      </c>
      <c r="FE60" s="133">
        <v>10.763899373775475</v>
      </c>
      <c r="FF60" s="133">
        <v>11.666641131640509</v>
      </c>
      <c r="FG60" s="133">
        <v>13.344193908583813</v>
      </c>
      <c r="FH60" s="134">
        <v>15.499754648625789</v>
      </c>
      <c r="FI60" s="133">
        <v>18.003514922925245</v>
      </c>
      <c r="FJ60" s="133">
        <v>20.592250284963985</v>
      </c>
      <c r="FK60" s="133">
        <v>22.319271652883444</v>
      </c>
      <c r="FL60" s="133">
        <v>23.934074295937805</v>
      </c>
      <c r="FM60" s="133">
        <v>25.959095640222436</v>
      </c>
      <c r="FN60" s="81"/>
      <c r="FO60" s="81">
        <v>59</v>
      </c>
      <c r="FP60" s="133">
        <v>9.1993046942032723</v>
      </c>
      <c r="FQ60" s="133">
        <v>9.9170088525731614</v>
      </c>
      <c r="FR60" s="133">
        <v>10.578901178143507</v>
      </c>
      <c r="FS60" s="133">
        <v>11.397033168644429</v>
      </c>
      <c r="FT60" s="133">
        <v>12.905042022069827</v>
      </c>
      <c r="FU60" s="134">
        <v>14.822150787426899</v>
      </c>
      <c r="FV60" s="133">
        <v>17.024055682228845</v>
      </c>
      <c r="FW60" s="133">
        <v>19.276609159096676</v>
      </c>
      <c r="FX60" s="133">
        <v>20.767388811526288</v>
      </c>
      <c r="FY60" s="133">
        <v>22.153469582536005</v>
      </c>
      <c r="FZ60" s="133">
        <v>23.881821645026744</v>
      </c>
      <c r="GA60" s="81"/>
      <c r="GB60" s="81">
        <v>61</v>
      </c>
      <c r="GC60" s="133">
        <v>8.6597527601286206</v>
      </c>
      <c r="GD60" s="133">
        <v>9.5114664629345445</v>
      </c>
      <c r="GE60" s="133">
        <v>10.310691385852943</v>
      </c>
      <c r="GF60" s="133">
        <v>11.315846742208096</v>
      </c>
      <c r="GG60" s="133">
        <v>13.215396070007051</v>
      </c>
      <c r="GH60" s="134">
        <v>15.71071478661835</v>
      </c>
      <c r="GI60" s="133">
        <v>18.677197247735361</v>
      </c>
      <c r="GJ60" s="133">
        <v>21.812469250383675</v>
      </c>
      <c r="GK60" s="133">
        <v>23.938895062375099</v>
      </c>
      <c r="GL60" s="133">
        <v>25.950421006932284</v>
      </c>
      <c r="GM60" s="133">
        <v>28.502725879532221</v>
      </c>
      <c r="GN60" s="81"/>
      <c r="GO60" s="81">
        <v>59</v>
      </c>
      <c r="GP60" s="133">
        <f t="shared" si="63"/>
        <v>0.50474093806457843</v>
      </c>
      <c r="GQ60" s="133">
        <f t="shared" si="64"/>
        <v>0.53710314231632617</v>
      </c>
      <c r="GR60" s="133">
        <f t="shared" si="65"/>
        <v>0.56336729588637013</v>
      </c>
      <c r="GS60" s="133">
        <f t="shared" si="351"/>
        <v>0.592122069767821</v>
      </c>
      <c r="GT60" s="133">
        <f t="shared" si="352"/>
        <v>0.63831638382728451</v>
      </c>
      <c r="GU60" s="134">
        <f t="shared" si="353"/>
        <v>0.68345755127313512</v>
      </c>
      <c r="GV60" s="133">
        <f t="shared" si="354"/>
        <v>0.72563918420946383</v>
      </c>
      <c r="GW60" s="133">
        <f t="shared" si="66"/>
        <v>0.76337745697815285</v>
      </c>
      <c r="GX60" s="133">
        <f t="shared" si="67"/>
        <v>0.7844701470714196</v>
      </c>
      <c r="GY60" s="133">
        <f t="shared" si="68"/>
        <v>0.8022896941668981</v>
      </c>
      <c r="GZ60" s="133">
        <f t="shared" si="69"/>
        <v>0.82249517082681878</v>
      </c>
      <c r="HA60" s="81"/>
      <c r="HB60" s="81">
        <v>59</v>
      </c>
      <c r="HC60" s="133">
        <f t="shared" si="70"/>
        <v>0.496209421484404</v>
      </c>
      <c r="HD60" s="133">
        <f t="shared" si="71"/>
        <v>0.53033691441296638</v>
      </c>
      <c r="HE60" s="133">
        <f t="shared" si="72"/>
        <v>0.55795849274249509</v>
      </c>
      <c r="HF60" s="133">
        <f t="shared" si="355"/>
        <v>0.58813586531268713</v>
      </c>
      <c r="HG60" s="133">
        <f t="shared" si="356"/>
        <v>0.63517632462239904</v>
      </c>
      <c r="HH60" s="134">
        <f t="shared" si="357"/>
        <v>0.683663454420537</v>
      </c>
      <c r="HI60" s="133">
        <f t="shared" si="358"/>
        <v>0.72881232996918066</v>
      </c>
      <c r="HJ60" s="133">
        <f t="shared" si="73"/>
        <v>0.76697580854558056</v>
      </c>
      <c r="HK60" s="133">
        <f t="shared" si="74"/>
        <v>0.78893458497835423</v>
      </c>
      <c r="HL60" s="133">
        <f t="shared" si="75"/>
        <v>0.8074782542217116</v>
      </c>
      <c r="HM60" s="133">
        <f t="shared" si="76"/>
        <v>0.8284973018012417</v>
      </c>
      <c r="HN60" s="81"/>
      <c r="HO60" s="81">
        <v>61</v>
      </c>
      <c r="HP60" s="83">
        <f t="shared" si="77"/>
        <v>0.51291023541130454</v>
      </c>
      <c r="HQ60" s="83">
        <f t="shared" si="78"/>
        <v>0.54396429599556773</v>
      </c>
      <c r="HR60" s="83">
        <f t="shared" si="79"/>
        <v>0.56921657486194599</v>
      </c>
      <c r="HS60" s="83">
        <f t="shared" si="359"/>
        <v>0.59690594944817488</v>
      </c>
      <c r="HT60" s="83">
        <f t="shared" si="360"/>
        <v>0.64023912702682684</v>
      </c>
      <c r="HU60" s="84">
        <f t="shared" si="361"/>
        <v>0.68507707508418825</v>
      </c>
      <c r="HV60" s="83">
        <f t="shared" si="362"/>
        <v>0.7269489435733687</v>
      </c>
      <c r="HW60" s="83">
        <f t="shared" si="80"/>
        <v>0.7624138170975584</v>
      </c>
      <c r="HX60" s="83">
        <f t="shared" si="81"/>
        <v>0.78284427913523535</v>
      </c>
      <c r="HY60" s="83">
        <f t="shared" si="82"/>
        <v>0.800109351218658</v>
      </c>
      <c r="HZ60" s="83">
        <f t="shared" si="83"/>
        <v>0.81969102332107346</v>
      </c>
      <c r="IA60" s="81"/>
      <c r="IB60" s="81">
        <v>59</v>
      </c>
      <c r="IC60" s="83">
        <f t="shared" si="84"/>
        <v>0.33649847637788022</v>
      </c>
      <c r="ID60" s="83">
        <f t="shared" si="85"/>
        <v>0.34991379871533479</v>
      </c>
      <c r="IE60" s="83">
        <f t="shared" si="86"/>
        <v>0.36046434626360424</v>
      </c>
      <c r="IF60" s="83">
        <f t="shared" si="363"/>
        <v>0.37170589920825092</v>
      </c>
      <c r="IG60" s="83">
        <f t="shared" si="364"/>
        <v>0.38869256901875293</v>
      </c>
      <c r="IH60" s="84">
        <f t="shared" si="365"/>
        <v>0.405589997844165</v>
      </c>
      <c r="II60" s="83">
        <f t="shared" si="366"/>
        <v>0.420827005246387</v>
      </c>
      <c r="IJ60" s="83">
        <f t="shared" si="87"/>
        <v>0.43336845148565667</v>
      </c>
      <c r="IK60" s="83">
        <f t="shared" si="88"/>
        <v>0.44045443933274564</v>
      </c>
      <c r="IL60" s="83">
        <f t="shared" si="89"/>
        <v>0.44636818229096381</v>
      </c>
      <c r="IM60" s="83">
        <f t="shared" si="90"/>
        <v>0.4529966779284812</v>
      </c>
      <c r="IN60" s="81"/>
      <c r="IO60" s="81">
        <v>59</v>
      </c>
      <c r="IP60" s="133">
        <f t="shared" si="91"/>
        <v>0.33243108731070387</v>
      </c>
      <c r="IQ60" s="133">
        <f t="shared" si="92"/>
        <v>0.34678343490558555</v>
      </c>
      <c r="IR60" s="133">
        <f t="shared" si="93"/>
        <v>0.35800992454358654</v>
      </c>
      <c r="IS60" s="133">
        <f t="shared" si="367"/>
        <v>0.36992209487566946</v>
      </c>
      <c r="IT60" s="133">
        <f t="shared" si="368"/>
        <v>0.3878413457421841</v>
      </c>
      <c r="IU60" s="134">
        <f t="shared" si="369"/>
        <v>0.40558804935533121</v>
      </c>
      <c r="IV60" s="133">
        <f t="shared" si="370"/>
        <v>0.42153705149678161</v>
      </c>
      <c r="IW60" s="133">
        <f t="shared" si="94"/>
        <v>0.43463300133426463</v>
      </c>
      <c r="IX60" s="133">
        <f t="shared" si="95"/>
        <v>0.44202144020479806</v>
      </c>
      <c r="IY60" s="133">
        <f t="shared" si="96"/>
        <v>0.44818221360406491</v>
      </c>
      <c r="IZ60" s="133">
        <f t="shared" si="97"/>
        <v>0.45508222576560486</v>
      </c>
      <c r="JA60" s="81"/>
      <c r="JB60" s="81">
        <v>61</v>
      </c>
      <c r="JC60" s="133">
        <f t="shared" si="98"/>
        <v>0.34038036005603484</v>
      </c>
      <c r="JD60" s="133">
        <f t="shared" si="99"/>
        <v>0.35306633332622728</v>
      </c>
      <c r="JE60" s="133">
        <f t="shared" si="100"/>
        <v>0.36308512133860182</v>
      </c>
      <c r="JF60" s="133">
        <f t="shared" si="371"/>
        <v>0.37379482496109084</v>
      </c>
      <c r="JG60" s="133">
        <f t="shared" si="372"/>
        <v>0.39003545925540178</v>
      </c>
      <c r="JH60" s="134">
        <f t="shared" si="373"/>
        <v>0.40624770161454887</v>
      </c>
      <c r="JI60" s="133">
        <f t="shared" si="374"/>
        <v>0.42090654149805867</v>
      </c>
      <c r="JJ60" s="133">
        <f t="shared" si="101"/>
        <v>0.43299561001603815</v>
      </c>
      <c r="JK60" s="133">
        <f t="shared" si="102"/>
        <v>0.43983414292861128</v>
      </c>
      <c r="JL60" s="133">
        <f t="shared" si="103"/>
        <v>0.44554542642600475</v>
      </c>
      <c r="JM60" s="133">
        <f t="shared" si="104"/>
        <v>0.45195105054430673</v>
      </c>
      <c r="JN60" s="81"/>
      <c r="JO60" s="81">
        <v>58</v>
      </c>
      <c r="JP60" s="133">
        <f t="shared" si="105"/>
        <v>-0.67759504908333668</v>
      </c>
      <c r="JQ60" s="133">
        <f t="shared" si="106"/>
        <v>0.76776213233117829</v>
      </c>
      <c r="JR60" s="133">
        <f t="shared" si="107"/>
        <v>2.0245516437339717</v>
      </c>
      <c r="JS60" s="133">
        <f t="shared" si="375"/>
        <v>3.4886593899469531</v>
      </c>
      <c r="JT60" s="133">
        <f t="shared" si="376"/>
        <v>5.9654252252831483</v>
      </c>
      <c r="JU60" s="134">
        <f t="shared" si="377"/>
        <v>8.773908683865276</v>
      </c>
      <c r="JV60" s="133">
        <f t="shared" si="378"/>
        <v>11.629857606198645</v>
      </c>
      <c r="JW60" s="133">
        <f t="shared" si="108"/>
        <v>14.23032435764323</v>
      </c>
      <c r="JX60" s="133">
        <f t="shared" si="109"/>
        <v>15.805715665645966</v>
      </c>
      <c r="JY60" s="133">
        <f t="shared" si="110"/>
        <v>17.181828977999128</v>
      </c>
      <c r="JZ60" s="133">
        <f t="shared" si="111"/>
        <v>18.792893260418271</v>
      </c>
      <c r="KA60" s="81"/>
      <c r="KB60" s="81">
        <v>58</v>
      </c>
      <c r="KC60" s="133">
        <f t="shared" si="112"/>
        <v>0.79206495527424003</v>
      </c>
      <c r="KD60" s="133">
        <f t="shared" si="113"/>
        <v>2.1742527841669084</v>
      </c>
      <c r="KE60" s="133">
        <f t="shared" si="114"/>
        <v>3.3984793341485293</v>
      </c>
      <c r="KF60" s="133">
        <f t="shared" si="379"/>
        <v>4.8493098990672632</v>
      </c>
      <c r="KG60" s="133">
        <f t="shared" si="380"/>
        <v>7.3598934400200218</v>
      </c>
      <c r="KH60" s="134">
        <f t="shared" si="381"/>
        <v>10.285411860055985</v>
      </c>
      <c r="KI60" s="133">
        <f t="shared" si="382"/>
        <v>13.338601360701569</v>
      </c>
      <c r="KJ60" s="133">
        <f t="shared" si="115"/>
        <v>16.181734177653517</v>
      </c>
      <c r="KK60" s="133">
        <f t="shared" si="116"/>
        <v>17.931513698970051</v>
      </c>
      <c r="KL60" s="133">
        <f t="shared" si="117"/>
        <v>19.476059763067269</v>
      </c>
      <c r="KM60" s="133">
        <f t="shared" si="118"/>
        <v>21.302691485154426</v>
      </c>
      <c r="KN60" s="81"/>
      <c r="KO60" s="81">
        <v>60</v>
      </c>
      <c r="KP60" s="133">
        <f t="shared" si="119"/>
        <v>-0.22714690184853481</v>
      </c>
      <c r="KQ60" s="133">
        <f t="shared" si="120"/>
        <v>1.0558217646177503</v>
      </c>
      <c r="KR60" s="133">
        <f t="shared" si="121"/>
        <v>2.1556622562205838</v>
      </c>
      <c r="KS60" s="133">
        <f t="shared" si="383"/>
        <v>3.4198388788182967</v>
      </c>
      <c r="KT60" s="133">
        <f t="shared" si="384"/>
        <v>5.5201009229664528</v>
      </c>
      <c r="KU60" s="134">
        <f t="shared" si="385"/>
        <v>7.8493536160855015</v>
      </c>
      <c r="KV60" s="133">
        <f t="shared" si="386"/>
        <v>10.167364248733463</v>
      </c>
      <c r="KW60" s="133">
        <f t="shared" si="122"/>
        <v>12.238263892004785</v>
      </c>
      <c r="KX60" s="133">
        <f t="shared" si="123"/>
        <v>13.475945039159004</v>
      </c>
      <c r="KY60" s="133">
        <f t="shared" si="124"/>
        <v>14.547289302119882</v>
      </c>
      <c r="KZ60" s="133">
        <f t="shared" si="125"/>
        <v>15.790532926172215</v>
      </c>
      <c r="LA60" s="81"/>
      <c r="LB60" s="81">
        <v>58</v>
      </c>
      <c r="LC60" s="133">
        <f t="shared" si="126"/>
        <v>-0.21899313481912941</v>
      </c>
      <c r="LD60" s="133">
        <f t="shared" si="127"/>
        <v>3.487616951655383</v>
      </c>
      <c r="LE60" s="133">
        <f t="shared" si="128"/>
        <v>6.7338824648030595</v>
      </c>
      <c r="LF60" s="133">
        <f t="shared" si="387"/>
        <v>10.540257623634304</v>
      </c>
      <c r="LG60" s="133">
        <f t="shared" si="388"/>
        <v>17.033033349139302</v>
      </c>
      <c r="LH60" s="134">
        <f t="shared" si="389"/>
        <v>24.466640042944761</v>
      </c>
      <c r="LI60" s="133">
        <f t="shared" si="390"/>
        <v>32.092795001652981</v>
      </c>
      <c r="LJ60" s="133">
        <f t="shared" si="129"/>
        <v>39.087998691704904</v>
      </c>
      <c r="LK60" s="133">
        <f t="shared" si="130"/>
        <v>43.347157865324185</v>
      </c>
      <c r="LL60" s="133">
        <f t="shared" si="131"/>
        <v>47.079782410711069</v>
      </c>
      <c r="LM60" s="133">
        <f t="shared" si="132"/>
        <v>51.463346003633454</v>
      </c>
      <c r="LN60" s="81"/>
      <c r="LO60" s="81">
        <v>58</v>
      </c>
      <c r="LP60" s="133">
        <f t="shared" si="133"/>
        <v>4.4150753408978751</v>
      </c>
      <c r="LQ60" s="133">
        <f t="shared" si="134"/>
        <v>8.1663312565084176</v>
      </c>
      <c r="LR60" s="133">
        <f t="shared" si="135"/>
        <v>11.460132841241919</v>
      </c>
      <c r="LS60" s="133">
        <f t="shared" si="391"/>
        <v>15.331507375055619</v>
      </c>
      <c r="LT60" s="133">
        <f t="shared" si="392"/>
        <v>21.95621712257952</v>
      </c>
      <c r="LU60" s="134">
        <f t="shared" si="393"/>
        <v>29.570152693495476</v>
      </c>
      <c r="LV60" s="133">
        <f t="shared" si="394"/>
        <v>37.410189963862038</v>
      </c>
      <c r="LW60" s="133">
        <f t="shared" si="136"/>
        <v>44.624684624873055</v>
      </c>
      <c r="LX60" s="133">
        <f t="shared" si="137"/>
        <v>49.027321833308889</v>
      </c>
      <c r="LY60" s="133">
        <f t="shared" si="138"/>
        <v>52.891514655673589</v>
      </c>
      <c r="LZ60" s="133">
        <f t="shared" si="139"/>
        <v>57.436217800214578</v>
      </c>
      <c r="MA60" s="81"/>
      <c r="MB60" s="81">
        <v>60</v>
      </c>
      <c r="MC60" s="133">
        <f t="shared" si="140"/>
        <v>1.0597793728533915</v>
      </c>
      <c r="MD60" s="133">
        <f t="shared" si="141"/>
        <v>4.1187219998832489</v>
      </c>
      <c r="ME60" s="133">
        <f t="shared" si="142"/>
        <v>6.7728208242815668</v>
      </c>
      <c r="MF60" s="133">
        <f t="shared" si="395"/>
        <v>9.8581178680269588</v>
      </c>
      <c r="MG60" s="133">
        <f t="shared" si="396"/>
        <v>15.061646826485244</v>
      </c>
      <c r="MH60" s="134">
        <f t="shared" si="397"/>
        <v>20.9391835018302</v>
      </c>
      <c r="MI60" s="133">
        <f t="shared" si="398"/>
        <v>26.89241728954822</v>
      </c>
      <c r="MJ60" s="133">
        <f t="shared" si="143"/>
        <v>32.293501966017011</v>
      </c>
      <c r="MK60" s="133">
        <f t="shared" si="144"/>
        <v>35.55687594783803</v>
      </c>
      <c r="ML60" s="133">
        <f t="shared" si="145"/>
        <v>38.402297981035751</v>
      </c>
      <c r="MM60" s="133">
        <f t="shared" si="146"/>
        <v>41.727606385463794</v>
      </c>
      <c r="MN60" s="81"/>
      <c r="MO60" s="81">
        <v>58</v>
      </c>
      <c r="MP60" s="133">
        <f t="shared" si="147"/>
        <v>-6.4648027125562528</v>
      </c>
      <c r="MQ60" s="133">
        <f t="shared" si="148"/>
        <v>-2.3270098563507915</v>
      </c>
      <c r="MR60" s="133">
        <f t="shared" si="149"/>
        <v>1.2444948744704689</v>
      </c>
      <c r="MS60" s="133">
        <f t="shared" si="399"/>
        <v>5.375462603928213</v>
      </c>
      <c r="MT60" s="133">
        <f t="shared" si="400"/>
        <v>12.294914042352154</v>
      </c>
      <c r="MU60" s="134">
        <f t="shared" si="401"/>
        <v>20.044006462341763</v>
      </c>
      <c r="MV60" s="133">
        <f t="shared" si="402"/>
        <v>27.827031444342346</v>
      </c>
      <c r="MW60" s="133">
        <f t="shared" si="150"/>
        <v>34.835584728331263</v>
      </c>
      <c r="MX60" s="133">
        <f t="shared" si="151"/>
        <v>39.047573682535734</v>
      </c>
      <c r="MY60" s="133">
        <f t="shared" si="152"/>
        <v>42.706915093202802</v>
      </c>
      <c r="MZ60" s="133">
        <f t="shared" si="153"/>
        <v>46.968452478812459</v>
      </c>
      <c r="NA60" s="81"/>
      <c r="NB60" s="81">
        <v>58</v>
      </c>
      <c r="NC60" s="133">
        <f t="shared" si="154"/>
        <v>2.5089668659623996</v>
      </c>
      <c r="ND60" s="133">
        <f t="shared" si="155"/>
        <v>6.1160378166665872</v>
      </c>
      <c r="NE60" s="133">
        <f t="shared" si="156"/>
        <v>9.2318802668807045</v>
      </c>
      <c r="NF60" s="133">
        <f t="shared" si="403"/>
        <v>12.838504626694426</v>
      </c>
      <c r="NG60" s="133">
        <f t="shared" si="404"/>
        <v>18.885813024980688</v>
      </c>
      <c r="NH60" s="134">
        <f t="shared" si="405"/>
        <v>25.666695476451206</v>
      </c>
      <c r="NI60" s="133">
        <f t="shared" si="406"/>
        <v>32.485582082111378</v>
      </c>
      <c r="NJ60" s="133">
        <f t="shared" si="157"/>
        <v>38.63250643539395</v>
      </c>
      <c r="NK60" s="133">
        <f t="shared" si="158"/>
        <v>42.329480317388217</v>
      </c>
      <c r="NL60" s="133">
        <f t="shared" si="159"/>
        <v>45.543008768636028</v>
      </c>
      <c r="NM60" s="133">
        <f t="shared" si="160"/>
        <v>49.28720435265916</v>
      </c>
      <c r="NN60" s="81"/>
      <c r="NO60" s="81">
        <v>60</v>
      </c>
      <c r="NP60" s="133">
        <f t="shared" si="161"/>
        <v>-8.1150316112615712</v>
      </c>
      <c r="NQ60" s="133">
        <f t="shared" si="162"/>
        <v>-4.4134616020391277</v>
      </c>
      <c r="NR60" s="133">
        <f t="shared" si="163"/>
        <v>-1.2282171769539545</v>
      </c>
      <c r="NS60" s="133">
        <f t="shared" si="407"/>
        <v>2.4459247353182505</v>
      </c>
      <c r="NT60" s="133">
        <f t="shared" si="408"/>
        <v>8.5787856939334688</v>
      </c>
      <c r="NU60" s="134">
        <f t="shared" si="409"/>
        <v>15.419273272403849</v>
      </c>
      <c r="NV60" s="133">
        <f t="shared" si="410"/>
        <v>22.264239632098111</v>
      </c>
      <c r="NW60" s="133">
        <f t="shared" si="164"/>
        <v>28.40886276554469</v>
      </c>
      <c r="NX60" s="133">
        <f t="shared" si="165"/>
        <v>32.093702035867075</v>
      </c>
      <c r="NY60" s="133">
        <f t="shared" si="166"/>
        <v>35.29054559283103</v>
      </c>
      <c r="NZ60" s="133">
        <f t="shared" si="167"/>
        <v>39.008459593540671</v>
      </c>
      <c r="OA60" s="81"/>
      <c r="OB60" s="81">
        <v>58</v>
      </c>
      <c r="OC60" s="133">
        <v>14.221788083101927</v>
      </c>
      <c r="OD60" s="133">
        <v>15.557271938721641</v>
      </c>
      <c r="OE60" s="133">
        <v>16.805741998952271</v>
      </c>
      <c r="OF60" s="133">
        <v>18.369995129931556</v>
      </c>
      <c r="OG60" s="133">
        <v>21.310141261456469</v>
      </c>
      <c r="OH60" s="134">
        <v>25.145027892957575</v>
      </c>
      <c r="OI60" s="133">
        <v>29.670025176285513</v>
      </c>
      <c r="OJ60" s="133">
        <v>34.418758593321968</v>
      </c>
      <c r="OK60" s="133">
        <v>37.622404757673436</v>
      </c>
      <c r="OL60" s="133">
        <v>40.641600290080724</v>
      </c>
      <c r="OM60" s="133">
        <v>44.458012174212392</v>
      </c>
      <c r="ON60" s="81"/>
      <c r="OO60" s="81">
        <v>58</v>
      </c>
      <c r="OP60" s="133">
        <v>13.965171382318324</v>
      </c>
      <c r="OQ60" s="133">
        <v>15.020636140070119</v>
      </c>
      <c r="OR60" s="133">
        <v>15.991978627035676</v>
      </c>
      <c r="OS60" s="133">
        <v>17.190087437560667</v>
      </c>
      <c r="OT60" s="133">
        <v>25.282862708555303</v>
      </c>
      <c r="OU60" s="134">
        <v>22.179762046433378</v>
      </c>
      <c r="OV60" s="133">
        <v>25.368521276131322</v>
      </c>
      <c r="OW60" s="133">
        <v>28.617762778885261</v>
      </c>
      <c r="OX60" s="133">
        <v>30.761787262818192</v>
      </c>
      <c r="OY60" s="133">
        <v>32.751065923504228</v>
      </c>
      <c r="OZ60" s="133">
        <v>35.226337791977798</v>
      </c>
      <c r="PA60" s="81"/>
      <c r="PB60" s="81">
        <v>60</v>
      </c>
      <c r="PC60" s="133">
        <v>15.960651340570482</v>
      </c>
      <c r="PD60" s="133">
        <v>17.280566416915637</v>
      </c>
      <c r="PE60" s="133">
        <v>18.502745137984434</v>
      </c>
      <c r="PF60" s="133">
        <v>20.019501355853478</v>
      </c>
      <c r="PG60" s="133">
        <v>22.83144575584711</v>
      </c>
      <c r="PH60" s="134">
        <v>26.433485516057221</v>
      </c>
      <c r="PI60" s="133">
        <v>30.603806872311758</v>
      </c>
      <c r="PJ60" s="133">
        <v>34.902425595296172</v>
      </c>
      <c r="PK60" s="133">
        <v>37.763540021592789</v>
      </c>
      <c r="PL60" s="133">
        <v>40.434389687807538</v>
      </c>
      <c r="PM60" s="133">
        <v>43.778235713445021</v>
      </c>
      <c r="PN60" s="81"/>
      <c r="PO60" s="81">
        <v>58</v>
      </c>
      <c r="PP60" s="133">
        <v>9.6828299120929646</v>
      </c>
      <c r="PQ60" s="133">
        <v>10.516153738882554</v>
      </c>
      <c r="PR60" s="133">
        <v>11.289997257923073</v>
      </c>
      <c r="PS60" s="133">
        <v>12.253124688993953</v>
      </c>
      <c r="PT60" s="133">
        <v>14.046094094646024</v>
      </c>
      <c r="PU60" s="134">
        <v>16.35537586788449</v>
      </c>
      <c r="PV60" s="133">
        <v>19.044320647242497</v>
      </c>
      <c r="PW60" s="133">
        <v>21.831028947257145</v>
      </c>
      <c r="PX60" s="133">
        <v>23.69339103178735</v>
      </c>
      <c r="PY60" s="133">
        <v>25.436897027353893</v>
      </c>
      <c r="PZ60" s="133">
        <v>27.626047571660582</v>
      </c>
      <c r="QA60" s="81"/>
      <c r="QB60" s="81">
        <v>58</v>
      </c>
      <c r="QC60" s="133">
        <v>9.6474091689583119</v>
      </c>
      <c r="QD60" s="133">
        <v>10.469118816694031</v>
      </c>
      <c r="QE60" s="133">
        <v>11.231598067786525</v>
      </c>
      <c r="QF60" s="133">
        <v>12.179861919323031</v>
      </c>
      <c r="QG60" s="133">
        <v>13.943234926497565</v>
      </c>
      <c r="QH60" s="134">
        <v>16.211142870810857</v>
      </c>
      <c r="QI60" s="133">
        <v>18.84793267582527</v>
      </c>
      <c r="QJ60" s="133">
        <v>21.576693965710277</v>
      </c>
      <c r="QK60" s="133">
        <v>23.398375867062473</v>
      </c>
      <c r="QL60" s="133">
        <v>25.102509368675761</v>
      </c>
      <c r="QM60" s="133">
        <v>27.240593673940527</v>
      </c>
      <c r="QN60" s="81"/>
      <c r="QO60" s="81">
        <v>60</v>
      </c>
      <c r="QP60" s="133">
        <v>9.4153602519352422</v>
      </c>
      <c r="QQ60" s="133">
        <v>10.266961102051795</v>
      </c>
      <c r="QR60" s="133">
        <v>11.060741006587426</v>
      </c>
      <c r="QS60" s="133">
        <v>12.052381422113024</v>
      </c>
      <c r="QT60" s="133">
        <v>13.908391974788314</v>
      </c>
      <c r="QU60" s="134">
        <v>16.315823183401999</v>
      </c>
      <c r="QV60" s="133">
        <v>19.139961444470995</v>
      </c>
      <c r="QW60" s="133">
        <v>22.087426279392247</v>
      </c>
      <c r="QX60" s="133">
        <v>24.067653875404389</v>
      </c>
      <c r="QY60" s="133">
        <v>25.928420640342967</v>
      </c>
      <c r="QZ60" s="133">
        <v>28.27359538338662</v>
      </c>
      <c r="RA60" s="81"/>
      <c r="RB60" s="81">
        <v>58</v>
      </c>
      <c r="RC60" s="133">
        <f t="shared" si="168"/>
        <v>0.36679754998845382</v>
      </c>
      <c r="RD60" s="133">
        <f t="shared" si="169"/>
        <v>0.39989047749599965</v>
      </c>
      <c r="RE60" s="133">
        <f t="shared" si="170"/>
        <v>0.43113146713703276</v>
      </c>
      <c r="RF60" s="133">
        <f t="shared" si="411"/>
        <v>0.47070671643332462</v>
      </c>
      <c r="RG60" s="133">
        <f t="shared" si="412"/>
        <v>0.54644532901705989</v>
      </c>
      <c r="RH60" s="134">
        <f t="shared" si="413"/>
        <v>0.64798832644745197</v>
      </c>
      <c r="RI60" s="133">
        <f t="shared" si="414"/>
        <v>0.77193901249877606</v>
      </c>
      <c r="RJ60" s="133">
        <f t="shared" si="171"/>
        <v>0.90692732118864372</v>
      </c>
      <c r="RK60" s="133">
        <f t="shared" si="172"/>
        <v>1.0008669176555995</v>
      </c>
      <c r="RL60" s="133">
        <f t="shared" si="173"/>
        <v>1.0915302417891164</v>
      </c>
      <c r="RM60" s="133">
        <f t="shared" si="174"/>
        <v>1.2091074363172858</v>
      </c>
      <c r="RN60" s="81"/>
      <c r="RO60" s="81">
        <v>58</v>
      </c>
      <c r="RP60" s="133">
        <f t="shared" si="175"/>
        <v>0.4045859822285876</v>
      </c>
      <c r="RQ60" s="133">
        <f t="shared" si="176"/>
        <v>0.44096571309984772</v>
      </c>
      <c r="RR60" s="133">
        <f t="shared" si="177"/>
        <v>0.47547626455525349</v>
      </c>
      <c r="RS60" s="133">
        <f t="shared" si="415"/>
        <v>0.51943057398121983</v>
      </c>
      <c r="RT60" s="133">
        <f t="shared" si="416"/>
        <v>0.60430166336594338</v>
      </c>
      <c r="RU60" s="134">
        <f t="shared" si="417"/>
        <v>0.719653978578497</v>
      </c>
      <c r="RV60" s="133">
        <f t="shared" si="418"/>
        <v>0.86288897770428619</v>
      </c>
      <c r="RW60" s="133">
        <f t="shared" si="178"/>
        <v>1.0218775051126048</v>
      </c>
      <c r="RX60" s="133">
        <f t="shared" si="179"/>
        <v>1.1343329807392544</v>
      </c>
      <c r="RY60" s="133">
        <f t="shared" si="180"/>
        <v>1.2442543306026936</v>
      </c>
      <c r="RZ60" s="133">
        <f t="shared" si="181"/>
        <v>1.3888038506241227</v>
      </c>
      <c r="SA60" s="81"/>
      <c r="SB60" s="81">
        <v>60</v>
      </c>
      <c r="SC60" s="133">
        <f t="shared" si="182"/>
        <v>0.37012649310526585</v>
      </c>
      <c r="SD60" s="133">
        <f t="shared" si="183"/>
        <v>0.40017461312756936</v>
      </c>
      <c r="SE60" s="133">
        <f t="shared" si="184"/>
        <v>0.42798874937200199</v>
      </c>
      <c r="SF60" s="133">
        <f t="shared" si="419"/>
        <v>0.46249812449173749</v>
      </c>
      <c r="SG60" s="133">
        <f t="shared" si="420"/>
        <v>0.52646060047514009</v>
      </c>
      <c r="SH60" s="134">
        <f t="shared" si="421"/>
        <v>0.6083871367005721</v>
      </c>
      <c r="SI60" s="133">
        <f t="shared" si="422"/>
        <v>0.70325446859539487</v>
      </c>
      <c r="SJ60" s="133">
        <f t="shared" si="185"/>
        <v>0.80108016322891984</v>
      </c>
      <c r="SK60" s="133">
        <f t="shared" si="186"/>
        <v>0.8662221982991325</v>
      </c>
      <c r="SL60" s="133">
        <f t="shared" si="187"/>
        <v>0.92705756775860171</v>
      </c>
      <c r="SM60" s="133">
        <f t="shared" si="188"/>
        <v>1.0032596107117906</v>
      </c>
      <c r="SN60" s="81"/>
      <c r="SO60" s="81">
        <v>58</v>
      </c>
      <c r="SP60" s="133">
        <f t="shared" si="189"/>
        <v>0.26919415726396823</v>
      </c>
      <c r="SQ60" s="133">
        <f t="shared" si="190"/>
        <v>0.28637337502164356</v>
      </c>
      <c r="SR60" s="133">
        <f t="shared" si="191"/>
        <v>0.3017922355656113</v>
      </c>
      <c r="SS60" s="133">
        <f t="shared" si="423"/>
        <v>0.32032958547630175</v>
      </c>
      <c r="ST60" s="133">
        <f t="shared" si="424"/>
        <v>0.35312951435028711</v>
      </c>
      <c r="SU60" s="134">
        <f t="shared" si="425"/>
        <v>0.39257590902976108</v>
      </c>
      <c r="SV60" s="133">
        <f t="shared" si="426"/>
        <v>0.43522439018126174</v>
      </c>
      <c r="SW60" s="133">
        <f t="shared" si="192"/>
        <v>0.47635084565175867</v>
      </c>
      <c r="SX60" s="133">
        <f t="shared" si="193"/>
        <v>0.50235587554385974</v>
      </c>
      <c r="SY60" s="133">
        <f t="shared" si="194"/>
        <v>0.52575753678514359</v>
      </c>
      <c r="SZ60" s="133">
        <f t="shared" si="195"/>
        <v>0.55398030031343781</v>
      </c>
      <c r="TA60" s="81"/>
      <c r="TB60" s="81">
        <v>58</v>
      </c>
      <c r="TC60" s="133">
        <f t="shared" si="196"/>
        <v>0.28895106701141776</v>
      </c>
      <c r="TD60" s="133">
        <f t="shared" si="197"/>
        <v>0.30672353887166504</v>
      </c>
      <c r="TE60" s="133">
        <f t="shared" si="198"/>
        <v>0.32272214742234318</v>
      </c>
      <c r="TF60" s="133">
        <f t="shared" si="427"/>
        <v>0.34201678607663083</v>
      </c>
      <c r="TG60" s="133">
        <f t="shared" si="428"/>
        <v>0.37632032432279522</v>
      </c>
      <c r="TH60" s="134">
        <f t="shared" si="429"/>
        <v>0.41785475726559274</v>
      </c>
      <c r="TI60" s="133">
        <f t="shared" si="430"/>
        <v>0.46310509278151013</v>
      </c>
      <c r="TJ60" s="133">
        <f t="shared" si="199"/>
        <v>0.50707720688625824</v>
      </c>
      <c r="TK60" s="133">
        <f t="shared" si="200"/>
        <v>0.53505045102495141</v>
      </c>
      <c r="TL60" s="133">
        <f t="shared" si="201"/>
        <v>0.5603339413702052</v>
      </c>
      <c r="TM60" s="133">
        <f t="shared" si="202"/>
        <v>0.59096425142414877</v>
      </c>
      <c r="TN60" s="81"/>
      <c r="TO60" s="81">
        <v>60</v>
      </c>
      <c r="TP60" s="133">
        <f t="shared" si="203"/>
        <v>0.27105562448336773</v>
      </c>
      <c r="TQ60" s="133">
        <f t="shared" si="204"/>
        <v>0.28653640336597092</v>
      </c>
      <c r="TR60" s="133">
        <f t="shared" si="205"/>
        <v>0.30023911023769106</v>
      </c>
      <c r="TS60" s="133">
        <f t="shared" si="431"/>
        <v>0.31648615665023699</v>
      </c>
      <c r="TT60" s="133">
        <f t="shared" si="432"/>
        <v>0.34466695814823162</v>
      </c>
      <c r="TU60" s="134">
        <f t="shared" si="433"/>
        <v>0.37768076227847519</v>
      </c>
      <c r="TV60" s="133">
        <f t="shared" si="434"/>
        <v>0.41240412346733046</v>
      </c>
      <c r="TW60" s="133">
        <f t="shared" si="206"/>
        <v>0.4450282088232172</v>
      </c>
      <c r="TX60" s="133">
        <f t="shared" si="207"/>
        <v>0.4652575904555234</v>
      </c>
      <c r="TY60" s="133">
        <f t="shared" si="208"/>
        <v>0.48321457439451249</v>
      </c>
      <c r="TZ60" s="133">
        <f t="shared" si="209"/>
        <v>0.50457609949235538</v>
      </c>
      <c r="UA60" s="81"/>
      <c r="UB60" s="81">
        <v>58</v>
      </c>
      <c r="UC60" s="133">
        <f t="shared" si="210"/>
        <v>-13.017917906334851</v>
      </c>
      <c r="UD60" s="133">
        <f t="shared" si="211"/>
        <v>-9.8962069739063452</v>
      </c>
      <c r="UE60" s="133">
        <f t="shared" si="212"/>
        <v>-7.2707768445850576</v>
      </c>
      <c r="UF60" s="133">
        <f t="shared" si="435"/>
        <v>-4.3057287115041589</v>
      </c>
      <c r="UG60" s="133">
        <f t="shared" si="436"/>
        <v>0.50811069628224459</v>
      </c>
      <c r="UH60" s="134">
        <f t="shared" si="437"/>
        <v>5.7017561711015787</v>
      </c>
      <c r="UI60" s="133">
        <f t="shared" si="438"/>
        <v>10.737563470637298</v>
      </c>
      <c r="UJ60" s="133">
        <f t="shared" si="213"/>
        <v>15.137075346567912</v>
      </c>
      <c r="UK60" s="133">
        <f t="shared" si="214"/>
        <v>17.725595737791949</v>
      </c>
      <c r="UL60" s="133">
        <f t="shared" si="215"/>
        <v>19.943152851866159</v>
      </c>
      <c r="UM60" s="133">
        <f t="shared" si="216"/>
        <v>22.491022542031416</v>
      </c>
      <c r="UN60" s="81"/>
      <c r="UO60" s="81">
        <v>58</v>
      </c>
      <c r="UP60" s="133">
        <f t="shared" si="217"/>
        <v>-8.9580878134829263</v>
      </c>
      <c r="UQ60" s="133">
        <f t="shared" si="218"/>
        <v>-6.2825110644588129</v>
      </c>
      <c r="UR60" s="133">
        <f t="shared" si="219"/>
        <v>-3.9855195392110652</v>
      </c>
      <c r="US60" s="133">
        <f t="shared" si="439"/>
        <v>-1.3415768928056551</v>
      </c>
      <c r="UT60" s="133">
        <f t="shared" si="440"/>
        <v>3.0596320154248673</v>
      </c>
      <c r="UU60" s="134">
        <f t="shared" si="441"/>
        <v>7.9529140541650207</v>
      </c>
      <c r="UV60" s="133">
        <f t="shared" si="442"/>
        <v>12.834781503843672</v>
      </c>
      <c r="UW60" s="133">
        <f t="shared" si="220"/>
        <v>17.206055023289451</v>
      </c>
      <c r="UX60" s="133">
        <f t="shared" si="221"/>
        <v>19.822827227479848</v>
      </c>
      <c r="UY60" s="133">
        <f t="shared" si="222"/>
        <v>22.090420811435528</v>
      </c>
      <c r="UZ60" s="133">
        <f t="shared" si="223"/>
        <v>24.724693340287281</v>
      </c>
      <c r="VA60" s="81"/>
      <c r="VB60" s="81">
        <v>61</v>
      </c>
      <c r="VC60" s="133">
        <f t="shared" si="224"/>
        <v>-12.967143188264458</v>
      </c>
      <c r="VD60" s="133">
        <f t="shared" si="225"/>
        <v>-9.9633157669696075</v>
      </c>
      <c r="VE60" s="133">
        <f t="shared" si="226"/>
        <v>-7.4629489326588612</v>
      </c>
      <c r="VF60" s="133">
        <f t="shared" si="443"/>
        <v>-4.6652418596763567</v>
      </c>
      <c r="VG60" s="133">
        <f t="shared" si="444"/>
        <v>-0.17668636952588201</v>
      </c>
      <c r="VH60" s="134">
        <f t="shared" si="445"/>
        <v>4.5992925371493527</v>
      </c>
      <c r="VI60" s="133">
        <f t="shared" si="446"/>
        <v>9.1712176935762955</v>
      </c>
      <c r="VJ60" s="133">
        <f t="shared" si="227"/>
        <v>13.122614893127263</v>
      </c>
      <c r="VK60" s="133">
        <f t="shared" si="228"/>
        <v>15.430213060644959</v>
      </c>
      <c r="VL60" s="133">
        <f t="shared" si="229"/>
        <v>17.397490379686403</v>
      </c>
      <c r="VM60" s="133">
        <f t="shared" si="230"/>
        <v>19.647303117272784</v>
      </c>
      <c r="VN60" s="81"/>
      <c r="VO60" s="81">
        <v>58</v>
      </c>
      <c r="VP60" s="133">
        <f t="shared" si="231"/>
        <v>-23.321745344503697</v>
      </c>
      <c r="VQ60" s="133">
        <f t="shared" si="232"/>
        <v>-18.543138568851845</v>
      </c>
      <c r="VR60" s="133">
        <f t="shared" si="233"/>
        <v>-14.212848340250098</v>
      </c>
      <c r="VS60" s="133">
        <f t="shared" si="447"/>
        <v>-8.9725891068896431</v>
      </c>
      <c r="VT60" s="133">
        <f t="shared" si="448"/>
        <v>0.34558765789503099</v>
      </c>
      <c r="VU60" s="134">
        <f t="shared" si="449"/>
        <v>11.557608241025498</v>
      </c>
      <c r="VV60" s="133">
        <f t="shared" si="450"/>
        <v>23.614501601427726</v>
      </c>
      <c r="VW60" s="133">
        <f t="shared" si="234"/>
        <v>35.131398239302662</v>
      </c>
      <c r="VX60" s="133">
        <f t="shared" si="235"/>
        <v>42.345799937670229</v>
      </c>
      <c r="VY60" s="133">
        <f t="shared" si="236"/>
        <v>48.788788012348924</v>
      </c>
      <c r="VZ60" s="133">
        <f t="shared" si="237"/>
        <v>56.494323151929727</v>
      </c>
      <c r="WA60" s="81"/>
      <c r="WB60" s="81">
        <v>58</v>
      </c>
      <c r="WC60" s="133">
        <f t="shared" si="238"/>
        <v>-17.465959091430193</v>
      </c>
      <c r="WD60" s="133">
        <f t="shared" si="239"/>
        <v>-12.745104005443316</v>
      </c>
      <c r="WE60" s="133">
        <f t="shared" si="240"/>
        <v>-8.4675731944836059</v>
      </c>
      <c r="WF60" s="133">
        <f t="shared" si="451"/>
        <v>-3.2914610567311371</v>
      </c>
      <c r="WG60" s="133">
        <f t="shared" si="452"/>
        <v>5.9123764584500691</v>
      </c>
      <c r="WH60" s="134">
        <f t="shared" si="453"/>
        <v>16.987095829347858</v>
      </c>
      <c r="WI60" s="133">
        <f t="shared" si="454"/>
        <v>28.897299240662498</v>
      </c>
      <c r="WJ60" s="133">
        <f t="shared" si="241"/>
        <v>40.275323266846222</v>
      </c>
      <c r="WK60" s="133">
        <f t="shared" si="242"/>
        <v>47.403425003543852</v>
      </c>
      <c r="WL60" s="133">
        <f t="shared" si="243"/>
        <v>53.769811300282136</v>
      </c>
      <c r="WM60" s="133">
        <f t="shared" si="244"/>
        <v>61.384326769562712</v>
      </c>
      <c r="WN60" s="81"/>
      <c r="WO60" s="81">
        <v>61</v>
      </c>
      <c r="WP60" s="133">
        <f t="shared" si="245"/>
        <v>-24.484760691616184</v>
      </c>
      <c r="WQ60" s="133">
        <f t="shared" si="246"/>
        <v>-19.782663910306844</v>
      </c>
      <c r="WR60" s="133">
        <f t="shared" si="247"/>
        <v>-15.561829920149151</v>
      </c>
      <c r="WS60" s="133">
        <f t="shared" si="455"/>
        <v>-10.50080452917431</v>
      </c>
      <c r="WT60" s="133">
        <f t="shared" si="456"/>
        <v>-1.6150559895917951</v>
      </c>
      <c r="WU60" s="134">
        <f t="shared" si="457"/>
        <v>8.9077705134581251</v>
      </c>
      <c r="WV60" s="133">
        <f t="shared" si="458"/>
        <v>20.046643628683974</v>
      </c>
      <c r="WW60" s="133">
        <f t="shared" si="248"/>
        <v>30.53831065990925</v>
      </c>
      <c r="WX60" s="133">
        <f t="shared" si="249"/>
        <v>37.044630765752139</v>
      </c>
      <c r="WY60" s="133">
        <f t="shared" si="250"/>
        <v>42.815875030168407</v>
      </c>
      <c r="WZ60" s="133">
        <f t="shared" si="251"/>
        <v>49.67241212541385</v>
      </c>
      <c r="XA60" s="81"/>
      <c r="XB60" s="81">
        <v>58</v>
      </c>
      <c r="XC60" s="133">
        <f t="shared" si="252"/>
        <v>-28.743291526336499</v>
      </c>
      <c r="XD60" s="133">
        <f t="shared" si="253"/>
        <v>-23.623764749348858</v>
      </c>
      <c r="XE60" s="133">
        <f t="shared" si="254"/>
        <v>-19.060169840935842</v>
      </c>
      <c r="XF60" s="133">
        <f t="shared" si="459"/>
        <v>-13.628040010468474</v>
      </c>
      <c r="XG60" s="133">
        <f t="shared" si="460"/>
        <v>-4.1921525502684176</v>
      </c>
      <c r="XH60" s="134">
        <f t="shared" si="461"/>
        <v>6.8269151484037067</v>
      </c>
      <c r="XI60" s="133">
        <f t="shared" si="462"/>
        <v>18.325677702293937</v>
      </c>
      <c r="XJ60" s="133">
        <f t="shared" si="255"/>
        <v>29.016829984875251</v>
      </c>
      <c r="XK60" s="133">
        <f t="shared" si="256"/>
        <v>35.584839381683572</v>
      </c>
      <c r="XL60" s="133">
        <f t="shared" si="257"/>
        <v>41.373774286140396</v>
      </c>
      <c r="XM60" s="133">
        <f t="shared" si="258"/>
        <v>48.208557724137982</v>
      </c>
      <c r="XN60" s="81"/>
      <c r="XO60" s="81">
        <v>58</v>
      </c>
      <c r="XP60" s="133">
        <f t="shared" si="259"/>
        <v>-18.455978962357712</v>
      </c>
      <c r="XQ60" s="133">
        <f t="shared" si="260"/>
        <v>-13.79214389664083</v>
      </c>
      <c r="XR60" s="133">
        <f t="shared" si="261"/>
        <v>-9.6789875139428005</v>
      </c>
      <c r="XS60" s="133">
        <f t="shared" si="463"/>
        <v>-4.8269730646096107</v>
      </c>
      <c r="XT60" s="133">
        <f t="shared" si="464"/>
        <v>3.5108078364453732</v>
      </c>
      <c r="XU60" s="134">
        <f t="shared" si="465"/>
        <v>13.134954809502283</v>
      </c>
      <c r="XV60" s="133">
        <f t="shared" si="466"/>
        <v>23.078770145369511</v>
      </c>
      <c r="XW60" s="133">
        <f t="shared" si="262"/>
        <v>32.251860994755425</v>
      </c>
      <c r="XX60" s="133">
        <f t="shared" si="263"/>
        <v>37.858168520509999</v>
      </c>
      <c r="XY60" s="133">
        <f t="shared" si="264"/>
        <v>42.783235322312088</v>
      </c>
      <c r="XZ60" s="133">
        <f t="shared" si="265"/>
        <v>48.58022789780447</v>
      </c>
      <c r="YA60" s="81"/>
      <c r="YB60" s="81">
        <v>61</v>
      </c>
      <c r="YC60" s="133">
        <f t="shared" si="266"/>
        <v>-31.107743636709184</v>
      </c>
      <c r="YD60" s="133">
        <f t="shared" si="267"/>
        <v>-26.10125635211628</v>
      </c>
      <c r="YE60" s="133">
        <f t="shared" si="268"/>
        <v>-21.661995732036267</v>
      </c>
      <c r="YF60" s="133">
        <f t="shared" si="467"/>
        <v>-16.404569113531174</v>
      </c>
      <c r="YG60" s="133">
        <f t="shared" si="468"/>
        <v>-7.3343628482076753</v>
      </c>
      <c r="YH60" s="134">
        <f t="shared" si="469"/>
        <v>3.1699021003242365</v>
      </c>
      <c r="YI60" s="133">
        <f t="shared" si="470"/>
        <v>14.044370207279776</v>
      </c>
      <c r="YJ60" s="133">
        <f t="shared" si="269"/>
        <v>24.085449469377203</v>
      </c>
      <c r="YK60" s="133">
        <f t="shared" si="270"/>
        <v>30.224193808755508</v>
      </c>
      <c r="YL60" s="133">
        <f t="shared" si="271"/>
        <v>35.617341169304403</v>
      </c>
      <c r="YM60" s="133">
        <f t="shared" si="272"/>
        <v>41.965039751116514</v>
      </c>
      <c r="YN60" s="81"/>
      <c r="YO60" s="81">
        <v>58</v>
      </c>
      <c r="YP60" s="133">
        <v>17.821917864469064</v>
      </c>
      <c r="YQ60" s="133">
        <v>19.759146967307089</v>
      </c>
      <c r="YR60" s="133">
        <v>21.592873305845156</v>
      </c>
      <c r="YS60" s="133">
        <v>23.919231366617399</v>
      </c>
      <c r="YT60" s="133">
        <v>28.371064707161295</v>
      </c>
      <c r="YU60" s="134">
        <v>34.316144286242789</v>
      </c>
      <c r="YV60" s="133">
        <v>41.506999149629692</v>
      </c>
      <c r="YW60" s="133">
        <v>49.232257534735567</v>
      </c>
      <c r="YX60" s="133">
        <v>54.536408471190335</v>
      </c>
      <c r="YY60" s="133">
        <v>59.597601081800363</v>
      </c>
      <c r="YZ60" s="133">
        <v>66.075815612525545</v>
      </c>
      <c r="ZA60" s="81"/>
      <c r="ZB60" s="81">
        <v>58</v>
      </c>
      <c r="ZC60" s="133">
        <v>15.60866710225543</v>
      </c>
      <c r="ZD60" s="133">
        <v>17.348842663969339</v>
      </c>
      <c r="ZE60" s="133">
        <v>18.999886990065537</v>
      </c>
      <c r="ZF60" s="133">
        <v>21.099373525616095</v>
      </c>
      <c r="ZG60" s="133">
        <v>25.130581716662128</v>
      </c>
      <c r="ZH60" s="134">
        <v>30.537729639718741</v>
      </c>
      <c r="ZI60" s="133">
        <v>37.108290689914817</v>
      </c>
      <c r="ZJ60" s="133">
        <v>44.19813367521899</v>
      </c>
      <c r="ZK60" s="133">
        <v>49.082025173947628</v>
      </c>
      <c r="ZL60" s="133">
        <v>53.753034113642272</v>
      </c>
      <c r="ZM60" s="133">
        <v>59.74584027189637</v>
      </c>
      <c r="ZN60" s="81"/>
      <c r="ZO60" s="81">
        <v>61</v>
      </c>
      <c r="ZP60" s="133">
        <v>20.009739752220611</v>
      </c>
      <c r="ZQ60" s="133">
        <v>21.991852500317439</v>
      </c>
      <c r="ZR60" s="133">
        <v>23.852919792847608</v>
      </c>
      <c r="ZS60" s="133">
        <v>26.194906990276358</v>
      </c>
      <c r="ZT60" s="133">
        <v>30.624603720949537</v>
      </c>
      <c r="ZU60" s="134">
        <v>36.450164842720241</v>
      </c>
      <c r="ZV60" s="133">
        <v>43.383892544954186</v>
      </c>
      <c r="ZW60" s="133">
        <v>50.72033726077612</v>
      </c>
      <c r="ZX60" s="133">
        <v>55.700288627133546</v>
      </c>
      <c r="ZY60" s="133">
        <v>60.413942710933568</v>
      </c>
      <c r="ZZ60" s="133">
        <v>66.39839065943039</v>
      </c>
      <c r="AAA60" s="81"/>
      <c r="AAB60" s="81">
        <v>58</v>
      </c>
      <c r="AAC60" s="133">
        <v>10.344444960562228</v>
      </c>
      <c r="AAD60" s="133">
        <v>11.446428265724972</v>
      </c>
      <c r="AAE60" s="133">
        <v>12.487639936389483</v>
      </c>
      <c r="AAF60" s="133">
        <v>13.80617434175999</v>
      </c>
      <c r="AAG60" s="133">
        <v>16.322781378647448</v>
      </c>
      <c r="AAH60" s="134">
        <v>19.671981727509433</v>
      </c>
      <c r="AAI60" s="133">
        <v>23.708389894488189</v>
      </c>
      <c r="AAJ60" s="133">
        <v>28.029985389720395</v>
      </c>
      <c r="AAK60" s="133">
        <v>30.989591873142491</v>
      </c>
      <c r="AAL60" s="133">
        <v>33.808525777971568</v>
      </c>
      <c r="AAM60" s="133">
        <v>37.410113985123097</v>
      </c>
      <c r="AAN60" s="81"/>
      <c r="AAO60" s="81">
        <v>58</v>
      </c>
      <c r="AAP60" s="133">
        <v>9.8925724988822026</v>
      </c>
      <c r="AAQ60" s="133">
        <v>11.028896129260326</v>
      </c>
      <c r="AAR60" s="133">
        <v>12.110057507741729</v>
      </c>
      <c r="AAS60" s="133">
        <v>13.488752155318405</v>
      </c>
      <c r="AAT60" s="133">
        <v>16.146749498695236</v>
      </c>
      <c r="AAU60" s="134">
        <v>19.731018864629</v>
      </c>
      <c r="AAV60" s="133">
        <v>24.11092743265786</v>
      </c>
      <c r="AAW60" s="133">
        <v>28.862054914608628</v>
      </c>
      <c r="AAX60" s="133">
        <v>32.147915498127475</v>
      </c>
      <c r="AAY60" s="133">
        <v>35.299371838626186</v>
      </c>
      <c r="AAZ60" s="133">
        <v>39.354081608230352</v>
      </c>
      <c r="ABA60" s="81"/>
      <c r="ABB60" s="81">
        <v>61</v>
      </c>
      <c r="ABC60" s="133">
        <v>10.353854434238645</v>
      </c>
      <c r="ABD60" s="133">
        <v>11.432181644155323</v>
      </c>
      <c r="ABE60" s="133">
        <v>12.449006956136891</v>
      </c>
      <c r="ABF60" s="133">
        <v>13.734088132117854</v>
      </c>
      <c r="ABG60" s="133">
        <v>16.179786912026845</v>
      </c>
      <c r="ABH60" s="134">
        <v>19.422339201697856</v>
      </c>
      <c r="ABI60" s="133">
        <v>23.314723618851058</v>
      </c>
      <c r="ABJ60" s="133">
        <v>27.466494785601714</v>
      </c>
      <c r="ABK60" s="133">
        <v>30.301795267280387</v>
      </c>
      <c r="ABL60" s="133">
        <v>32.996961718034463</v>
      </c>
      <c r="ABM60" s="133">
        <v>36.433510096334309</v>
      </c>
      <c r="ABN60" s="81"/>
      <c r="ABO60" s="81">
        <v>58</v>
      </c>
      <c r="ABP60" s="133">
        <f t="shared" si="273"/>
        <v>0.28828406273359924</v>
      </c>
      <c r="ABQ60" s="133">
        <f t="shared" si="274"/>
        <v>0.32468228933771265</v>
      </c>
      <c r="ABR60" s="133">
        <f t="shared" si="275"/>
        <v>0.35857238528096308</v>
      </c>
      <c r="ABS60" s="133">
        <f t="shared" si="471"/>
        <v>0.40076609640512784</v>
      </c>
      <c r="ABT60" s="133">
        <f t="shared" si="472"/>
        <v>0.47904982034422605</v>
      </c>
      <c r="ABU60" s="134">
        <f t="shared" si="473"/>
        <v>0.57883126422376041</v>
      </c>
      <c r="ABV60" s="133">
        <f t="shared" si="474"/>
        <v>0.69297035764056703</v>
      </c>
      <c r="ABW60" s="133">
        <f t="shared" si="276"/>
        <v>0.80860697193243414</v>
      </c>
      <c r="ABX60" s="133">
        <f t="shared" si="277"/>
        <v>0.88432294933029065</v>
      </c>
      <c r="ABY60" s="133">
        <f t="shared" si="278"/>
        <v>0.95407083626816136</v>
      </c>
      <c r="ABZ60" s="133">
        <f t="shared" si="279"/>
        <v>1.0401147580089285</v>
      </c>
      <c r="ACA60" s="81"/>
      <c r="ACB60" s="81">
        <v>58</v>
      </c>
      <c r="ACC60" s="133">
        <f t="shared" si="280"/>
        <v>0.34981323312158474</v>
      </c>
      <c r="ACD60" s="133">
        <f t="shared" si="281"/>
        <v>0.38566628810735426</v>
      </c>
      <c r="ACE60" s="133">
        <f t="shared" si="282"/>
        <v>0.41898286715923921</v>
      </c>
      <c r="ACF60" s="133">
        <f t="shared" si="475"/>
        <v>0.46043580402955481</v>
      </c>
      <c r="ACG60" s="133">
        <f t="shared" si="476"/>
        <v>0.53743861049083574</v>
      </c>
      <c r="ACH60" s="134">
        <f t="shared" si="477"/>
        <v>0.63606035819467022</v>
      </c>
      <c r="ACI60" s="133">
        <f t="shared" si="478"/>
        <v>0.74984219103741989</v>
      </c>
      <c r="ACJ60" s="133">
        <f t="shared" si="283"/>
        <v>0.86638675467992721</v>
      </c>
      <c r="ACK60" s="133">
        <f t="shared" si="284"/>
        <v>0.94345064384131805</v>
      </c>
      <c r="ACL60" s="133">
        <f t="shared" si="285"/>
        <v>1.0149890428320607</v>
      </c>
      <c r="ACM60" s="133">
        <f t="shared" si="286"/>
        <v>1.1039817261235914</v>
      </c>
      <c r="ACN60" s="81"/>
      <c r="ACO60" s="81">
        <v>61</v>
      </c>
      <c r="ACP60" s="133">
        <f t="shared" si="287"/>
        <v>0.26911437394423737</v>
      </c>
      <c r="ACQ60" s="133">
        <f t="shared" si="288"/>
        <v>0.30622435547641158</v>
      </c>
      <c r="ACR60" s="133">
        <f t="shared" si="289"/>
        <v>0.34012251768946461</v>
      </c>
      <c r="ACS60" s="133">
        <f t="shared" si="479"/>
        <v>0.38148773252837015</v>
      </c>
      <c r="ACT60" s="133">
        <f t="shared" si="480"/>
        <v>0.45602103401299116</v>
      </c>
      <c r="ACU60" s="134">
        <f t="shared" si="481"/>
        <v>0.54705288377054762</v>
      </c>
      <c r="ACV60" s="133">
        <f t="shared" si="482"/>
        <v>0.64665235792216169</v>
      </c>
      <c r="ACW60" s="133">
        <f t="shared" si="290"/>
        <v>0.7434984900679269</v>
      </c>
      <c r="ACX60" s="133">
        <f t="shared" si="291"/>
        <v>0.80484934160106247</v>
      </c>
      <c r="ACY60" s="133">
        <f t="shared" si="292"/>
        <v>0.86009674856056129</v>
      </c>
      <c r="ACZ60" s="133">
        <f t="shared" si="293"/>
        <v>0.92671605960525993</v>
      </c>
      <c r="ADA60" s="81"/>
      <c r="ADB60" s="81">
        <v>58</v>
      </c>
      <c r="ADC60" s="133">
        <f t="shared" si="294"/>
        <v>0.22603999429501817</v>
      </c>
      <c r="ADD60" s="133">
        <f t="shared" si="295"/>
        <v>0.24696965460407552</v>
      </c>
      <c r="ADE60" s="133">
        <f t="shared" si="296"/>
        <v>0.26529668987453514</v>
      </c>
      <c r="ADF60" s="133">
        <f t="shared" si="483"/>
        <v>0.28678525227262769</v>
      </c>
      <c r="ADG60" s="133">
        <f t="shared" si="484"/>
        <v>0.32344529372732639</v>
      </c>
      <c r="ADH60" s="134">
        <f t="shared" si="485"/>
        <v>0.365435947050953</v>
      </c>
      <c r="ADI60" s="133">
        <f t="shared" si="486"/>
        <v>0.4085428135347372</v>
      </c>
      <c r="ADJ60" s="133">
        <f t="shared" si="297"/>
        <v>0.44811296711307724</v>
      </c>
      <c r="ADK60" s="133">
        <f t="shared" si="298"/>
        <v>0.47222094770413353</v>
      </c>
      <c r="ADL60" s="133">
        <f t="shared" si="299"/>
        <v>0.49335821864859175</v>
      </c>
      <c r="ADM60" s="133">
        <f t="shared" si="300"/>
        <v>0.51819331163034921</v>
      </c>
      <c r="ADN60" s="81"/>
      <c r="ADO60" s="81">
        <v>58</v>
      </c>
      <c r="ADP60" s="133">
        <f t="shared" si="301"/>
        <v>0.26089602311262583</v>
      </c>
      <c r="ADQ60" s="133">
        <f t="shared" si="302"/>
        <v>0.27950749404354613</v>
      </c>
      <c r="ADR60" s="133">
        <f t="shared" si="303"/>
        <v>0.29591377291779397</v>
      </c>
      <c r="ADS60" s="133">
        <f t="shared" si="487"/>
        <v>0.31528138968003672</v>
      </c>
      <c r="ADT60" s="133">
        <f t="shared" si="488"/>
        <v>0.34865076384063148</v>
      </c>
      <c r="ADU60" s="134">
        <f t="shared" si="489"/>
        <v>0.38737688021420003</v>
      </c>
      <c r="ADV60" s="133">
        <f t="shared" si="490"/>
        <v>0.42768390100867199</v>
      </c>
      <c r="ADW60" s="133">
        <f t="shared" si="304"/>
        <v>0.46516486255999556</v>
      </c>
      <c r="ADX60" s="133">
        <f t="shared" si="305"/>
        <v>0.48822083977140063</v>
      </c>
      <c r="ADY60" s="133">
        <f t="shared" si="306"/>
        <v>0.5085708293148582</v>
      </c>
      <c r="ADZ60" s="133">
        <f t="shared" si="307"/>
        <v>0.5326397186330204</v>
      </c>
      <c r="AEA60" s="81"/>
      <c r="AEB60" s="81">
        <v>61</v>
      </c>
      <c r="AEC60" s="133">
        <f t="shared" si="308"/>
        <v>0.21475179938693617</v>
      </c>
      <c r="AED60" s="133">
        <f t="shared" si="309"/>
        <v>0.23666282439042524</v>
      </c>
      <c r="AEE60" s="133">
        <f t="shared" si="310"/>
        <v>0.25544243494091939</v>
      </c>
      <c r="AEF60" s="133">
        <f t="shared" si="491"/>
        <v>0.27702600441793951</v>
      </c>
      <c r="AEG60" s="133">
        <f t="shared" si="492"/>
        <v>0.31288444451892145</v>
      </c>
      <c r="AEH60" s="134">
        <f t="shared" si="493"/>
        <v>0.35265950860902973</v>
      </c>
      <c r="AEI60" s="133">
        <f t="shared" si="494"/>
        <v>0.39225553545888575</v>
      </c>
      <c r="AEJ60" s="133">
        <f t="shared" si="311"/>
        <v>0.4276444548206611</v>
      </c>
      <c r="AEK60" s="133">
        <f t="shared" si="312"/>
        <v>0.44880189209298998</v>
      </c>
      <c r="AEL60" s="133">
        <f t="shared" si="313"/>
        <v>0.46712046418307268</v>
      </c>
      <c r="AEM60" s="133">
        <f t="shared" si="314"/>
        <v>0.48838379216088057</v>
      </c>
      <c r="AEN60" s="81"/>
    </row>
    <row r="61" spans="1:820">
      <c r="A61" s="81"/>
      <c r="B61" s="81">
        <v>60</v>
      </c>
      <c r="C61" s="133">
        <f t="shared" si="0"/>
        <v>2.2778954485394838</v>
      </c>
      <c r="D61" s="133">
        <f t="shared" si="1"/>
        <v>2.751116498600886</v>
      </c>
      <c r="E61" s="133">
        <f t="shared" si="2"/>
        <v>3.2535957868935457</v>
      </c>
      <c r="F61" s="133">
        <f t="shared" si="315"/>
        <v>3.974202103840291</v>
      </c>
      <c r="G61" s="133">
        <f t="shared" si="316"/>
        <v>5.6456292551963339</v>
      </c>
      <c r="H61" s="134">
        <f t="shared" si="317"/>
        <v>8.5926012911336542</v>
      </c>
      <c r="I61" s="133">
        <f t="shared" si="318"/>
        <v>13.546407894034109</v>
      </c>
      <c r="J61" s="133">
        <f t="shared" si="3"/>
        <v>21.1102055619514</v>
      </c>
      <c r="K61" s="133">
        <f t="shared" si="4"/>
        <v>28.054976395259697</v>
      </c>
      <c r="L61" s="133">
        <f t="shared" si="5"/>
        <v>36.361398601679909</v>
      </c>
      <c r="M61" s="133">
        <f t="shared" si="6"/>
        <v>49.972982680397159</v>
      </c>
      <c r="N61" s="81"/>
      <c r="O61" s="75">
        <v>60</v>
      </c>
      <c r="P61" s="151">
        <f t="shared" si="7"/>
        <v>2.9927397022195503</v>
      </c>
      <c r="Q61" s="151">
        <f t="shared" si="8"/>
        <v>3.4607811799732238</v>
      </c>
      <c r="R61" s="151">
        <f t="shared" si="9"/>
        <v>3.949755935040578</v>
      </c>
      <c r="S61" s="151">
        <f t="shared" si="319"/>
        <v>4.6427607581347194</v>
      </c>
      <c r="T61" s="151">
        <f t="shared" si="320"/>
        <v>6.2393876988822576</v>
      </c>
      <c r="U61" s="134">
        <f t="shared" si="321"/>
        <v>9.0975805986753588</v>
      </c>
      <c r="V61" s="151">
        <f t="shared" si="322"/>
        <v>14.195214035205067</v>
      </c>
      <c r="W61" s="151">
        <f t="shared" si="10"/>
        <v>22.961387073602186</v>
      </c>
      <c r="X61" s="151">
        <f t="shared" si="11"/>
        <v>32.273628265387984</v>
      </c>
      <c r="Y61" s="151">
        <f t="shared" si="12"/>
        <v>45.278181328771424</v>
      </c>
      <c r="Z61" s="151">
        <f t="shared" si="13"/>
        <v>71.88904671554225</v>
      </c>
      <c r="AA61" s="81"/>
      <c r="AB61" s="75">
        <v>62</v>
      </c>
      <c r="AC61" s="151">
        <f t="shared" si="14"/>
        <v>2.0386352953329414</v>
      </c>
      <c r="AD61" s="151">
        <f t="shared" si="15"/>
        <v>2.4523187798091444</v>
      </c>
      <c r="AE61" s="151">
        <f t="shared" si="16"/>
        <v>2.893064632507313</v>
      </c>
      <c r="AF61" s="151">
        <f t="shared" si="323"/>
        <v>3.5283571442193509</v>
      </c>
      <c r="AG61" s="151">
        <f t="shared" si="324"/>
        <v>5.0183336335070345</v>
      </c>
      <c r="AH61" s="134">
        <f t="shared" si="325"/>
        <v>7.7039220882421402</v>
      </c>
      <c r="AI61" s="151">
        <f t="shared" si="326"/>
        <v>12.380901136460986</v>
      </c>
      <c r="AJ61" s="151">
        <f t="shared" si="17"/>
        <v>19.879904653463896</v>
      </c>
      <c r="AK61" s="151">
        <f t="shared" si="18"/>
        <v>27.108096932945159</v>
      </c>
      <c r="AL61" s="151">
        <f t="shared" si="19"/>
        <v>36.145009459542962</v>
      </c>
      <c r="AM61" s="151">
        <f t="shared" si="20"/>
        <v>51.795374097310706</v>
      </c>
      <c r="AN61" s="81"/>
      <c r="AO61" s="81">
        <v>60</v>
      </c>
      <c r="AP61" s="133">
        <f t="shared" si="21"/>
        <v>1.956470676767835</v>
      </c>
      <c r="AQ61" s="133">
        <f t="shared" si="22"/>
        <v>4.668220747889742</v>
      </c>
      <c r="AR61" s="133">
        <f t="shared" si="23"/>
        <v>7.3029436582102383</v>
      </c>
      <c r="AS61" s="133">
        <f t="shared" si="327"/>
        <v>10.691702708722019</v>
      </c>
      <c r="AT61" s="133">
        <f t="shared" si="328"/>
        <v>17.191975343039029</v>
      </c>
      <c r="AU61" s="134">
        <f t="shared" si="329"/>
        <v>25.703070870406204</v>
      </c>
      <c r="AV61" s="133">
        <f t="shared" si="330"/>
        <v>35.568271786442871</v>
      </c>
      <c r="AW61" s="133">
        <f t="shared" si="24"/>
        <v>45.586515293500085</v>
      </c>
      <c r="AX61" s="133">
        <f t="shared" si="25"/>
        <v>52.126447572935888</v>
      </c>
      <c r="AY61" s="133">
        <f t="shared" si="26"/>
        <v>58.125543113006664</v>
      </c>
      <c r="AZ61" s="133">
        <f t="shared" si="27"/>
        <v>65.484410085126015</v>
      </c>
      <c r="BA61" s="81"/>
      <c r="BB61" s="81">
        <v>60</v>
      </c>
      <c r="BC61" s="133">
        <f t="shared" si="28"/>
        <v>4.8068545094784829</v>
      </c>
      <c r="BD61" s="133">
        <f t="shared" si="29"/>
        <v>7.9531237042095837</v>
      </c>
      <c r="BE61" s="133">
        <f t="shared" si="30"/>
        <v>10.899983692199804</v>
      </c>
      <c r="BF61" s="133">
        <f t="shared" si="331"/>
        <v>14.56458139386838</v>
      </c>
      <c r="BG61" s="133">
        <f t="shared" si="332"/>
        <v>21.290937122327193</v>
      </c>
      <c r="BH61" s="134">
        <f t="shared" si="333"/>
        <v>29.654470682519307</v>
      </c>
      <c r="BI61" s="133">
        <f t="shared" si="334"/>
        <v>38.892447409316702</v>
      </c>
      <c r="BJ61" s="133">
        <f t="shared" si="31"/>
        <v>47.897102034376502</v>
      </c>
      <c r="BK61" s="133">
        <f t="shared" si="32"/>
        <v>53.61066484615737</v>
      </c>
      <c r="BL61" s="133">
        <f t="shared" si="33"/>
        <v>58.754032582109481</v>
      </c>
      <c r="BM61" s="133">
        <f t="shared" si="34"/>
        <v>64.950152633472058</v>
      </c>
      <c r="BN61" s="81"/>
      <c r="BO61" s="75">
        <v>62</v>
      </c>
      <c r="BP61" s="151">
        <f t="shared" si="35"/>
        <v>5.0703089938544883</v>
      </c>
      <c r="BQ61" s="151">
        <f t="shared" si="36"/>
        <v>6.5177279922417029</v>
      </c>
      <c r="BR61" s="151">
        <f t="shared" si="37"/>
        <v>8.0307939897855665</v>
      </c>
      <c r="BS61" s="151">
        <f t="shared" si="335"/>
        <v>10.137340387468585</v>
      </c>
      <c r="BT61" s="151">
        <f t="shared" si="336"/>
        <v>14.6991019977196</v>
      </c>
      <c r="BU61" s="134">
        <f t="shared" si="337"/>
        <v>21.740679943492093</v>
      </c>
      <c r="BV61" s="151">
        <f t="shared" si="338"/>
        <v>31.473547642797559</v>
      </c>
      <c r="BW61" s="151">
        <f t="shared" si="38"/>
        <v>43.149353298417751</v>
      </c>
      <c r="BX61" s="151">
        <f t="shared" si="39"/>
        <v>51.778656067805869</v>
      </c>
      <c r="BY61" s="151">
        <f t="shared" si="40"/>
        <v>60.413764943379228</v>
      </c>
      <c r="BZ61" s="151">
        <f t="shared" si="41"/>
        <v>71.969003610251491</v>
      </c>
      <c r="CA61" s="81"/>
      <c r="CB61" s="81">
        <v>60</v>
      </c>
      <c r="CC61" s="133">
        <f t="shared" si="42"/>
        <v>-3.4594562033389673</v>
      </c>
      <c r="CD61" s="133">
        <f t="shared" si="43"/>
        <v>-0.74119535404899395</v>
      </c>
      <c r="CE61" s="133">
        <f t="shared" si="44"/>
        <v>1.9221727686619063</v>
      </c>
      <c r="CF61" s="133">
        <f t="shared" si="339"/>
        <v>5.3088207252601132</v>
      </c>
      <c r="CG61" s="133">
        <f t="shared" si="340"/>
        <v>11.604555011727324</v>
      </c>
      <c r="CH61" s="134">
        <f t="shared" si="341"/>
        <v>19.439728851839281</v>
      </c>
      <c r="CI61" s="133">
        <f t="shared" si="342"/>
        <v>28.022357330561004</v>
      </c>
      <c r="CJ61" s="133">
        <f t="shared" si="45"/>
        <v>36.289445797745856</v>
      </c>
      <c r="CK61" s="133">
        <f t="shared" si="46"/>
        <v>41.48188099855188</v>
      </c>
      <c r="CL61" s="133">
        <f t="shared" si="47"/>
        <v>46.121238450937348</v>
      </c>
      <c r="CM61" s="133">
        <f t="shared" si="48"/>
        <v>51.667437900006632</v>
      </c>
      <c r="CN61" s="81"/>
      <c r="CO61" s="81">
        <v>60</v>
      </c>
      <c r="CP61" s="133">
        <f t="shared" si="49"/>
        <v>2.4494516828634323</v>
      </c>
      <c r="CQ61" s="133">
        <f t="shared" si="50"/>
        <v>5.2021112229796875</v>
      </c>
      <c r="CR61" s="133">
        <f t="shared" si="51"/>
        <v>7.7486974280486089</v>
      </c>
      <c r="CS61" s="133">
        <f t="shared" si="343"/>
        <v>10.872698771021671</v>
      </c>
      <c r="CT61" s="133">
        <f t="shared" si="344"/>
        <v>16.492444629364321</v>
      </c>
      <c r="CU61" s="134">
        <f t="shared" si="345"/>
        <v>23.300538446502106</v>
      </c>
      <c r="CV61" s="133">
        <f t="shared" si="346"/>
        <v>30.627446997302538</v>
      </c>
      <c r="CW61" s="133">
        <f t="shared" si="52"/>
        <v>37.606304579942297</v>
      </c>
      <c r="CX61" s="133">
        <f t="shared" si="53"/>
        <v>41.962254054721292</v>
      </c>
      <c r="CY61" s="133">
        <f t="shared" si="54"/>
        <v>45.840447802033346</v>
      </c>
      <c r="CZ61" s="133">
        <f t="shared" si="55"/>
        <v>50.462669709836938</v>
      </c>
      <c r="DA61" s="81"/>
      <c r="DB61" s="81">
        <v>62</v>
      </c>
      <c r="DC61" s="133">
        <f t="shared" si="56"/>
        <v>-3.8956580062629902</v>
      </c>
      <c r="DD61" s="133">
        <f t="shared" si="57"/>
        <v>-1.7694793473273087</v>
      </c>
      <c r="DE61" s="133">
        <f t="shared" si="58"/>
        <v>0.38923390310330941</v>
      </c>
      <c r="DF61" s="133">
        <f t="shared" si="347"/>
        <v>3.2265527854154703</v>
      </c>
      <c r="DG61" s="133">
        <f t="shared" si="348"/>
        <v>8.7262943141472711</v>
      </c>
      <c r="DH61" s="134">
        <f t="shared" si="349"/>
        <v>15.89700482667358</v>
      </c>
      <c r="DI61" s="133">
        <f t="shared" si="350"/>
        <v>24.081825454524441</v>
      </c>
      <c r="DJ61" s="133">
        <f t="shared" si="59"/>
        <v>32.234278026307777</v>
      </c>
      <c r="DK61" s="133">
        <f t="shared" si="60"/>
        <v>37.471471898171636</v>
      </c>
      <c r="DL61" s="133">
        <f t="shared" si="61"/>
        <v>42.21970151546865</v>
      </c>
      <c r="DM61" s="133">
        <f t="shared" si="62"/>
        <v>47.975112583561526</v>
      </c>
      <c r="DN61" s="81"/>
      <c r="DO61" s="81">
        <v>60</v>
      </c>
      <c r="DP61" s="133">
        <v>13.463131363068243</v>
      </c>
      <c r="DQ61" s="133">
        <v>14.637354269616818</v>
      </c>
      <c r="DR61" s="133">
        <v>15.728841413221453</v>
      </c>
      <c r="DS61" s="133">
        <v>17.08864950693226</v>
      </c>
      <c r="DT61" s="133">
        <v>19.623680973040152</v>
      </c>
      <c r="DU61" s="134">
        <v>22.894807239827355</v>
      </c>
      <c r="DV61" s="133">
        <v>26.711206693024682</v>
      </c>
      <c r="DW61" s="133">
        <v>30.673705276488523</v>
      </c>
      <c r="DX61" s="133">
        <v>33.325544124835481</v>
      </c>
      <c r="DY61" s="133">
        <v>35.810583585921037</v>
      </c>
      <c r="DZ61" s="133">
        <v>38.933899136329352</v>
      </c>
      <c r="EA61" s="81"/>
      <c r="EB61" s="81">
        <v>60</v>
      </c>
      <c r="EC61" s="133">
        <v>12.889189696071988</v>
      </c>
      <c r="ED61" s="133">
        <v>13.99667123102852</v>
      </c>
      <c r="EE61" s="133">
        <v>15.024981914737193</v>
      </c>
      <c r="EF61" s="133">
        <v>16.304668141235101</v>
      </c>
      <c r="EG61" s="133">
        <v>18.686540941254179</v>
      </c>
      <c r="EH61" s="134">
        <v>21.753622577061378</v>
      </c>
      <c r="EI61" s="133">
        <v>25.324114115764942</v>
      </c>
      <c r="EJ61" s="133">
        <v>29.02359564304431</v>
      </c>
      <c r="EK61" s="133">
        <v>31.495551735811304</v>
      </c>
      <c r="EL61" s="133">
        <v>33.809474225284099</v>
      </c>
      <c r="EM61" s="133">
        <v>36.714495354929056</v>
      </c>
      <c r="EN61" s="81"/>
      <c r="EO61" s="81">
        <v>62</v>
      </c>
      <c r="EP61" s="133">
        <v>12.409385865806136</v>
      </c>
      <c r="EQ61" s="133">
        <v>13.701819866477456</v>
      </c>
      <c r="ER61" s="133">
        <v>14.920542838614722</v>
      </c>
      <c r="ES61" s="133">
        <v>16.460788694197056</v>
      </c>
      <c r="ET61" s="133">
        <v>19.39211160063288</v>
      </c>
      <c r="EU61" s="134">
        <v>23.278527443709514</v>
      </c>
      <c r="EV61" s="133">
        <v>27.943828454960613</v>
      </c>
      <c r="EW61" s="133">
        <v>32.920041075466209</v>
      </c>
      <c r="EX61" s="133">
        <v>36.318372984735717</v>
      </c>
      <c r="EY61" s="133">
        <v>39.548749379877016</v>
      </c>
      <c r="EZ61" s="133">
        <v>43.667740354557417</v>
      </c>
      <c r="FA61" s="81"/>
      <c r="FB61" s="81">
        <v>60</v>
      </c>
      <c r="FC61" s="133">
        <v>9.3331633585328238</v>
      </c>
      <c r="FD61" s="133">
        <v>10.115224062766202</v>
      </c>
      <c r="FE61" s="133">
        <v>10.840055416028431</v>
      </c>
      <c r="FF61" s="133">
        <v>11.740434590618682</v>
      </c>
      <c r="FG61" s="133">
        <v>13.411920116807709</v>
      </c>
      <c r="FH61" s="134">
        <v>15.556857373264238</v>
      </c>
      <c r="FI61" s="133">
        <v>18.044829466945128</v>
      </c>
      <c r="FJ61" s="133">
        <v>20.613871613021129</v>
      </c>
      <c r="FK61" s="133">
        <v>22.326067722332297</v>
      </c>
      <c r="FL61" s="133">
        <v>23.92589722485118</v>
      </c>
      <c r="FM61" s="133">
        <v>25.93073773972073</v>
      </c>
      <c r="FN61" s="81"/>
      <c r="FO61" s="81">
        <v>60</v>
      </c>
      <c r="FP61" s="133">
        <v>9.2784750811511127</v>
      </c>
      <c r="FQ61" s="133">
        <v>10.001401281119316</v>
      </c>
      <c r="FR61" s="133">
        <v>10.66805048536988</v>
      </c>
      <c r="FS61" s="133">
        <v>11.4919892865961</v>
      </c>
      <c r="FT61" s="133">
        <v>13.010508124721273</v>
      </c>
      <c r="FU61" s="134">
        <v>14.940655098379862</v>
      </c>
      <c r="FV61" s="133">
        <v>17.157145026841626</v>
      </c>
      <c r="FW61" s="133">
        <v>19.424241460884822</v>
      </c>
      <c r="FX61" s="133">
        <v>20.924458041782938</v>
      </c>
      <c r="FY61" s="133">
        <v>22.319189930929554</v>
      </c>
      <c r="FZ61" s="133">
        <v>24.058174734145052</v>
      </c>
      <c r="GA61" s="81"/>
      <c r="GB61" s="81">
        <v>62</v>
      </c>
      <c r="GC61" s="133">
        <v>8.5579466447786583</v>
      </c>
      <c r="GD61" s="133">
        <v>9.4238851152863727</v>
      </c>
      <c r="GE61" s="133">
        <v>10.238402339911845</v>
      </c>
      <c r="GF61" s="133">
        <v>11.265240644656137</v>
      </c>
      <c r="GG61" s="133">
        <v>13.212458282345812</v>
      </c>
      <c r="GH61" s="134">
        <v>15.781977328564055</v>
      </c>
      <c r="GI61" s="133">
        <v>18.85120869082423</v>
      </c>
      <c r="GJ61" s="133">
        <v>22.109674906719459</v>
      </c>
      <c r="GK61" s="133">
        <v>24.327116685810427</v>
      </c>
      <c r="GL61" s="133">
        <v>26.429737348484345</v>
      </c>
      <c r="GM61" s="133">
        <v>29.104038472975521</v>
      </c>
      <c r="GN61" s="81"/>
      <c r="GO61" s="81">
        <v>60</v>
      </c>
      <c r="GP61" s="133">
        <f t="shared" si="63"/>
        <v>0.50706728600051898</v>
      </c>
      <c r="GQ61" s="133">
        <f t="shared" si="64"/>
        <v>0.53931376704282141</v>
      </c>
      <c r="GR61" s="133">
        <f t="shared" si="65"/>
        <v>0.56549538971220892</v>
      </c>
      <c r="GS61" s="133">
        <f t="shared" si="351"/>
        <v>0.59416975888198587</v>
      </c>
      <c r="GT61" s="133">
        <f t="shared" si="352"/>
        <v>0.64025318819259847</v>
      </c>
      <c r="GU61" s="134">
        <f t="shared" si="353"/>
        <v>0.68530389842747375</v>
      </c>
      <c r="GV61" s="133">
        <f t="shared" si="354"/>
        <v>0.72741401392307847</v>
      </c>
      <c r="GW61" s="133">
        <f t="shared" si="66"/>
        <v>0.76509718506159774</v>
      </c>
      <c r="GX61" s="133">
        <f t="shared" si="67"/>
        <v>0.78616225456795996</v>
      </c>
      <c r="GY61" s="133">
        <f t="shared" si="68"/>
        <v>0.80396007013889281</v>
      </c>
      <c r="GZ61" s="133">
        <f t="shared" si="69"/>
        <v>0.82414255197073538</v>
      </c>
      <c r="HA61" s="81"/>
      <c r="HB61" s="81">
        <v>60</v>
      </c>
      <c r="HC61" s="133">
        <f t="shared" si="70"/>
        <v>0.49914464490572308</v>
      </c>
      <c r="HD61" s="133">
        <f t="shared" si="71"/>
        <v>0.53306936148227768</v>
      </c>
      <c r="HE61" s="133">
        <f t="shared" si="72"/>
        <v>0.56054482964478614</v>
      </c>
      <c r="HF61" s="133">
        <f t="shared" si="355"/>
        <v>0.59057810397853228</v>
      </c>
      <c r="HG61" s="133">
        <f t="shared" si="356"/>
        <v>0.63742092909972869</v>
      </c>
      <c r="HH61" s="134">
        <f t="shared" si="357"/>
        <v>0.68573240175515981</v>
      </c>
      <c r="HI61" s="133">
        <f t="shared" si="358"/>
        <v>0.73073834998797049</v>
      </c>
      <c r="HJ61" s="133">
        <f t="shared" si="73"/>
        <v>0.76879385067244943</v>
      </c>
      <c r="HK61" s="133">
        <f t="shared" si="74"/>
        <v>0.79069511144424653</v>
      </c>
      <c r="HL61" s="133">
        <f t="shared" si="75"/>
        <v>0.80919257693709901</v>
      </c>
      <c r="HM61" s="133">
        <f t="shared" si="76"/>
        <v>0.83016167744786018</v>
      </c>
      <c r="HN61" s="81"/>
      <c r="HO61" s="81">
        <v>62</v>
      </c>
      <c r="HP61" s="83">
        <f t="shared" si="77"/>
        <v>0.51451640877442228</v>
      </c>
      <c r="HQ61" s="83">
        <f t="shared" si="78"/>
        <v>0.54555039422662077</v>
      </c>
      <c r="HR61" s="83">
        <f t="shared" si="79"/>
        <v>0.57079126831788507</v>
      </c>
      <c r="HS61" s="83">
        <f t="shared" si="359"/>
        <v>0.59847248055853097</v>
      </c>
      <c r="HT61" s="83">
        <f t="shared" si="360"/>
        <v>0.64180060179149956</v>
      </c>
      <c r="HU61" s="84">
        <f t="shared" si="361"/>
        <v>0.68664151874803214</v>
      </c>
      <c r="HV61" s="83">
        <f t="shared" si="362"/>
        <v>0.72852231431861014</v>
      </c>
      <c r="HW61" s="83">
        <f t="shared" si="80"/>
        <v>0.76399863648222988</v>
      </c>
      <c r="HX61" s="83">
        <f t="shared" si="81"/>
        <v>0.78443710556904478</v>
      </c>
      <c r="HY61" s="83">
        <f t="shared" si="82"/>
        <v>0.80170967338244814</v>
      </c>
      <c r="HZ61" s="83">
        <f t="shared" si="83"/>
        <v>0.82130059760257157</v>
      </c>
      <c r="IA61" s="81"/>
      <c r="IB61" s="81">
        <v>60</v>
      </c>
      <c r="IC61" s="83">
        <f t="shared" si="84"/>
        <v>0.33751130525572853</v>
      </c>
      <c r="ID61" s="83">
        <f t="shared" si="85"/>
        <v>0.35083668683340458</v>
      </c>
      <c r="IE61" s="83">
        <f t="shared" si="86"/>
        <v>0.36132491968830671</v>
      </c>
      <c r="IF61" s="83">
        <f t="shared" si="363"/>
        <v>0.37250708848745184</v>
      </c>
      <c r="IG61" s="83">
        <f t="shared" si="364"/>
        <v>0.3894157255517518</v>
      </c>
      <c r="IH61" s="84">
        <f t="shared" si="365"/>
        <v>0.40624720838111156</v>
      </c>
      <c r="II61" s="83">
        <f t="shared" si="366"/>
        <v>0.42143301219792384</v>
      </c>
      <c r="IJ61" s="83">
        <f t="shared" si="87"/>
        <v>0.4339372909901939</v>
      </c>
      <c r="IK61" s="83">
        <f t="shared" si="88"/>
        <v>0.44100403043448905</v>
      </c>
      <c r="IL61" s="83">
        <f t="shared" si="89"/>
        <v>0.44690259384774234</v>
      </c>
      <c r="IM61" s="83">
        <f t="shared" si="90"/>
        <v>0.45351496923376761</v>
      </c>
      <c r="IN61" s="81"/>
      <c r="IO61" s="81">
        <v>60</v>
      </c>
      <c r="IP61" s="133">
        <f t="shared" si="91"/>
        <v>0.33371653153889341</v>
      </c>
      <c r="IQ61" s="133">
        <f t="shared" si="92"/>
        <v>0.34792876895879277</v>
      </c>
      <c r="IR61" s="133">
        <f t="shared" si="93"/>
        <v>0.35905888040736517</v>
      </c>
      <c r="IS61" s="133">
        <f t="shared" si="367"/>
        <v>0.37087959224761413</v>
      </c>
      <c r="IT61" s="133">
        <f t="shared" si="368"/>
        <v>0.38867898432295628</v>
      </c>
      <c r="IU61" s="134">
        <f t="shared" si="369"/>
        <v>0.40632437831939838</v>
      </c>
      <c r="IV61" s="133">
        <f t="shared" si="370"/>
        <v>0.42219446043749892</v>
      </c>
      <c r="IW61" s="133">
        <f t="shared" si="94"/>
        <v>0.43523283311458005</v>
      </c>
      <c r="IX61" s="133">
        <f t="shared" si="95"/>
        <v>0.44259131178413058</v>
      </c>
      <c r="IY61" s="133">
        <f t="shared" si="96"/>
        <v>0.44872837154432837</v>
      </c>
      <c r="IZ61" s="133">
        <f t="shared" si="97"/>
        <v>0.45560310195891379</v>
      </c>
      <c r="JA61" s="81"/>
      <c r="JB61" s="81">
        <v>62</v>
      </c>
      <c r="JC61" s="133">
        <f t="shared" si="98"/>
        <v>0.34108157864710276</v>
      </c>
      <c r="JD61" s="133">
        <f t="shared" si="99"/>
        <v>0.35372967926733023</v>
      </c>
      <c r="JE61" s="133">
        <f t="shared" si="100"/>
        <v>0.36372254822602368</v>
      </c>
      <c r="JF61" s="133">
        <f t="shared" si="371"/>
        <v>0.37440791646981592</v>
      </c>
      <c r="JG61" s="133">
        <f t="shared" si="372"/>
        <v>0.39061734985723756</v>
      </c>
      <c r="JH61" s="134">
        <f t="shared" si="373"/>
        <v>0.40680421136571837</v>
      </c>
      <c r="JI61" s="133">
        <f t="shared" si="374"/>
        <v>0.42144423028955696</v>
      </c>
      <c r="JJ61" s="133">
        <f t="shared" si="101"/>
        <v>0.43352028662999337</v>
      </c>
      <c r="JK61" s="133">
        <f t="shared" si="102"/>
        <v>0.44035234699637543</v>
      </c>
      <c r="JL61" s="133">
        <f t="shared" si="103"/>
        <v>0.4460586752142513</v>
      </c>
      <c r="JM61" s="133">
        <f t="shared" si="104"/>
        <v>0.45245919803746876</v>
      </c>
      <c r="JN61" s="81"/>
      <c r="JO61" s="81">
        <v>59</v>
      </c>
      <c r="JP61" s="133">
        <f t="shared" si="105"/>
        <v>-0.41738015723971245</v>
      </c>
      <c r="JQ61" s="133">
        <f t="shared" si="106"/>
        <v>1.0263671025258354</v>
      </c>
      <c r="JR61" s="133">
        <f t="shared" si="107"/>
        <v>2.2815783616147591</v>
      </c>
      <c r="JS61" s="133">
        <f t="shared" si="375"/>
        <v>3.74366059305056</v>
      </c>
      <c r="JT61" s="133">
        <f t="shared" si="376"/>
        <v>6.2165978697509132</v>
      </c>
      <c r="JU61" s="134">
        <f t="shared" si="377"/>
        <v>9.0202169800331298</v>
      </c>
      <c r="JV61" s="133">
        <f t="shared" si="378"/>
        <v>11.870740246568278</v>
      </c>
      <c r="JW61" s="133">
        <f t="shared" si="108"/>
        <v>14.465909196470403</v>
      </c>
      <c r="JX61" s="133">
        <f t="shared" si="109"/>
        <v>16.037945184423602</v>
      </c>
      <c r="JY61" s="133">
        <f t="shared" si="110"/>
        <v>17.411045705961033</v>
      </c>
      <c r="JZ61" s="133">
        <f t="shared" si="111"/>
        <v>19.01849267079859</v>
      </c>
      <c r="KA61" s="81"/>
      <c r="KB61" s="81">
        <v>59</v>
      </c>
      <c r="KC61" s="133">
        <f t="shared" si="112"/>
        <v>1.0475901693000473</v>
      </c>
      <c r="KD61" s="133">
        <f t="shared" si="113"/>
        <v>2.4356269005975211</v>
      </c>
      <c r="KE61" s="133">
        <f t="shared" si="114"/>
        <v>3.6645195675892062</v>
      </c>
      <c r="KF61" s="133">
        <f t="shared" si="379"/>
        <v>5.1203435027269837</v>
      </c>
      <c r="KG61" s="133">
        <f t="shared" si="380"/>
        <v>7.6384142581626318</v>
      </c>
      <c r="KH61" s="134">
        <f t="shared" si="381"/>
        <v>10.57115894932827</v>
      </c>
      <c r="KI61" s="133">
        <f t="shared" si="382"/>
        <v>13.630520775402873</v>
      </c>
      <c r="KJ61" s="133">
        <f t="shared" si="115"/>
        <v>16.478381172680649</v>
      </c>
      <c r="KK61" s="133">
        <f t="shared" si="116"/>
        <v>18.230655100070301</v>
      </c>
      <c r="KL61" s="133">
        <f t="shared" si="117"/>
        <v>19.777170026581885</v>
      </c>
      <c r="KM61" s="133">
        <f t="shared" si="118"/>
        <v>21.605873383926152</v>
      </c>
      <c r="KN61" s="81"/>
      <c r="KO61" s="81">
        <v>61</v>
      </c>
      <c r="KP61" s="133">
        <f t="shared" si="119"/>
        <v>8.0991506546109093E-2</v>
      </c>
      <c r="KQ61" s="133">
        <f t="shared" si="120"/>
        <v>1.3506539989103672</v>
      </c>
      <c r="KR61" s="133">
        <f t="shared" si="121"/>
        <v>2.4391706925967789</v>
      </c>
      <c r="KS61" s="133">
        <f t="shared" si="383"/>
        <v>3.6904164419013661</v>
      </c>
      <c r="KT61" s="133">
        <f t="shared" si="384"/>
        <v>5.7693726412848036</v>
      </c>
      <c r="KU61" s="134">
        <f t="shared" si="385"/>
        <v>8.0752191458062867</v>
      </c>
      <c r="KV61" s="133">
        <f t="shared" si="386"/>
        <v>10.370133492155755</v>
      </c>
      <c r="KW61" s="133">
        <f t="shared" si="122"/>
        <v>12.420541557705103</v>
      </c>
      <c r="KX61" s="133">
        <f t="shared" si="123"/>
        <v>13.646032739979372</v>
      </c>
      <c r="KY61" s="133">
        <f t="shared" si="124"/>
        <v>14.706856735395863</v>
      </c>
      <c r="KZ61" s="133">
        <f t="shared" si="125"/>
        <v>15.937926221749546</v>
      </c>
      <c r="LA61" s="81"/>
      <c r="LB61" s="81">
        <v>59</v>
      </c>
      <c r="LC61" s="133">
        <f t="shared" si="126"/>
        <v>0.52465958081699426</v>
      </c>
      <c r="LD61" s="133">
        <f t="shared" si="127"/>
        <v>4.2297579955274998</v>
      </c>
      <c r="LE61" s="133">
        <f t="shared" si="128"/>
        <v>7.473573461028252</v>
      </c>
      <c r="LF61" s="133">
        <f t="shared" si="387"/>
        <v>11.275930084538359</v>
      </c>
      <c r="LG61" s="133">
        <f t="shared" si="388"/>
        <v>17.759458595138405</v>
      </c>
      <c r="LH61" s="134">
        <f t="shared" si="389"/>
        <v>25.179468404085064</v>
      </c>
      <c r="LI61" s="133">
        <f t="shared" si="390"/>
        <v>32.789011660691365</v>
      </c>
      <c r="LJ61" s="133">
        <f t="shared" si="129"/>
        <v>39.767049136139967</v>
      </c>
      <c r="LK61" s="133">
        <f t="shared" si="130"/>
        <v>44.014986708352716</v>
      </c>
      <c r="LL61" s="133">
        <f t="shared" si="131"/>
        <v>47.737351246581106</v>
      </c>
      <c r="LM61" s="133">
        <f t="shared" si="132"/>
        <v>52.108402013485367</v>
      </c>
      <c r="LN61" s="81"/>
      <c r="LO61" s="81">
        <v>59</v>
      </c>
      <c r="LP61" s="133">
        <f t="shared" si="133"/>
        <v>5.2073991280633543</v>
      </c>
      <c r="LQ61" s="133">
        <f t="shared" si="134"/>
        <v>8.9647465690299235</v>
      </c>
      <c r="LR61" s="133">
        <f t="shared" si="135"/>
        <v>12.262620476423844</v>
      </c>
      <c r="LS61" s="133">
        <f t="shared" si="391"/>
        <v>16.137478024096328</v>
      </c>
      <c r="LT61" s="133">
        <f t="shared" si="392"/>
        <v>22.765413766557625</v>
      </c>
      <c r="LU61" s="134">
        <f t="shared" si="393"/>
        <v>30.379600656122921</v>
      </c>
      <c r="LV61" s="133">
        <f t="shared" si="394"/>
        <v>38.216823809667645</v>
      </c>
      <c r="LW61" s="133">
        <f t="shared" si="136"/>
        <v>45.426493303605895</v>
      </c>
      <c r="LX61" s="133">
        <f t="shared" si="137"/>
        <v>49.82529131828403</v>
      </c>
      <c r="LY61" s="133">
        <f t="shared" si="138"/>
        <v>53.685618578245737</v>
      </c>
      <c r="LZ61" s="133">
        <f t="shared" si="139"/>
        <v>58.225234320967701</v>
      </c>
      <c r="MA61" s="81"/>
      <c r="MB61" s="81">
        <v>61</v>
      </c>
      <c r="MC61" s="133">
        <f t="shared" si="140"/>
        <v>1.8573345688923766</v>
      </c>
      <c r="MD61" s="133">
        <f t="shared" si="141"/>
        <v>4.8936370606721056</v>
      </c>
      <c r="ME61" s="133">
        <f t="shared" si="142"/>
        <v>7.527479379429856</v>
      </c>
      <c r="MF61" s="133">
        <f t="shared" si="395"/>
        <v>10.58860171927769</v>
      </c>
      <c r="MG61" s="133">
        <f t="shared" si="396"/>
        <v>15.750043804049305</v>
      </c>
      <c r="MH61" s="134">
        <f t="shared" si="397"/>
        <v>21.578380485331273</v>
      </c>
      <c r="MI61" s="133">
        <f t="shared" si="398"/>
        <v>27.480303317770897</v>
      </c>
      <c r="MJ61" s="133">
        <f t="shared" si="143"/>
        <v>32.833761698805851</v>
      </c>
      <c r="MK61" s="133">
        <f t="shared" si="144"/>
        <v>36.06792944920209</v>
      </c>
      <c r="ML61" s="133">
        <f t="shared" si="145"/>
        <v>38.887647526727896</v>
      </c>
      <c r="MM61" s="133">
        <f t="shared" si="146"/>
        <v>42.182657406497448</v>
      </c>
      <c r="MN61" s="81"/>
      <c r="MO61" s="81">
        <v>59</v>
      </c>
      <c r="MP61" s="133">
        <f t="shared" si="147"/>
        <v>-5.7064731254520353</v>
      </c>
      <c r="MQ61" s="133">
        <f t="shared" si="148"/>
        <v>-1.5797446714379859</v>
      </c>
      <c r="MR61" s="133">
        <f t="shared" si="149"/>
        <v>1.9819037729642233</v>
      </c>
      <c r="MS61" s="133">
        <f t="shared" si="399"/>
        <v>6.1011851224483493</v>
      </c>
      <c r="MT61" s="133">
        <f t="shared" si="400"/>
        <v>13.000515105730074</v>
      </c>
      <c r="MU61" s="134">
        <f t="shared" si="401"/>
        <v>20.726447679704236</v>
      </c>
      <c r="MV61" s="133">
        <f t="shared" si="402"/>
        <v>28.485706456375418</v>
      </c>
      <c r="MW61" s="133">
        <f t="shared" si="150"/>
        <v>35.472519339782288</v>
      </c>
      <c r="MX61" s="133">
        <f t="shared" si="151"/>
        <v>39.671314464785446</v>
      </c>
      <c r="MY61" s="133">
        <f t="shared" si="152"/>
        <v>43.319124796479649</v>
      </c>
      <c r="MZ61" s="133">
        <f t="shared" si="153"/>
        <v>47.567161114883056</v>
      </c>
      <c r="NA61" s="81"/>
      <c r="NB61" s="81">
        <v>59</v>
      </c>
      <c r="NC61" s="133">
        <f t="shared" si="154"/>
        <v>3.4191827388089138</v>
      </c>
      <c r="ND61" s="133">
        <f t="shared" si="155"/>
        <v>7.0026439557046452</v>
      </c>
      <c r="NE61" s="133">
        <f t="shared" si="156"/>
        <v>10.097659484511961</v>
      </c>
      <c r="NF61" s="133">
        <f t="shared" si="403"/>
        <v>13.679761279389805</v>
      </c>
      <c r="NG61" s="133">
        <f t="shared" si="404"/>
        <v>19.685138205250173</v>
      </c>
      <c r="NH61" s="134">
        <f t="shared" si="405"/>
        <v>26.418045310064823</v>
      </c>
      <c r="NI61" s="133">
        <f t="shared" si="406"/>
        <v>33.187895217600683</v>
      </c>
      <c r="NJ61" s="133">
        <f t="shared" si="157"/>
        <v>39.290071994643256</v>
      </c>
      <c r="NK61" s="133">
        <f t="shared" si="158"/>
        <v>42.959924676210846</v>
      </c>
      <c r="NL61" s="133">
        <f t="shared" si="159"/>
        <v>46.149766351796657</v>
      </c>
      <c r="NM61" s="133">
        <f t="shared" si="160"/>
        <v>49.866244104017284</v>
      </c>
      <c r="NN61" s="81"/>
      <c r="NO61" s="81">
        <v>61</v>
      </c>
      <c r="NP61" s="133">
        <f t="shared" si="161"/>
        <v>-7.4184322316193452</v>
      </c>
      <c r="NQ61" s="133">
        <f t="shared" si="162"/>
        <v>-3.7275737076979283</v>
      </c>
      <c r="NR61" s="133">
        <f t="shared" si="163"/>
        <v>-0.55158663255243567</v>
      </c>
      <c r="NS61" s="133">
        <f t="shared" si="407"/>
        <v>3.1118395870840487</v>
      </c>
      <c r="NT61" s="133">
        <f t="shared" si="408"/>
        <v>9.2267423718239527</v>
      </c>
      <c r="NU61" s="134">
        <f t="shared" si="409"/>
        <v>16.047117672885747</v>
      </c>
      <c r="NV61" s="133">
        <f t="shared" si="410"/>
        <v>22.87189235061436</v>
      </c>
      <c r="NW61" s="133">
        <f t="shared" si="164"/>
        <v>28.998345218984376</v>
      </c>
      <c r="NX61" s="133">
        <f t="shared" si="165"/>
        <v>32.672271209690756</v>
      </c>
      <c r="NY61" s="133">
        <f t="shared" si="166"/>
        <v>35.859637794060866</v>
      </c>
      <c r="NZ61" s="133">
        <f t="shared" si="167"/>
        <v>39.566520623042003</v>
      </c>
      <c r="OA61" s="81"/>
      <c r="OB61" s="81">
        <v>59</v>
      </c>
      <c r="OC61" s="133">
        <v>14.269508558090651</v>
      </c>
      <c r="OD61" s="133">
        <v>15.599921536017973</v>
      </c>
      <c r="OE61" s="133">
        <v>16.842944744207053</v>
      </c>
      <c r="OF61" s="133">
        <v>18.39948921563207</v>
      </c>
      <c r="OG61" s="133">
        <v>21.322754780360242</v>
      </c>
      <c r="OH61" s="134">
        <v>25.131532555838646</v>
      </c>
      <c r="OI61" s="133">
        <v>29.620653387006069</v>
      </c>
      <c r="OJ61" s="133">
        <v>34.326709899565053</v>
      </c>
      <c r="OK61" s="133">
        <v>37.499020402736129</v>
      </c>
      <c r="OL61" s="133">
        <v>40.486993934355247</v>
      </c>
      <c r="OM61" s="133">
        <v>44.261785613287344</v>
      </c>
      <c r="ON61" s="81"/>
      <c r="OO61" s="81">
        <v>59</v>
      </c>
      <c r="OP61" s="133">
        <v>14.137221089380803</v>
      </c>
      <c r="OQ61" s="133">
        <v>15.189422568933979</v>
      </c>
      <c r="OR61" s="133">
        <v>16.156800043749083</v>
      </c>
      <c r="OS61" s="133">
        <v>17.348834488177847</v>
      </c>
      <c r="OT61" s="133">
        <v>25.300097456095692</v>
      </c>
      <c r="OU61" s="134">
        <v>22.300939500175087</v>
      </c>
      <c r="OV61" s="133">
        <v>25.45683479499019</v>
      </c>
      <c r="OW61" s="133">
        <v>28.666588693861261</v>
      </c>
      <c r="OX61" s="133">
        <v>30.781584301582203</v>
      </c>
      <c r="OY61" s="133">
        <v>32.741988731529048</v>
      </c>
      <c r="OZ61" s="133">
        <v>35.178901104124407</v>
      </c>
      <c r="PA61" s="81"/>
      <c r="PB61" s="81">
        <v>61</v>
      </c>
      <c r="PC61" s="133">
        <v>15.753857742365463</v>
      </c>
      <c r="PD61" s="133">
        <v>17.076047444318178</v>
      </c>
      <c r="PE61" s="133">
        <v>18.301623342987501</v>
      </c>
      <c r="PF61" s="133">
        <v>19.824197917702005</v>
      </c>
      <c r="PG61" s="133">
        <v>22.651209229123403</v>
      </c>
      <c r="PH61" s="134">
        <v>26.279765297203401</v>
      </c>
      <c r="PI61" s="133">
        <v>30.489589191032472</v>
      </c>
      <c r="PJ61" s="133">
        <v>34.837528708256173</v>
      </c>
      <c r="PK61" s="133">
        <v>37.735781746416386</v>
      </c>
      <c r="PL61" s="133">
        <v>40.444140620251808</v>
      </c>
      <c r="PM61" s="133">
        <v>43.838536272855627</v>
      </c>
      <c r="PN61" s="81"/>
      <c r="PO61" s="81">
        <v>59</v>
      </c>
      <c r="PP61" s="133">
        <v>9.7667315504310235</v>
      </c>
      <c r="PQ61" s="133">
        <v>10.605619011566091</v>
      </c>
      <c r="PR61" s="133">
        <v>11.38451608123882</v>
      </c>
      <c r="PS61" s="133">
        <v>12.353792706877316</v>
      </c>
      <c r="PT61" s="133">
        <v>14.157833234018685</v>
      </c>
      <c r="PU61" s="134">
        <v>16.480737763675457</v>
      </c>
      <c r="PV61" s="133">
        <v>19.184765969865904</v>
      </c>
      <c r="PW61" s="133">
        <v>21.986342468239027</v>
      </c>
      <c r="PX61" s="133">
        <v>23.858257592753318</v>
      </c>
      <c r="PY61" s="133">
        <v>25.610453943218729</v>
      </c>
      <c r="PZ61" s="133">
        <v>27.810195850325318</v>
      </c>
      <c r="QA61" s="81"/>
      <c r="QB61" s="81">
        <v>59</v>
      </c>
      <c r="QC61" s="133">
        <v>9.7570024959768968</v>
      </c>
      <c r="QD61" s="133">
        <v>10.58571310191719</v>
      </c>
      <c r="QE61" s="133">
        <v>11.35453134781161</v>
      </c>
      <c r="QF61" s="133">
        <v>12.310483295113681</v>
      </c>
      <c r="QG61" s="133">
        <v>14.087629998698963</v>
      </c>
      <c r="QH61" s="134">
        <v>16.372369359736354</v>
      </c>
      <c r="QI61" s="133">
        <v>19.027648971217261</v>
      </c>
      <c r="QJ61" s="133">
        <v>21.77448862288216</v>
      </c>
      <c r="QK61" s="133">
        <v>23.607709577841515</v>
      </c>
      <c r="QL61" s="133">
        <v>25.322288245568089</v>
      </c>
      <c r="QM61" s="133">
        <v>27.473035756848542</v>
      </c>
      <c r="QN61" s="81"/>
      <c r="QO61" s="81">
        <v>61</v>
      </c>
      <c r="QP61" s="133">
        <v>9.4066989285877831</v>
      </c>
      <c r="QQ61" s="133">
        <v>10.264164155564035</v>
      </c>
      <c r="QR61" s="133">
        <v>11.063891014467663</v>
      </c>
      <c r="QS61" s="133">
        <v>12.063561327594151</v>
      </c>
      <c r="QT61" s="133">
        <v>13.936220763283629</v>
      </c>
      <c r="QU61" s="134">
        <v>16.368008655189985</v>
      </c>
      <c r="QV61" s="133">
        <v>19.224129115564434</v>
      </c>
      <c r="QW61" s="133">
        <v>22.20834296449042</v>
      </c>
      <c r="QX61" s="133">
        <v>24.214962619031621</v>
      </c>
      <c r="QY61" s="133">
        <v>26.101658476608026</v>
      </c>
      <c r="QZ61" s="133">
        <v>28.480948457079585</v>
      </c>
      <c r="RA61" s="81"/>
      <c r="RB61" s="81">
        <v>59</v>
      </c>
      <c r="RC61" s="133">
        <f t="shared" si="168"/>
        <v>0.37150348183497695</v>
      </c>
      <c r="RD61" s="133">
        <f t="shared" si="169"/>
        <v>0.40505772083296809</v>
      </c>
      <c r="RE61" s="133">
        <f t="shared" si="170"/>
        <v>0.43673732104600949</v>
      </c>
      <c r="RF61" s="133">
        <f t="shared" si="411"/>
        <v>0.47687223927910249</v>
      </c>
      <c r="RG61" s="133">
        <f t="shared" si="412"/>
        <v>0.55369348126936324</v>
      </c>
      <c r="RH61" s="134">
        <f t="shared" si="413"/>
        <v>0.65670913935645514</v>
      </c>
      <c r="RI61" s="133">
        <f t="shared" si="414"/>
        <v>0.78248604716409653</v>
      </c>
      <c r="RJ61" s="133">
        <f t="shared" si="171"/>
        <v>0.91949420517709812</v>
      </c>
      <c r="RK61" s="133">
        <f t="shared" si="172"/>
        <v>1.0148563404826556</v>
      </c>
      <c r="RL61" s="133">
        <f t="shared" si="173"/>
        <v>1.1069045416267518</v>
      </c>
      <c r="RM61" s="133">
        <f t="shared" si="174"/>
        <v>1.226293844171255</v>
      </c>
      <c r="RN61" s="81"/>
      <c r="RO61" s="81">
        <v>59</v>
      </c>
      <c r="RP61" s="133">
        <f t="shared" si="175"/>
        <v>0.4097384590635369</v>
      </c>
      <c r="RQ61" s="133">
        <f t="shared" si="176"/>
        <v>0.44675370757078919</v>
      </c>
      <c r="RR61" s="133">
        <f t="shared" si="177"/>
        <v>0.48188265522303969</v>
      </c>
      <c r="RS61" s="133">
        <f t="shared" si="415"/>
        <v>0.52664510377731666</v>
      </c>
      <c r="RT61" s="133">
        <f t="shared" si="416"/>
        <v>0.61313649948390936</v>
      </c>
      <c r="RU61" s="134">
        <f t="shared" si="417"/>
        <v>0.73080444599481331</v>
      </c>
      <c r="RV61" s="133">
        <f t="shared" si="418"/>
        <v>0.87707411314082906</v>
      </c>
      <c r="RW61" s="133">
        <f t="shared" si="178"/>
        <v>1.0396114566313539</v>
      </c>
      <c r="RX61" s="133">
        <f t="shared" si="179"/>
        <v>1.1546790947003707</v>
      </c>
      <c r="RY61" s="133">
        <f t="shared" si="180"/>
        <v>1.2672281476938574</v>
      </c>
      <c r="RZ61" s="133">
        <f t="shared" si="181"/>
        <v>1.4153365715585371</v>
      </c>
      <c r="SA61" s="81"/>
      <c r="SB61" s="81">
        <v>61</v>
      </c>
      <c r="SC61" s="133">
        <f t="shared" si="182"/>
        <v>0.37561900672019094</v>
      </c>
      <c r="SD61" s="133">
        <f t="shared" si="183"/>
        <v>0.40595403553065151</v>
      </c>
      <c r="SE61" s="133">
        <f t="shared" si="184"/>
        <v>0.43402340224325592</v>
      </c>
      <c r="SF61" s="133">
        <f t="shared" si="419"/>
        <v>0.468836599259287</v>
      </c>
      <c r="SG61" s="133">
        <f t="shared" si="420"/>
        <v>0.53332787842007667</v>
      </c>
      <c r="SH61" s="134">
        <f t="shared" si="421"/>
        <v>0.61587382601199547</v>
      </c>
      <c r="SI61" s="133">
        <f t="shared" si="422"/>
        <v>0.7113876914983609</v>
      </c>
      <c r="SJ61" s="133">
        <f t="shared" si="185"/>
        <v>0.80981088023659109</v>
      </c>
      <c r="SK61" s="133">
        <f t="shared" si="186"/>
        <v>0.87531606654184224</v>
      </c>
      <c r="SL61" s="133">
        <f t="shared" si="187"/>
        <v>0.93646768121005719</v>
      </c>
      <c r="SM61" s="133">
        <f t="shared" si="188"/>
        <v>1.0130368901577089</v>
      </c>
      <c r="SN61" s="81"/>
      <c r="SO61" s="81">
        <v>59</v>
      </c>
      <c r="SP61" s="133">
        <f t="shared" si="189"/>
        <v>0.27173065545647079</v>
      </c>
      <c r="SQ61" s="133">
        <f t="shared" si="190"/>
        <v>0.28900920351073001</v>
      </c>
      <c r="SR61" s="133">
        <f t="shared" si="191"/>
        <v>0.30451492028849864</v>
      </c>
      <c r="SS61" s="133">
        <f t="shared" si="423"/>
        <v>0.32315401991519921</v>
      </c>
      <c r="ST61" s="133">
        <f t="shared" si="424"/>
        <v>0.35612743680444719</v>
      </c>
      <c r="SU61" s="134">
        <f t="shared" si="425"/>
        <v>0.39577255449745458</v>
      </c>
      <c r="SV61" s="133">
        <f t="shared" si="426"/>
        <v>0.43862517014353486</v>
      </c>
      <c r="SW61" s="133">
        <f t="shared" si="192"/>
        <v>0.47993916454302432</v>
      </c>
      <c r="SX61" s="133">
        <f t="shared" si="193"/>
        <v>0.50605852024844944</v>
      </c>
      <c r="SY61" s="133">
        <f t="shared" si="194"/>
        <v>0.52956045467278412</v>
      </c>
      <c r="SZ61" s="133">
        <f t="shared" si="195"/>
        <v>0.55790106442293652</v>
      </c>
      <c r="TA61" s="81"/>
      <c r="TB61" s="81">
        <v>59</v>
      </c>
      <c r="TC61" s="133">
        <f t="shared" si="196"/>
        <v>0.2915699091602077</v>
      </c>
      <c r="TD61" s="133">
        <f t="shared" si="197"/>
        <v>0.309501501264623</v>
      </c>
      <c r="TE61" s="133">
        <f t="shared" si="198"/>
        <v>0.32564327077329552</v>
      </c>
      <c r="TF61" s="133">
        <f t="shared" si="427"/>
        <v>0.34511047286489738</v>
      </c>
      <c r="TG61" s="133">
        <f t="shared" si="428"/>
        <v>0.3797205801166007</v>
      </c>
      <c r="TH61" s="134">
        <f t="shared" si="429"/>
        <v>0.42162585148671394</v>
      </c>
      <c r="TI61" s="133">
        <f t="shared" si="430"/>
        <v>0.46727981219901299</v>
      </c>
      <c r="TJ61" s="133">
        <f t="shared" si="199"/>
        <v>0.51164380273780552</v>
      </c>
      <c r="TK61" s="133">
        <f t="shared" si="200"/>
        <v>0.53986618067157144</v>
      </c>
      <c r="TL61" s="133">
        <f t="shared" si="201"/>
        <v>0.56537474893602158</v>
      </c>
      <c r="TM61" s="133">
        <f t="shared" si="202"/>
        <v>0.59627761476737573</v>
      </c>
      <c r="TN61" s="81"/>
      <c r="TO61" s="81">
        <v>61</v>
      </c>
      <c r="TP61" s="133">
        <f t="shared" si="203"/>
        <v>0.2739917769682399</v>
      </c>
      <c r="TQ61" s="133">
        <f t="shared" si="204"/>
        <v>0.28947756088774734</v>
      </c>
      <c r="TR61" s="133">
        <f t="shared" si="205"/>
        <v>0.30318075598864108</v>
      </c>
      <c r="TS61" s="133">
        <f t="shared" si="431"/>
        <v>0.31942392796694191</v>
      </c>
      <c r="TT61" s="133">
        <f t="shared" si="432"/>
        <v>0.34758752647232372</v>
      </c>
      <c r="TU61" s="134">
        <f t="shared" si="433"/>
        <v>0.38056603270138317</v>
      </c>
      <c r="TV61" s="133">
        <f t="shared" si="434"/>
        <v>0.41523673837338254</v>
      </c>
      <c r="TW61" s="133">
        <f t="shared" si="206"/>
        <v>0.4477985141769662</v>
      </c>
      <c r="TX61" s="133">
        <f t="shared" si="207"/>
        <v>0.46798360325065486</v>
      </c>
      <c r="TY61" s="133">
        <f t="shared" si="208"/>
        <v>0.48589790675594857</v>
      </c>
      <c r="TZ61" s="133">
        <f t="shared" si="209"/>
        <v>0.50720478047032769</v>
      </c>
      <c r="UA61" s="81"/>
      <c r="UB61" s="81">
        <v>59</v>
      </c>
      <c r="UC61" s="133">
        <f t="shared" si="210"/>
        <v>-12.520009856954488</v>
      </c>
      <c r="UD61" s="133">
        <f t="shared" si="211"/>
        <v>-9.421232398878324</v>
      </c>
      <c r="UE61" s="133">
        <f t="shared" si="212"/>
        <v>-6.8141633383058178</v>
      </c>
      <c r="UF61" s="133">
        <f t="shared" si="435"/>
        <v>-3.868953820191841</v>
      </c>
      <c r="UG61" s="133">
        <f t="shared" si="436"/>
        <v>0.91443883929882475</v>
      </c>
      <c r="UH61" s="134">
        <f t="shared" si="437"/>
        <v>6.0773093855638791</v>
      </c>
      <c r="UI61" s="133">
        <f t="shared" si="438"/>
        <v>11.08499469246081</v>
      </c>
      <c r="UJ61" s="133">
        <f t="shared" si="213"/>
        <v>15.461113417028272</v>
      </c>
      <c r="UK61" s="133">
        <f t="shared" si="214"/>
        <v>18.036321152362433</v>
      </c>
      <c r="UL61" s="133">
        <f t="shared" si="215"/>
        <v>20.242715645721631</v>
      </c>
      <c r="UM61" s="133">
        <f t="shared" si="216"/>
        <v>22.778016951505236</v>
      </c>
      <c r="UN61" s="81"/>
      <c r="UO61" s="81">
        <v>59</v>
      </c>
      <c r="UP61" s="133">
        <f t="shared" si="217"/>
        <v>-8.4616967184601748</v>
      </c>
      <c r="UQ61" s="133">
        <f t="shared" si="218"/>
        <v>-5.8000175031561803</v>
      </c>
      <c r="UR61" s="133">
        <f t="shared" si="219"/>
        <v>-3.5148648758454151</v>
      </c>
      <c r="US61" s="133">
        <f t="shared" si="439"/>
        <v>-0.88446097958768632</v>
      </c>
      <c r="UT61" s="133">
        <f t="shared" si="440"/>
        <v>3.4943834929737605</v>
      </c>
      <c r="UU61" s="134">
        <f t="shared" si="441"/>
        <v>8.3630030905101194</v>
      </c>
      <c r="UV61" s="133">
        <f t="shared" si="442"/>
        <v>13.220432633802126</v>
      </c>
      <c r="UW61" s="133">
        <f t="shared" si="220"/>
        <v>17.569938314003707</v>
      </c>
      <c r="UX61" s="133">
        <f t="shared" si="221"/>
        <v>20.173723357630188</v>
      </c>
      <c r="UY61" s="133">
        <f t="shared" si="222"/>
        <v>22.430086243946143</v>
      </c>
      <c r="UZ61" s="133">
        <f t="shared" si="223"/>
        <v>25.051336995763734</v>
      </c>
      <c r="VA61" s="81"/>
      <c r="VB61" s="81">
        <v>62</v>
      </c>
      <c r="VC61" s="133">
        <f t="shared" si="224"/>
        <v>-12.454183566005796</v>
      </c>
      <c r="VD61" s="133">
        <f t="shared" si="225"/>
        <v>-9.4840025883967058</v>
      </c>
      <c r="VE61" s="133">
        <f t="shared" si="226"/>
        <v>-7.0100518932315694</v>
      </c>
      <c r="VF61" s="133">
        <f t="shared" si="443"/>
        <v>-4.2403983780063257</v>
      </c>
      <c r="VG61" s="133">
        <f t="shared" si="444"/>
        <v>0.20602097471588365</v>
      </c>
      <c r="VH61" s="134">
        <f t="shared" si="445"/>
        <v>4.9404504411805448</v>
      </c>
      <c r="VI61" s="133">
        <f t="shared" si="446"/>
        <v>9.4752458527097616</v>
      </c>
      <c r="VJ61" s="133">
        <f t="shared" si="227"/>
        <v>13.396320409664952</v>
      </c>
      <c r="VK61" s="133">
        <f t="shared" si="228"/>
        <v>15.686877558456956</v>
      </c>
      <c r="VL61" s="133">
        <f t="shared" si="229"/>
        <v>17.639981140301501</v>
      </c>
      <c r="VM61" s="133">
        <f t="shared" si="230"/>
        <v>19.873956709890194</v>
      </c>
      <c r="VN61" s="81"/>
      <c r="VO61" s="81">
        <v>59</v>
      </c>
      <c r="VP61" s="133">
        <f t="shared" si="231"/>
        <v>-22.415429336714183</v>
      </c>
      <c r="VQ61" s="133">
        <f t="shared" si="232"/>
        <v>-17.622271542084817</v>
      </c>
      <c r="VR61" s="133">
        <f t="shared" si="233"/>
        <v>-13.283874637044583</v>
      </c>
      <c r="VS61" s="133">
        <f t="shared" si="447"/>
        <v>-8.0391113139692933</v>
      </c>
      <c r="VT61" s="133">
        <f t="shared" si="448"/>
        <v>1.2755787734136703</v>
      </c>
      <c r="VU61" s="134">
        <f t="shared" si="449"/>
        <v>12.468366066352253</v>
      </c>
      <c r="VV61" s="133">
        <f t="shared" si="450"/>
        <v>24.490748358559436</v>
      </c>
      <c r="VW61" s="133">
        <f t="shared" si="234"/>
        <v>35.964317604873052</v>
      </c>
      <c r="VX61" s="133">
        <f t="shared" si="235"/>
        <v>43.147348992280065</v>
      </c>
      <c r="VY61" s="133">
        <f t="shared" si="236"/>
        <v>49.559939641446796</v>
      </c>
      <c r="VZ61" s="133">
        <f t="shared" si="237"/>
        <v>57.226483286645212</v>
      </c>
      <c r="WA61" s="81"/>
      <c r="WB61" s="81">
        <v>59</v>
      </c>
      <c r="WC61" s="133">
        <f t="shared" si="238"/>
        <v>-16.426405066024024</v>
      </c>
      <c r="WD61" s="133">
        <f t="shared" si="239"/>
        <v>-11.691733512609403</v>
      </c>
      <c r="WE61" s="133">
        <f t="shared" si="240"/>
        <v>-7.4075492078247436</v>
      </c>
      <c r="WF61" s="133">
        <f t="shared" si="451"/>
        <v>-2.2295221421200324</v>
      </c>
      <c r="WG61" s="133">
        <f t="shared" si="452"/>
        <v>6.9644061155589796</v>
      </c>
      <c r="WH61" s="134">
        <f t="shared" si="453"/>
        <v>18.009756026633518</v>
      </c>
      <c r="WI61" s="133">
        <f t="shared" si="454"/>
        <v>29.872304011664689</v>
      </c>
      <c r="WJ61" s="133">
        <f t="shared" si="241"/>
        <v>41.192742523394578</v>
      </c>
      <c r="WK61" s="133">
        <f t="shared" si="242"/>
        <v>48.279840826486755</v>
      </c>
      <c r="WL61" s="133">
        <f t="shared" si="243"/>
        <v>54.60682876181405</v>
      </c>
      <c r="WM61" s="133">
        <f t="shared" si="244"/>
        <v>62.171144963986798</v>
      </c>
      <c r="WN61" s="81"/>
      <c r="WO61" s="81">
        <v>62</v>
      </c>
      <c r="WP61" s="133">
        <f t="shared" si="245"/>
        <v>-23.646752525236629</v>
      </c>
      <c r="WQ61" s="133">
        <f t="shared" si="246"/>
        <v>-18.941271995516217</v>
      </c>
      <c r="WR61" s="133">
        <f t="shared" si="247"/>
        <v>-14.721609642069687</v>
      </c>
      <c r="WS61" s="133">
        <f t="shared" si="455"/>
        <v>-9.6662535287637112</v>
      </c>
      <c r="WT61" s="133">
        <f t="shared" si="456"/>
        <v>-0.7993820354943324</v>
      </c>
      <c r="WU61" s="134">
        <f t="shared" si="457"/>
        <v>9.6898486069249472</v>
      </c>
      <c r="WV61" s="133">
        <f t="shared" si="458"/>
        <v>20.783205939949802</v>
      </c>
      <c r="WW61" s="133">
        <f t="shared" si="248"/>
        <v>31.224779690833394</v>
      </c>
      <c r="WX61" s="133">
        <f t="shared" si="249"/>
        <v>37.697153195914204</v>
      </c>
      <c r="WY61" s="133">
        <f t="shared" si="250"/>
        <v>43.436689909054856</v>
      </c>
      <c r="WZ61" s="133">
        <f t="shared" si="251"/>
        <v>50.253812471303242</v>
      </c>
      <c r="XA61" s="81"/>
      <c r="XB61" s="81">
        <v>59</v>
      </c>
      <c r="XC61" s="133">
        <f t="shared" si="252"/>
        <v>-27.830947073119891</v>
      </c>
      <c r="XD61" s="133">
        <f t="shared" si="253"/>
        <v>-22.706557698744632</v>
      </c>
      <c r="XE61" s="133">
        <f t="shared" si="254"/>
        <v>-18.143109698670045</v>
      </c>
      <c r="XF61" s="133">
        <f t="shared" si="459"/>
        <v>-12.715416313068943</v>
      </c>
      <c r="XG61" s="133">
        <f t="shared" si="460"/>
        <v>-3.2955876718327559</v>
      </c>
      <c r="XH61" s="134">
        <f t="shared" si="461"/>
        <v>7.6949041736005199</v>
      </c>
      <c r="XI61" s="133">
        <f t="shared" si="462"/>
        <v>19.155713044482162</v>
      </c>
      <c r="XJ61" s="133">
        <f t="shared" si="255"/>
        <v>29.805989469477048</v>
      </c>
      <c r="XK61" s="133">
        <f t="shared" si="256"/>
        <v>36.346740988566701</v>
      </c>
      <c r="XL61" s="133">
        <f t="shared" si="257"/>
        <v>42.110493603388512</v>
      </c>
      <c r="XM61" s="133">
        <f t="shared" si="258"/>
        <v>48.914305710767984</v>
      </c>
      <c r="XN61" s="81"/>
      <c r="XO61" s="81">
        <v>59</v>
      </c>
      <c r="XP61" s="133">
        <f t="shared" si="259"/>
        <v>-17.314270719523314</v>
      </c>
      <c r="XQ61" s="133">
        <f t="shared" si="260"/>
        <v>-12.669299855301716</v>
      </c>
      <c r="XR61" s="133">
        <f t="shared" si="261"/>
        <v>-8.5761883137330202</v>
      </c>
      <c r="XS61" s="133">
        <f t="shared" si="463"/>
        <v>-3.751180970002288</v>
      </c>
      <c r="XT61" s="133">
        <f t="shared" si="464"/>
        <v>4.5333792086556599</v>
      </c>
      <c r="XU61" s="134">
        <f t="shared" si="465"/>
        <v>14.087801596079238</v>
      </c>
      <c r="XV61" s="133">
        <f t="shared" si="466"/>
        <v>23.952475974637842</v>
      </c>
      <c r="XW61" s="133">
        <f t="shared" si="262"/>
        <v>33.047552271192124</v>
      </c>
      <c r="XX61" s="133">
        <f t="shared" si="263"/>
        <v>38.604220252022323</v>
      </c>
      <c r="XY61" s="133">
        <f t="shared" si="264"/>
        <v>43.484609656023004</v>
      </c>
      <c r="XZ61" s="133">
        <f t="shared" si="265"/>
        <v>49.227860713713206</v>
      </c>
      <c r="YA61" s="81"/>
      <c r="YB61" s="81">
        <v>62</v>
      </c>
      <c r="YC61" s="133">
        <f t="shared" si="266"/>
        <v>-30.281074207624137</v>
      </c>
      <c r="YD61" s="133">
        <f t="shared" si="267"/>
        <v>-25.27716601869259</v>
      </c>
      <c r="YE61" s="133">
        <f t="shared" si="268"/>
        <v>-20.843995417198435</v>
      </c>
      <c r="YF61" s="133">
        <f t="shared" si="467"/>
        <v>-15.597289081386563</v>
      </c>
      <c r="YG61" s="133">
        <f t="shared" si="468"/>
        <v>-6.552246056598193</v>
      </c>
      <c r="YH61" s="134">
        <f t="shared" si="469"/>
        <v>3.9152734832307985</v>
      </c>
      <c r="YI61" s="133">
        <f t="shared" si="470"/>
        <v>14.745585516537126</v>
      </c>
      <c r="YJ61" s="133">
        <f t="shared" si="269"/>
        <v>24.741787465542934</v>
      </c>
      <c r="YK61" s="133">
        <f t="shared" si="270"/>
        <v>30.851543348872617</v>
      </c>
      <c r="YL61" s="133">
        <f t="shared" si="271"/>
        <v>36.218394950002541</v>
      </c>
      <c r="YM61" s="133">
        <f t="shared" si="272"/>
        <v>42.534264235287132</v>
      </c>
      <c r="YN61" s="81"/>
      <c r="YO61" s="81">
        <v>59</v>
      </c>
      <c r="YP61" s="133">
        <v>17.888158714207382</v>
      </c>
      <c r="YQ61" s="133">
        <v>19.814661733682712</v>
      </c>
      <c r="YR61" s="133">
        <v>21.636705720057158</v>
      </c>
      <c r="YS61" s="133">
        <v>23.946304158306589</v>
      </c>
      <c r="YT61" s="133">
        <v>28.360721558687047</v>
      </c>
      <c r="YU61" s="134">
        <v>34.246488872706649</v>
      </c>
      <c r="YV61" s="133">
        <v>41.353743334121148</v>
      </c>
      <c r="YW61" s="133">
        <v>48.977161250229393</v>
      </c>
      <c r="YX61" s="133">
        <v>54.205201812271184</v>
      </c>
      <c r="YY61" s="133">
        <v>59.18960494363396</v>
      </c>
      <c r="YZ61" s="133">
        <v>65.564154413328509</v>
      </c>
      <c r="ZA61" s="81"/>
      <c r="ZB61" s="81">
        <v>59</v>
      </c>
      <c r="ZC61" s="133">
        <v>15.812648197892859</v>
      </c>
      <c r="ZD61" s="133">
        <v>17.540804015543333</v>
      </c>
      <c r="ZE61" s="133">
        <v>19.177435410742511</v>
      </c>
      <c r="ZF61" s="133">
        <v>21.254774476549741</v>
      </c>
      <c r="ZG61" s="133">
        <v>25.232904519015552</v>
      </c>
      <c r="ZH61" s="134">
        <v>30.5503531653703</v>
      </c>
      <c r="ZI61" s="133">
        <v>36.988372774346956</v>
      </c>
      <c r="ZJ61" s="133">
        <v>43.911267068892293</v>
      </c>
      <c r="ZK61" s="133">
        <v>48.667825417680007</v>
      </c>
      <c r="ZL61" s="133">
        <v>53.208739901649317</v>
      </c>
      <c r="ZM61" s="133">
        <v>59.023894470328024</v>
      </c>
      <c r="ZN61" s="81"/>
      <c r="ZO61" s="81">
        <v>62</v>
      </c>
      <c r="ZP61" s="133">
        <v>19.951425752603729</v>
      </c>
      <c r="ZQ61" s="133">
        <v>21.927810620227731</v>
      </c>
      <c r="ZR61" s="133">
        <v>23.783503640625064</v>
      </c>
      <c r="ZS61" s="133">
        <v>26.118732592932108</v>
      </c>
      <c r="ZT61" s="133">
        <v>30.535659671894887</v>
      </c>
      <c r="ZU61" s="134">
        <v>36.344449793038137</v>
      </c>
      <c r="ZV61" s="133">
        <v>43.258244457526722</v>
      </c>
      <c r="ZW61" s="133">
        <v>50.57362665124564</v>
      </c>
      <c r="ZX61" s="133">
        <v>55.539295249266047</v>
      </c>
      <c r="ZY61" s="133">
        <v>60.239439934790454</v>
      </c>
      <c r="ZZ61" s="133">
        <v>66.206748687435777</v>
      </c>
      <c r="AAA61" s="81"/>
      <c r="AAB61" s="81">
        <v>59</v>
      </c>
      <c r="AAC61" s="133">
        <v>10.426880516676125</v>
      </c>
      <c r="AAD61" s="133">
        <v>11.533822297556823</v>
      </c>
      <c r="AAE61" s="133">
        <v>12.579397418449654</v>
      </c>
      <c r="AAF61" s="133">
        <v>13.903050342648788</v>
      </c>
      <c r="AAG61" s="133">
        <v>16.428307020152388</v>
      </c>
      <c r="AAH61" s="134">
        <v>19.787064984702553</v>
      </c>
      <c r="AAI61" s="133">
        <v>23.832519092110928</v>
      </c>
      <c r="AAJ61" s="133">
        <v>28.16129777706383</v>
      </c>
      <c r="AAK61" s="133">
        <v>31.124538615387479</v>
      </c>
      <c r="AAL61" s="133">
        <v>33.946070141186262</v>
      </c>
      <c r="AAM61" s="133">
        <v>37.54986355532278</v>
      </c>
      <c r="AAN61" s="81"/>
      <c r="AAO61" s="81">
        <v>59</v>
      </c>
      <c r="AAP61" s="133">
        <v>10.035376534436148</v>
      </c>
      <c r="AAQ61" s="133">
        <v>11.17875882246517</v>
      </c>
      <c r="AAR61" s="133">
        <v>12.265793252814106</v>
      </c>
      <c r="AAS61" s="133">
        <v>13.650902718194681</v>
      </c>
      <c r="AAT61" s="133">
        <v>16.318281897020732</v>
      </c>
      <c r="AAU61" s="134">
        <v>19.909931985015234</v>
      </c>
      <c r="AAV61" s="133">
        <v>24.292103430343687</v>
      </c>
      <c r="AAW61" s="133">
        <v>29.038767606158498</v>
      </c>
      <c r="AAX61" s="133">
        <v>32.317958038057306</v>
      </c>
      <c r="AAY61" s="133">
        <v>35.4605907456653</v>
      </c>
      <c r="AAZ61" s="133">
        <v>39.500799027089549</v>
      </c>
      <c r="ABA61" s="81"/>
      <c r="ABB61" s="81">
        <v>62</v>
      </c>
      <c r="ABC61" s="133">
        <v>10.34538918325531</v>
      </c>
      <c r="ABD61" s="133">
        <v>11.428974280434323</v>
      </c>
      <c r="ABE61" s="133">
        <v>12.451267163230526</v>
      </c>
      <c r="ABF61" s="133">
        <v>13.743902641296987</v>
      </c>
      <c r="ABG61" s="133">
        <v>16.205746849205724</v>
      </c>
      <c r="ABH61" s="134">
        <v>19.472783424967439</v>
      </c>
      <c r="ABI61" s="133">
        <v>23.398446109521412</v>
      </c>
      <c r="ABJ61" s="133">
        <v>27.589637689684853</v>
      </c>
      <c r="ABK61" s="133">
        <v>30.453871830447863</v>
      </c>
      <c r="ABL61" s="133">
        <v>33.177893747196066</v>
      </c>
      <c r="ABM61" s="133">
        <v>36.652975310917199</v>
      </c>
      <c r="ABN61" s="81"/>
      <c r="ABO61" s="81">
        <v>59</v>
      </c>
      <c r="ABP61" s="133">
        <f t="shared" si="273"/>
        <v>0.29200271662019045</v>
      </c>
      <c r="ABQ61" s="133">
        <f t="shared" si="274"/>
        <v>0.32875960457100578</v>
      </c>
      <c r="ABR61" s="133">
        <f t="shared" si="275"/>
        <v>0.36297606726090115</v>
      </c>
      <c r="ABS61" s="133">
        <f t="shared" si="471"/>
        <v>0.40556722551136337</v>
      </c>
      <c r="ABT61" s="133">
        <f t="shared" si="472"/>
        <v>0.48456625781339857</v>
      </c>
      <c r="ABU61" s="134">
        <f t="shared" si="473"/>
        <v>0.5852255508614248</v>
      </c>
      <c r="ABV61" s="133">
        <f t="shared" si="474"/>
        <v>0.70033188577992411</v>
      </c>
      <c r="ABW61" s="133">
        <f t="shared" si="276"/>
        <v>0.81691621530571978</v>
      </c>
      <c r="ABX61" s="133">
        <f t="shared" si="277"/>
        <v>0.89323802093438887</v>
      </c>
      <c r="ABY61" s="133">
        <f t="shared" si="278"/>
        <v>0.96353497347955996</v>
      </c>
      <c r="ABZ61" s="133">
        <f t="shared" si="279"/>
        <v>1.050245546114974</v>
      </c>
      <c r="ACA61" s="81"/>
      <c r="ACB61" s="81">
        <v>59</v>
      </c>
      <c r="ACC61" s="133">
        <f t="shared" si="280"/>
        <v>0.35570494624879517</v>
      </c>
      <c r="ACD61" s="133">
        <f t="shared" si="281"/>
        <v>0.39193013477280492</v>
      </c>
      <c r="ACE61" s="133">
        <f t="shared" si="282"/>
        <v>0.42557685848202503</v>
      </c>
      <c r="ACF61" s="133">
        <f t="shared" si="475"/>
        <v>0.46742159830074298</v>
      </c>
      <c r="ACG61" s="133">
        <f t="shared" si="476"/>
        <v>0.5451031068458313</v>
      </c>
      <c r="ACH61" s="134">
        <f t="shared" si="477"/>
        <v>0.64451473455910346</v>
      </c>
      <c r="ACI61" s="133">
        <f t="shared" si="478"/>
        <v>0.75911595487286021</v>
      </c>
      <c r="ACJ61" s="133">
        <f t="shared" si="283"/>
        <v>0.87641466427193715</v>
      </c>
      <c r="ACK61" s="133">
        <f t="shared" si="284"/>
        <v>0.95393643804561978</v>
      </c>
      <c r="ACL61" s="133">
        <f t="shared" si="285"/>
        <v>1.0258739686523861</v>
      </c>
      <c r="ACM61" s="133">
        <f t="shared" si="286"/>
        <v>1.1153314062864741</v>
      </c>
      <c r="ACN61" s="81"/>
      <c r="ACO61" s="81">
        <v>62</v>
      </c>
      <c r="ACP61" s="133">
        <f t="shared" si="287"/>
        <v>0.27206206942390226</v>
      </c>
      <c r="ACQ61" s="133">
        <f t="shared" si="288"/>
        <v>0.30942040518466823</v>
      </c>
      <c r="ACR61" s="133">
        <f t="shared" si="289"/>
        <v>0.34353752875003513</v>
      </c>
      <c r="ACS61" s="133">
        <f t="shared" si="479"/>
        <v>0.38516133894600735</v>
      </c>
      <c r="ACT61" s="133">
        <f t="shared" si="480"/>
        <v>0.46014103039165349</v>
      </c>
      <c r="ACU61" s="134">
        <f t="shared" si="481"/>
        <v>0.5516911636289018</v>
      </c>
      <c r="ACV61" s="133">
        <f t="shared" si="482"/>
        <v>0.65183157160926175</v>
      </c>
      <c r="ACW61" s="133">
        <f t="shared" si="290"/>
        <v>0.74918309974844688</v>
      </c>
      <c r="ACX61" s="133">
        <f t="shared" si="291"/>
        <v>0.81084541999971216</v>
      </c>
      <c r="ACY61" s="133">
        <f t="shared" si="292"/>
        <v>0.86636829218522116</v>
      </c>
      <c r="ACZ61" s="133">
        <f t="shared" si="293"/>
        <v>0.9333140982371938</v>
      </c>
      <c r="ADA61" s="81"/>
      <c r="ADB61" s="81">
        <v>59</v>
      </c>
      <c r="ADC61" s="133">
        <f t="shared" si="294"/>
        <v>0.22832858463176897</v>
      </c>
      <c r="ADD61" s="133">
        <f t="shared" si="295"/>
        <v>0.24930558020041985</v>
      </c>
      <c r="ADE61" s="133">
        <f t="shared" si="296"/>
        <v>0.26767167835342631</v>
      </c>
      <c r="ADF61" s="133">
        <f t="shared" si="483"/>
        <v>0.28920357619622855</v>
      </c>
      <c r="ADG61" s="133">
        <f t="shared" si="484"/>
        <v>0.32593231365938669</v>
      </c>
      <c r="ADH61" s="134">
        <f t="shared" si="485"/>
        <v>0.36799494426611562</v>
      </c>
      <c r="ADI61" s="133">
        <f t="shared" si="486"/>
        <v>0.41116965512539588</v>
      </c>
      <c r="ADJ61" s="133">
        <f t="shared" si="297"/>
        <v>0.4507976364766163</v>
      </c>
      <c r="ADK61" s="133">
        <f t="shared" si="298"/>
        <v>0.4749390520126659</v>
      </c>
      <c r="ADL61" s="133">
        <f t="shared" si="299"/>
        <v>0.49610463622329798</v>
      </c>
      <c r="ADM61" s="133">
        <f t="shared" si="300"/>
        <v>0.52097189823821877</v>
      </c>
      <c r="ADN61" s="81"/>
      <c r="ADO61" s="81">
        <v>59</v>
      </c>
      <c r="ADP61" s="133">
        <f t="shared" si="301"/>
        <v>0.26411686821519748</v>
      </c>
      <c r="ADQ61" s="133">
        <f t="shared" si="302"/>
        <v>0.28273344402892786</v>
      </c>
      <c r="ADR61" s="133">
        <f t="shared" si="303"/>
        <v>0.2991396485060055</v>
      </c>
      <c r="ADS61" s="133">
        <f t="shared" si="487"/>
        <v>0.31850219205615171</v>
      </c>
      <c r="ADT61" s="133">
        <f t="shared" si="488"/>
        <v>0.35185158242620129</v>
      </c>
      <c r="ADU61" s="134">
        <f t="shared" si="489"/>
        <v>0.39053907537115007</v>
      </c>
      <c r="ADV61" s="133">
        <f t="shared" si="490"/>
        <v>0.4307909400142218</v>
      </c>
      <c r="ADW61" s="133">
        <f t="shared" si="304"/>
        <v>0.46820887766525915</v>
      </c>
      <c r="ADX61" s="133">
        <f t="shared" si="305"/>
        <v>0.49122111961048787</v>
      </c>
      <c r="ADY61" s="133">
        <f t="shared" si="306"/>
        <v>0.51152964066714635</v>
      </c>
      <c r="ADZ61" s="133">
        <f t="shared" si="307"/>
        <v>0.53554625673065526</v>
      </c>
      <c r="AEA61" s="81"/>
      <c r="AEB61" s="81">
        <v>62</v>
      </c>
      <c r="AEC61" s="133">
        <f t="shared" si="308"/>
        <v>0.216643325522719</v>
      </c>
      <c r="AED61" s="133">
        <f t="shared" si="309"/>
        <v>0.23856122978134392</v>
      </c>
      <c r="AEE61" s="133">
        <f t="shared" si="310"/>
        <v>0.25734723577851659</v>
      </c>
      <c r="AEF61" s="133">
        <f t="shared" si="491"/>
        <v>0.27893863479971942</v>
      </c>
      <c r="AEG61" s="133">
        <f t="shared" si="492"/>
        <v>0.31481101979146908</v>
      </c>
      <c r="AEH61" s="134">
        <f t="shared" si="493"/>
        <v>0.35460265100956029</v>
      </c>
      <c r="AEI61" s="133">
        <f t="shared" si="494"/>
        <v>0.39421607768762162</v>
      </c>
      <c r="AEJ61" s="133">
        <f t="shared" si="311"/>
        <v>0.4296211682483484</v>
      </c>
      <c r="AEK61" s="133">
        <f t="shared" si="312"/>
        <v>0.45078851112572904</v>
      </c>
      <c r="AEL61" s="133">
        <f t="shared" si="313"/>
        <v>0.46911578731327563</v>
      </c>
      <c r="AEM61" s="133">
        <f t="shared" si="314"/>
        <v>0.49038935431613873</v>
      </c>
      <c r="AEN61" s="81"/>
    </row>
    <row r="62" spans="1:820">
      <c r="A62" s="81"/>
      <c r="B62" s="81">
        <v>61</v>
      </c>
      <c r="C62" s="133">
        <f t="shared" si="0"/>
        <v>2.2986706215868211</v>
      </c>
      <c r="D62" s="133">
        <f t="shared" si="1"/>
        <v>2.7773039042618888</v>
      </c>
      <c r="E62" s="133">
        <f t="shared" si="2"/>
        <v>3.2857574269774839</v>
      </c>
      <c r="F62" s="133">
        <f t="shared" si="315"/>
        <v>4.0152828134971488</v>
      </c>
      <c r="G62" s="133">
        <f t="shared" si="316"/>
        <v>5.7087008909971253</v>
      </c>
      <c r="H62" s="134">
        <f t="shared" si="317"/>
        <v>8.6978212330621378</v>
      </c>
      <c r="I62" s="133">
        <f t="shared" si="318"/>
        <v>13.729398062248157</v>
      </c>
      <c r="J62" s="133">
        <f t="shared" si="3"/>
        <v>21.423636225982289</v>
      </c>
      <c r="K62" s="133">
        <f t="shared" si="4"/>
        <v>28.497298724338783</v>
      </c>
      <c r="L62" s="133">
        <f t="shared" si="5"/>
        <v>36.966746281774896</v>
      </c>
      <c r="M62" s="133">
        <f t="shared" si="6"/>
        <v>50.861984148631834</v>
      </c>
      <c r="N62" s="81"/>
      <c r="O62" s="75">
        <v>61</v>
      </c>
      <c r="P62" s="151">
        <f t="shared" si="7"/>
        <v>3.0140347374064915</v>
      </c>
      <c r="Q62" s="151">
        <f t="shared" si="8"/>
        <v>3.4884202605578558</v>
      </c>
      <c r="R62" s="151">
        <f t="shared" si="9"/>
        <v>3.9846121889817345</v>
      </c>
      <c r="S62" s="151">
        <f t="shared" si="319"/>
        <v>4.688792284158426</v>
      </c>
      <c r="T62" s="151">
        <f t="shared" si="320"/>
        <v>6.3149182112151721</v>
      </c>
      <c r="U62" s="134">
        <f t="shared" si="321"/>
        <v>9.2369520630412829</v>
      </c>
      <c r="V62" s="151">
        <f t="shared" si="322"/>
        <v>14.476564009995101</v>
      </c>
      <c r="W62" s="151">
        <f t="shared" si="10"/>
        <v>23.552089320759766</v>
      </c>
      <c r="X62" s="151">
        <f t="shared" si="11"/>
        <v>33.264172860587387</v>
      </c>
      <c r="Y62" s="151">
        <f t="shared" si="12"/>
        <v>46.926147998658394</v>
      </c>
      <c r="Z62" s="151">
        <f t="shared" si="13"/>
        <v>75.170686380876475</v>
      </c>
      <c r="AA62" s="81"/>
      <c r="AB62" s="75">
        <v>63</v>
      </c>
      <c r="AC62" s="151">
        <f t="shared" si="14"/>
        <v>2.0629218810562735</v>
      </c>
      <c r="AD62" s="151">
        <f t="shared" si="15"/>
        <v>2.4806167329484397</v>
      </c>
      <c r="AE62" s="151">
        <f t="shared" si="16"/>
        <v>2.9254423528371745</v>
      </c>
      <c r="AF62" s="151">
        <f t="shared" si="323"/>
        <v>3.5663100823713139</v>
      </c>
      <c r="AG62" s="151">
        <f t="shared" si="324"/>
        <v>5.0681951609120253</v>
      </c>
      <c r="AH62" s="134">
        <f t="shared" si="325"/>
        <v>7.7720765299382295</v>
      </c>
      <c r="AI62" s="151">
        <f t="shared" si="326"/>
        <v>12.473932942575676</v>
      </c>
      <c r="AJ62" s="151">
        <f t="shared" si="17"/>
        <v>19.999916377445427</v>
      </c>
      <c r="AK62" s="151">
        <f t="shared" si="18"/>
        <v>27.243152694253098</v>
      </c>
      <c r="AL62" s="151">
        <f t="shared" si="19"/>
        <v>36.287310052285328</v>
      </c>
      <c r="AM62" s="151">
        <f t="shared" si="20"/>
        <v>51.926582088862389</v>
      </c>
      <c r="AN62" s="81"/>
      <c r="AO62" s="81">
        <v>61</v>
      </c>
      <c r="AP62" s="133">
        <f t="shared" si="21"/>
        <v>2.0073464210693261</v>
      </c>
      <c r="AQ62" s="133">
        <f t="shared" si="22"/>
        <v>4.7526372706943887</v>
      </c>
      <c r="AR62" s="133">
        <f t="shared" si="23"/>
        <v>7.4217412931014612</v>
      </c>
      <c r="AS62" s="133">
        <f t="shared" si="327"/>
        <v>10.856584506287714</v>
      </c>
      <c r="AT62" s="133">
        <f t="shared" si="328"/>
        <v>17.44933554292551</v>
      </c>
      <c r="AU62" s="134">
        <f t="shared" si="329"/>
        <v>26.086893441514324</v>
      </c>
      <c r="AV62" s="133">
        <f t="shared" si="330"/>
        <v>36.103644482454946</v>
      </c>
      <c r="AW62" s="133">
        <f t="shared" si="24"/>
        <v>46.279531990518031</v>
      </c>
      <c r="AX62" s="133">
        <f t="shared" si="25"/>
        <v>52.923903643829135</v>
      </c>
      <c r="AY62" s="133">
        <f t="shared" si="26"/>
        <v>59.019666065578086</v>
      </c>
      <c r="AZ62" s="133">
        <f t="shared" si="27"/>
        <v>66.498075605191232</v>
      </c>
      <c r="BA62" s="81"/>
      <c r="BB62" s="81">
        <v>61</v>
      </c>
      <c r="BC62" s="133">
        <f t="shared" si="28"/>
        <v>4.8523395789008452</v>
      </c>
      <c r="BD62" s="133">
        <f t="shared" si="29"/>
        <v>8.0411709928155553</v>
      </c>
      <c r="BE62" s="133">
        <f t="shared" si="30"/>
        <v>11.029948519095651</v>
      </c>
      <c r="BF62" s="133">
        <f t="shared" si="331"/>
        <v>14.748690669571786</v>
      </c>
      <c r="BG62" s="133">
        <f t="shared" si="332"/>
        <v>21.578566004705099</v>
      </c>
      <c r="BH62" s="134">
        <f t="shared" si="333"/>
        <v>30.075911527456089</v>
      </c>
      <c r="BI62" s="133">
        <f t="shared" si="334"/>
        <v>39.466102690814857</v>
      </c>
      <c r="BJ62" s="133">
        <f t="shared" si="31"/>
        <v>48.62227581252737</v>
      </c>
      <c r="BK62" s="133">
        <f t="shared" si="32"/>
        <v>54.433218969864093</v>
      </c>
      <c r="BL62" s="133">
        <f t="shared" si="33"/>
        <v>59.664931019765838</v>
      </c>
      <c r="BM62" s="133">
        <f t="shared" si="34"/>
        <v>65.968221833362463</v>
      </c>
      <c r="BN62" s="81"/>
      <c r="BO62" s="75">
        <v>63</v>
      </c>
      <c r="BP62" s="151">
        <f t="shared" si="35"/>
        <v>5.1737131951543525</v>
      </c>
      <c r="BQ62" s="151">
        <f t="shared" si="36"/>
        <v>6.6485580519184717</v>
      </c>
      <c r="BR62" s="151">
        <f t="shared" si="37"/>
        <v>8.1899243195018787</v>
      </c>
      <c r="BS62" s="151">
        <f t="shared" si="335"/>
        <v>10.33538868763952</v>
      </c>
      <c r="BT62" s="151">
        <f t="shared" si="336"/>
        <v>14.980028395600211</v>
      </c>
      <c r="BU62" s="134">
        <f t="shared" si="337"/>
        <v>22.146994254526344</v>
      </c>
      <c r="BV62" s="151">
        <f t="shared" si="338"/>
        <v>32.049879122762171</v>
      </c>
      <c r="BW62" s="151">
        <f t="shared" si="38"/>
        <v>43.926286689869471</v>
      </c>
      <c r="BX62" s="151">
        <f t="shared" si="39"/>
        <v>52.702146199084005</v>
      </c>
      <c r="BY62" s="151">
        <f t="shared" si="40"/>
        <v>61.482774469601068</v>
      </c>
      <c r="BZ62" s="151">
        <f t="shared" si="41"/>
        <v>73.231280925786976</v>
      </c>
      <c r="CA62" s="81"/>
      <c r="CB62" s="81">
        <v>61</v>
      </c>
      <c r="CC62" s="133">
        <f t="shared" si="42"/>
        <v>-3.2788995911864967</v>
      </c>
      <c r="CD62" s="133">
        <f t="shared" si="43"/>
        <v>-0.52140932620225922</v>
      </c>
      <c r="CE62" s="133">
        <f t="shared" si="44"/>
        <v>2.1724144102468577</v>
      </c>
      <c r="CF62" s="133">
        <f t="shared" si="339"/>
        <v>5.5920504603516159</v>
      </c>
      <c r="CG62" s="133">
        <f t="shared" si="340"/>
        <v>11.939944534322265</v>
      </c>
      <c r="CH62" s="134">
        <f t="shared" si="341"/>
        <v>19.831069041633658</v>
      </c>
      <c r="CI62" s="133">
        <f t="shared" si="342"/>
        <v>28.468636327133854</v>
      </c>
      <c r="CJ62" s="133">
        <f t="shared" si="45"/>
        <v>36.784732457959699</v>
      </c>
      <c r="CK62" s="133">
        <f t="shared" si="46"/>
        <v>42.006549986402547</v>
      </c>
      <c r="CL62" s="133">
        <f t="shared" si="47"/>
        <v>46.671437614719984</v>
      </c>
      <c r="CM62" s="133">
        <f t="shared" si="48"/>
        <v>52.247404701832863</v>
      </c>
      <c r="CN62" s="81"/>
      <c r="CO62" s="81">
        <v>61</v>
      </c>
      <c r="CP62" s="133">
        <f t="shared" si="49"/>
        <v>2.6367531862298899</v>
      </c>
      <c r="CQ62" s="133">
        <f t="shared" si="50"/>
        <v>5.415343604015459</v>
      </c>
      <c r="CR62" s="133">
        <f t="shared" si="51"/>
        <v>7.9840443487942112</v>
      </c>
      <c r="CS62" s="133">
        <f t="shared" si="343"/>
        <v>11.133503061041445</v>
      </c>
      <c r="CT62" s="133">
        <f t="shared" si="344"/>
        <v>16.795927171509458</v>
      </c>
      <c r="CU62" s="134">
        <f t="shared" si="345"/>
        <v>23.652233136655642</v>
      </c>
      <c r="CV62" s="133">
        <f t="shared" si="346"/>
        <v>31.028261642955602</v>
      </c>
      <c r="CW62" s="133">
        <f t="shared" si="52"/>
        <v>38.052064626051894</v>
      </c>
      <c r="CX62" s="133">
        <f t="shared" si="53"/>
        <v>42.435375495520404</v>
      </c>
      <c r="CY62" s="133">
        <f t="shared" si="54"/>
        <v>46.337561180509951</v>
      </c>
      <c r="CZ62" s="133">
        <f t="shared" si="55"/>
        <v>50.987986013830401</v>
      </c>
      <c r="DA62" s="81"/>
      <c r="DB62" s="81">
        <v>63</v>
      </c>
      <c r="DC62" s="133">
        <f t="shared" si="56"/>
        <v>-3.7264137322293696</v>
      </c>
      <c r="DD62" s="133">
        <f t="shared" si="57"/>
        <v>-1.5561039488691852</v>
      </c>
      <c r="DE62" s="133">
        <f t="shared" si="58"/>
        <v>0.63940047592868332</v>
      </c>
      <c r="DF62" s="133">
        <f t="shared" si="347"/>
        <v>3.5184860752737732</v>
      </c>
      <c r="DG62" s="133">
        <f t="shared" si="348"/>
        <v>9.0874230557439546</v>
      </c>
      <c r="DH62" s="134">
        <f t="shared" si="349"/>
        <v>16.335670681321428</v>
      </c>
      <c r="DI62" s="133">
        <f t="shared" si="350"/>
        <v>24.599234885549812</v>
      </c>
      <c r="DJ62" s="133">
        <f t="shared" si="59"/>
        <v>32.823729014094994</v>
      </c>
      <c r="DK62" s="133">
        <f t="shared" si="60"/>
        <v>38.104827223859587</v>
      </c>
      <c r="DL62" s="133">
        <f t="shared" si="61"/>
        <v>42.891601615468119</v>
      </c>
      <c r="DM62" s="133">
        <f t="shared" si="62"/>
        <v>48.692391541899681</v>
      </c>
      <c r="DN62" s="81"/>
      <c r="DO62" s="81">
        <v>61</v>
      </c>
      <c r="DP62" s="133">
        <v>13.521931256385029</v>
      </c>
      <c r="DQ62" s="133">
        <v>14.697075549216642</v>
      </c>
      <c r="DR62" s="133">
        <v>15.789129002830194</v>
      </c>
      <c r="DS62" s="133">
        <v>17.14928150754227</v>
      </c>
      <c r="DT62" s="133">
        <v>19.68398634392884</v>
      </c>
      <c r="DU62" s="134">
        <v>22.953050076191158</v>
      </c>
      <c r="DV62" s="133">
        <v>26.765031157554819</v>
      </c>
      <c r="DW62" s="133">
        <v>30.720966797847073</v>
      </c>
      <c r="DX62" s="133">
        <v>33.367420565485439</v>
      </c>
      <c r="DY62" s="133">
        <v>35.846757814905558</v>
      </c>
      <c r="DZ62" s="133">
        <v>38.962075594886997</v>
      </c>
      <c r="EA62" s="81"/>
      <c r="EB62" s="81">
        <v>61</v>
      </c>
      <c r="EC62" s="133">
        <v>12.925145890082058</v>
      </c>
      <c r="ED62" s="133">
        <v>14.048927336860208</v>
      </c>
      <c r="EE62" s="133">
        <v>15.09328427170283</v>
      </c>
      <c r="EF62" s="133">
        <v>16.394073851213562</v>
      </c>
      <c r="EG62" s="133">
        <v>18.818268805029771</v>
      </c>
      <c r="EH62" s="134">
        <v>21.945001343452574</v>
      </c>
      <c r="EI62" s="133">
        <v>25.591253316320845</v>
      </c>
      <c r="EJ62" s="133">
        <v>29.375437022841407</v>
      </c>
      <c r="EK62" s="133">
        <v>31.907110162035178</v>
      </c>
      <c r="EL62" s="133">
        <v>34.278993151356424</v>
      </c>
      <c r="EM62" s="133">
        <v>37.259392509733431</v>
      </c>
      <c r="EN62" s="81"/>
      <c r="EO62" s="81">
        <v>63</v>
      </c>
      <c r="EP62" s="133">
        <v>12.215097502284488</v>
      </c>
      <c r="EQ62" s="133">
        <v>13.533024202663555</v>
      </c>
      <c r="ER62" s="133">
        <v>14.779694940573393</v>
      </c>
      <c r="ES62" s="133">
        <v>16.360217644624846</v>
      </c>
      <c r="ET62" s="133">
        <v>19.381842406950447</v>
      </c>
      <c r="EU62" s="134">
        <v>23.41184333994833</v>
      </c>
      <c r="EV62" s="133">
        <v>28.279788735550028</v>
      </c>
      <c r="EW62" s="133">
        <v>33.502880003211104</v>
      </c>
      <c r="EX62" s="133">
        <v>37.085637476156094</v>
      </c>
      <c r="EY62" s="133">
        <v>40.501989826221106</v>
      </c>
      <c r="EZ62" s="133">
        <v>44.871881577021718</v>
      </c>
      <c r="FA62" s="81"/>
      <c r="FB62" s="81">
        <v>61</v>
      </c>
      <c r="FC62" s="133">
        <v>9.4130495980666016</v>
      </c>
      <c r="FD62" s="133">
        <v>10.194303271600567</v>
      </c>
      <c r="FE62" s="133">
        <v>10.917892424706951</v>
      </c>
      <c r="FF62" s="133">
        <v>11.816115602027843</v>
      </c>
      <c r="FG62" s="133">
        <v>13.481962661810734</v>
      </c>
      <c r="FH62" s="134">
        <v>15.616909256722629</v>
      </c>
      <c r="FI62" s="133">
        <v>18.089936966191907</v>
      </c>
      <c r="FJ62" s="133">
        <v>20.640273246044902</v>
      </c>
      <c r="FK62" s="133">
        <v>22.338363966730082</v>
      </c>
      <c r="FL62" s="133">
        <v>23.923935578033579</v>
      </c>
      <c r="FM62" s="133">
        <v>25.909547399261807</v>
      </c>
      <c r="FN62" s="81"/>
      <c r="FO62" s="81">
        <v>61</v>
      </c>
      <c r="FP62" s="133">
        <v>9.3587394003341835</v>
      </c>
      <c r="FQ62" s="133">
        <v>10.08722448593887</v>
      </c>
      <c r="FR62" s="133">
        <v>10.758956879269656</v>
      </c>
      <c r="FS62" s="133">
        <v>11.589125169349295</v>
      </c>
      <c r="FT62" s="133">
        <v>13.118984388166226</v>
      </c>
      <c r="FU62" s="134">
        <v>15.063311002627129</v>
      </c>
      <c r="FV62" s="133">
        <v>17.295800623601796</v>
      </c>
      <c r="FW62" s="133">
        <v>19.578987632472671</v>
      </c>
      <c r="FX62" s="133">
        <v>21.089715379291526</v>
      </c>
      <c r="FY62" s="133">
        <v>22.494129944085262</v>
      </c>
      <c r="FZ62" s="133">
        <v>24.245074967443298</v>
      </c>
      <c r="GA62" s="81"/>
      <c r="GB62" s="81">
        <v>63</v>
      </c>
      <c r="GC62" s="133">
        <v>8.4530323819619273</v>
      </c>
      <c r="GD62" s="133">
        <v>9.3340366479942762</v>
      </c>
      <c r="GE62" s="133">
        <v>10.164846325290677</v>
      </c>
      <c r="GF62" s="133">
        <v>11.21490486023178</v>
      </c>
      <c r="GG62" s="133">
        <v>13.213504987234062</v>
      </c>
      <c r="GH62" s="134">
        <v>15.863605839384784</v>
      </c>
      <c r="GI62" s="133">
        <v>19.045210976988542</v>
      </c>
      <c r="GJ62" s="133">
        <v>22.439244323840128</v>
      </c>
      <c r="GK62" s="133">
        <v>24.757284288817473</v>
      </c>
      <c r="GL62" s="133">
        <v>26.960895882216096</v>
      </c>
      <c r="GM62" s="133">
        <v>29.770853683746893</v>
      </c>
      <c r="GN62" s="81"/>
      <c r="GO62" s="81">
        <v>61</v>
      </c>
      <c r="GP62" s="133">
        <f t="shared" si="63"/>
        <v>0.50936740732774588</v>
      </c>
      <c r="GQ62" s="133">
        <f t="shared" si="64"/>
        <v>0.54150067948298874</v>
      </c>
      <c r="GR62" s="133">
        <f t="shared" si="65"/>
        <v>0.56760146930166577</v>
      </c>
      <c r="GS62" s="133">
        <f t="shared" si="351"/>
        <v>0.5961970162121043</v>
      </c>
      <c r="GT62" s="133">
        <f t="shared" si="352"/>
        <v>0.64217163455033799</v>
      </c>
      <c r="GU62" s="134">
        <f t="shared" si="353"/>
        <v>0.6871334942806665</v>
      </c>
      <c r="GV62" s="133">
        <f t="shared" si="354"/>
        <v>0.7291733149418711</v>
      </c>
      <c r="GW62" s="133">
        <f t="shared" si="66"/>
        <v>0.7668023018547816</v>
      </c>
      <c r="GX62" s="133">
        <f t="shared" si="67"/>
        <v>0.78784020389712817</v>
      </c>
      <c r="GY62" s="133">
        <f t="shared" si="68"/>
        <v>0.80561664183341331</v>
      </c>
      <c r="GZ62" s="133">
        <f t="shared" si="69"/>
        <v>0.82577650124088919</v>
      </c>
      <c r="HA62" s="81"/>
      <c r="HB62" s="81">
        <v>61</v>
      </c>
      <c r="HC62" s="133">
        <f t="shared" si="70"/>
        <v>0.5020523371664497</v>
      </c>
      <c r="HD62" s="133">
        <f t="shared" si="71"/>
        <v>0.53577754327007843</v>
      </c>
      <c r="HE62" s="133">
        <f t="shared" si="72"/>
        <v>0.56310894379706156</v>
      </c>
      <c r="HF62" s="133">
        <f t="shared" si="355"/>
        <v>0.5929998869371087</v>
      </c>
      <c r="HG62" s="133">
        <f t="shared" si="356"/>
        <v>0.63964711206540825</v>
      </c>
      <c r="HH62" s="134">
        <f t="shared" si="357"/>
        <v>0.687784365453187</v>
      </c>
      <c r="HI62" s="133">
        <f t="shared" si="358"/>
        <v>0.73264830236047407</v>
      </c>
      <c r="HJ62" s="133">
        <f t="shared" si="73"/>
        <v>0.7705963660329459</v>
      </c>
      <c r="HK62" s="133">
        <f t="shared" si="74"/>
        <v>0.79244034575584354</v>
      </c>
      <c r="HL62" s="133">
        <f t="shared" si="75"/>
        <v>0.81089176877510383</v>
      </c>
      <c r="HM62" s="133">
        <f t="shared" si="76"/>
        <v>0.83181106904187962</v>
      </c>
      <c r="HN62" s="81"/>
      <c r="HO62" s="81">
        <v>63</v>
      </c>
      <c r="HP62" s="83">
        <f t="shared" si="77"/>
        <v>0.51609832872518724</v>
      </c>
      <c r="HQ62" s="83">
        <f t="shared" si="78"/>
        <v>0.54711423983894847</v>
      </c>
      <c r="HR62" s="83">
        <f t="shared" si="79"/>
        <v>0.57234515888211368</v>
      </c>
      <c r="HS62" s="83">
        <f t="shared" si="359"/>
        <v>0.60001964629996618</v>
      </c>
      <c r="HT62" s="83">
        <f t="shared" si="360"/>
        <v>0.64334469794372229</v>
      </c>
      <c r="HU62" s="84">
        <f t="shared" si="361"/>
        <v>0.68819036808318856</v>
      </c>
      <c r="HV62" s="83">
        <f t="shared" si="362"/>
        <v>0.73008155889057513</v>
      </c>
      <c r="HW62" s="83">
        <f t="shared" si="80"/>
        <v>0.76557045085675313</v>
      </c>
      <c r="HX62" s="83">
        <f t="shared" si="81"/>
        <v>0.7860175291360163</v>
      </c>
      <c r="HY62" s="83">
        <f t="shared" si="82"/>
        <v>0.80329807917821616</v>
      </c>
      <c r="HZ62" s="83">
        <f t="shared" si="83"/>
        <v>0.82289878445896902</v>
      </c>
      <c r="IA62" s="81"/>
      <c r="IB62" s="81">
        <v>61</v>
      </c>
      <c r="IC62" s="83">
        <f t="shared" si="84"/>
        <v>0.33850968948176746</v>
      </c>
      <c r="ID62" s="83">
        <f t="shared" si="85"/>
        <v>0.35174731467112019</v>
      </c>
      <c r="IE62" s="83">
        <f t="shared" si="86"/>
        <v>0.36217463154673174</v>
      </c>
      <c r="IF62" s="83">
        <f t="shared" si="363"/>
        <v>0.37329866431471875</v>
      </c>
      <c r="IG62" s="83">
        <f t="shared" si="364"/>
        <v>0.39013078674757684</v>
      </c>
      <c r="IH62" s="84">
        <f t="shared" si="365"/>
        <v>0.40689750243198708</v>
      </c>
      <c r="II62" s="83">
        <f t="shared" si="366"/>
        <v>0.42203295480633879</v>
      </c>
      <c r="IJ62" s="83">
        <f t="shared" si="87"/>
        <v>0.43450065137934429</v>
      </c>
      <c r="IK62" s="83">
        <f t="shared" si="88"/>
        <v>0.44154843480935457</v>
      </c>
      <c r="IL62" s="83">
        <f t="shared" si="89"/>
        <v>0.44743204422808092</v>
      </c>
      <c r="IM62" s="83">
        <f t="shared" si="90"/>
        <v>0.45402853411745908</v>
      </c>
      <c r="IN62" s="81"/>
      <c r="IO62" s="81">
        <v>61</v>
      </c>
      <c r="IP62" s="133">
        <f t="shared" si="91"/>
        <v>0.33498503229723042</v>
      </c>
      <c r="IQ62" s="133">
        <f t="shared" si="92"/>
        <v>0.34906031527040987</v>
      </c>
      <c r="IR62" s="133">
        <f t="shared" si="93"/>
        <v>0.36009594511235321</v>
      </c>
      <c r="IS62" s="133">
        <f t="shared" si="367"/>
        <v>0.37182679693377352</v>
      </c>
      <c r="IT62" s="133">
        <f t="shared" si="368"/>
        <v>0.38950813576514676</v>
      </c>
      <c r="IU62" s="134">
        <f t="shared" si="369"/>
        <v>0.40705349695881898</v>
      </c>
      <c r="IV62" s="133">
        <f t="shared" si="370"/>
        <v>0.42284549920379788</v>
      </c>
      <c r="IW62" s="133">
        <f t="shared" si="94"/>
        <v>0.43582682374025505</v>
      </c>
      <c r="IX62" s="133">
        <f t="shared" si="95"/>
        <v>0.44315558974662855</v>
      </c>
      <c r="IY62" s="133">
        <f t="shared" si="96"/>
        <v>0.44926911839818173</v>
      </c>
      <c r="IZ62" s="133">
        <f t="shared" si="97"/>
        <v>0.45611874865762603</v>
      </c>
      <c r="JA62" s="81"/>
      <c r="JB62" s="81">
        <v>63</v>
      </c>
      <c r="JC62" s="133">
        <f t="shared" si="98"/>
        <v>0.34177084865994856</v>
      </c>
      <c r="JD62" s="133">
        <f t="shared" si="99"/>
        <v>0.35438254201413449</v>
      </c>
      <c r="JE62" s="133">
        <f t="shared" si="100"/>
        <v>0.36435049574487138</v>
      </c>
      <c r="JF62" s="133">
        <f t="shared" si="371"/>
        <v>0.37501247764031365</v>
      </c>
      <c r="JG62" s="133">
        <f t="shared" si="372"/>
        <v>0.39119194831850568</v>
      </c>
      <c r="JH62" s="134">
        <f t="shared" si="373"/>
        <v>0.40735447073476105</v>
      </c>
      <c r="JI62" s="133">
        <f t="shared" si="374"/>
        <v>0.42197647750433959</v>
      </c>
      <c r="JJ62" s="133">
        <f t="shared" si="101"/>
        <v>0.43404011055167979</v>
      </c>
      <c r="JK62" s="133">
        <f t="shared" si="102"/>
        <v>0.44086600451405022</v>
      </c>
      <c r="JL62" s="133">
        <f t="shared" si="103"/>
        <v>0.44656761967731162</v>
      </c>
      <c r="JM62" s="133">
        <f t="shared" si="104"/>
        <v>0.45296329940380903</v>
      </c>
      <c r="JN62" s="81"/>
      <c r="JO62" s="81">
        <v>60</v>
      </c>
      <c r="JP62" s="133">
        <f t="shared" si="105"/>
        <v>-0.15611465310959716</v>
      </c>
      <c r="JQ62" s="133">
        <f t="shared" si="106"/>
        <v>1.285887757182671</v>
      </c>
      <c r="JR62" s="133">
        <f t="shared" si="107"/>
        <v>2.5394062536343149</v>
      </c>
      <c r="JS62" s="133">
        <f t="shared" si="375"/>
        <v>3.9993323328786055</v>
      </c>
      <c r="JT62" s="133">
        <f t="shared" si="376"/>
        <v>6.4682255645037365</v>
      </c>
      <c r="JU62" s="134">
        <f t="shared" si="377"/>
        <v>9.2667425036837585</v>
      </c>
      <c r="JV62" s="133">
        <f t="shared" si="378"/>
        <v>12.111603636600822</v>
      </c>
      <c r="JW62" s="133">
        <f t="shared" si="108"/>
        <v>14.701263068453525</v>
      </c>
      <c r="JX62" s="133">
        <f t="shared" si="109"/>
        <v>16.269816827151356</v>
      </c>
      <c r="JY62" s="133">
        <f t="shared" si="110"/>
        <v>17.639794412841457</v>
      </c>
      <c r="JZ62" s="133">
        <f t="shared" si="111"/>
        <v>19.243495852783472</v>
      </c>
      <c r="KA62" s="81"/>
      <c r="KB62" s="81">
        <v>60</v>
      </c>
      <c r="KC62" s="133">
        <f t="shared" si="112"/>
        <v>1.3049912522866673</v>
      </c>
      <c r="KD62" s="133">
        <f t="shared" si="113"/>
        <v>2.6987175486612109</v>
      </c>
      <c r="KE62" s="133">
        <f t="shared" si="114"/>
        <v>3.9321415471023276</v>
      </c>
      <c r="KF62" s="133">
        <f t="shared" si="379"/>
        <v>5.3928052490890135</v>
      </c>
      <c r="KG62" s="133">
        <f t="shared" si="380"/>
        <v>7.9181095023006893</v>
      </c>
      <c r="KH62" s="134">
        <f t="shared" si="381"/>
        <v>10.857798941603209</v>
      </c>
      <c r="KI62" s="133">
        <f t="shared" si="382"/>
        <v>13.923050729481242</v>
      </c>
      <c r="KJ62" s="133">
        <f t="shared" si="115"/>
        <v>16.775383373081482</v>
      </c>
      <c r="KK62" s="133">
        <f t="shared" si="116"/>
        <v>18.529997382990175</v>
      </c>
      <c r="KL62" s="133">
        <f t="shared" si="117"/>
        <v>20.078346424281158</v>
      </c>
      <c r="KM62" s="133">
        <f t="shared" si="118"/>
        <v>21.908963599218431</v>
      </c>
      <c r="KN62" s="81"/>
      <c r="KO62" s="81">
        <v>62</v>
      </c>
      <c r="KP62" s="133">
        <f t="shared" si="119"/>
        <v>0.38934341491754054</v>
      </c>
      <c r="KQ62" s="133">
        <f t="shared" si="120"/>
        <v>1.6456499964261084</v>
      </c>
      <c r="KR62" s="133">
        <f t="shared" si="121"/>
        <v>2.7227965189393721</v>
      </c>
      <c r="KS62" s="133">
        <f t="shared" si="383"/>
        <v>3.9610544989496823</v>
      </c>
      <c r="KT62" s="133">
        <f t="shared" si="384"/>
        <v>6.0186033332816784</v>
      </c>
      <c r="KU62" s="134">
        <f t="shared" si="385"/>
        <v>8.300922969817524</v>
      </c>
      <c r="KV62" s="133">
        <f t="shared" si="386"/>
        <v>10.572614420488321</v>
      </c>
      <c r="KW62" s="133">
        <f t="shared" si="122"/>
        <v>12.602413483130828</v>
      </c>
      <c r="KX62" s="133">
        <f t="shared" si="123"/>
        <v>13.815642917433589</v>
      </c>
      <c r="KY62" s="133">
        <f t="shared" si="124"/>
        <v>14.865883669332174</v>
      </c>
      <c r="KZ62" s="133">
        <f t="shared" si="125"/>
        <v>16.0847050621832</v>
      </c>
      <c r="LA62" s="81"/>
      <c r="LB62" s="81">
        <v>60</v>
      </c>
      <c r="LC62" s="133">
        <f t="shared" si="126"/>
        <v>1.2720771275368463</v>
      </c>
      <c r="LD62" s="133">
        <f t="shared" si="127"/>
        <v>4.9753127056524065</v>
      </c>
      <c r="LE62" s="133">
        <f t="shared" si="128"/>
        <v>8.2164032645195633</v>
      </c>
      <c r="LF62" s="133">
        <f t="shared" si="387"/>
        <v>12.014450224968478</v>
      </c>
      <c r="LG62" s="133">
        <f t="shared" si="388"/>
        <v>18.488295407511529</v>
      </c>
      <c r="LH62" s="134">
        <f t="shared" si="389"/>
        <v>25.894278845414426</v>
      </c>
      <c r="LI62" s="133">
        <f t="shared" si="390"/>
        <v>33.486825976912151</v>
      </c>
      <c r="LJ62" s="133">
        <f t="shared" si="129"/>
        <v>40.447381945376357</v>
      </c>
      <c r="LK62" s="133">
        <f t="shared" si="130"/>
        <v>44.683919860550425</v>
      </c>
      <c r="LL62" s="133">
        <f t="shared" si="131"/>
        <v>48.395875672519686</v>
      </c>
      <c r="LM62" s="133">
        <f t="shared" si="132"/>
        <v>52.754246640012703</v>
      </c>
      <c r="LN62" s="81"/>
      <c r="LO62" s="81">
        <v>60</v>
      </c>
      <c r="LP62" s="133">
        <f t="shared" si="133"/>
        <v>6.0039367122204759</v>
      </c>
      <c r="LQ62" s="133">
        <f t="shared" si="134"/>
        <v>9.7670202670684283</v>
      </c>
      <c r="LR62" s="133">
        <f t="shared" si="135"/>
        <v>13.068689190027957</v>
      </c>
      <c r="LS62" s="133">
        <f t="shared" si="391"/>
        <v>16.946737121497105</v>
      </c>
      <c r="LT62" s="133">
        <f t="shared" si="392"/>
        <v>23.577463173081849</v>
      </c>
      <c r="LU62" s="134">
        <f t="shared" si="393"/>
        <v>31.191476284627189</v>
      </c>
      <c r="LV62" s="133">
        <f t="shared" si="394"/>
        <v>39.025508934687764</v>
      </c>
      <c r="LW62" s="133">
        <f t="shared" si="136"/>
        <v>46.230047924549766</v>
      </c>
      <c r="LX62" s="133">
        <f t="shared" si="137"/>
        <v>50.624835783164201</v>
      </c>
      <c r="LY62" s="133">
        <f t="shared" si="138"/>
        <v>54.481155547143487</v>
      </c>
      <c r="LZ62" s="133">
        <f t="shared" si="139"/>
        <v>59.015525500855546</v>
      </c>
      <c r="MA62" s="81"/>
      <c r="MB62" s="81">
        <v>62</v>
      </c>
      <c r="MC62" s="133">
        <f t="shared" si="140"/>
        <v>2.6574126310698389</v>
      </c>
      <c r="MD62" s="133">
        <f t="shared" si="141"/>
        <v>5.6708035679794548</v>
      </c>
      <c r="ME62" s="133">
        <f t="shared" si="142"/>
        <v>8.2841830130803942</v>
      </c>
      <c r="MF62" s="133">
        <f t="shared" si="395"/>
        <v>11.320918937544249</v>
      </c>
      <c r="MG62" s="133">
        <f t="shared" si="396"/>
        <v>16.439972538701021</v>
      </c>
      <c r="MH62" s="134">
        <f t="shared" si="397"/>
        <v>22.218833552319175</v>
      </c>
      <c r="MI62" s="133">
        <f t="shared" si="398"/>
        <v>28.069219373164366</v>
      </c>
      <c r="MJ62" s="133">
        <f t="shared" si="143"/>
        <v>33.374882174455983</v>
      </c>
      <c r="MK62" s="133">
        <f t="shared" si="144"/>
        <v>36.579754904456316</v>
      </c>
      <c r="ML62" s="133">
        <f t="shared" si="145"/>
        <v>39.373698760729177</v>
      </c>
      <c r="MM62" s="133">
        <f t="shared" si="146"/>
        <v>42.638335530858122</v>
      </c>
      <c r="MN62" s="81"/>
      <c r="MO62" s="81">
        <v>60</v>
      </c>
      <c r="MP62" s="133">
        <f t="shared" si="147"/>
        <v>-4.945054665589339</v>
      </c>
      <c r="MQ62" s="133">
        <f t="shared" si="148"/>
        <v>-0.82955318001069145</v>
      </c>
      <c r="MR62" s="133">
        <f t="shared" si="149"/>
        <v>2.7221116703037112</v>
      </c>
      <c r="MS62" s="133">
        <f t="shared" si="399"/>
        <v>6.82957028336223</v>
      </c>
      <c r="MT62" s="133">
        <f t="shared" si="400"/>
        <v>13.708568894291325</v>
      </c>
      <c r="MU62" s="134">
        <f t="shared" si="401"/>
        <v>21.411124989918072</v>
      </c>
      <c r="MV62" s="133">
        <f t="shared" si="402"/>
        <v>29.146412794724291</v>
      </c>
      <c r="MW62" s="133">
        <f t="shared" si="150"/>
        <v>36.111308397594478</v>
      </c>
      <c r="MX62" s="133">
        <f t="shared" si="151"/>
        <v>40.296805947487563</v>
      </c>
      <c r="MY62" s="133">
        <f t="shared" si="152"/>
        <v>43.93299632687161</v>
      </c>
      <c r="MZ62" s="133">
        <f t="shared" si="153"/>
        <v>48.167429337199373</v>
      </c>
      <c r="NA62" s="81"/>
      <c r="NB62" s="81">
        <v>60</v>
      </c>
      <c r="NC62" s="133">
        <f t="shared" si="154"/>
        <v>4.332479497919838</v>
      </c>
      <c r="ND62" s="133">
        <f t="shared" si="155"/>
        <v>7.8921189357880444</v>
      </c>
      <c r="NE62" s="133">
        <f t="shared" si="156"/>
        <v>10.966149928810172</v>
      </c>
      <c r="NF62" s="133">
        <f t="shared" si="403"/>
        <v>14.523569144935923</v>
      </c>
      <c r="NG62" s="133">
        <f t="shared" si="404"/>
        <v>20.486786182339426</v>
      </c>
      <c r="NH62" s="134">
        <f t="shared" si="405"/>
        <v>27.171503704808575</v>
      </c>
      <c r="NI62" s="133">
        <f t="shared" si="406"/>
        <v>33.892132114603172</v>
      </c>
      <c r="NJ62" s="133">
        <f t="shared" si="157"/>
        <v>39.949413498804404</v>
      </c>
      <c r="NK62" s="133">
        <f t="shared" si="158"/>
        <v>43.5920626804497</v>
      </c>
      <c r="NL62" s="133">
        <f t="shared" si="159"/>
        <v>46.758149377646191</v>
      </c>
      <c r="NM62" s="133">
        <f t="shared" si="160"/>
        <v>50.446833220425148</v>
      </c>
      <c r="NN62" s="81"/>
      <c r="NO62" s="81">
        <v>62</v>
      </c>
      <c r="NP62" s="133">
        <f t="shared" si="161"/>
        <v>-6.7195752307259902</v>
      </c>
      <c r="NQ62" s="133">
        <f t="shared" si="162"/>
        <v>-3.0394622530430198</v>
      </c>
      <c r="NR62" s="133">
        <f t="shared" si="163"/>
        <v>0.12723990489274684</v>
      </c>
      <c r="NS62" s="133">
        <f t="shared" si="407"/>
        <v>3.7799201006268035</v>
      </c>
      <c r="NT62" s="133">
        <f t="shared" si="408"/>
        <v>9.8768165840135609</v>
      </c>
      <c r="NU62" s="134">
        <f t="shared" si="409"/>
        <v>16.677028437929678</v>
      </c>
      <c r="NV62" s="133">
        <f t="shared" si="410"/>
        <v>23.4815619840587</v>
      </c>
      <c r="NW62" s="133">
        <f t="shared" si="164"/>
        <v>29.589801230209055</v>
      </c>
      <c r="NX62" s="133">
        <f t="shared" si="165"/>
        <v>33.252788293572614</v>
      </c>
      <c r="NY62" s="133">
        <f t="shared" si="166"/>
        <v>36.430655828810295</v>
      </c>
      <c r="NZ62" s="133">
        <f t="shared" si="167"/>
        <v>40.126481985734408</v>
      </c>
      <c r="OA62" s="81"/>
      <c r="OB62" s="81">
        <v>60</v>
      </c>
      <c r="OC62" s="133">
        <v>14.322921025169183</v>
      </c>
      <c r="OD62" s="133">
        <v>15.648659063375055</v>
      </c>
      <c r="OE62" s="133">
        <v>16.88660555997269</v>
      </c>
      <c r="OF62" s="133">
        <v>18.435906170336004</v>
      </c>
      <c r="OG62" s="133">
        <v>21.343171063221348</v>
      </c>
      <c r="OH62" s="134">
        <v>25.12700595306978</v>
      </c>
      <c r="OI62" s="133">
        <v>29.581659927449927</v>
      </c>
      <c r="OJ62" s="133">
        <v>34.246563327681372</v>
      </c>
      <c r="OK62" s="133">
        <v>37.388593339455305</v>
      </c>
      <c r="OL62" s="133">
        <v>40.346359749333878</v>
      </c>
      <c r="OM62" s="133">
        <v>44.080842661641789</v>
      </c>
      <c r="ON62" s="81"/>
      <c r="OO62" s="81">
        <v>60</v>
      </c>
      <c r="OP62" s="133">
        <v>14.322268915914462</v>
      </c>
      <c r="OQ62" s="133">
        <v>15.371537874917118</v>
      </c>
      <c r="OR62" s="133">
        <v>16.335246854104984</v>
      </c>
      <c r="OS62" s="133">
        <v>17.521565428762877</v>
      </c>
      <c r="OT62" s="133">
        <v>25.314236081859402</v>
      </c>
      <c r="OU62" s="134">
        <v>22.43756709456143</v>
      </c>
      <c r="OV62" s="133">
        <v>25.561557015998655</v>
      </c>
      <c r="OW62" s="133">
        <v>28.732844629082432</v>
      </c>
      <c r="OX62" s="133">
        <v>30.819516939006789</v>
      </c>
      <c r="OY62" s="133">
        <v>32.751727330058081</v>
      </c>
      <c r="OZ62" s="133">
        <v>35.151163553669491</v>
      </c>
      <c r="PA62" s="81"/>
      <c r="PB62" s="81">
        <v>62</v>
      </c>
      <c r="PC62" s="133">
        <v>15.546905237511695</v>
      </c>
      <c r="PD62" s="133">
        <v>16.872366737384105</v>
      </c>
      <c r="PE62" s="133">
        <v>18.102372214928454</v>
      </c>
      <c r="PF62" s="133">
        <v>19.632185646489578</v>
      </c>
      <c r="PG62" s="133">
        <v>22.477282207948896</v>
      </c>
      <c r="PH62" s="134">
        <v>26.136897637713421</v>
      </c>
      <c r="PI62" s="133">
        <v>30.392349564518252</v>
      </c>
      <c r="PJ62" s="133">
        <v>34.796809200225816</v>
      </c>
      <c r="PK62" s="133">
        <v>37.737452860512256</v>
      </c>
      <c r="PL62" s="133">
        <v>40.488535411613711</v>
      </c>
      <c r="PM62" s="133">
        <v>43.940411785364859</v>
      </c>
      <c r="PN62" s="81"/>
      <c r="PO62" s="81">
        <v>60</v>
      </c>
      <c r="PP62" s="133">
        <v>9.8529278524491311</v>
      </c>
      <c r="PQ62" s="133">
        <v>10.6975567342894</v>
      </c>
      <c r="PR62" s="133">
        <v>11.481671553009127</v>
      </c>
      <c r="PS62" s="133">
        <v>12.457300659925023</v>
      </c>
      <c r="PT62" s="133">
        <v>14.272788007547817</v>
      </c>
      <c r="PU62" s="134">
        <v>16.609794841766234</v>
      </c>
      <c r="PV62" s="133">
        <v>19.329459986350891</v>
      </c>
      <c r="PW62" s="133">
        <v>22.146473960693893</v>
      </c>
      <c r="PX62" s="133">
        <v>24.02832056393915</v>
      </c>
      <c r="PY62" s="133">
        <v>25.78956032093345</v>
      </c>
      <c r="PZ62" s="133">
        <v>28.000335414715117</v>
      </c>
      <c r="QA62" s="81"/>
      <c r="QB62" s="81">
        <v>60</v>
      </c>
      <c r="QC62" s="133">
        <v>9.8700165012782062</v>
      </c>
      <c r="QD62" s="133">
        <v>10.705958236223868</v>
      </c>
      <c r="QE62" s="133">
        <v>11.481325828822737</v>
      </c>
      <c r="QF62" s="133">
        <v>12.445223550802522</v>
      </c>
      <c r="QG62" s="133">
        <v>14.236612892872605</v>
      </c>
      <c r="QH62" s="134">
        <v>16.538770097540326</v>
      </c>
      <c r="QI62" s="133">
        <v>19.213201791574612</v>
      </c>
      <c r="QJ62" s="133">
        <v>21.978786899465195</v>
      </c>
      <c r="QK62" s="133">
        <v>23.823983433395977</v>
      </c>
      <c r="QL62" s="133">
        <v>25.549409992446613</v>
      </c>
      <c r="QM62" s="133">
        <v>27.713319051074624</v>
      </c>
      <c r="QN62" s="81"/>
      <c r="QO62" s="81">
        <v>62</v>
      </c>
      <c r="QP62" s="133">
        <v>9.397298921677864</v>
      </c>
      <c r="QQ62" s="133">
        <v>10.260785821848248</v>
      </c>
      <c r="QR62" s="133">
        <v>11.066630277967425</v>
      </c>
      <c r="QS62" s="133">
        <v>12.074574466946629</v>
      </c>
      <c r="QT62" s="133">
        <v>13.964425112193558</v>
      </c>
      <c r="QU62" s="134">
        <v>16.421424949962677</v>
      </c>
      <c r="QV62" s="133">
        <v>19.310726737457333</v>
      </c>
      <c r="QW62" s="133">
        <v>22.33314292983512</v>
      </c>
      <c r="QX62" s="133">
        <v>24.367236513189543</v>
      </c>
      <c r="QY62" s="133">
        <v>26.280949828722104</v>
      </c>
      <c r="QZ62" s="133">
        <v>28.695819898331937</v>
      </c>
      <c r="RA62" s="81"/>
      <c r="RB62" s="81">
        <v>60</v>
      </c>
      <c r="RC62" s="133">
        <f t="shared" si="168"/>
        <v>0.37629036618501183</v>
      </c>
      <c r="RD62" s="133">
        <f t="shared" si="169"/>
        <v>0.41031306883840868</v>
      </c>
      <c r="RE62" s="133">
        <f t="shared" si="170"/>
        <v>0.44243802535949345</v>
      </c>
      <c r="RF62" s="133">
        <f t="shared" si="411"/>
        <v>0.48314115072052866</v>
      </c>
      <c r="RG62" s="133">
        <f t="shared" si="412"/>
        <v>0.56106134540078079</v>
      </c>
      <c r="RH62" s="134">
        <f t="shared" si="413"/>
        <v>0.66557152573681611</v>
      </c>
      <c r="RI62" s="133">
        <f t="shared" si="414"/>
        <v>0.79320132347078209</v>
      </c>
      <c r="RJ62" s="133">
        <f t="shared" si="171"/>
        <v>0.93225836990991029</v>
      </c>
      <c r="RK62" s="133">
        <f t="shared" si="172"/>
        <v>1.0290632578332037</v>
      </c>
      <c r="RL62" s="133">
        <f t="shared" si="173"/>
        <v>1.1225158526511971</v>
      </c>
      <c r="RM62" s="133">
        <f t="shared" si="174"/>
        <v>1.2437425889266671</v>
      </c>
      <c r="RN62" s="81"/>
      <c r="RO62" s="81">
        <v>60</v>
      </c>
      <c r="RP62" s="133">
        <f t="shared" si="175"/>
        <v>0.41497769418386715</v>
      </c>
      <c r="RQ62" s="133">
        <f t="shared" si="176"/>
        <v>0.45264072046595144</v>
      </c>
      <c r="RR62" s="133">
        <f t="shared" si="177"/>
        <v>0.4884002450907704</v>
      </c>
      <c r="RS62" s="133">
        <f t="shared" si="415"/>
        <v>0.53398709688286516</v>
      </c>
      <c r="RT62" s="133">
        <f t="shared" si="416"/>
        <v>0.62213247804223426</v>
      </c>
      <c r="RU62" s="134">
        <f t="shared" si="417"/>
        <v>0.74216635998818148</v>
      </c>
      <c r="RV62" s="133">
        <f t="shared" si="418"/>
        <v>0.89153991231324947</v>
      </c>
      <c r="RW62" s="133">
        <f t="shared" si="178"/>
        <v>1.0577110224794972</v>
      </c>
      <c r="RX62" s="133">
        <f t="shared" si="179"/>
        <v>1.1754557411934221</v>
      </c>
      <c r="RY62" s="133">
        <f t="shared" si="180"/>
        <v>1.2906996201154921</v>
      </c>
      <c r="RZ62" s="133">
        <f t="shared" si="181"/>
        <v>1.4424604871964419</v>
      </c>
      <c r="SA62" s="81"/>
      <c r="SB62" s="81">
        <v>62</v>
      </c>
      <c r="SC62" s="133">
        <f t="shared" si="182"/>
        <v>0.38120544683346369</v>
      </c>
      <c r="SD62" s="133">
        <f t="shared" si="183"/>
        <v>0.41182916851305734</v>
      </c>
      <c r="SE62" s="133">
        <f t="shared" si="184"/>
        <v>0.4401551479073883</v>
      </c>
      <c r="SF62" s="133">
        <f t="shared" si="419"/>
        <v>0.47527355754638823</v>
      </c>
      <c r="SG62" s="133">
        <f t="shared" si="420"/>
        <v>0.54029538446638603</v>
      </c>
      <c r="SH62" s="134">
        <f t="shared" si="421"/>
        <v>0.62346164436918616</v>
      </c>
      <c r="SI62" s="133">
        <f t="shared" si="422"/>
        <v>0.71962156231603991</v>
      </c>
      <c r="SJ62" s="133">
        <f t="shared" si="185"/>
        <v>0.81864035934445745</v>
      </c>
      <c r="SK62" s="133">
        <f t="shared" si="186"/>
        <v>0.88450678682479755</v>
      </c>
      <c r="SL62" s="133">
        <f t="shared" si="187"/>
        <v>0.94597245357643489</v>
      </c>
      <c r="SM62" s="133">
        <f t="shared" si="188"/>
        <v>1.0229055866513685</v>
      </c>
      <c r="SN62" s="81"/>
      <c r="SO62" s="81">
        <v>60</v>
      </c>
      <c r="SP62" s="133">
        <f t="shared" si="189"/>
        <v>0.2742907904814384</v>
      </c>
      <c r="SQ62" s="133">
        <f t="shared" si="190"/>
        <v>0.29166851763491985</v>
      </c>
      <c r="SR62" s="133">
        <f t="shared" si="191"/>
        <v>0.30726091070620476</v>
      </c>
      <c r="SS62" s="133">
        <f t="shared" si="423"/>
        <v>0.32600149273921702</v>
      </c>
      <c r="ST62" s="133">
        <f t="shared" si="424"/>
        <v>0.35914780137543151</v>
      </c>
      <c r="SU62" s="134">
        <f t="shared" si="425"/>
        <v>0.39899074110494265</v>
      </c>
      <c r="SV62" s="133">
        <f t="shared" si="426"/>
        <v>0.44204632199598137</v>
      </c>
      <c r="SW62" s="133">
        <f t="shared" si="192"/>
        <v>0.48354656128040491</v>
      </c>
      <c r="SX62" s="133">
        <f t="shared" si="193"/>
        <v>0.50977934947196413</v>
      </c>
      <c r="SY62" s="133">
        <f t="shared" si="194"/>
        <v>0.53338070771503265</v>
      </c>
      <c r="SZ62" s="133">
        <f t="shared" si="195"/>
        <v>0.56183808601613772</v>
      </c>
      <c r="TA62" s="81"/>
      <c r="TB62" s="81">
        <v>60</v>
      </c>
      <c r="TC62" s="133">
        <f t="shared" si="196"/>
        <v>0.29421162231668324</v>
      </c>
      <c r="TD62" s="133">
        <f t="shared" si="197"/>
        <v>0.31230316560461668</v>
      </c>
      <c r="TE62" s="133">
        <f t="shared" si="198"/>
        <v>0.32858882127453715</v>
      </c>
      <c r="TF62" s="133">
        <f t="shared" si="427"/>
        <v>0.34822943451139826</v>
      </c>
      <c r="TG62" s="133">
        <f t="shared" si="428"/>
        <v>0.38314755088337249</v>
      </c>
      <c r="TH62" s="134">
        <f t="shared" si="429"/>
        <v>0.42542530068170425</v>
      </c>
      <c r="TI62" s="133">
        <f t="shared" si="430"/>
        <v>0.47148455853764865</v>
      </c>
      <c r="TJ62" s="133">
        <f t="shared" si="199"/>
        <v>0.51624194817366642</v>
      </c>
      <c r="TK62" s="133">
        <f t="shared" si="200"/>
        <v>0.54471438100237823</v>
      </c>
      <c r="TL62" s="133">
        <f t="shared" si="201"/>
        <v>0.570448830173376</v>
      </c>
      <c r="TM62" s="133">
        <f t="shared" si="202"/>
        <v>0.60162518918903241</v>
      </c>
      <c r="TN62" s="81"/>
      <c r="TO62" s="81">
        <v>62</v>
      </c>
      <c r="TP62" s="133">
        <f t="shared" si="203"/>
        <v>0.27695165609741262</v>
      </c>
      <c r="TQ62" s="133">
        <f t="shared" si="204"/>
        <v>0.29244117317137641</v>
      </c>
      <c r="TR62" s="133">
        <f t="shared" si="205"/>
        <v>0.30614374812625067</v>
      </c>
      <c r="TS62" s="133">
        <f t="shared" si="431"/>
        <v>0.32238175174339267</v>
      </c>
      <c r="TT62" s="133">
        <f t="shared" si="432"/>
        <v>0.3505259521494512</v>
      </c>
      <c r="TU62" s="134">
        <f t="shared" si="433"/>
        <v>0.38346666275669022</v>
      </c>
      <c r="TV62" s="133">
        <f t="shared" si="434"/>
        <v>0.41808216468352249</v>
      </c>
      <c r="TW62" s="133">
        <f t="shared" si="206"/>
        <v>0.450579304321086</v>
      </c>
      <c r="TX62" s="133">
        <f t="shared" si="207"/>
        <v>0.47071868875720452</v>
      </c>
      <c r="TY62" s="133">
        <f t="shared" si="208"/>
        <v>0.48858907693117226</v>
      </c>
      <c r="TZ62" s="133">
        <f t="shared" si="209"/>
        <v>0.50983985196862458</v>
      </c>
      <c r="UA62" s="81"/>
      <c r="UB62" s="81">
        <v>60</v>
      </c>
      <c r="UC62" s="133">
        <f t="shared" si="210"/>
        <v>-12.023069619756619</v>
      </c>
      <c r="UD62" s="133">
        <f t="shared" si="211"/>
        <v>-8.9471820441945624</v>
      </c>
      <c r="UE62" s="133">
        <f t="shared" si="212"/>
        <v>-6.35846819423017</v>
      </c>
      <c r="UF62" s="133">
        <f t="shared" si="435"/>
        <v>-3.4331179393710727</v>
      </c>
      <c r="UG62" s="133">
        <f t="shared" si="436"/>
        <v>1.3197461219393887</v>
      </c>
      <c r="UH62" s="134">
        <f t="shared" si="437"/>
        <v>6.4517031179098723</v>
      </c>
      <c r="UI62" s="133">
        <f t="shared" si="438"/>
        <v>11.431095802360318</v>
      </c>
      <c r="UJ62" s="133">
        <f t="shared" si="213"/>
        <v>15.783650604383894</v>
      </c>
      <c r="UK62" s="133">
        <f t="shared" si="214"/>
        <v>18.345437733598075</v>
      </c>
      <c r="UL62" s="133">
        <f t="shared" si="215"/>
        <v>20.540573426464533</v>
      </c>
      <c r="UM62" s="133">
        <f t="shared" si="216"/>
        <v>23.063192157011443</v>
      </c>
      <c r="UN62" s="81"/>
      <c r="UO62" s="81">
        <v>60</v>
      </c>
      <c r="UP62" s="133">
        <f t="shared" si="217"/>
        <v>-7.9649274584194067</v>
      </c>
      <c r="UQ62" s="133">
        <f t="shared" si="218"/>
        <v>-5.3172857182875362</v>
      </c>
      <c r="UR62" s="133">
        <f t="shared" si="219"/>
        <v>-3.0440959716661204</v>
      </c>
      <c r="US62" s="133">
        <f t="shared" si="439"/>
        <v>-0.4273768864879699</v>
      </c>
      <c r="UT62" s="133">
        <f t="shared" si="440"/>
        <v>3.9288541076147609</v>
      </c>
      <c r="UU62" s="134">
        <f t="shared" si="441"/>
        <v>8.7725282475106496</v>
      </c>
      <c r="UV62" s="133">
        <f t="shared" si="442"/>
        <v>13.605233106522483</v>
      </c>
      <c r="UW62" s="133">
        <f t="shared" si="220"/>
        <v>17.93271149232001</v>
      </c>
      <c r="UX62" s="133">
        <f t="shared" si="221"/>
        <v>20.52335312927756</v>
      </c>
      <c r="UY62" s="133">
        <f t="shared" si="222"/>
        <v>22.768349456525193</v>
      </c>
      <c r="UZ62" s="133">
        <f t="shared" si="223"/>
        <v>25.376420132373418</v>
      </c>
      <c r="VA62" s="81"/>
      <c r="VB62" s="81">
        <v>63</v>
      </c>
      <c r="VC62" s="133">
        <f t="shared" si="224"/>
        <v>-11.943619487087695</v>
      </c>
      <c r="VD62" s="133">
        <f t="shared" si="225"/>
        <v>-9.0067357871487914</v>
      </c>
      <c r="VE62" s="133">
        <f t="shared" si="226"/>
        <v>-6.5589839468157862</v>
      </c>
      <c r="VF62" s="133">
        <f t="shared" si="443"/>
        <v>-3.8172039712481052</v>
      </c>
      <c r="VG62" s="133">
        <f t="shared" si="444"/>
        <v>0.58725956775757027</v>
      </c>
      <c r="VH62" s="134">
        <f t="shared" si="445"/>
        <v>5.2802219891651703</v>
      </c>
      <c r="VI62" s="133">
        <f t="shared" si="446"/>
        <v>9.777890016530435</v>
      </c>
      <c r="VJ62" s="133">
        <f t="shared" si="227"/>
        <v>13.668599176067872</v>
      </c>
      <c r="VK62" s="133">
        <f t="shared" si="228"/>
        <v>15.942075136216317</v>
      </c>
      <c r="VL62" s="133">
        <f t="shared" si="229"/>
        <v>17.880963283465007</v>
      </c>
      <c r="VM62" s="133">
        <f t="shared" si="230"/>
        <v>20.09904663268226</v>
      </c>
      <c r="VN62" s="81"/>
      <c r="VO62" s="81">
        <v>60</v>
      </c>
      <c r="VP62" s="133">
        <f t="shared" si="231"/>
        <v>-21.498385137860581</v>
      </c>
      <c r="VQ62" s="133">
        <f t="shared" si="232"/>
        <v>-16.691970665681083</v>
      </c>
      <c r="VR62" s="133">
        <f t="shared" si="233"/>
        <v>-12.34652582637419</v>
      </c>
      <c r="VS62" s="133">
        <f t="shared" si="447"/>
        <v>-7.0984250667619051</v>
      </c>
      <c r="VT62" s="133">
        <f t="shared" si="448"/>
        <v>2.2109415166477717</v>
      </c>
      <c r="VU62" s="134">
        <f t="shared" si="449"/>
        <v>13.382581444670087</v>
      </c>
      <c r="VV62" s="133">
        <f t="shared" si="450"/>
        <v>25.368652942135292</v>
      </c>
      <c r="VW62" s="133">
        <f t="shared" si="234"/>
        <v>36.797360929255056</v>
      </c>
      <c r="VX62" s="133">
        <f t="shared" si="235"/>
        <v>43.948134270227719</v>
      </c>
      <c r="VY62" s="133">
        <f t="shared" si="236"/>
        <v>50.329574880955938</v>
      </c>
      <c r="VZ62" s="133">
        <f t="shared" si="237"/>
        <v>57.956270681046028</v>
      </c>
      <c r="WA62" s="81"/>
      <c r="WB62" s="81">
        <v>60</v>
      </c>
      <c r="WC62" s="133">
        <f t="shared" si="238"/>
        <v>-15.373035493694907</v>
      </c>
      <c r="WD62" s="133">
        <f t="shared" si="239"/>
        <v>-10.626233779941934</v>
      </c>
      <c r="WE62" s="133">
        <f t="shared" si="240"/>
        <v>-6.33676090245811</v>
      </c>
      <c r="WF62" s="133">
        <f t="shared" si="451"/>
        <v>-1.1583061330719033</v>
      </c>
      <c r="WG62" s="133">
        <f t="shared" si="452"/>
        <v>8.0234113539465923</v>
      </c>
      <c r="WH62" s="134">
        <f t="shared" si="453"/>
        <v>19.037052289452795</v>
      </c>
      <c r="WI62" s="133">
        <f t="shared" si="454"/>
        <v>30.849806704942843</v>
      </c>
      <c r="WJ62" s="133">
        <f t="shared" si="241"/>
        <v>42.110889373155253</v>
      </c>
      <c r="WK62" s="133">
        <f t="shared" si="242"/>
        <v>49.155983086235302</v>
      </c>
      <c r="WL62" s="133">
        <f t="shared" si="243"/>
        <v>55.442738013414747</v>
      </c>
      <c r="WM62" s="133">
        <f t="shared" si="244"/>
        <v>62.955921590577496</v>
      </c>
      <c r="WN62" s="81"/>
      <c r="WO62" s="81">
        <v>63</v>
      </c>
      <c r="WP62" s="133">
        <f t="shared" si="245"/>
        <v>-22.801301898377041</v>
      </c>
      <c r="WQ62" s="133">
        <f t="shared" si="246"/>
        <v>-18.093588208671918</v>
      </c>
      <c r="WR62" s="133">
        <f t="shared" si="247"/>
        <v>-13.876006145718542</v>
      </c>
      <c r="WS62" s="133">
        <f t="shared" si="455"/>
        <v>-8.8272906508071642</v>
      </c>
      <c r="WT62" s="133">
        <f t="shared" si="456"/>
        <v>1.9229614933408357E-2</v>
      </c>
      <c r="WU62" s="134">
        <f t="shared" si="457"/>
        <v>10.473388429909654</v>
      </c>
      <c r="WV62" s="133">
        <f t="shared" si="458"/>
        <v>21.519887850928747</v>
      </c>
      <c r="WW62" s="133">
        <f t="shared" si="248"/>
        <v>31.910252965104299</v>
      </c>
      <c r="WX62" s="133">
        <f t="shared" si="249"/>
        <v>38.348044434687459</v>
      </c>
      <c r="WY62" s="133">
        <f t="shared" si="250"/>
        <v>44.055339933135095</v>
      </c>
      <c r="WZ62" s="133">
        <f t="shared" si="251"/>
        <v>50.832445780409664</v>
      </c>
      <c r="XA62" s="81"/>
      <c r="XB62" s="81">
        <v>60</v>
      </c>
      <c r="XC62" s="133">
        <f t="shared" si="252"/>
        <v>-26.909214844114931</v>
      </c>
      <c r="XD62" s="133">
        <f t="shared" si="253"/>
        <v>-21.781220963487165</v>
      </c>
      <c r="XE62" s="133">
        <f t="shared" si="254"/>
        <v>-17.218872636869108</v>
      </c>
      <c r="XF62" s="133">
        <f t="shared" si="459"/>
        <v>-11.796605674779251</v>
      </c>
      <c r="XG62" s="133">
        <f t="shared" si="460"/>
        <v>-2.3943033918605394</v>
      </c>
      <c r="XH62" s="134">
        <f t="shared" si="461"/>
        <v>8.5661593597868162</v>
      </c>
      <c r="XI62" s="133">
        <f t="shared" si="462"/>
        <v>19.987685840872665</v>
      </c>
      <c r="XJ62" s="133">
        <f t="shared" si="255"/>
        <v>30.595965098055409</v>
      </c>
      <c r="XK62" s="133">
        <f t="shared" si="256"/>
        <v>37.108809745330483</v>
      </c>
      <c r="XL62" s="133">
        <f t="shared" si="257"/>
        <v>42.846828159892901</v>
      </c>
      <c r="XM62" s="133">
        <f t="shared" si="258"/>
        <v>49.619037776942044</v>
      </c>
      <c r="XN62" s="81"/>
      <c r="XO62" s="81">
        <v>60</v>
      </c>
      <c r="XP62" s="133">
        <f t="shared" si="259"/>
        <v>-16.162709138568175</v>
      </c>
      <c r="XQ62" s="133">
        <f t="shared" si="260"/>
        <v>-11.538012963936765</v>
      </c>
      <c r="XR62" s="133">
        <f t="shared" si="261"/>
        <v>-7.4660149906108302</v>
      </c>
      <c r="XS62" s="133">
        <f t="shared" si="463"/>
        <v>-2.6691155411895977</v>
      </c>
      <c r="XT62" s="133">
        <f t="shared" si="464"/>
        <v>5.5606301611377731</v>
      </c>
      <c r="XU62" s="134">
        <f t="shared" si="465"/>
        <v>15.043817453334803</v>
      </c>
      <c r="XV62" s="133">
        <f t="shared" si="466"/>
        <v>24.828043968757477</v>
      </c>
      <c r="XW62" s="133">
        <f t="shared" si="262"/>
        <v>33.844063076896127</v>
      </c>
      <c r="XX62" s="133">
        <f t="shared" si="263"/>
        <v>39.350513628934728</v>
      </c>
      <c r="XY62" s="133">
        <f t="shared" si="264"/>
        <v>44.1857487346958</v>
      </c>
      <c r="XZ62" s="133">
        <f t="shared" si="265"/>
        <v>49.874728879282351</v>
      </c>
      <c r="YA62" s="81"/>
      <c r="YB62" s="81">
        <v>63</v>
      </c>
      <c r="YC62" s="133">
        <f t="shared" si="266"/>
        <v>-29.447271872700963</v>
      </c>
      <c r="YD62" s="133">
        <f t="shared" si="267"/>
        <v>-24.447044121432693</v>
      </c>
      <c r="YE62" s="133">
        <f t="shared" si="268"/>
        <v>-20.020780649124937</v>
      </c>
      <c r="YF62" s="133">
        <f t="shared" si="467"/>
        <v>-14.785632114960706</v>
      </c>
      <c r="YG62" s="133">
        <f t="shared" si="468"/>
        <v>-5.7669793855483178</v>
      </c>
      <c r="YH62" s="134">
        <f t="shared" si="469"/>
        <v>4.6625887758876843</v>
      </c>
      <c r="YI62" s="133">
        <f t="shared" si="470"/>
        <v>15.447644581757309</v>
      </c>
      <c r="YJ62" s="133">
        <f t="shared" si="269"/>
        <v>25.39804027702781</v>
      </c>
      <c r="YK62" s="133">
        <f t="shared" si="270"/>
        <v>31.478269394991052</v>
      </c>
      <c r="YL62" s="133">
        <f t="shared" si="271"/>
        <v>36.818366975707711</v>
      </c>
      <c r="YM62" s="133">
        <f t="shared" si="272"/>
        <v>43.101882324410106</v>
      </c>
      <c r="YN62" s="81"/>
      <c r="YO62" s="81">
        <v>60</v>
      </c>
      <c r="YP62" s="133">
        <v>17.96171883208827</v>
      </c>
      <c r="YQ62" s="133">
        <v>19.877729584692307</v>
      </c>
      <c r="YR62" s="133">
        <v>21.688294052917147</v>
      </c>
      <c r="YS62" s="133">
        <v>23.981370185426048</v>
      </c>
      <c r="YT62" s="133">
        <v>28.358782331378666</v>
      </c>
      <c r="YU62" s="134">
        <v>34.185735993375459</v>
      </c>
      <c r="YV62" s="133">
        <v>41.20996916414331</v>
      </c>
      <c r="YW62" s="133">
        <v>48.732184040050704</v>
      </c>
      <c r="YX62" s="133">
        <v>53.884576747131383</v>
      </c>
      <c r="YY62" s="133">
        <v>58.79265740231952</v>
      </c>
      <c r="YZ62" s="133">
        <v>65.064182127212135</v>
      </c>
      <c r="ZA62" s="81"/>
      <c r="ZB62" s="81">
        <v>60</v>
      </c>
      <c r="ZC62" s="133">
        <v>16.032673911884853</v>
      </c>
      <c r="ZD62" s="133">
        <v>17.748565972964286</v>
      </c>
      <c r="ZE62" s="133">
        <v>19.370504726160316</v>
      </c>
      <c r="ZF62" s="133">
        <v>21.425294394940053</v>
      </c>
      <c r="ZG62" s="133">
        <v>25.349497775998842</v>
      </c>
      <c r="ZH62" s="134">
        <v>30.576088623403535</v>
      </c>
      <c r="ZI62" s="133">
        <v>36.880304444981846</v>
      </c>
      <c r="ZJ62" s="133">
        <v>43.635208845812613</v>
      </c>
      <c r="ZK62" s="133">
        <v>48.263956397771466</v>
      </c>
      <c r="ZL62" s="133">
        <v>52.674520123502951</v>
      </c>
      <c r="ZM62" s="133">
        <v>58.31199465818348</v>
      </c>
      <c r="ZN62" s="81"/>
      <c r="ZO62" s="81">
        <v>63</v>
      </c>
      <c r="ZP62" s="133">
        <v>19.89500355499408</v>
      </c>
      <c r="ZQ62" s="133">
        <v>21.866187908439215</v>
      </c>
      <c r="ZR62" s="133">
        <v>23.717028522659856</v>
      </c>
      <c r="ZS62" s="133">
        <v>26.046189549969938</v>
      </c>
      <c r="ZT62" s="133">
        <v>30.451744228962244</v>
      </c>
      <c r="ZU62" s="134">
        <v>36.24575892579351</v>
      </c>
      <c r="ZV62" s="133">
        <v>43.142193439850473</v>
      </c>
      <c r="ZW62" s="133">
        <v>50.439433283946762</v>
      </c>
      <c r="ZX62" s="133">
        <v>55.392902144193329</v>
      </c>
      <c r="ZY62" s="133">
        <v>60.081576432428726</v>
      </c>
      <c r="ZZ62" s="133">
        <v>66.034420977872031</v>
      </c>
      <c r="AAA62" s="81"/>
      <c r="AAB62" s="81">
        <v>60</v>
      </c>
      <c r="AAC62" s="133">
        <v>10.511468380033413</v>
      </c>
      <c r="AAD62" s="133">
        <v>11.623399760096113</v>
      </c>
      <c r="AAE62" s="133">
        <v>12.673353419784201</v>
      </c>
      <c r="AAF62" s="133">
        <v>14.002126114344277</v>
      </c>
      <c r="AAG62" s="133">
        <v>16.535986633289951</v>
      </c>
      <c r="AAH62" s="134">
        <v>19.904159252663725</v>
      </c>
      <c r="AAI62" s="133">
        <v>23.95838629657727</v>
      </c>
      <c r="AAJ62" s="133">
        <v>28.293957097668375</v>
      </c>
      <c r="AAK62" s="133">
        <v>31.26051506911617</v>
      </c>
      <c r="AAL62" s="133">
        <v>34.084309559367938</v>
      </c>
      <c r="AAM62" s="133">
        <v>37.689839443168218</v>
      </c>
      <c r="AAN62" s="81"/>
      <c r="AAO62" s="81">
        <v>60</v>
      </c>
      <c r="AAP62" s="133">
        <v>10.18413093943186</v>
      </c>
      <c r="AAQ62" s="133">
        <v>11.334570826237018</v>
      </c>
      <c r="AAR62" s="133">
        <v>12.427430374936909</v>
      </c>
      <c r="AAS62" s="133">
        <v>13.818835548213203</v>
      </c>
      <c r="AAT62" s="133">
        <v>16.495212113753638</v>
      </c>
      <c r="AAU62" s="134">
        <v>20.093465391356048</v>
      </c>
      <c r="AAV62" s="133">
        <v>24.476638957372391</v>
      </c>
      <c r="AAW62" s="133">
        <v>29.217176080066196</v>
      </c>
      <c r="AAX62" s="133">
        <v>32.488401805725097</v>
      </c>
      <c r="AAY62" s="133">
        <v>35.620876839821555</v>
      </c>
      <c r="AAZ62" s="133">
        <v>39.644752589576093</v>
      </c>
      <c r="ABA62" s="81"/>
      <c r="ABB62" s="81">
        <v>63</v>
      </c>
      <c r="ABC62" s="133">
        <v>10.335831082380844</v>
      </c>
      <c r="ABD62" s="133">
        <v>11.424767978825033</v>
      </c>
      <c r="ABE62" s="133">
        <v>12.452640283270984</v>
      </c>
      <c r="ABF62" s="133">
        <v>13.753001573639441</v>
      </c>
      <c r="ABG62" s="133">
        <v>16.231402748010101</v>
      </c>
      <c r="ABH62" s="134">
        <v>19.523622707108149</v>
      </c>
      <c r="ABI62" s="133">
        <v>23.48360456130256</v>
      </c>
      <c r="ABJ62" s="133">
        <v>27.715538427633561</v>
      </c>
      <c r="ABK62" s="133">
        <v>30.609720905660421</v>
      </c>
      <c r="ABL62" s="133">
        <v>33.363639796972919</v>
      </c>
      <c r="ABM62" s="133">
        <v>36.878683539950671</v>
      </c>
      <c r="ABN62" s="81"/>
      <c r="ABO62" s="81">
        <v>60</v>
      </c>
      <c r="ABP62" s="133">
        <f t="shared" si="273"/>
        <v>0.29575240399666031</v>
      </c>
      <c r="ABQ62" s="133">
        <f t="shared" si="274"/>
        <v>0.33286915260164324</v>
      </c>
      <c r="ABR62" s="133">
        <f t="shared" si="275"/>
        <v>0.36741295744009922</v>
      </c>
      <c r="ABS62" s="133">
        <f t="shared" si="471"/>
        <v>0.41040261411012013</v>
      </c>
      <c r="ABT62" s="133">
        <f t="shared" si="472"/>
        <v>0.49011850680626362</v>
      </c>
      <c r="ABU62" s="134">
        <f t="shared" si="473"/>
        <v>0.59165702876605408</v>
      </c>
      <c r="ABV62" s="133">
        <f t="shared" si="474"/>
        <v>0.70773154670202987</v>
      </c>
      <c r="ABW62" s="133">
        <f t="shared" si="276"/>
        <v>0.82526400183395598</v>
      </c>
      <c r="ABX62" s="133">
        <f t="shared" si="277"/>
        <v>0.90219166048701382</v>
      </c>
      <c r="ABY62" s="133">
        <f t="shared" si="278"/>
        <v>0.97303755402039493</v>
      </c>
      <c r="ABZ62" s="133">
        <f t="shared" si="279"/>
        <v>1.0604144504538706</v>
      </c>
      <c r="ACA62" s="81"/>
      <c r="ACB62" s="81">
        <v>60</v>
      </c>
      <c r="ACC62" s="133">
        <f t="shared" si="280"/>
        <v>0.3616762326691203</v>
      </c>
      <c r="ACD62" s="133">
        <f t="shared" si="281"/>
        <v>0.39827437874073313</v>
      </c>
      <c r="ACE62" s="133">
        <f t="shared" si="282"/>
        <v>0.43225171703700349</v>
      </c>
      <c r="ACF62" s="133">
        <f t="shared" si="475"/>
        <v>0.47448850132201459</v>
      </c>
      <c r="ACG62" s="133">
        <f t="shared" si="476"/>
        <v>0.55284831858048222</v>
      </c>
      <c r="ACH62" s="134">
        <f t="shared" si="477"/>
        <v>0.65304805454365566</v>
      </c>
      <c r="ACI62" s="133">
        <f t="shared" si="478"/>
        <v>0.76846527257217534</v>
      </c>
      <c r="ACJ62" s="133">
        <f t="shared" si="283"/>
        <v>0.88651351775768705</v>
      </c>
      <c r="ACK62" s="133">
        <f t="shared" si="284"/>
        <v>0.9644896246567114</v>
      </c>
      <c r="ACL62" s="133">
        <f t="shared" si="285"/>
        <v>1.0368226903638516</v>
      </c>
      <c r="ACM62" s="133">
        <f t="shared" si="286"/>
        <v>1.1267400607501485</v>
      </c>
      <c r="ACN62" s="81"/>
      <c r="ACO62" s="81">
        <v>63</v>
      </c>
      <c r="ACP62" s="133">
        <f t="shared" si="287"/>
        <v>0.27502145526015825</v>
      </c>
      <c r="ACQ62" s="133">
        <f t="shared" si="288"/>
        <v>0.31262766178209644</v>
      </c>
      <c r="ACR62" s="133">
        <f t="shared" si="289"/>
        <v>0.34696326317516307</v>
      </c>
      <c r="ACS62" s="133">
        <f t="shared" si="479"/>
        <v>0.38884503331529424</v>
      </c>
      <c r="ACT62" s="133">
        <f t="shared" si="480"/>
        <v>0.46426986718812679</v>
      </c>
      <c r="ACU62" s="134">
        <f t="shared" si="481"/>
        <v>0.55633661985189886</v>
      </c>
      <c r="ACV62" s="133">
        <f t="shared" si="482"/>
        <v>0.65701600563209428</v>
      </c>
      <c r="ACW62" s="133">
        <f t="shared" si="290"/>
        <v>0.75487092177106241</v>
      </c>
      <c r="ACX62" s="133">
        <f t="shared" si="291"/>
        <v>0.81684339410352014</v>
      </c>
      <c r="ACY62" s="133">
        <f t="shared" si="292"/>
        <v>0.87264052019983118</v>
      </c>
      <c r="ACZ62" s="133">
        <f t="shared" si="293"/>
        <v>0.93991133166843377</v>
      </c>
      <c r="ADA62" s="81"/>
      <c r="ADB62" s="81">
        <v>60</v>
      </c>
      <c r="ADC62" s="133">
        <f t="shared" si="294"/>
        <v>0.23061998287034724</v>
      </c>
      <c r="ADD62" s="133">
        <f t="shared" si="295"/>
        <v>0.25164359199360559</v>
      </c>
      <c r="ADE62" s="133">
        <f t="shared" si="296"/>
        <v>0.27004814157512197</v>
      </c>
      <c r="ADF62" s="133">
        <f t="shared" si="483"/>
        <v>0.29162267763383598</v>
      </c>
      <c r="ADG62" s="133">
        <f t="shared" si="484"/>
        <v>0.32841896011223864</v>
      </c>
      <c r="ADH62" s="134">
        <f t="shared" si="485"/>
        <v>0.37055229425445929</v>
      </c>
      <c r="ADI62" s="133">
        <f t="shared" si="486"/>
        <v>0.4137935777533015</v>
      </c>
      <c r="ADJ62" s="133">
        <f t="shared" si="297"/>
        <v>0.45347824317905733</v>
      </c>
      <c r="ADK62" s="133">
        <f t="shared" si="298"/>
        <v>0.47765240563208788</v>
      </c>
      <c r="ADL62" s="133">
        <f t="shared" si="299"/>
        <v>0.49884570444156145</v>
      </c>
      <c r="ADM62" s="133">
        <f t="shared" si="300"/>
        <v>0.52374443685655481</v>
      </c>
      <c r="ADN62" s="81"/>
      <c r="ADO62" s="81">
        <v>60</v>
      </c>
      <c r="ADP62" s="133">
        <f t="shared" si="301"/>
        <v>0.26735012302728528</v>
      </c>
      <c r="ADQ62" s="133">
        <f t="shared" si="302"/>
        <v>0.28597033488258233</v>
      </c>
      <c r="ADR62" s="133">
        <f t="shared" si="303"/>
        <v>0.30237522740852957</v>
      </c>
      <c r="ADS62" s="133">
        <f t="shared" si="487"/>
        <v>0.32173129772529235</v>
      </c>
      <c r="ADT62" s="133">
        <f t="shared" si="488"/>
        <v>0.35505842577089258</v>
      </c>
      <c r="ADU62" s="134">
        <f t="shared" si="489"/>
        <v>0.3937048284370176</v>
      </c>
      <c r="ADV62" s="133">
        <f t="shared" si="490"/>
        <v>0.43389913515858664</v>
      </c>
      <c r="ADW62" s="133">
        <f t="shared" si="304"/>
        <v>0.47125194126861791</v>
      </c>
      <c r="ADX62" s="133">
        <f t="shared" si="305"/>
        <v>0.49421920326914759</v>
      </c>
      <c r="ADY62" s="133">
        <f t="shared" si="306"/>
        <v>0.51448518656013909</v>
      </c>
      <c r="ADZ62" s="133">
        <f t="shared" si="307"/>
        <v>0.53844829718797438</v>
      </c>
      <c r="AEA62" s="81"/>
      <c r="AEB62" s="81">
        <v>63</v>
      </c>
      <c r="AEC62" s="133">
        <f t="shared" si="308"/>
        <v>0.21853107988200848</v>
      </c>
      <c r="AED62" s="133">
        <f t="shared" si="309"/>
        <v>0.24045554650558842</v>
      </c>
      <c r="AEE62" s="133">
        <f t="shared" si="310"/>
        <v>0.25924766855916365</v>
      </c>
      <c r="AEF62" s="133">
        <f t="shared" si="491"/>
        <v>0.28084656917873874</v>
      </c>
      <c r="AEG62" s="133">
        <f t="shared" si="492"/>
        <v>0.31673234207411044</v>
      </c>
      <c r="AEH62" s="134">
        <f t="shared" si="493"/>
        <v>0.35653990985901957</v>
      </c>
      <c r="AEI62" s="133">
        <f t="shared" si="494"/>
        <v>0.39617009933879455</v>
      </c>
      <c r="AEJ62" s="133">
        <f t="shared" si="311"/>
        <v>0.43159078606373213</v>
      </c>
      <c r="AEK62" s="133">
        <f t="shared" si="312"/>
        <v>0.45276768875769696</v>
      </c>
      <c r="AEL62" s="133">
        <f t="shared" si="313"/>
        <v>0.47110336864163332</v>
      </c>
      <c r="AEM62" s="133">
        <f t="shared" si="314"/>
        <v>0.49238682495370034</v>
      </c>
      <c r="AEN62" s="81"/>
    </row>
    <row r="63" spans="1:820">
      <c r="A63" s="81"/>
      <c r="B63" s="81">
        <v>62</v>
      </c>
      <c r="C63" s="133">
        <f t="shared" si="0"/>
        <v>2.3196544789867946</v>
      </c>
      <c r="D63" s="133">
        <f t="shared" si="1"/>
        <v>2.8037494032134815</v>
      </c>
      <c r="E63" s="133">
        <f t="shared" si="2"/>
        <v>3.3182319377187457</v>
      </c>
      <c r="F63" s="133">
        <f t="shared" si="315"/>
        <v>4.0567589094190772</v>
      </c>
      <c r="G63" s="133">
        <f t="shared" si="316"/>
        <v>5.772375947421593</v>
      </c>
      <c r="H63" s="134">
        <f t="shared" si="317"/>
        <v>8.804061745777064</v>
      </c>
      <c r="I63" s="133">
        <f t="shared" si="318"/>
        <v>13.91423314414514</v>
      </c>
      <c r="J63" s="133">
        <f t="shared" si="3"/>
        <v>21.740417350113042</v>
      </c>
      <c r="K63" s="133">
        <f t="shared" si="4"/>
        <v>28.944575122296403</v>
      </c>
      <c r="L63" s="133">
        <f t="shared" si="5"/>
        <v>37.579205674328378</v>
      </c>
      <c r="M63" s="133">
        <f t="shared" si="6"/>
        <v>51.762123225410598</v>
      </c>
      <c r="N63" s="81"/>
      <c r="O63" s="75">
        <v>62</v>
      </c>
      <c r="P63" s="151">
        <f t="shared" si="7"/>
        <v>3.0355101330228802</v>
      </c>
      <c r="Q63" s="151">
        <f t="shared" si="8"/>
        <v>3.5163193953288467</v>
      </c>
      <c r="R63" s="151">
        <f t="shared" si="9"/>
        <v>4.019829794916963</v>
      </c>
      <c r="S63" s="151">
        <f t="shared" si="319"/>
        <v>4.7353609296509447</v>
      </c>
      <c r="T63" s="151">
        <f t="shared" si="320"/>
        <v>6.391537430104564</v>
      </c>
      <c r="U63" s="134">
        <f t="shared" si="321"/>
        <v>9.3789194989624125</v>
      </c>
      <c r="V63" s="151">
        <f t="shared" si="322"/>
        <v>14.76486833041788</v>
      </c>
      <c r="W63" s="151">
        <f t="shared" si="10"/>
        <v>24.162220670481965</v>
      </c>
      <c r="X63" s="151">
        <f t="shared" si="11"/>
        <v>34.29419989200693</v>
      </c>
      <c r="Y63" s="151">
        <f t="shared" si="12"/>
        <v>48.653113297185584</v>
      </c>
      <c r="Z63" s="151">
        <f t="shared" si="13"/>
        <v>78.653060534946874</v>
      </c>
      <c r="AA63" s="81"/>
      <c r="AB63" s="75">
        <v>64</v>
      </c>
      <c r="AC63" s="151">
        <f t="shared" si="14"/>
        <v>2.0875410832046155</v>
      </c>
      <c r="AD63" s="151">
        <f t="shared" si="15"/>
        <v>2.5092703536945136</v>
      </c>
      <c r="AE63" s="151">
        <f t="shared" si="16"/>
        <v>2.9581918182425251</v>
      </c>
      <c r="AF63" s="151">
        <f t="shared" si="323"/>
        <v>3.6046449437583337</v>
      </c>
      <c r="AG63" s="151">
        <f t="shared" si="324"/>
        <v>5.1184147045611361</v>
      </c>
      <c r="AH63" s="134">
        <f t="shared" si="325"/>
        <v>7.8404236220421391</v>
      </c>
      <c r="AI63" s="151">
        <f t="shared" si="326"/>
        <v>12.566623140523649</v>
      </c>
      <c r="AJ63" s="151">
        <f t="shared" si="17"/>
        <v>20.118324928440266</v>
      </c>
      <c r="AK63" s="151">
        <f t="shared" si="18"/>
        <v>27.375087274951657</v>
      </c>
      <c r="AL63" s="151">
        <f t="shared" si="19"/>
        <v>36.424313737664114</v>
      </c>
      <c r="AM63" s="151">
        <f t="shared" si="20"/>
        <v>52.048239840965103</v>
      </c>
      <c r="AN63" s="81"/>
      <c r="AO63" s="81">
        <v>62</v>
      </c>
      <c r="AP63" s="133">
        <f t="shared" si="21"/>
        <v>2.0589654056084727</v>
      </c>
      <c r="AQ63" s="133">
        <f t="shared" si="22"/>
        <v>4.8379757684188158</v>
      </c>
      <c r="AR63" s="133">
        <f t="shared" si="23"/>
        <v>7.5416506016953635</v>
      </c>
      <c r="AS63" s="133">
        <f t="shared" si="327"/>
        <v>11.022838856963983</v>
      </c>
      <c r="AT63" s="133">
        <f t="shared" si="328"/>
        <v>17.708606153037838</v>
      </c>
      <c r="AU63" s="134">
        <f t="shared" si="329"/>
        <v>26.473380600467674</v>
      </c>
      <c r="AV63" s="133">
        <f t="shared" si="330"/>
        <v>36.642602594982186</v>
      </c>
      <c r="AW63" s="133">
        <f t="shared" si="24"/>
        <v>46.977104678067526</v>
      </c>
      <c r="AX63" s="133">
        <f t="shared" si="25"/>
        <v>53.726563869227739</v>
      </c>
      <c r="AY63" s="133">
        <f t="shared" si="26"/>
        <v>59.919596004177698</v>
      </c>
      <c r="AZ63" s="133">
        <f t="shared" si="27"/>
        <v>67.518296838032782</v>
      </c>
      <c r="BA63" s="81"/>
      <c r="BB63" s="81">
        <v>62</v>
      </c>
      <c r="BC63" s="133">
        <f t="shared" si="28"/>
        <v>4.8984135999846083</v>
      </c>
      <c r="BD63" s="133">
        <f t="shared" si="29"/>
        <v>8.1299342005956383</v>
      </c>
      <c r="BE63" s="133">
        <f t="shared" si="30"/>
        <v>11.160780143538595</v>
      </c>
      <c r="BF63" s="133">
        <f t="shared" si="331"/>
        <v>14.933884702209447</v>
      </c>
      <c r="BG63" s="133">
        <f t="shared" si="332"/>
        <v>21.867739878453559</v>
      </c>
      <c r="BH63" s="134">
        <f t="shared" si="333"/>
        <v>30.49954125120323</v>
      </c>
      <c r="BI63" s="133">
        <f t="shared" si="334"/>
        <v>40.042718113112684</v>
      </c>
      <c r="BJ63" s="133">
        <f t="shared" si="31"/>
        <v>49.351203301066491</v>
      </c>
      <c r="BK63" s="133">
        <f t="shared" si="32"/>
        <v>55.260046505824562</v>
      </c>
      <c r="BL63" s="133">
        <f t="shared" si="33"/>
        <v>60.58057950163704</v>
      </c>
      <c r="BM63" s="133">
        <f t="shared" si="34"/>
        <v>66.99162477965244</v>
      </c>
      <c r="BN63" s="81"/>
      <c r="BO63" s="75">
        <v>64</v>
      </c>
      <c r="BP63" s="151">
        <f t="shared" si="35"/>
        <v>5.2793092831093729</v>
      </c>
      <c r="BQ63" s="151">
        <f t="shared" si="36"/>
        <v>6.7820626045521362</v>
      </c>
      <c r="BR63" s="151">
        <f t="shared" si="37"/>
        <v>8.3522094367173914</v>
      </c>
      <c r="BS63" s="151">
        <f t="shared" si="335"/>
        <v>10.537229043711324</v>
      </c>
      <c r="BT63" s="151">
        <f t="shared" si="336"/>
        <v>15.26603645496343</v>
      </c>
      <c r="BU63" s="134">
        <f t="shared" si="337"/>
        <v>22.560217969456321</v>
      </c>
      <c r="BV63" s="151">
        <f t="shared" si="338"/>
        <v>32.635437307124214</v>
      </c>
      <c r="BW63" s="151">
        <f t="shared" si="38"/>
        <v>44.715015589714255</v>
      </c>
      <c r="BX63" s="151">
        <f t="shared" si="39"/>
        <v>53.639223917474126</v>
      </c>
      <c r="BY63" s="151">
        <f t="shared" si="40"/>
        <v>62.567094200844835</v>
      </c>
      <c r="BZ63" s="151">
        <f t="shared" si="41"/>
        <v>74.511082995751551</v>
      </c>
      <c r="CA63" s="81"/>
      <c r="CB63" s="81">
        <v>62</v>
      </c>
      <c r="CC63" s="133">
        <f t="shared" si="42"/>
        <v>-3.0938384539197958</v>
      </c>
      <c r="CD63" s="133">
        <f t="shared" si="43"/>
        <v>-0.29727298803185498</v>
      </c>
      <c r="CE63" s="133">
        <f t="shared" si="44"/>
        <v>2.4269610889287767</v>
      </c>
      <c r="CF63" s="133">
        <f t="shared" si="339"/>
        <v>5.8795644153277857</v>
      </c>
      <c r="CG63" s="133">
        <f t="shared" si="340"/>
        <v>12.279597075863897</v>
      </c>
      <c r="CH63" s="134">
        <f t="shared" si="341"/>
        <v>20.226631381888492</v>
      </c>
      <c r="CI63" s="133">
        <f t="shared" si="342"/>
        <v>28.919065317951937</v>
      </c>
      <c r="CJ63" s="133">
        <f t="shared" si="45"/>
        <v>37.284075893255462</v>
      </c>
      <c r="CK63" s="133">
        <f t="shared" si="46"/>
        <v>42.535207233275322</v>
      </c>
      <c r="CL63" s="133">
        <f t="shared" si="47"/>
        <v>47.225558205886685</v>
      </c>
      <c r="CM63" s="133">
        <f t="shared" si="48"/>
        <v>52.831206864025191</v>
      </c>
      <c r="CN63" s="81"/>
      <c r="CO63" s="81">
        <v>62</v>
      </c>
      <c r="CP63" s="133">
        <f t="shared" si="49"/>
        <v>2.8270418326258602</v>
      </c>
      <c r="CQ63" s="133">
        <f t="shared" si="50"/>
        <v>5.6316624488575995</v>
      </c>
      <c r="CR63" s="133">
        <f t="shared" si="51"/>
        <v>8.2225623738506357</v>
      </c>
      <c r="CS63" s="133">
        <f t="shared" si="343"/>
        <v>11.397573014902143</v>
      </c>
      <c r="CT63" s="133">
        <f t="shared" si="344"/>
        <v>17.102823728155801</v>
      </c>
      <c r="CU63" s="134">
        <f t="shared" si="345"/>
        <v>24.007492582955969</v>
      </c>
      <c r="CV63" s="133">
        <f t="shared" si="346"/>
        <v>31.432777125840413</v>
      </c>
      <c r="CW63" s="133">
        <f t="shared" si="52"/>
        <v>38.501636184277231</v>
      </c>
      <c r="CX63" s="133">
        <f t="shared" si="53"/>
        <v>42.912370031998478</v>
      </c>
      <c r="CY63" s="133">
        <f t="shared" si="54"/>
        <v>46.838598363504225</v>
      </c>
      <c r="CZ63" s="133">
        <f t="shared" si="55"/>
        <v>51.517282084313237</v>
      </c>
      <c r="DA63" s="81"/>
      <c r="DB63" s="81">
        <v>64</v>
      </c>
      <c r="DC63" s="133">
        <f t="shared" si="56"/>
        <v>-3.552099111573332</v>
      </c>
      <c r="DD63" s="133">
        <f t="shared" si="57"/>
        <v>-1.3375654425011785</v>
      </c>
      <c r="DE63" s="133">
        <f t="shared" si="58"/>
        <v>0.89483741950885154</v>
      </c>
      <c r="DF63" s="133">
        <f t="shared" si="347"/>
        <v>3.815819519681459</v>
      </c>
      <c r="DG63" s="133">
        <f t="shared" si="348"/>
        <v>9.4541549880569669</v>
      </c>
      <c r="DH63" s="134">
        <f t="shared" si="349"/>
        <v>16.780126531571856</v>
      </c>
      <c r="DI63" s="133">
        <f t="shared" si="350"/>
        <v>25.122571850008566</v>
      </c>
      <c r="DJ63" s="133">
        <f t="shared" si="59"/>
        <v>33.419188035197216</v>
      </c>
      <c r="DK63" s="133">
        <f t="shared" si="60"/>
        <v>38.744219693399998</v>
      </c>
      <c r="DL63" s="133">
        <f t="shared" si="61"/>
        <v>43.569552735207971</v>
      </c>
      <c r="DM63" s="133">
        <f t="shared" si="62"/>
        <v>49.415724638598562</v>
      </c>
      <c r="DN63" s="81"/>
      <c r="DO63" s="81">
        <v>62</v>
      </c>
      <c r="DP63" s="133">
        <v>13.583681094913931</v>
      </c>
      <c r="DQ63" s="133">
        <v>14.760146829743833</v>
      </c>
      <c r="DR63" s="133">
        <v>15.853150255117143</v>
      </c>
      <c r="DS63" s="133">
        <v>17.214140010918413</v>
      </c>
      <c r="DT63" s="133">
        <v>19.74947747796185</v>
      </c>
      <c r="DU63" s="134">
        <v>23.017786377305853</v>
      </c>
      <c r="DV63" s="133">
        <v>26.826962399511757</v>
      </c>
      <c r="DW63" s="133">
        <v>30.778098085366967</v>
      </c>
      <c r="DX63" s="133">
        <v>33.420391605780068</v>
      </c>
      <c r="DY63" s="133">
        <v>35.895204554715278</v>
      </c>
      <c r="DZ63" s="133">
        <v>39.004043602706787</v>
      </c>
      <c r="EA63" s="81"/>
      <c r="EB63" s="81">
        <v>62</v>
      </c>
      <c r="EC63" s="133">
        <v>12.964186027287631</v>
      </c>
      <c r="ED63" s="133">
        <v>14.105038658863807</v>
      </c>
      <c r="EE63" s="133">
        <v>15.166215376454071</v>
      </c>
      <c r="EF63" s="133">
        <v>16.489144525000384</v>
      </c>
      <c r="EG63" s="133">
        <v>18.957794861206104</v>
      </c>
      <c r="EH63" s="134">
        <v>22.147287214611403</v>
      </c>
      <c r="EI63" s="133">
        <v>25.8733853044385</v>
      </c>
      <c r="EJ63" s="133">
        <v>29.74698476460096</v>
      </c>
      <c r="EK63" s="133">
        <v>32.341775373176283</v>
      </c>
      <c r="EL63" s="133">
        <v>34.774972464059935</v>
      </c>
      <c r="EM63" s="133">
        <v>37.835181471020029</v>
      </c>
      <c r="EN63" s="81"/>
      <c r="EO63" s="81">
        <v>64</v>
      </c>
      <c r="EP63" s="133">
        <v>12.019829020657992</v>
      </c>
      <c r="EQ63" s="133">
        <v>13.364279981152219</v>
      </c>
      <c r="ER63" s="133">
        <v>14.640257181535798</v>
      </c>
      <c r="ES63" s="133">
        <v>16.26329855143603</v>
      </c>
      <c r="ET63" s="133">
        <v>19.381057601311575</v>
      </c>
      <c r="EU63" s="134">
        <v>23.565386122295578</v>
      </c>
      <c r="EV63" s="133">
        <v>28.6531021431617</v>
      </c>
      <c r="EW63" s="133">
        <v>34.146051081614459</v>
      </c>
      <c r="EX63" s="133">
        <v>37.931534685965524</v>
      </c>
      <c r="EY63" s="133">
        <v>41.553112017711783</v>
      </c>
      <c r="EZ63" s="133">
        <v>46.200941971675498</v>
      </c>
      <c r="FA63" s="81"/>
      <c r="FB63" s="81">
        <v>62</v>
      </c>
      <c r="FC63" s="133">
        <v>9.4943340797902032</v>
      </c>
      <c r="FD63" s="133">
        <v>10.274936119330617</v>
      </c>
      <c r="FE63" s="133">
        <v>10.997438839354636</v>
      </c>
      <c r="FF63" s="133">
        <v>11.893714902829066</v>
      </c>
      <c r="FG63" s="133">
        <v>13.554355082748868</v>
      </c>
      <c r="FH63" s="134">
        <v>15.679944512704608</v>
      </c>
      <c r="FI63" s="133">
        <v>18.138868166026676</v>
      </c>
      <c r="FJ63" s="133">
        <v>20.671477492958442</v>
      </c>
      <c r="FK63" s="133">
        <v>22.356174334125527</v>
      </c>
      <c r="FL63" s="133">
        <v>23.928193525110945</v>
      </c>
      <c r="FM63" s="133">
        <v>25.895513877570256</v>
      </c>
      <c r="FN63" s="81"/>
      <c r="FO63" s="81">
        <v>62</v>
      </c>
      <c r="FP63" s="133">
        <v>9.4401158343523832</v>
      </c>
      <c r="FQ63" s="133">
        <v>10.174501987717061</v>
      </c>
      <c r="FR63" s="133">
        <v>10.851648954008802</v>
      </c>
      <c r="FS63" s="133">
        <v>11.688475860117654</v>
      </c>
      <c r="FT63" s="133">
        <v>13.230518188842549</v>
      </c>
      <c r="FU63" s="134">
        <v>15.190182246007319</v>
      </c>
      <c r="FV63" s="133">
        <v>17.440105774655372</v>
      </c>
      <c r="FW63" s="133">
        <v>19.740951637178917</v>
      </c>
      <c r="FX63" s="133">
        <v>21.263278755591848</v>
      </c>
      <c r="FY63" s="133">
        <v>22.678420717345528</v>
      </c>
      <c r="FZ63" s="133">
        <v>24.442670059963874</v>
      </c>
      <c r="GA63" s="81"/>
      <c r="GB63" s="81">
        <v>64</v>
      </c>
      <c r="GC63" s="133">
        <v>8.345178192689314</v>
      </c>
      <c r="GD63" s="133">
        <v>9.2420387794691887</v>
      </c>
      <c r="GE63" s="133">
        <v>10.090108710180479</v>
      </c>
      <c r="GF63" s="133">
        <v>11.164906687947406</v>
      </c>
      <c r="GG63" s="133">
        <v>13.218644007021444</v>
      </c>
      <c r="GH63" s="134">
        <v>15.955920665924724</v>
      </c>
      <c r="GI63" s="133">
        <v>19.260024262855591</v>
      </c>
      <c r="GJ63" s="133">
        <v>22.80282418948623</v>
      </c>
      <c r="GK63" s="133">
        <v>25.231780113569247</v>
      </c>
      <c r="GL63" s="133">
        <v>27.547104093833493</v>
      </c>
      <c r="GM63" s="133">
        <v>30.507605520073266</v>
      </c>
      <c r="GN63" s="81"/>
      <c r="GO63" s="81">
        <v>62</v>
      </c>
      <c r="GP63" s="133">
        <f t="shared" si="63"/>
        <v>0.51164197131173916</v>
      </c>
      <c r="GQ63" s="133">
        <f t="shared" si="64"/>
        <v>0.54366446014551739</v>
      </c>
      <c r="GR63" s="133">
        <f t="shared" si="65"/>
        <v>0.56968605810144057</v>
      </c>
      <c r="GS63" s="133">
        <f t="shared" si="351"/>
        <v>0.59820431408369679</v>
      </c>
      <c r="GT63" s="133">
        <f t="shared" si="352"/>
        <v>0.64407213115023487</v>
      </c>
      <c r="GU63" s="134">
        <f t="shared" si="353"/>
        <v>0.68894669960352495</v>
      </c>
      <c r="GV63" s="133">
        <f t="shared" si="354"/>
        <v>0.73091741307740132</v>
      </c>
      <c r="GW63" s="133">
        <f t="shared" si="66"/>
        <v>0.76849310753427391</v>
      </c>
      <c r="GX63" s="133">
        <f t="shared" si="67"/>
        <v>0.78950428274209405</v>
      </c>
      <c r="GY63" s="133">
        <f t="shared" si="68"/>
        <v>0.80725968724524932</v>
      </c>
      <c r="GZ63" s="133">
        <f t="shared" si="69"/>
        <v>0.82739728649546485</v>
      </c>
      <c r="HA63" s="81"/>
      <c r="HB63" s="81">
        <v>62</v>
      </c>
      <c r="HC63" s="133">
        <f t="shared" si="70"/>
        <v>0.50493299291629412</v>
      </c>
      <c r="HD63" s="133">
        <f t="shared" si="71"/>
        <v>0.53846187163477133</v>
      </c>
      <c r="HE63" s="133">
        <f t="shared" si="72"/>
        <v>0.56565120419390047</v>
      </c>
      <c r="HF63" s="133">
        <f t="shared" si="355"/>
        <v>0.59540155298052932</v>
      </c>
      <c r="HG63" s="133">
        <f t="shared" si="356"/>
        <v>0.64185518807132058</v>
      </c>
      <c r="HH63" s="134">
        <f t="shared" si="357"/>
        <v>0.68981965324608885</v>
      </c>
      <c r="HI63" s="133">
        <f t="shared" si="358"/>
        <v>0.73454249844443309</v>
      </c>
      <c r="HJ63" s="133">
        <f t="shared" si="73"/>
        <v>0.77238367382267892</v>
      </c>
      <c r="HK63" s="133">
        <f t="shared" si="74"/>
        <v>0.79417061301654368</v>
      </c>
      <c r="HL63" s="133">
        <f t="shared" si="75"/>
        <v>0.81257616044650949</v>
      </c>
      <c r="HM63" s="133">
        <f t="shared" si="76"/>
        <v>0.83344581421654473</v>
      </c>
      <c r="HN63" s="81"/>
      <c r="HO63" s="81">
        <v>64</v>
      </c>
      <c r="HP63" s="83">
        <f t="shared" si="77"/>
        <v>0.51765677355718931</v>
      </c>
      <c r="HQ63" s="83">
        <f t="shared" si="78"/>
        <v>0.54865651771559776</v>
      </c>
      <c r="HR63" s="83">
        <f t="shared" si="79"/>
        <v>0.57387886438613922</v>
      </c>
      <c r="HS63" s="83">
        <f t="shared" si="359"/>
        <v>0.60154799839385797</v>
      </c>
      <c r="HT63" s="83">
        <f t="shared" si="360"/>
        <v>0.644871876172882</v>
      </c>
      <c r="HU63" s="84">
        <f t="shared" si="361"/>
        <v>0.68972400201154815</v>
      </c>
      <c r="HV63" s="83">
        <f t="shared" si="362"/>
        <v>0.73162698863503195</v>
      </c>
      <c r="HW63" s="83">
        <f t="shared" si="80"/>
        <v>0.76712951961536702</v>
      </c>
      <c r="HX63" s="83">
        <f t="shared" si="81"/>
        <v>0.78758578115655742</v>
      </c>
      <c r="HY63" s="83">
        <f t="shared" si="82"/>
        <v>0.8048747771380157</v>
      </c>
      <c r="HZ63" s="83">
        <f t="shared" si="83"/>
        <v>0.82448576752375313</v>
      </c>
      <c r="IA63" s="81"/>
      <c r="IB63" s="81">
        <v>62</v>
      </c>
      <c r="IC63" s="83">
        <f t="shared" si="84"/>
        <v>0.33949405514812825</v>
      </c>
      <c r="ID63" s="83">
        <f t="shared" si="85"/>
        <v>0.3526460224470841</v>
      </c>
      <c r="IE63" s="83">
        <f t="shared" si="86"/>
        <v>0.36301377071187474</v>
      </c>
      <c r="IF63" s="83">
        <f t="shared" si="363"/>
        <v>0.37408087222118724</v>
      </c>
      <c r="IG63" s="83">
        <f t="shared" si="364"/>
        <v>0.39083794864310517</v>
      </c>
      <c r="IH63" s="84">
        <f t="shared" si="365"/>
        <v>0.40754104008470626</v>
      </c>
      <c r="II63" s="83">
        <f t="shared" si="366"/>
        <v>0.42262696853607035</v>
      </c>
      <c r="IJ63" s="83">
        <f t="shared" si="87"/>
        <v>0.43505865186566856</v>
      </c>
      <c r="IK63" s="83">
        <f t="shared" si="88"/>
        <v>0.44208776374873532</v>
      </c>
      <c r="IL63" s="83">
        <f t="shared" si="89"/>
        <v>0.4479566387020556</v>
      </c>
      <c r="IM63" s="83">
        <f t="shared" si="90"/>
        <v>0.45453747166392278</v>
      </c>
      <c r="IN63" s="81"/>
      <c r="IO63" s="81">
        <v>62</v>
      </c>
      <c r="IP63" s="133">
        <f t="shared" si="91"/>
        <v>0.33623701225329033</v>
      </c>
      <c r="IQ63" s="133">
        <f t="shared" si="92"/>
        <v>0.35017838542803476</v>
      </c>
      <c r="IR63" s="133">
        <f t="shared" si="93"/>
        <v>0.36112137220713753</v>
      </c>
      <c r="IS63" s="133">
        <f t="shared" si="367"/>
        <v>0.37276391936264502</v>
      </c>
      <c r="IT63" s="133">
        <f t="shared" si="368"/>
        <v>0.39032896919853693</v>
      </c>
      <c r="IU63" s="134">
        <f t="shared" si="369"/>
        <v>0.40777555096506157</v>
      </c>
      <c r="IV63" s="133">
        <f t="shared" si="370"/>
        <v>0.42349030142175464</v>
      </c>
      <c r="IW63" s="133">
        <f t="shared" si="94"/>
        <v>0.43641510103824954</v>
      </c>
      <c r="IX63" s="133">
        <f t="shared" si="95"/>
        <v>0.44371439981804317</v>
      </c>
      <c r="IY63" s="133">
        <f t="shared" si="96"/>
        <v>0.44980457864828921</v>
      </c>
      <c r="IZ63" s="133">
        <f t="shared" si="97"/>
        <v>0.45662928941261643</v>
      </c>
      <c r="JA63" s="81"/>
      <c r="JB63" s="81">
        <v>64</v>
      </c>
      <c r="JC63" s="133">
        <f t="shared" si="98"/>
        <v>0.34244858024409186</v>
      </c>
      <c r="JD63" s="133">
        <f t="shared" si="99"/>
        <v>0.35502526427798892</v>
      </c>
      <c r="JE63" s="133">
        <f t="shared" si="100"/>
        <v>0.36496926166291621</v>
      </c>
      <c r="JF63" s="133">
        <f t="shared" si="371"/>
        <v>0.37560876464352905</v>
      </c>
      <c r="JG63" s="133">
        <f t="shared" si="372"/>
        <v>0.39175945775807025</v>
      </c>
      <c r="JH63" s="134">
        <f t="shared" si="373"/>
        <v>0.40789863916629715</v>
      </c>
      <c r="JI63" s="133">
        <f t="shared" si="374"/>
        <v>0.42250340919363816</v>
      </c>
      <c r="JJ63" s="133">
        <f t="shared" si="101"/>
        <v>0.43455518374782276</v>
      </c>
      <c r="JK63" s="133">
        <f t="shared" si="102"/>
        <v>0.44137520498779564</v>
      </c>
      <c r="JL63" s="133">
        <f t="shared" si="103"/>
        <v>0.4470723394853221</v>
      </c>
      <c r="JM63" s="133">
        <f t="shared" si="104"/>
        <v>0.45346342384628774</v>
      </c>
      <c r="JN63" s="81"/>
      <c r="JO63" s="81">
        <v>61</v>
      </c>
      <c r="JP63" s="133">
        <f t="shared" si="105"/>
        <v>0.10614418935341874</v>
      </c>
      <c r="JQ63" s="133">
        <f t="shared" si="106"/>
        <v>1.5462706922441214</v>
      </c>
      <c r="JR63" s="133">
        <f t="shared" si="107"/>
        <v>2.7979853261635768</v>
      </c>
      <c r="JS63" s="133">
        <f t="shared" si="375"/>
        <v>4.2556286443441458</v>
      </c>
      <c r="JT63" s="133">
        <f t="shared" si="376"/>
        <v>6.7202692957331926</v>
      </c>
      <c r="JU63" s="134">
        <f t="shared" si="377"/>
        <v>9.5134543230693112</v>
      </c>
      <c r="JV63" s="133">
        <f t="shared" si="378"/>
        <v>12.352425265174926</v>
      </c>
      <c r="JW63" s="133">
        <f t="shared" si="108"/>
        <v>14.936371291241006</v>
      </c>
      <c r="JX63" s="133">
        <f t="shared" si="109"/>
        <v>16.501320722962131</v>
      </c>
      <c r="JY63" s="133">
        <f t="shared" si="110"/>
        <v>17.868069470247132</v>
      </c>
      <c r="JZ63" s="133">
        <f t="shared" si="111"/>
        <v>19.467902189156003</v>
      </c>
      <c r="KA63" s="81"/>
      <c r="KB63" s="81">
        <v>61</v>
      </c>
      <c r="KC63" s="133">
        <f t="shared" si="112"/>
        <v>1.5642146256882796</v>
      </c>
      <c r="KD63" s="133">
        <f t="shared" si="113"/>
        <v>2.9634731739846654</v>
      </c>
      <c r="KE63" s="133">
        <f t="shared" si="114"/>
        <v>4.2012955979804882</v>
      </c>
      <c r="KF63" s="133">
        <f t="shared" si="379"/>
        <v>5.6666478042654393</v>
      </c>
      <c r="KG63" s="133">
        <f t="shared" si="380"/>
        <v>8.1989361796786238</v>
      </c>
      <c r="KH63" s="134">
        <f t="shared" si="381"/>
        <v>11.145294340767341</v>
      </c>
      <c r="KI63" s="133">
        <f t="shared" si="382"/>
        <v>14.216159913945864</v>
      </c>
      <c r="KJ63" s="133">
        <f t="shared" si="115"/>
        <v>17.07271559490831</v>
      </c>
      <c r="KK63" s="133">
        <f t="shared" si="116"/>
        <v>18.829519288758959</v>
      </c>
      <c r="KL63" s="133">
        <f t="shared" si="117"/>
        <v>20.379571251628164</v>
      </c>
      <c r="KM63" s="133">
        <f t="shared" si="118"/>
        <v>22.211948731065561</v>
      </c>
      <c r="KN63" s="81"/>
      <c r="KO63" s="81">
        <v>63</v>
      </c>
      <c r="KP63" s="133">
        <f t="shared" si="119"/>
        <v>0.69785277810451873</v>
      </c>
      <c r="KQ63" s="133">
        <f t="shared" si="120"/>
        <v>1.9407582466452951</v>
      </c>
      <c r="KR63" s="133">
        <f t="shared" si="121"/>
        <v>3.0064922222173536</v>
      </c>
      <c r="KS63" s="133">
        <f t="shared" si="383"/>
        <v>4.2317102219547316</v>
      </c>
      <c r="KT63" s="133">
        <f t="shared" si="384"/>
        <v>6.2677580970000975</v>
      </c>
      <c r="KU63" s="134">
        <f t="shared" si="385"/>
        <v>8.5264390972168691</v>
      </c>
      <c r="KV63" s="133">
        <f t="shared" si="386"/>
        <v>10.774789969990287</v>
      </c>
      <c r="KW63" s="133">
        <f t="shared" si="122"/>
        <v>12.783870596559364</v>
      </c>
      <c r="KX63" s="133">
        <f t="shared" si="123"/>
        <v>13.984771275916106</v>
      </c>
      <c r="KY63" s="133">
        <f t="shared" si="124"/>
        <v>15.024369939921552</v>
      </c>
      <c r="KZ63" s="133">
        <f t="shared" si="125"/>
        <v>16.230874073305689</v>
      </c>
      <c r="LA63" s="81"/>
      <c r="LB63" s="81">
        <v>61</v>
      </c>
      <c r="LC63" s="133">
        <f t="shared" si="126"/>
        <v>2.0230996547383455</v>
      </c>
      <c r="LD63" s="133">
        <f t="shared" si="127"/>
        <v>5.7241290433868528</v>
      </c>
      <c r="LE63" s="133">
        <f t="shared" si="128"/>
        <v>8.9622258065392515</v>
      </c>
      <c r="LF63" s="133">
        <f t="shared" si="387"/>
        <v>12.755678260023537</v>
      </c>
      <c r="LG63" s="133">
        <f t="shared" si="388"/>
        <v>19.219413565147143</v>
      </c>
      <c r="LH63" s="134">
        <f t="shared" si="389"/>
        <v>26.610951066334721</v>
      </c>
      <c r="LI63" s="133">
        <f t="shared" si="390"/>
        <v>34.186127256355981</v>
      </c>
      <c r="LJ63" s="133">
        <f t="shared" si="129"/>
        <v>41.128895007231883</v>
      </c>
      <c r="LK63" s="133">
        <f t="shared" si="130"/>
        <v>45.353860391161994</v>
      </c>
      <c r="LL63" s="133">
        <f t="shared" si="131"/>
        <v>49.055263291340388</v>
      </c>
      <c r="LM63" s="133">
        <f t="shared" si="132"/>
        <v>53.400792814840294</v>
      </c>
      <c r="LN63" s="81"/>
      <c r="LO63" s="81">
        <v>61</v>
      </c>
      <c r="LP63" s="133">
        <f t="shared" si="133"/>
        <v>6.8045243611574371</v>
      </c>
      <c r="LQ63" s="133">
        <f t="shared" si="134"/>
        <v>10.572996038848206</v>
      </c>
      <c r="LR63" s="133">
        <f t="shared" si="135"/>
        <v>13.87818814882473</v>
      </c>
      <c r="LS63" s="133">
        <f t="shared" si="391"/>
        <v>17.759139393464782</v>
      </c>
      <c r="LT63" s="133">
        <f t="shared" si="392"/>
        <v>24.392228097157993</v>
      </c>
      <c r="LU63" s="134">
        <f t="shared" si="393"/>
        <v>32.005650140097856</v>
      </c>
      <c r="LV63" s="133">
        <f t="shared" si="394"/>
        <v>39.836123043807945</v>
      </c>
      <c r="LW63" s="133">
        <f t="shared" si="136"/>
        <v>47.035232318679036</v>
      </c>
      <c r="LX63" s="133">
        <f t="shared" si="137"/>
        <v>51.425842671968525</v>
      </c>
      <c r="LY63" s="133">
        <f t="shared" si="138"/>
        <v>55.278016127152</v>
      </c>
      <c r="LZ63" s="133">
        <f t="shared" si="139"/>
        <v>59.8069855343916</v>
      </c>
      <c r="MA63" s="81"/>
      <c r="MB63" s="81">
        <v>63</v>
      </c>
      <c r="MC63" s="133">
        <f t="shared" si="140"/>
        <v>3.4598625054700776</v>
      </c>
      <c r="MD63" s="133">
        <f t="shared" si="141"/>
        <v>6.4500803747169897</v>
      </c>
      <c r="ME63" s="133">
        <f t="shared" si="142"/>
        <v>9.042798005026313</v>
      </c>
      <c r="MF63" s="133">
        <f t="shared" si="395"/>
        <v>12.054943426410553</v>
      </c>
      <c r="MG63" s="133">
        <f t="shared" si="396"/>
        <v>17.131318058066938</v>
      </c>
      <c r="MH63" s="134">
        <f t="shared" si="397"/>
        <v>22.860438593807778</v>
      </c>
      <c r="MI63" s="133">
        <f t="shared" si="398"/>
        <v>28.659071240462588</v>
      </c>
      <c r="MJ63" s="133">
        <f t="shared" si="143"/>
        <v>33.916777570316292</v>
      </c>
      <c r="MK63" s="133">
        <f t="shared" si="144"/>
        <v>37.092271387887941</v>
      </c>
      <c r="ML63" s="133">
        <f t="shared" si="145"/>
        <v>39.860374951978095</v>
      </c>
      <c r="MM63" s="133">
        <f t="shared" si="146"/>
        <v>43.094568863715672</v>
      </c>
      <c r="MN63" s="81"/>
      <c r="MO63" s="81">
        <v>61</v>
      </c>
      <c r="MP63" s="133">
        <f t="shared" si="147"/>
        <v>-4.180763176433679</v>
      </c>
      <c r="MQ63" s="133">
        <f t="shared" si="148"/>
        <v>-7.6643984585352598E-2</v>
      </c>
      <c r="MR63" s="133">
        <f t="shared" si="149"/>
        <v>3.464915611658526</v>
      </c>
      <c r="MS63" s="133">
        <f t="shared" si="399"/>
        <v>7.5604212419308041</v>
      </c>
      <c r="MT63" s="133">
        <f t="shared" si="400"/>
        <v>14.418888218340868</v>
      </c>
      <c r="MU63" s="134">
        <f t="shared" si="401"/>
        <v>22.097861583622048</v>
      </c>
      <c r="MV63" s="133">
        <f t="shared" si="402"/>
        <v>29.80898387930069</v>
      </c>
      <c r="MW63" s="133">
        <f t="shared" si="150"/>
        <v>36.751794469628344</v>
      </c>
      <c r="MX63" s="133">
        <f t="shared" si="151"/>
        <v>40.923896187852314</v>
      </c>
      <c r="MY63" s="133">
        <f t="shared" si="152"/>
        <v>44.548382511182062</v>
      </c>
      <c r="MZ63" s="133">
        <f t="shared" si="153"/>
        <v>48.769115530983235</v>
      </c>
      <c r="NA63" s="81"/>
      <c r="NB63" s="81">
        <v>61</v>
      </c>
      <c r="NC63" s="133">
        <f t="shared" si="154"/>
        <v>5.2486286454486866</v>
      </c>
      <c r="ND63" s="133">
        <f t="shared" si="155"/>
        <v>8.7842458141079582</v>
      </c>
      <c r="NE63" s="133">
        <f t="shared" si="156"/>
        <v>11.837143066122952</v>
      </c>
      <c r="NF63" s="133">
        <f t="shared" si="403"/>
        <v>15.369728222235164</v>
      </c>
      <c r="NG63" s="133">
        <f t="shared" si="404"/>
        <v>21.290569442671082</v>
      </c>
      <c r="NH63" s="134">
        <f t="shared" si="405"/>
        <v>27.926895593857612</v>
      </c>
      <c r="NI63" s="133">
        <f t="shared" si="406"/>
        <v>34.59812934616069</v>
      </c>
      <c r="NJ63" s="133">
        <f t="shared" si="157"/>
        <v>40.610377609433158</v>
      </c>
      <c r="NK63" s="133">
        <f t="shared" si="158"/>
        <v>44.225746950994846</v>
      </c>
      <c r="NL63" s="133">
        <f t="shared" si="159"/>
        <v>47.368015604245031</v>
      </c>
      <c r="NM63" s="133">
        <f t="shared" si="160"/>
        <v>51.028835410575226</v>
      </c>
      <c r="NN63" s="81"/>
      <c r="NO63" s="81">
        <v>63</v>
      </c>
      <c r="NP63" s="133">
        <f t="shared" si="161"/>
        <v>-6.0186389918804366</v>
      </c>
      <c r="NQ63" s="133">
        <f t="shared" si="162"/>
        <v>-2.3493029618729153</v>
      </c>
      <c r="NR63" s="133">
        <f t="shared" si="163"/>
        <v>0.80808891348621614</v>
      </c>
      <c r="NS63" s="133">
        <f t="shared" si="407"/>
        <v>4.449995231500445</v>
      </c>
      <c r="NT63" s="133">
        <f t="shared" si="408"/>
        <v>10.528841332624282</v>
      </c>
      <c r="NU63" s="134">
        <f t="shared" si="409"/>
        <v>17.308843012849977</v>
      </c>
      <c r="NV63" s="133">
        <f t="shared" si="410"/>
        <v>24.09309038808798</v>
      </c>
      <c r="NW63" s="133">
        <f t="shared" si="164"/>
        <v>30.183076599518422</v>
      </c>
      <c r="NX63" s="133">
        <f t="shared" si="165"/>
        <v>33.835101450092559</v>
      </c>
      <c r="NY63" s="133">
        <f t="shared" si="166"/>
        <v>37.003449908060965</v>
      </c>
      <c r="NZ63" s="133">
        <f t="shared" si="167"/>
        <v>40.688196274275718</v>
      </c>
      <c r="OA63" s="81"/>
      <c r="OB63" s="81">
        <v>61</v>
      </c>
      <c r="OC63" s="133">
        <v>14.382048272847463</v>
      </c>
      <c r="OD63" s="133">
        <v>15.703499724335138</v>
      </c>
      <c r="OE63" s="133">
        <v>16.936732175909142</v>
      </c>
      <c r="OF63" s="133">
        <v>18.479243890888661</v>
      </c>
      <c r="OG63" s="133">
        <v>21.371368287375624</v>
      </c>
      <c r="OH63" s="134">
        <v>25.131398469147541</v>
      </c>
      <c r="OI63" s="133">
        <v>29.552959853682324</v>
      </c>
      <c r="OJ63" s="133">
        <v>34.178194343031564</v>
      </c>
      <c r="OK63" s="133">
        <v>37.290971035926432</v>
      </c>
      <c r="OL63" s="133">
        <v>40.219517948366878</v>
      </c>
      <c r="OM63" s="133">
        <v>43.914967954006521</v>
      </c>
      <c r="ON63" s="81"/>
      <c r="OO63" s="81">
        <v>61</v>
      </c>
      <c r="OP63" s="133">
        <v>14.520652194245612</v>
      </c>
      <c r="OQ63" s="133">
        <v>15.56729398416017</v>
      </c>
      <c r="OR63" s="133">
        <v>16.527607119401367</v>
      </c>
      <c r="OS63" s="133">
        <v>17.708538369650608</v>
      </c>
      <c r="OT63" s="133">
        <v>25.324554058372541</v>
      </c>
      <c r="OU63" s="134">
        <v>22.589774195670692</v>
      </c>
      <c r="OV63" s="133">
        <v>25.682733009491972</v>
      </c>
      <c r="OW63" s="133">
        <v>28.816488834897431</v>
      </c>
      <c r="OX63" s="133">
        <v>30.875485756940741</v>
      </c>
      <c r="OY63" s="133">
        <v>32.780128565094287</v>
      </c>
      <c r="OZ63" s="133">
        <v>35.142904835473928</v>
      </c>
      <c r="PA63" s="81"/>
      <c r="PB63" s="81">
        <v>63</v>
      </c>
      <c r="PC63" s="133">
        <v>15.339970042561454</v>
      </c>
      <c r="PD63" s="133">
        <v>16.669668329969358</v>
      </c>
      <c r="PE63" s="133">
        <v>17.905110716316845</v>
      </c>
      <c r="PF63" s="133">
        <v>19.443559196717747</v>
      </c>
      <c r="PG63" s="133">
        <v>22.309735623247484</v>
      </c>
      <c r="PH63" s="134">
        <v>26.004966057740241</v>
      </c>
      <c r="PI63" s="133">
        <v>30.312248925062928</v>
      </c>
      <c r="PJ63" s="133">
        <v>34.780579667655722</v>
      </c>
      <c r="PK63" s="133">
        <v>37.769007429144267</v>
      </c>
      <c r="PL63" s="133">
        <v>40.568189257156305</v>
      </c>
      <c r="PM63" s="133">
        <v>44.084718404789072</v>
      </c>
      <c r="PN63" s="81"/>
      <c r="PO63" s="81">
        <v>61</v>
      </c>
      <c r="PP63" s="133">
        <v>9.9414554244537392</v>
      </c>
      <c r="PQ63" s="133">
        <v>10.792006037987806</v>
      </c>
      <c r="PR63" s="133">
        <v>11.581505110017458</v>
      </c>
      <c r="PS63" s="133">
        <v>12.563692806950781</v>
      </c>
      <c r="PT63" s="133">
        <v>14.391007799814478</v>
      </c>
      <c r="PU63" s="134">
        <v>16.742602873100903</v>
      </c>
      <c r="PV63" s="133">
        <v>19.478465640883073</v>
      </c>
      <c r="PW63" s="133">
        <v>22.31149354521661</v>
      </c>
      <c r="PX63" s="133">
        <v>24.203654732570779</v>
      </c>
      <c r="PY63" s="133">
        <v>25.97429523108681</v>
      </c>
      <c r="PZ63" s="133">
        <v>28.196550605342516</v>
      </c>
      <c r="QA63" s="81"/>
      <c r="QB63" s="81">
        <v>61</v>
      </c>
      <c r="QC63" s="133">
        <v>9.9865147324790549</v>
      </c>
      <c r="QD63" s="133">
        <v>10.829921477172102</v>
      </c>
      <c r="QE63" s="133">
        <v>11.61205213510922</v>
      </c>
      <c r="QF63" s="133">
        <v>12.584157406476761</v>
      </c>
      <c r="QG63" s="133">
        <v>14.390265710738207</v>
      </c>
      <c r="QH63" s="134">
        <v>16.710436302686315</v>
      </c>
      <c r="QI63" s="133">
        <v>19.404692521957053</v>
      </c>
      <c r="QJ63" s="133">
        <v>22.189700303845473</v>
      </c>
      <c r="QK63" s="133">
        <v>24.047315511256979</v>
      </c>
      <c r="QL63" s="133">
        <v>25.783998712708229</v>
      </c>
      <c r="QM63" s="133">
        <v>27.96157507463251</v>
      </c>
      <c r="QN63" s="81"/>
      <c r="QO63" s="81">
        <v>63</v>
      </c>
      <c r="QP63" s="133">
        <v>9.3871923297631223</v>
      </c>
      <c r="QQ63" s="133">
        <v>10.256855534244819</v>
      </c>
      <c r="QR63" s="133">
        <v>11.068986130774839</v>
      </c>
      <c r="QS63" s="133">
        <v>12.085446130353514</v>
      </c>
      <c r="QT63" s="133">
        <v>13.993028386758212</v>
      </c>
      <c r="QU63" s="134">
        <v>16.476096928517258</v>
      </c>
      <c r="QV63" s="133">
        <v>19.399786986409868</v>
      </c>
      <c r="QW63" s="133">
        <v>22.461874147624474</v>
      </c>
      <c r="QX63" s="133">
        <v>24.524537910762856</v>
      </c>
      <c r="QY63" s="133">
        <v>26.466373548068379</v>
      </c>
      <c r="QZ63" s="133">
        <v>28.918313427668515</v>
      </c>
      <c r="RA63" s="81"/>
      <c r="RB63" s="81">
        <v>61</v>
      </c>
      <c r="RC63" s="133">
        <f t="shared" si="168"/>
        <v>0.38115873523032706</v>
      </c>
      <c r="RD63" s="133">
        <f t="shared" si="169"/>
        <v>0.41565712386683951</v>
      </c>
      <c r="RE63" s="133">
        <f t="shared" si="170"/>
        <v>0.44823425021688762</v>
      </c>
      <c r="RF63" s="133">
        <f t="shared" si="411"/>
        <v>0.4895142087358888</v>
      </c>
      <c r="RG63" s="133">
        <f t="shared" si="412"/>
        <v>0.56854985296057126</v>
      </c>
      <c r="RH63" s="134">
        <f t="shared" si="413"/>
        <v>0.67457665950596613</v>
      </c>
      <c r="RI63" s="133">
        <f t="shared" si="414"/>
        <v>0.804086323626791</v>
      </c>
      <c r="RJ63" s="133">
        <f t="shared" si="171"/>
        <v>0.94522164615625104</v>
      </c>
      <c r="RK63" s="133">
        <f t="shared" si="172"/>
        <v>1.0434897497180506</v>
      </c>
      <c r="RL63" s="133">
        <f t="shared" si="173"/>
        <v>1.1383664999619714</v>
      </c>
      <c r="RM63" s="133">
        <f t="shared" si="174"/>
        <v>1.2614563194496851</v>
      </c>
      <c r="RN63" s="81"/>
      <c r="RO63" s="81">
        <v>61</v>
      </c>
      <c r="RP63" s="133">
        <f t="shared" si="175"/>
        <v>0.42030444376160947</v>
      </c>
      <c r="RQ63" s="133">
        <f t="shared" si="176"/>
        <v>0.45862770638307643</v>
      </c>
      <c r="RR63" s="133">
        <f t="shared" si="177"/>
        <v>0.49503019467385895</v>
      </c>
      <c r="RS63" s="133">
        <f t="shared" si="415"/>
        <v>0.54145800068439942</v>
      </c>
      <c r="RT63" s="133">
        <f t="shared" si="416"/>
        <v>0.63129167703682543</v>
      </c>
      <c r="RU63" s="134">
        <f t="shared" si="417"/>
        <v>0.75374281410104826</v>
      </c>
      <c r="RV63" s="133">
        <f t="shared" si="418"/>
        <v>0.90629097719857832</v>
      </c>
      <c r="RW63" s="133">
        <f t="shared" si="178"/>
        <v>1.076182791229886</v>
      </c>
      <c r="RX63" s="133">
        <f t="shared" si="179"/>
        <v>1.1966711076908962</v>
      </c>
      <c r="RY63" s="133">
        <f t="shared" si="180"/>
        <v>1.3146786504078449</v>
      </c>
      <c r="RZ63" s="133">
        <f t="shared" si="181"/>
        <v>1.4701879807067624</v>
      </c>
      <c r="SA63" s="81"/>
      <c r="SB63" s="81">
        <v>63</v>
      </c>
      <c r="SC63" s="133">
        <f t="shared" si="182"/>
        <v>0.38688638504924772</v>
      </c>
      <c r="SD63" s="133">
        <f t="shared" si="183"/>
        <v>0.41780052730872008</v>
      </c>
      <c r="SE63" s="133">
        <f t="shared" si="184"/>
        <v>0.44638444989907317</v>
      </c>
      <c r="SF63" s="133">
        <f t="shared" si="419"/>
        <v>0.48180939982352056</v>
      </c>
      <c r="SG63" s="133">
        <f t="shared" si="420"/>
        <v>0.54736340663576122</v>
      </c>
      <c r="SH63" s="134">
        <f t="shared" si="421"/>
        <v>0.6311507464972298</v>
      </c>
      <c r="SI63" s="133">
        <f t="shared" si="422"/>
        <v>0.72795609902483138</v>
      </c>
      <c r="SJ63" s="133">
        <f t="shared" si="185"/>
        <v>0.8275684989139902</v>
      </c>
      <c r="SK63" s="133">
        <f t="shared" si="186"/>
        <v>0.89379419026350027</v>
      </c>
      <c r="SL63" s="133">
        <f t="shared" si="187"/>
        <v>0.95557166217894673</v>
      </c>
      <c r="SM63" s="133">
        <f t="shared" si="188"/>
        <v>1.0328654223436475</v>
      </c>
      <c r="SN63" s="81"/>
      <c r="SO63" s="81">
        <v>61</v>
      </c>
      <c r="SP63" s="133">
        <f t="shared" si="189"/>
        <v>0.27687416807158638</v>
      </c>
      <c r="SQ63" s="133">
        <f t="shared" si="190"/>
        <v>0.29435091464204327</v>
      </c>
      <c r="SR63" s="133">
        <f t="shared" si="191"/>
        <v>0.31002979789077306</v>
      </c>
      <c r="SS63" s="133">
        <f t="shared" si="423"/>
        <v>0.32887158929282756</v>
      </c>
      <c r="ST63" s="133">
        <f t="shared" si="424"/>
        <v>0.36219018749055748</v>
      </c>
      <c r="SU63" s="134">
        <f t="shared" si="425"/>
        <v>0.40223004766422871</v>
      </c>
      <c r="SV63" s="133">
        <f t="shared" si="426"/>
        <v>0.44548743104675342</v>
      </c>
      <c r="SW63" s="133">
        <f t="shared" si="192"/>
        <v>0.48717263376811226</v>
      </c>
      <c r="SX63" s="133">
        <f t="shared" si="193"/>
        <v>0.51351797202042504</v>
      </c>
      <c r="SY63" s="133">
        <f t="shared" si="194"/>
        <v>0.53721791634545957</v>
      </c>
      <c r="SZ63" s="133">
        <f t="shared" si="195"/>
        <v>0.56579100171685071</v>
      </c>
      <c r="TA63" s="81"/>
      <c r="TB63" s="81">
        <v>61</v>
      </c>
      <c r="TC63" s="133">
        <f t="shared" si="196"/>
        <v>0.29687588938449694</v>
      </c>
      <c r="TD63" s="133">
        <f t="shared" si="197"/>
        <v>0.31512820575319628</v>
      </c>
      <c r="TE63" s="133">
        <f t="shared" si="198"/>
        <v>0.3315584650804545</v>
      </c>
      <c r="TF63" s="133">
        <f t="shared" si="427"/>
        <v>0.35137332838652546</v>
      </c>
      <c r="TG63" s="133">
        <f t="shared" si="428"/>
        <v>0.38660087965173667</v>
      </c>
      <c r="TH63" s="134">
        <f t="shared" si="429"/>
        <v>0.4292527324916437</v>
      </c>
      <c r="TI63" s="133">
        <f t="shared" si="430"/>
        <v>0.4757189448689671</v>
      </c>
      <c r="TJ63" s="133">
        <f t="shared" si="199"/>
        <v>0.52087124406367535</v>
      </c>
      <c r="TK63" s="133">
        <f t="shared" si="200"/>
        <v>0.5495946460383917</v>
      </c>
      <c r="TL63" s="133">
        <f t="shared" si="201"/>
        <v>0.57555577348136178</v>
      </c>
      <c r="TM63" s="133">
        <f t="shared" si="202"/>
        <v>0.60700655695904571</v>
      </c>
      <c r="TN63" s="81"/>
      <c r="TO63" s="81">
        <v>63</v>
      </c>
      <c r="TP63" s="133">
        <f t="shared" si="203"/>
        <v>0.2799347692580762</v>
      </c>
      <c r="TQ63" s="133">
        <f t="shared" si="204"/>
        <v>0.29542674789389289</v>
      </c>
      <c r="TR63" s="133">
        <f t="shared" si="205"/>
        <v>0.30912759657122657</v>
      </c>
      <c r="TS63" s="133">
        <f t="shared" si="431"/>
        <v>0.32535914279734679</v>
      </c>
      <c r="TT63" s="133">
        <f t="shared" si="432"/>
        <v>0.35348176373515777</v>
      </c>
      <c r="TU63" s="134">
        <f t="shared" si="433"/>
        <v>0.38638220463386475</v>
      </c>
      <c r="TV63" s="133">
        <f t="shared" si="434"/>
        <v>0.42093998713818515</v>
      </c>
      <c r="TW63" s="133">
        <f t="shared" si="206"/>
        <v>0.45337020091041386</v>
      </c>
      <c r="TX63" s="133">
        <f t="shared" si="207"/>
        <v>0.47346249429992932</v>
      </c>
      <c r="TY63" s="133">
        <f t="shared" si="208"/>
        <v>0.49128775668067326</v>
      </c>
      <c r="TZ63" s="133">
        <f t="shared" si="209"/>
        <v>0.51248101671520041</v>
      </c>
      <c r="UA63" s="81"/>
      <c r="UB63" s="81">
        <v>61</v>
      </c>
      <c r="UC63" s="133">
        <f t="shared" si="210"/>
        <v>-11.527185680576622</v>
      </c>
      <c r="UD63" s="133">
        <f t="shared" si="211"/>
        <v>-8.4741355616098772</v>
      </c>
      <c r="UE63" s="133">
        <f t="shared" si="212"/>
        <v>-5.9037629755640992</v>
      </c>
      <c r="UF63" s="133">
        <f t="shared" si="435"/>
        <v>-2.9982830512104499</v>
      </c>
      <c r="UG63" s="133">
        <f t="shared" si="436"/>
        <v>1.7239866474580481</v>
      </c>
      <c r="UH63" s="134">
        <f t="shared" si="437"/>
        <v>6.8249090640269969</v>
      </c>
      <c r="UI63" s="133">
        <f t="shared" si="438"/>
        <v>11.775855474630674</v>
      </c>
      <c r="UJ63" s="133">
        <f t="shared" si="213"/>
        <v>16.104690227992137</v>
      </c>
      <c r="UK63" s="133">
        <f t="shared" si="214"/>
        <v>18.652957313433916</v>
      </c>
      <c r="UL63" s="133">
        <f t="shared" si="215"/>
        <v>20.836745252408562</v>
      </c>
      <c r="UM63" s="133">
        <f t="shared" si="216"/>
        <v>23.346575442129577</v>
      </c>
      <c r="UN63" s="81"/>
      <c r="UO63" s="81">
        <v>61</v>
      </c>
      <c r="UP63" s="133">
        <f t="shared" si="217"/>
        <v>-7.4678690351696062</v>
      </c>
      <c r="UQ63" s="133">
        <f t="shared" si="218"/>
        <v>-4.834396566739354</v>
      </c>
      <c r="UR63" s="133">
        <f t="shared" si="219"/>
        <v>-2.5732865402088017</v>
      </c>
      <c r="US63" s="133">
        <f t="shared" si="439"/>
        <v>2.9610005802553019E-2</v>
      </c>
      <c r="UT63" s="133">
        <f t="shared" si="440"/>
        <v>4.3629925068488689</v>
      </c>
      <c r="UU63" s="134">
        <f t="shared" si="441"/>
        <v>9.1814538895297986</v>
      </c>
      <c r="UV63" s="133">
        <f t="shared" si="442"/>
        <v>13.989163021322426</v>
      </c>
      <c r="UW63" s="133">
        <f t="shared" si="220"/>
        <v>18.294368763183222</v>
      </c>
      <c r="UX63" s="133">
        <f t="shared" si="221"/>
        <v>20.871719192719731</v>
      </c>
      <c r="UY63" s="133">
        <f t="shared" si="222"/>
        <v>23.105220416980231</v>
      </c>
      <c r="UZ63" s="133">
        <f t="shared" si="223"/>
        <v>25.699961216615776</v>
      </c>
      <c r="VA63" s="81"/>
      <c r="VB63" s="81">
        <v>64</v>
      </c>
      <c r="VC63" s="133">
        <f t="shared" si="224"/>
        <v>-11.435491359906379</v>
      </c>
      <c r="VD63" s="133">
        <f t="shared" si="225"/>
        <v>-8.5315573072175255</v>
      </c>
      <c r="VE63" s="133">
        <f t="shared" si="226"/>
        <v>-6.1097854461767014</v>
      </c>
      <c r="VF63" s="133">
        <f t="shared" si="443"/>
        <v>-3.395695122675896</v>
      </c>
      <c r="VG63" s="133">
        <f t="shared" si="444"/>
        <v>0.96700205515215032</v>
      </c>
      <c r="VH63" s="134">
        <f t="shared" si="445"/>
        <v>5.6185917382065043</v>
      </c>
      <c r="VI63" s="133">
        <f t="shared" si="446"/>
        <v>10.079147129666651</v>
      </c>
      <c r="VJ63" s="133">
        <f t="shared" si="227"/>
        <v>13.939459136427615</v>
      </c>
      <c r="VK63" s="133">
        <f t="shared" si="228"/>
        <v>16.195820187302118</v>
      </c>
      <c r="VL63" s="133">
        <f t="shared" si="229"/>
        <v>18.120456687152654</v>
      </c>
      <c r="VM63" s="133">
        <f t="shared" si="230"/>
        <v>20.322599003009046</v>
      </c>
      <c r="VN63" s="81"/>
      <c r="VO63" s="81">
        <v>61</v>
      </c>
      <c r="VP63" s="133">
        <f t="shared" si="231"/>
        <v>-20.570792683942479</v>
      </c>
      <c r="VQ63" s="133">
        <f t="shared" si="232"/>
        <v>-15.7524053950252</v>
      </c>
      <c r="VR63" s="133">
        <f t="shared" si="233"/>
        <v>-11.400961962604448</v>
      </c>
      <c r="VS63" s="133">
        <f t="shared" si="447"/>
        <v>-6.1506788109100228</v>
      </c>
      <c r="VT63" s="133">
        <f t="shared" si="448"/>
        <v>3.1515492690893652</v>
      </c>
      <c r="VU63" s="134">
        <f t="shared" si="449"/>
        <v>14.300156443778427</v>
      </c>
      <c r="VV63" s="133">
        <f t="shared" si="450"/>
        <v>26.248151214890008</v>
      </c>
      <c r="VW63" s="133">
        <f t="shared" si="234"/>
        <v>37.630498962188419</v>
      </c>
      <c r="VX63" s="133">
        <f t="shared" si="235"/>
        <v>44.748149544115527</v>
      </c>
      <c r="VY63" s="133">
        <f t="shared" si="236"/>
        <v>51.097708760344595</v>
      </c>
      <c r="VZ63" s="133">
        <f t="shared" si="237"/>
        <v>58.683726585794268</v>
      </c>
      <c r="WA63" s="81"/>
      <c r="WB63" s="81">
        <v>61</v>
      </c>
      <c r="WC63" s="133">
        <f t="shared" si="238"/>
        <v>-14.306072406687946</v>
      </c>
      <c r="WD63" s="133">
        <f t="shared" si="239"/>
        <v>-9.5488104993615792</v>
      </c>
      <c r="WE63" s="133">
        <f t="shared" si="240"/>
        <v>-5.2554004563155701</v>
      </c>
      <c r="WF63" s="133">
        <f t="shared" si="451"/>
        <v>-7.7989684331683407E-2</v>
      </c>
      <c r="WG63" s="133">
        <f t="shared" si="452"/>
        <v>9.0892423990811722</v>
      </c>
      <c r="WH63" s="134">
        <f t="shared" si="453"/>
        <v>20.06886763547633</v>
      </c>
      <c r="WI63" s="133">
        <f t="shared" si="454"/>
        <v>31.82972717631889</v>
      </c>
      <c r="WJ63" s="133">
        <f t="shared" si="241"/>
        <v>43.029720691674349</v>
      </c>
      <c r="WK63" s="133">
        <f t="shared" si="242"/>
        <v>50.031832770768141</v>
      </c>
      <c r="WL63" s="133">
        <f t="shared" si="243"/>
        <v>56.277542159655646</v>
      </c>
      <c r="WM63" s="133">
        <f t="shared" si="244"/>
        <v>63.738686897380425</v>
      </c>
      <c r="WN63" s="81"/>
      <c r="WO63" s="81">
        <v>64</v>
      </c>
      <c r="WP63" s="133">
        <f t="shared" si="245"/>
        <v>-21.948580832764883</v>
      </c>
      <c r="WQ63" s="133">
        <f t="shared" si="246"/>
        <v>-17.239765289589556</v>
      </c>
      <c r="WR63" s="133">
        <f t="shared" si="247"/>
        <v>-13.02515711630479</v>
      </c>
      <c r="WS63" s="133">
        <f t="shared" si="455"/>
        <v>-7.9840371738409104</v>
      </c>
      <c r="WT63" s="133">
        <f t="shared" si="456"/>
        <v>0.84068426397998763</v>
      </c>
      <c r="WU63" s="134">
        <f t="shared" si="457"/>
        <v>11.258325411349396</v>
      </c>
      <c r="WV63" s="133">
        <f t="shared" si="458"/>
        <v>22.256656596997921</v>
      </c>
      <c r="WW63" s="133">
        <f t="shared" si="248"/>
        <v>32.594728190719003</v>
      </c>
      <c r="WX63" s="133">
        <f t="shared" si="249"/>
        <v>38.99732143771049</v>
      </c>
      <c r="WY63" s="133">
        <f t="shared" si="250"/>
        <v>44.671859374784823</v>
      </c>
      <c r="WZ63" s="133">
        <f t="shared" si="251"/>
        <v>51.408367200877869</v>
      </c>
      <c r="XA63" s="81"/>
      <c r="XB63" s="81">
        <v>61</v>
      </c>
      <c r="XC63" s="133">
        <f t="shared" si="252"/>
        <v>-25.978386395370524</v>
      </c>
      <c r="XD63" s="133">
        <f t="shared" si="253"/>
        <v>-20.848016697071053</v>
      </c>
      <c r="XE63" s="133">
        <f t="shared" si="254"/>
        <v>-16.287700327404593</v>
      </c>
      <c r="XF63" s="133">
        <f t="shared" si="459"/>
        <v>-10.871829113671303</v>
      </c>
      <c r="XG63" s="133">
        <f t="shared" si="460"/>
        <v>-1.4884893706059685</v>
      </c>
      <c r="XH63" s="134">
        <f t="shared" si="461"/>
        <v>9.4405251921339115</v>
      </c>
      <c r="XI63" s="133">
        <f t="shared" si="462"/>
        <v>20.821476029774693</v>
      </c>
      <c r="XJ63" s="133">
        <f t="shared" si="255"/>
        <v>31.386670486058001</v>
      </c>
      <c r="XK63" s="133">
        <f t="shared" si="256"/>
        <v>37.8709804198676</v>
      </c>
      <c r="XL63" s="133">
        <f t="shared" si="257"/>
        <v>43.582731676190484</v>
      </c>
      <c r="XM63" s="133">
        <f t="shared" si="258"/>
        <v>50.322730391598405</v>
      </c>
      <c r="XN63" s="81"/>
      <c r="XO63" s="81">
        <v>61</v>
      </c>
      <c r="XP63" s="133">
        <f t="shared" si="259"/>
        <v>-15.0016392928462</v>
      </c>
      <c r="XQ63" s="133">
        <f t="shared" si="260"/>
        <v>-10.398586087062029</v>
      </c>
      <c r="XR63" s="133">
        <f t="shared" si="261"/>
        <v>-6.3487408309374018</v>
      </c>
      <c r="XS63" s="133">
        <f t="shared" si="463"/>
        <v>-1.5810210202638757</v>
      </c>
      <c r="XT63" s="133">
        <f t="shared" si="464"/>
        <v>6.5923575917172883</v>
      </c>
      <c r="XU63" s="134">
        <f t="shared" si="465"/>
        <v>16.002839584847528</v>
      </c>
      <c r="XV63" s="133">
        <f t="shared" si="466"/>
        <v>25.705349382398104</v>
      </c>
      <c r="XW63" s="133">
        <f t="shared" si="262"/>
        <v>34.641302496212482</v>
      </c>
      <c r="XX63" s="133">
        <f t="shared" si="263"/>
        <v>40.096978221075823</v>
      </c>
      <c r="XY63" s="133">
        <f t="shared" si="264"/>
        <v>44.886600122899061</v>
      </c>
      <c r="XZ63" s="133">
        <f t="shared" si="265"/>
        <v>50.520801211032769</v>
      </c>
      <c r="YA63" s="81"/>
      <c r="YB63" s="81">
        <v>64</v>
      </c>
      <c r="YC63" s="133">
        <f t="shared" si="266"/>
        <v>-28.606585422583578</v>
      </c>
      <c r="YD63" s="133">
        <f t="shared" si="267"/>
        <v>-23.611108499593755</v>
      </c>
      <c r="YE63" s="133">
        <f t="shared" si="268"/>
        <v>-19.192548356315058</v>
      </c>
      <c r="YF63" s="133">
        <f t="shared" si="467"/>
        <v>-13.969774501357918</v>
      </c>
      <c r="YG63" s="133">
        <f t="shared" si="468"/>
        <v>-4.9787084860415334</v>
      </c>
      <c r="YH63" s="134">
        <f t="shared" si="469"/>
        <v>5.4117348715019489</v>
      </c>
      <c r="YI63" s="133">
        <f t="shared" si="470"/>
        <v>16.150467319963305</v>
      </c>
      <c r="YJ63" s="133">
        <f t="shared" si="269"/>
        <v>26.054158582681531</v>
      </c>
      <c r="YK63" s="133">
        <f t="shared" si="270"/>
        <v>32.104341689547802</v>
      </c>
      <c r="YL63" s="133">
        <f t="shared" si="271"/>
        <v>37.417243921439201</v>
      </c>
      <c r="YM63" s="133">
        <f t="shared" si="272"/>
        <v>43.667900850442983</v>
      </c>
      <c r="YN63" s="81"/>
      <c r="YO63" s="81">
        <v>61</v>
      </c>
      <c r="YP63" s="133">
        <v>18.042619483293418</v>
      </c>
      <c r="YQ63" s="133">
        <v>19.948355648079442</v>
      </c>
      <c r="YR63" s="133">
        <v>21.747628966097583</v>
      </c>
      <c r="YS63" s="133">
        <v>24.024402957301152</v>
      </c>
      <c r="YT63" s="133">
        <v>28.365191574219281</v>
      </c>
      <c r="YU63" s="134">
        <v>34.133799421389128</v>
      </c>
      <c r="YV63" s="133">
        <v>41.075564742477617</v>
      </c>
      <c r="YW63" s="133">
        <v>48.497199493798</v>
      </c>
      <c r="YX63" s="133">
        <v>53.574404122671325</v>
      </c>
      <c r="YY63" s="133">
        <v>58.406631779286435</v>
      </c>
      <c r="YZ63" s="133">
        <v>64.575782026466015</v>
      </c>
      <c r="ZA63" s="81"/>
      <c r="ZB63" s="81">
        <v>61</v>
      </c>
      <c r="ZC63" s="133">
        <v>16.269164588264822</v>
      </c>
      <c r="ZD63" s="133">
        <v>17.972466516024802</v>
      </c>
      <c r="ZE63" s="133">
        <v>19.579360621400728</v>
      </c>
      <c r="ZF63" s="133">
        <v>21.61111543910927</v>
      </c>
      <c r="ZG63" s="133">
        <v>25.480409442872027</v>
      </c>
      <c r="ZH63" s="134">
        <v>30.614855499386366</v>
      </c>
      <c r="ZI63" s="133">
        <v>36.783921363182898</v>
      </c>
      <c r="ZJ63" s="133">
        <v>43.369782549592351</v>
      </c>
      <c r="ZK63" s="133">
        <v>47.870274998860225</v>
      </c>
      <c r="ZL63" s="133">
        <v>52.150292026562354</v>
      </c>
      <c r="ZM63" s="133">
        <v>57.610172431617855</v>
      </c>
      <c r="ZN63" s="81"/>
      <c r="ZO63" s="81">
        <v>64</v>
      </c>
      <c r="ZP63" s="133">
        <v>19.84047595130798</v>
      </c>
      <c r="ZQ63" s="133">
        <v>21.806980474408601</v>
      </c>
      <c r="ZR63" s="133">
        <v>23.65348375849257</v>
      </c>
      <c r="ZS63" s="133">
        <v>25.977257991177808</v>
      </c>
      <c r="ZT63" s="133">
        <v>30.372818393127513</v>
      </c>
      <c r="ZU63" s="134">
        <v>36.15402509516457</v>
      </c>
      <c r="ZV63" s="133">
        <v>43.035635141372047</v>
      </c>
      <c r="ZW63" s="133">
        <v>50.317609773352551</v>
      </c>
      <c r="ZX63" s="133">
        <v>55.260930860236684</v>
      </c>
      <c r="ZY63" s="133">
        <v>59.94014311682178</v>
      </c>
      <c r="ZZ63" s="133">
        <v>65.881157981778045</v>
      </c>
      <c r="AAA63" s="81"/>
      <c r="AAB63" s="81">
        <v>61</v>
      </c>
      <c r="AAC63" s="133">
        <v>10.598244191049062</v>
      </c>
      <c r="AAD63" s="133">
        <v>11.715196771946168</v>
      </c>
      <c r="AAE63" s="133">
        <v>12.76954453282767</v>
      </c>
      <c r="AAF63" s="133">
        <v>14.103438908854637</v>
      </c>
      <c r="AAG63" s="133">
        <v>16.645858999322488</v>
      </c>
      <c r="AAH63" s="134">
        <v>20.023306054698743</v>
      </c>
      <c r="AAI63" s="133">
        <v>24.086037577060701</v>
      </c>
      <c r="AAJ63" s="133">
        <v>28.428015886849821</v>
      </c>
      <c r="AAK63" s="133">
        <v>31.39757916419228</v>
      </c>
      <c r="AAL63" s="133">
        <v>34.223307825288124</v>
      </c>
      <c r="AAM63" s="133">
        <v>37.830113944605138</v>
      </c>
      <c r="AAN63" s="81"/>
      <c r="AAO63" s="81">
        <v>61</v>
      </c>
      <c r="AAP63" s="133">
        <v>10.338991025395259</v>
      </c>
      <c r="AAQ63" s="133">
        <v>11.496477384995361</v>
      </c>
      <c r="AAR63" s="133">
        <v>12.595104570603576</v>
      </c>
      <c r="AAS63" s="133">
        <v>13.992674468005273</v>
      </c>
      <c r="AAT63" s="133">
        <v>16.677642800641035</v>
      </c>
      <c r="AAU63" s="134">
        <v>20.281698165085757</v>
      </c>
      <c r="AAV63" s="133">
        <v>24.664593514608185</v>
      </c>
      <c r="AAW63" s="133">
        <v>29.397330824797102</v>
      </c>
      <c r="AAX63" s="133">
        <v>32.659298551574508</v>
      </c>
      <c r="AAY63" s="133">
        <v>35.780288751449497</v>
      </c>
      <c r="AAZ63" s="133">
        <v>39.786017750597381</v>
      </c>
      <c r="ABA63" s="81"/>
      <c r="ABB63" s="81">
        <v>64</v>
      </c>
      <c r="ABC63" s="133">
        <v>10.325218215619639</v>
      </c>
      <c r="ABD63" s="133">
        <v>11.419599398532588</v>
      </c>
      <c r="ABE63" s="133">
        <v>12.453161795030555</v>
      </c>
      <c r="ABF63" s="133">
        <v>13.761419205591231</v>
      </c>
      <c r="ABG63" s="133">
        <v>16.256787679313124</v>
      </c>
      <c r="ABH63" s="134">
        <v>19.574891060607563</v>
      </c>
      <c r="ABI63" s="133">
        <v>23.57023832711111</v>
      </c>
      <c r="ABJ63" s="133">
        <v>27.84424733453147</v>
      </c>
      <c r="ABK63" s="133">
        <v>30.769403492979649</v>
      </c>
      <c r="ABL63" s="133">
        <v>33.554273373538116</v>
      </c>
      <c r="ABM63" s="133">
        <v>37.110727544237051</v>
      </c>
      <c r="ABN63" s="81"/>
      <c r="ABO63" s="81">
        <v>61</v>
      </c>
      <c r="ABP63" s="133">
        <f t="shared" si="273"/>
        <v>0.29953285515581857</v>
      </c>
      <c r="ABQ63" s="133">
        <f t="shared" si="274"/>
        <v>0.33701064082733939</v>
      </c>
      <c r="ABR63" s="133">
        <f t="shared" si="275"/>
        <v>0.37188274419219897</v>
      </c>
      <c r="ABS63" s="133">
        <f t="shared" si="471"/>
        <v>0.41527192964158871</v>
      </c>
      <c r="ABT63" s="133">
        <f t="shared" si="472"/>
        <v>0.49570620294660228</v>
      </c>
      <c r="ABU63" s="134">
        <f t="shared" si="473"/>
        <v>0.59812530410528553</v>
      </c>
      <c r="ABV63" s="133">
        <f t="shared" si="474"/>
        <v>0.71516892535110799</v>
      </c>
      <c r="ABW63" s="133">
        <f t="shared" si="276"/>
        <v>0.8336499061415259</v>
      </c>
      <c r="ABX63" s="133">
        <f t="shared" si="277"/>
        <v>0.91118344106720195</v>
      </c>
      <c r="ABY63" s="133">
        <f t="shared" si="278"/>
        <v>0.98257815278479788</v>
      </c>
      <c r="ABZ63" s="133">
        <f t="shared" si="279"/>
        <v>1.0706210520473416</v>
      </c>
      <c r="ACA63" s="81"/>
      <c r="ACB63" s="81">
        <v>61</v>
      </c>
      <c r="ACC63" s="133">
        <f t="shared" si="280"/>
        <v>0.36772726448013537</v>
      </c>
      <c r="ACD63" s="133">
        <f t="shared" si="281"/>
        <v>0.40469913720260259</v>
      </c>
      <c r="ACE63" s="133">
        <f t="shared" si="282"/>
        <v>0.43900751289181211</v>
      </c>
      <c r="ACF63" s="133">
        <f t="shared" si="475"/>
        <v>0.48163652962670422</v>
      </c>
      <c r="ACG63" s="133">
        <f t="shared" si="476"/>
        <v>0.56067417709688849</v>
      </c>
      <c r="ACH63" s="134">
        <f t="shared" si="477"/>
        <v>0.66166016576146003</v>
      </c>
      <c r="ACI63" s="133">
        <f t="shared" si="478"/>
        <v>0.77788992691719649</v>
      </c>
      <c r="ACJ63" s="133">
        <f t="shared" si="283"/>
        <v>0.89668306314272395</v>
      </c>
      <c r="ACK63" s="133">
        <f t="shared" si="284"/>
        <v>0.97510994460709344</v>
      </c>
      <c r="ACL63" s="133">
        <f t="shared" si="285"/>
        <v>1.047834952800474</v>
      </c>
      <c r="ACM63" s="133">
        <f t="shared" si="286"/>
        <v>1.1382074523464782</v>
      </c>
      <c r="ACN63" s="81"/>
      <c r="ACO63" s="81">
        <v>64</v>
      </c>
      <c r="ACP63" s="133">
        <f t="shared" si="287"/>
        <v>0.27799227363726425</v>
      </c>
      <c r="ACQ63" s="133">
        <f t="shared" si="288"/>
        <v>0.31584586428480843</v>
      </c>
      <c r="ACR63" s="133">
        <f t="shared" si="289"/>
        <v>0.3503994591684646</v>
      </c>
      <c r="ACS63" s="133">
        <f t="shared" si="479"/>
        <v>0.39253855511350372</v>
      </c>
      <c r="ACT63" s="133">
        <f t="shared" si="480"/>
        <v>0.46840729132447678</v>
      </c>
      <c r="ACU63" s="134">
        <f t="shared" si="481"/>
        <v>0.56098901554072655</v>
      </c>
      <c r="ACV63" s="133">
        <f t="shared" si="482"/>
        <v>0.66220544767052725</v>
      </c>
      <c r="ACW63" s="133">
        <f t="shared" si="290"/>
        <v>0.76056177313168682</v>
      </c>
      <c r="ACX63" s="133">
        <f t="shared" si="291"/>
        <v>0.82284310176737352</v>
      </c>
      <c r="ACY63" s="133">
        <f t="shared" si="292"/>
        <v>0.87891329056333256</v>
      </c>
      <c r="ACZ63" s="133">
        <f t="shared" si="293"/>
        <v>0.94650764359232342</v>
      </c>
      <c r="ADA63" s="81"/>
      <c r="ADB63" s="81">
        <v>61</v>
      </c>
      <c r="ADC63" s="133">
        <f t="shared" si="294"/>
        <v>0.23291392429937813</v>
      </c>
      <c r="ADD63" s="133">
        <f t="shared" si="295"/>
        <v>0.25398343986339417</v>
      </c>
      <c r="ADE63" s="133">
        <f t="shared" si="296"/>
        <v>0.27242584238107409</v>
      </c>
      <c r="ADF63" s="133">
        <f t="shared" si="483"/>
        <v>0.2940423348623506</v>
      </c>
      <c r="ADG63" s="133">
        <f t="shared" si="484"/>
        <v>0.33090503829769174</v>
      </c>
      <c r="ADH63" s="134">
        <f t="shared" si="485"/>
        <v>0.37310783397574709</v>
      </c>
      <c r="ADI63" s="133">
        <f t="shared" si="486"/>
        <v>0.41641445188341886</v>
      </c>
      <c r="ADJ63" s="133">
        <f t="shared" si="297"/>
        <v>0.45615468917311491</v>
      </c>
      <c r="ADK63" s="133">
        <f t="shared" si="298"/>
        <v>0.48036093001023383</v>
      </c>
      <c r="ADL63" s="133">
        <f t="shared" si="299"/>
        <v>0.50158136202341386</v>
      </c>
      <c r="ADM63" s="133">
        <f t="shared" si="300"/>
        <v>0.52651088670016</v>
      </c>
      <c r="ADN63" s="81"/>
      <c r="ADO63" s="81">
        <v>61</v>
      </c>
      <c r="ADP63" s="133">
        <f t="shared" si="301"/>
        <v>0.27059537940568951</v>
      </c>
      <c r="ADQ63" s="133">
        <f t="shared" si="302"/>
        <v>0.28921777969702028</v>
      </c>
      <c r="ADR63" s="133">
        <f t="shared" si="303"/>
        <v>0.30562014202703275</v>
      </c>
      <c r="ADS63" s="133">
        <f t="shared" si="487"/>
        <v>0.32496836258118927</v>
      </c>
      <c r="ADT63" s="133">
        <f t="shared" si="488"/>
        <v>0.35827099194905188</v>
      </c>
      <c r="ADU63" s="134">
        <f t="shared" si="489"/>
        <v>0.39687388897648646</v>
      </c>
      <c r="ADV63" s="133">
        <f t="shared" si="490"/>
        <v>0.43700829225184101</v>
      </c>
      <c r="ADW63" s="133">
        <f t="shared" si="304"/>
        <v>0.47429391368930146</v>
      </c>
      <c r="ADX63" s="133">
        <f t="shared" si="305"/>
        <v>0.4972149855696158</v>
      </c>
      <c r="ADY63" s="133">
        <f t="shared" si="306"/>
        <v>0.51743739284569545</v>
      </c>
      <c r="ADZ63" s="133">
        <f t="shared" si="307"/>
        <v>0.54134580321776016</v>
      </c>
      <c r="AEA63" s="81"/>
      <c r="AEB63" s="81">
        <v>64</v>
      </c>
      <c r="AEC63" s="133">
        <f t="shared" si="308"/>
        <v>0.22041495702249997</v>
      </c>
      <c r="AED63" s="133">
        <f t="shared" si="309"/>
        <v>0.24234568196903292</v>
      </c>
      <c r="AEE63" s="133">
        <f t="shared" si="310"/>
        <v>0.26114365182689425</v>
      </c>
      <c r="AEF63" s="133">
        <f t="shared" si="491"/>
        <v>0.28274973899238243</v>
      </c>
      <c r="AEG63" s="133">
        <f t="shared" si="492"/>
        <v>0.31864836435400562</v>
      </c>
      <c r="AEH63" s="134">
        <f t="shared" si="493"/>
        <v>0.3584712621425018</v>
      </c>
      <c r="AEI63" s="133">
        <f t="shared" si="494"/>
        <v>0.39811760132413876</v>
      </c>
      <c r="AEJ63" s="133">
        <f t="shared" si="311"/>
        <v>0.43355333056770601</v>
      </c>
      <c r="AEK63" s="133">
        <f t="shared" si="312"/>
        <v>0.45473946007419463</v>
      </c>
      <c r="AEL63" s="133">
        <f t="shared" si="313"/>
        <v>0.47308325431905091</v>
      </c>
      <c r="AEM63" s="133">
        <f t="shared" si="314"/>
        <v>0.49437626306404364</v>
      </c>
      <c r="AEN63" s="81"/>
    </row>
    <row r="64" spans="1:820">
      <c r="A64" s="81"/>
      <c r="B64" s="81">
        <v>63</v>
      </c>
      <c r="C64" s="133">
        <f t="shared" si="0"/>
        <v>2.3408471951145136</v>
      </c>
      <c r="D64" s="133">
        <f t="shared" si="1"/>
        <v>2.8304536137078169</v>
      </c>
      <c r="E64" s="133">
        <f t="shared" si="2"/>
        <v>3.3510204829260744</v>
      </c>
      <c r="F64" s="133">
        <f t="shared" si="315"/>
        <v>4.0986324515222874</v>
      </c>
      <c r="G64" s="133">
        <f t="shared" si="316"/>
        <v>5.836658984084929</v>
      </c>
      <c r="H64" s="134">
        <f t="shared" si="317"/>
        <v>8.9113329072342555</v>
      </c>
      <c r="I64" s="133">
        <f t="shared" si="318"/>
        <v>14.100934909436322</v>
      </c>
      <c r="J64" s="133">
        <f t="shared" si="3"/>
        <v>22.060593105547021</v>
      </c>
      <c r="K64" s="133">
        <f t="shared" si="4"/>
        <v>29.396874371333389</v>
      </c>
      <c r="L64" s="133">
        <f t="shared" si="5"/>
        <v>38.198879471628906</v>
      </c>
      <c r="M64" s="133">
        <f t="shared" si="6"/>
        <v>52.673567686577577</v>
      </c>
      <c r="N64" s="81"/>
      <c r="O64" s="75">
        <v>63</v>
      </c>
      <c r="P64" s="151">
        <f t="shared" si="7"/>
        <v>3.0571661524273401</v>
      </c>
      <c r="Q64" s="151">
        <f t="shared" si="8"/>
        <v>3.5444797456025836</v>
      </c>
      <c r="R64" s="151">
        <f t="shared" si="9"/>
        <v>4.0554112669555966</v>
      </c>
      <c r="S64" s="151">
        <f t="shared" si="319"/>
        <v>4.7824719621586746</v>
      </c>
      <c r="T64" s="151">
        <f t="shared" si="320"/>
        <v>6.4692614432209341</v>
      </c>
      <c r="U64" s="134">
        <f t="shared" si="321"/>
        <v>9.5235380607783799</v>
      </c>
      <c r="V64" s="151">
        <f t="shared" si="322"/>
        <v>15.060334022967425</v>
      </c>
      <c r="W64" s="151">
        <f t="shared" si="10"/>
        <v>24.792572897978797</v>
      </c>
      <c r="X64" s="151">
        <f t="shared" si="11"/>
        <v>35.365683552380325</v>
      </c>
      <c r="Y64" s="151">
        <f t="shared" si="12"/>
        <v>50.463872752884505</v>
      </c>
      <c r="Z64" s="151">
        <f t="shared" si="13"/>
        <v>82.351882622297666</v>
      </c>
      <c r="AA64" s="81"/>
      <c r="AB64" s="75">
        <v>65</v>
      </c>
      <c r="AC64" s="151">
        <f t="shared" si="14"/>
        <v>2.1124959029211223</v>
      </c>
      <c r="AD64" s="151">
        <f t="shared" si="15"/>
        <v>2.5382826712699154</v>
      </c>
      <c r="AE64" s="151">
        <f t="shared" si="16"/>
        <v>2.991316063424752</v>
      </c>
      <c r="AF64" s="151">
        <f t="shared" si="323"/>
        <v>3.6433647675368577</v>
      </c>
      <c r="AG64" s="151">
        <f t="shared" si="324"/>
        <v>5.1689954833845331</v>
      </c>
      <c r="AH64" s="134">
        <f t="shared" si="325"/>
        <v>7.908968067232526</v>
      </c>
      <c r="AI64" s="151">
        <f t="shared" si="326"/>
        <v>12.658983570157929</v>
      </c>
      <c r="AJ64" s="151">
        <f t="shared" si="17"/>
        <v>20.235166114459787</v>
      </c>
      <c r="AK64" s="151">
        <f t="shared" si="18"/>
        <v>27.503973348256796</v>
      </c>
      <c r="AL64" s="151">
        <f t="shared" si="19"/>
        <v>36.556156573693286</v>
      </c>
      <c r="AM64" s="151">
        <f t="shared" si="20"/>
        <v>52.160633628469824</v>
      </c>
      <c r="AN64" s="81"/>
      <c r="AO64" s="81">
        <v>63</v>
      </c>
      <c r="AP64" s="133">
        <f t="shared" si="21"/>
        <v>2.1113026192396456</v>
      </c>
      <c r="AQ64" s="133">
        <f t="shared" si="22"/>
        <v>4.9242079939249122</v>
      </c>
      <c r="AR64" s="133">
        <f t="shared" si="23"/>
        <v>7.6626400743663323</v>
      </c>
      <c r="AS64" s="133">
        <f t="shared" si="327"/>
        <v>11.190429929366985</v>
      </c>
      <c r="AT64" s="133">
        <f t="shared" si="328"/>
        <v>17.969742771168352</v>
      </c>
      <c r="AU64" s="134">
        <f t="shared" si="329"/>
        <v>26.862476344152387</v>
      </c>
      <c r="AV64" s="133">
        <f t="shared" si="330"/>
        <v>37.185076316237975</v>
      </c>
      <c r="AW64" s="133">
        <f t="shared" si="24"/>
        <v>47.67914925466097</v>
      </c>
      <c r="AX64" s="133">
        <f t="shared" si="25"/>
        <v>54.534334702899422</v>
      </c>
      <c r="AY64" s="133">
        <f t="shared" si="26"/>
        <v>60.825230653984072</v>
      </c>
      <c r="AZ64" s="133">
        <f t="shared" si="27"/>
        <v>68.544960728878436</v>
      </c>
      <c r="BA64" s="81"/>
      <c r="BB64" s="81">
        <v>63</v>
      </c>
      <c r="BC64" s="133">
        <f t="shared" si="28"/>
        <v>4.9450523987702963</v>
      </c>
      <c r="BD64" s="133">
        <f t="shared" si="29"/>
        <v>8.2193851508985389</v>
      </c>
      <c r="BE64" s="133">
        <f t="shared" si="30"/>
        <v>11.292446196277584</v>
      </c>
      <c r="BF64" s="133">
        <f t="shared" si="331"/>
        <v>15.120125468858031</v>
      </c>
      <c r="BG64" s="133">
        <f t="shared" si="332"/>
        <v>22.158409440647738</v>
      </c>
      <c r="BH64" s="134">
        <f t="shared" si="333"/>
        <v>30.925295420627197</v>
      </c>
      <c r="BI64" s="133">
        <f t="shared" si="334"/>
        <v>40.622211585788172</v>
      </c>
      <c r="BJ64" s="133">
        <f t="shared" si="31"/>
        <v>50.083784532549366</v>
      </c>
      <c r="BK64" s="133">
        <f t="shared" si="32"/>
        <v>56.091035884090203</v>
      </c>
      <c r="BL64" s="133">
        <f t="shared" si="33"/>
        <v>61.500855871657031</v>
      </c>
      <c r="BM64" s="133">
        <f t="shared" si="34"/>
        <v>68.020226410012654</v>
      </c>
      <c r="BN64" s="81"/>
      <c r="BO64" s="75">
        <v>65</v>
      </c>
      <c r="BP64" s="151">
        <f t="shared" si="35"/>
        <v>5.3871147118027682</v>
      </c>
      <c r="BQ64" s="151">
        <f t="shared" si="36"/>
        <v>6.9182615818702118</v>
      </c>
      <c r="BR64" s="151">
        <f t="shared" si="37"/>
        <v>8.5176715686083284</v>
      </c>
      <c r="BS64" s="151">
        <f t="shared" si="335"/>
        <v>10.742886520908218</v>
      </c>
      <c r="BT64" s="151">
        <f t="shared" si="336"/>
        <v>15.557156438821211</v>
      </c>
      <c r="BU64" s="134">
        <f t="shared" si="337"/>
        <v>22.980387840382647</v>
      </c>
      <c r="BV64" s="151">
        <f t="shared" si="338"/>
        <v>33.230266190846393</v>
      </c>
      <c r="BW64" s="151">
        <f t="shared" si="38"/>
        <v>45.515591160075992</v>
      </c>
      <c r="BX64" s="151">
        <f t="shared" si="39"/>
        <v>54.589945001255998</v>
      </c>
      <c r="BY64" s="151">
        <f t="shared" si="40"/>
        <v>63.66678412458041</v>
      </c>
      <c r="BZ64" s="151">
        <f t="shared" si="41"/>
        <v>75.808474955952491</v>
      </c>
      <c r="CA64" s="81"/>
      <c r="CB64" s="81">
        <v>63</v>
      </c>
      <c r="CC64" s="133">
        <f t="shared" si="42"/>
        <v>-2.9043470745822262</v>
      </c>
      <c r="CD64" s="133">
        <f t="shared" si="43"/>
        <v>-6.8870421027405371E-2</v>
      </c>
      <c r="CE64" s="133">
        <f t="shared" si="44"/>
        <v>2.6857185700928765</v>
      </c>
      <c r="CF64" s="133">
        <f t="shared" si="339"/>
        <v>6.1712576716761633</v>
      </c>
      <c r="CG64" s="133">
        <f t="shared" si="340"/>
        <v>12.623393171165574</v>
      </c>
      <c r="CH64" s="134">
        <f t="shared" si="341"/>
        <v>20.626284354391011</v>
      </c>
      <c r="CI64" s="133">
        <f t="shared" si="342"/>
        <v>29.373504124685777</v>
      </c>
      <c r="CJ64" s="133">
        <f t="shared" si="45"/>
        <v>37.787330422186429</v>
      </c>
      <c r="CK64" s="133">
        <f t="shared" si="46"/>
        <v>43.067704616559148</v>
      </c>
      <c r="CL64" s="133">
        <f t="shared" si="47"/>
        <v>47.783450443498261</v>
      </c>
      <c r="CM64" s="133">
        <f t="shared" si="48"/>
        <v>53.418693166100709</v>
      </c>
      <c r="CN64" s="81"/>
      <c r="CO64" s="81">
        <v>63</v>
      </c>
      <c r="CP64" s="133">
        <f t="shared" si="49"/>
        <v>3.0202463357759788</v>
      </c>
      <c r="CQ64" s="133">
        <f t="shared" si="50"/>
        <v>5.8509872148643849</v>
      </c>
      <c r="CR64" s="133">
        <f t="shared" si="51"/>
        <v>8.4641636587232334</v>
      </c>
      <c r="CS64" s="133">
        <f t="shared" si="343"/>
        <v>11.664812994203139</v>
      </c>
      <c r="CT64" s="133">
        <f t="shared" si="344"/>
        <v>17.413026842062916</v>
      </c>
      <c r="CU64" s="134">
        <f t="shared" si="345"/>
        <v>24.366197483030813</v>
      </c>
      <c r="CV64" s="133">
        <f t="shared" si="346"/>
        <v>31.840863344775581</v>
      </c>
      <c r="CW64" s="133">
        <f t="shared" si="52"/>
        <v>38.954880153379968</v>
      </c>
      <c r="CX64" s="133">
        <f t="shared" si="53"/>
        <v>43.393093424680202</v>
      </c>
      <c r="CY64" s="133">
        <f t="shared" si="54"/>
        <v>47.343410790541164</v>
      </c>
      <c r="CZ64" s="133">
        <f t="shared" si="55"/>
        <v>52.050404479317706</v>
      </c>
      <c r="DA64" s="81"/>
      <c r="DB64" s="81">
        <v>65</v>
      </c>
      <c r="DC64" s="133">
        <f t="shared" si="56"/>
        <v>-3.3727427373138288</v>
      </c>
      <c r="DD64" s="133">
        <f t="shared" si="57"/>
        <v>-1.1139073492031288</v>
      </c>
      <c r="DE64" s="133">
        <f t="shared" si="58"/>
        <v>1.1554883057678706</v>
      </c>
      <c r="DF64" s="133">
        <f t="shared" si="347"/>
        <v>4.1184827280557945</v>
      </c>
      <c r="DG64" s="133">
        <f t="shared" si="348"/>
        <v>9.8263990295783792</v>
      </c>
      <c r="DH64" s="134">
        <f t="shared" si="349"/>
        <v>17.230261787630024</v>
      </c>
      <c r="DI64" s="133">
        <f t="shared" si="350"/>
        <v>25.651709451757316</v>
      </c>
      <c r="DJ64" s="133">
        <f t="shared" si="59"/>
        <v>34.020515895463319</v>
      </c>
      <c r="DK64" s="133">
        <f t="shared" si="60"/>
        <v>39.389503679707808</v>
      </c>
      <c r="DL64" s="133">
        <f t="shared" si="61"/>
        <v>44.253404192579154</v>
      </c>
      <c r="DM64" s="133">
        <f t="shared" si="62"/>
        <v>50.144955890088518</v>
      </c>
      <c r="DN64" s="81"/>
      <c r="DO64" s="81">
        <v>63</v>
      </c>
      <c r="DP64" s="133">
        <v>13.648395427673526</v>
      </c>
      <c r="DQ64" s="133">
        <v>14.826583713402279</v>
      </c>
      <c r="DR64" s="133">
        <v>15.920921507162413</v>
      </c>
      <c r="DS64" s="133">
        <v>17.283241942443734</v>
      </c>
      <c r="DT64" s="133">
        <v>19.820171441283261</v>
      </c>
      <c r="DU64" s="134">
        <v>23.08903160044563</v>
      </c>
      <c r="DV64" s="133">
        <v>26.897011553390541</v>
      </c>
      <c r="DW64" s="133">
        <v>30.845103136420001</v>
      </c>
      <c r="DX64" s="133">
        <v>33.484455030228474</v>
      </c>
      <c r="DY64" s="133">
        <v>35.95591476440292</v>
      </c>
      <c r="DZ64" s="133">
        <v>39.059784212102691</v>
      </c>
      <c r="EA64" s="81"/>
      <c r="EB64" s="81">
        <v>63</v>
      </c>
      <c r="EC64" s="133">
        <v>13.006314021934424</v>
      </c>
      <c r="ED64" s="133">
        <v>14.165018139663673</v>
      </c>
      <c r="EE64" s="133">
        <v>15.243799490567651</v>
      </c>
      <c r="EF64" s="133">
        <v>16.589922471366098</v>
      </c>
      <c r="EG64" s="133">
        <v>19.105206678384711</v>
      </c>
      <c r="EH64" s="134">
        <v>22.360648140939055</v>
      </c>
      <c r="EI64" s="133">
        <v>26.170802216370181</v>
      </c>
      <c r="EJ64" s="133">
        <v>30.138693302869221</v>
      </c>
      <c r="EK64" s="133">
        <v>32.800128707561605</v>
      </c>
      <c r="EL64" s="133">
        <v>35.29812530792514</v>
      </c>
      <c r="EM64" s="133">
        <v>38.442758220327541</v>
      </c>
      <c r="EN64" s="81"/>
      <c r="EO64" s="81">
        <v>65</v>
      </c>
      <c r="EP64" s="133">
        <v>11.823770885718323</v>
      </c>
      <c r="EQ64" s="133">
        <v>13.195700326566364</v>
      </c>
      <c r="ER64" s="133">
        <v>14.502295585522633</v>
      </c>
      <c r="ES64" s="133">
        <v>16.17007893417966</v>
      </c>
      <c r="ET64" s="133">
        <v>19.389912458799852</v>
      </c>
      <c r="EU64" s="134">
        <v>23.739775866142068</v>
      </c>
      <c r="EV64" s="133">
        <v>29.065472026867727</v>
      </c>
      <c r="EW64" s="133">
        <v>34.853074030665049</v>
      </c>
      <c r="EX64" s="133">
        <v>38.861224062849004</v>
      </c>
      <c r="EY64" s="133">
        <v>42.709135872086655</v>
      </c>
      <c r="EZ64" s="133">
        <v>47.664739415358042</v>
      </c>
      <c r="FA64" s="81"/>
      <c r="FB64" s="81">
        <v>63</v>
      </c>
      <c r="FC64" s="133">
        <v>9.5770402271790278</v>
      </c>
      <c r="FD64" s="133">
        <v>10.357148724443745</v>
      </c>
      <c r="FE64" s="133">
        <v>11.078722941335931</v>
      </c>
      <c r="FF64" s="133">
        <v>11.973262988648061</v>
      </c>
      <c r="FG64" s="133">
        <v>13.629130530383476</v>
      </c>
      <c r="FH64" s="134">
        <v>15.745996812700907</v>
      </c>
      <c r="FI64" s="133">
        <v>18.191653170601125</v>
      </c>
      <c r="FJ64" s="133">
        <v>20.707506037465098</v>
      </c>
      <c r="FK64" s="133">
        <v>22.379512236063693</v>
      </c>
      <c r="FL64" s="133">
        <v>23.938674844017282</v>
      </c>
      <c r="FM64" s="133">
        <v>25.888626312956198</v>
      </c>
      <c r="FN64" s="81"/>
      <c r="FO64" s="81">
        <v>63</v>
      </c>
      <c r="FP64" s="133">
        <v>9.5226224700584723</v>
      </c>
      <c r="FQ64" s="133">
        <v>10.263257299111322</v>
      </c>
      <c r="FR64" s="133">
        <v>10.946155416668553</v>
      </c>
      <c r="FS64" s="133">
        <v>11.790076716885794</v>
      </c>
      <c r="FT64" s="133">
        <v>13.345157738429293</v>
      </c>
      <c r="FU64" s="134">
        <v>15.321334339731225</v>
      </c>
      <c r="FV64" s="133">
        <v>17.590146969477193</v>
      </c>
      <c r="FW64" s="133">
        <v>19.910242451062839</v>
      </c>
      <c r="FX64" s="133">
        <v>21.445272519369265</v>
      </c>
      <c r="FY64" s="133">
        <v>22.872201203623064</v>
      </c>
      <c r="FZ64" s="133">
        <v>24.651117555895897</v>
      </c>
      <c r="GA64" s="81"/>
      <c r="GB64" s="81">
        <v>65</v>
      </c>
      <c r="GC64" s="133">
        <v>8.234552619980736</v>
      </c>
      <c r="GD64" s="133">
        <v>9.1480073660812344</v>
      </c>
      <c r="GE64" s="133">
        <v>10.014271387641122</v>
      </c>
      <c r="GF64" s="133">
        <v>11.115309019627148</v>
      </c>
      <c r="GG64" s="133">
        <v>13.227982092756404</v>
      </c>
      <c r="GH64" s="134">
        <v>16.059259654056071</v>
      </c>
      <c r="GI64" s="133">
        <v>19.496535361778122</v>
      </c>
      <c r="GJ64" s="133">
        <v>23.202217786388104</v>
      </c>
      <c r="GK64" s="133">
        <v>25.75322863275645</v>
      </c>
      <c r="GL64" s="133">
        <v>28.191912218241971</v>
      </c>
      <c r="GM64" s="133">
        <v>31.319226743492028</v>
      </c>
      <c r="GN64" s="81"/>
      <c r="GO64" s="81">
        <v>63</v>
      </c>
      <c r="GP64" s="133">
        <f t="shared" si="63"/>
        <v>0.5138916209986446</v>
      </c>
      <c r="GQ64" s="133">
        <f t="shared" si="64"/>
        <v>0.54580566765600202</v>
      </c>
      <c r="GR64" s="133">
        <f t="shared" si="65"/>
        <v>0.5717496603425134</v>
      </c>
      <c r="GS64" s="133">
        <f t="shared" si="351"/>
        <v>0.60019210791560718</v>
      </c>
      <c r="GT64" s="133">
        <f t="shared" si="352"/>
        <v>0.64595507212352588</v>
      </c>
      <c r="GU64" s="134">
        <f t="shared" si="353"/>
        <v>0.69074386304199675</v>
      </c>
      <c r="GV64" s="133">
        <f t="shared" si="354"/>
        <v>0.73264662344883291</v>
      </c>
      <c r="GW64" s="133">
        <f t="shared" si="66"/>
        <v>0.77016989261836266</v>
      </c>
      <c r="GX64" s="133">
        <f t="shared" si="67"/>
        <v>0.79115476962762388</v>
      </c>
      <c r="GY64" s="133">
        <f t="shared" si="68"/>
        <v>0.80888947559693536</v>
      </c>
      <c r="GZ64" s="133">
        <f t="shared" si="69"/>
        <v>0.8290051672232831</v>
      </c>
      <c r="HA64" s="81"/>
      <c r="HB64" s="81">
        <v>63</v>
      </c>
      <c r="HC64" s="133">
        <f t="shared" si="70"/>
        <v>0.50778709797909038</v>
      </c>
      <c r="HD64" s="133">
        <f t="shared" si="71"/>
        <v>0.54112275186951286</v>
      </c>
      <c r="HE64" s="133">
        <f t="shared" si="72"/>
        <v>0.56817197395797758</v>
      </c>
      <c r="HF64" s="133">
        <f t="shared" si="355"/>
        <v>0.59778343510589904</v>
      </c>
      <c r="HG64" s="133">
        <f t="shared" si="356"/>
        <v>0.64404546519540562</v>
      </c>
      <c r="HH64" s="134">
        <f t="shared" si="357"/>
        <v>0.69183856517482301</v>
      </c>
      <c r="HI64" s="133">
        <f t="shared" si="358"/>
        <v>0.73642124056125147</v>
      </c>
      <c r="HJ64" s="133">
        <f t="shared" si="73"/>
        <v>0.77415608299259386</v>
      </c>
      <c r="HK64" s="133">
        <f t="shared" si="74"/>
        <v>0.79588622737660708</v>
      </c>
      <c r="HL64" s="133">
        <f t="shared" si="75"/>
        <v>0.8142460711073608</v>
      </c>
      <c r="HM64" s="133">
        <f t="shared" si="76"/>
        <v>0.8350662383672609</v>
      </c>
      <c r="HN64" s="81"/>
      <c r="HO64" s="81">
        <v>65</v>
      </c>
      <c r="HP64" s="83">
        <f t="shared" si="77"/>
        <v>0.51919248427377906</v>
      </c>
      <c r="HQ64" s="83">
        <f t="shared" si="78"/>
        <v>0.55017788089855435</v>
      </c>
      <c r="HR64" s="83">
        <f t="shared" si="79"/>
        <v>0.57539297466589989</v>
      </c>
      <c r="HS64" s="83">
        <f t="shared" si="359"/>
        <v>0.60305806430865061</v>
      </c>
      <c r="HT64" s="83">
        <f t="shared" si="360"/>
        <v>0.64638257799933585</v>
      </c>
      <c r="HU64" s="84">
        <f t="shared" si="361"/>
        <v>0.69124278479552825</v>
      </c>
      <c r="HV64" s="83">
        <f t="shared" si="362"/>
        <v>0.73315890393393834</v>
      </c>
      <c r="HW64" s="83">
        <f t="shared" si="80"/>
        <v>0.76867609401569315</v>
      </c>
      <c r="HX64" s="83">
        <f t="shared" si="81"/>
        <v>0.78914208633860805</v>
      </c>
      <c r="HY64" s="83">
        <f t="shared" si="82"/>
        <v>0.80643997041727988</v>
      </c>
      <c r="HZ64" s="83">
        <f t="shared" si="83"/>
        <v>0.82606172640308528</v>
      </c>
      <c r="IA64" s="81"/>
      <c r="IB64" s="81">
        <v>63</v>
      </c>
      <c r="IC64" s="83">
        <f t="shared" si="84"/>
        <v>0.34046480957142522</v>
      </c>
      <c r="ID64" s="83">
        <f t="shared" si="85"/>
        <v>0.35353313622092924</v>
      </c>
      <c r="IE64" s="83">
        <f t="shared" si="86"/>
        <v>0.36384261449090638</v>
      </c>
      <c r="IF64" s="83">
        <f t="shared" si="363"/>
        <v>0.37485394825563939</v>
      </c>
      <c r="IG64" s="83">
        <f t="shared" si="364"/>
        <v>0.39153740004613047</v>
      </c>
      <c r="IH64" s="84">
        <f t="shared" si="365"/>
        <v>0.40817797574601161</v>
      </c>
      <c r="II64" s="83">
        <f t="shared" si="366"/>
        <v>0.42321518418624654</v>
      </c>
      <c r="IJ64" s="83">
        <f t="shared" si="87"/>
        <v>0.43561140764712325</v>
      </c>
      <c r="IK64" s="83">
        <f t="shared" si="88"/>
        <v>0.44262212484097824</v>
      </c>
      <c r="IL64" s="83">
        <f t="shared" si="89"/>
        <v>0.44847647907113597</v>
      </c>
      <c r="IM64" s="83">
        <f t="shared" si="90"/>
        <v>0.45504187772766108</v>
      </c>
      <c r="IN64" s="81"/>
      <c r="IO64" s="81">
        <v>63</v>
      </c>
      <c r="IP64" s="133">
        <f t="shared" si="91"/>
        <v>0.33747288010547438</v>
      </c>
      <c r="IQ64" s="133">
        <f t="shared" si="92"/>
        <v>0.35128328206338255</v>
      </c>
      <c r="IR64" s="133">
        <f t="shared" si="93"/>
        <v>0.36213540848145831</v>
      </c>
      <c r="IS64" s="133">
        <f t="shared" si="367"/>
        <v>0.37369116456663576</v>
      </c>
      <c r="IT64" s="133">
        <f t="shared" si="368"/>
        <v>0.39114164932783801</v>
      </c>
      <c r="IU64" s="134">
        <f t="shared" si="369"/>
        <v>0.40849068188587107</v>
      </c>
      <c r="IV64" s="133">
        <f t="shared" si="370"/>
        <v>0.42412899653750108</v>
      </c>
      <c r="IW64" s="133">
        <f t="shared" si="94"/>
        <v>0.43699778851717808</v>
      </c>
      <c r="IX64" s="133">
        <f t="shared" si="95"/>
        <v>0.44426786330167989</v>
      </c>
      <c r="IY64" s="133">
        <f t="shared" si="96"/>
        <v>0.45033487225826674</v>
      </c>
      <c r="IZ64" s="133">
        <f t="shared" si="97"/>
        <v>0.45713484313966513</v>
      </c>
      <c r="JA64" s="81"/>
      <c r="JB64" s="81">
        <v>65</v>
      </c>
      <c r="JC64" s="133">
        <f t="shared" si="98"/>
        <v>0.34311516285803978</v>
      </c>
      <c r="JD64" s="133">
        <f t="shared" si="99"/>
        <v>0.35565817212766099</v>
      </c>
      <c r="JE64" s="133">
        <f t="shared" si="100"/>
        <v>0.3655791297241246</v>
      </c>
      <c r="JF64" s="133">
        <f t="shared" si="371"/>
        <v>0.37619702199404403</v>
      </c>
      <c r="JG64" s="133">
        <f t="shared" si="372"/>
        <v>0.39232007258064822</v>
      </c>
      <c r="JH64" s="134">
        <f t="shared" si="373"/>
        <v>0.40843686975049137</v>
      </c>
      <c r="JI64" s="133">
        <f t="shared" si="374"/>
        <v>0.42302514682291575</v>
      </c>
      <c r="JJ64" s="133">
        <f t="shared" si="101"/>
        <v>0.43506560485751372</v>
      </c>
      <c r="JK64" s="133">
        <f t="shared" si="102"/>
        <v>0.44188003524178981</v>
      </c>
      <c r="JL64" s="133">
        <f t="shared" si="103"/>
        <v>0.44757291213375106</v>
      </c>
      <c r="JM64" s="133">
        <f t="shared" si="104"/>
        <v>0.4539596389309401</v>
      </c>
      <c r="JN64" s="81"/>
      <c r="JO64" s="81">
        <v>62</v>
      </c>
      <c r="JP64" s="133">
        <f t="shared" si="105"/>
        <v>0.36934234902941654</v>
      </c>
      <c r="JQ64" s="133">
        <f t="shared" si="106"/>
        <v>1.807465599946088</v>
      </c>
      <c r="JR64" s="133">
        <f t="shared" si="107"/>
        <v>3.0572685368776717</v>
      </c>
      <c r="JS64" s="133">
        <f t="shared" si="375"/>
        <v>4.5125063354481725</v>
      </c>
      <c r="JT64" s="133">
        <f t="shared" si="376"/>
        <v>6.9726925013096945</v>
      </c>
      <c r="JU64" s="134">
        <f t="shared" si="377"/>
        <v>9.760323568060798</v>
      </c>
      <c r="JV64" s="133">
        <f t="shared" si="378"/>
        <v>12.593184263143673</v>
      </c>
      <c r="JW64" s="133">
        <f t="shared" si="108"/>
        <v>15.171220425581222</v>
      </c>
      <c r="JX64" s="133">
        <f t="shared" si="109"/>
        <v>16.732447995740767</v>
      </c>
      <c r="JY64" s="133">
        <f t="shared" si="110"/>
        <v>18.095866023897134</v>
      </c>
      <c r="JZ64" s="133">
        <f t="shared" si="111"/>
        <v>19.691711574473306</v>
      </c>
      <c r="KA64" s="81"/>
      <c r="KB64" s="81">
        <v>62</v>
      </c>
      <c r="KC64" s="133">
        <f t="shared" si="112"/>
        <v>1.825208977966529</v>
      </c>
      <c r="KD64" s="133">
        <f t="shared" si="113"/>
        <v>3.2298444991867328</v>
      </c>
      <c r="KE64" s="133">
        <f t="shared" si="114"/>
        <v>4.471934313795229</v>
      </c>
      <c r="KF64" s="133">
        <f t="shared" si="379"/>
        <v>5.9418260734830195</v>
      </c>
      <c r="KG64" s="133">
        <f t="shared" si="380"/>
        <v>8.4808534449151356</v>
      </c>
      <c r="KH64" s="134">
        <f t="shared" si="381"/>
        <v>11.433609637043913</v>
      </c>
      <c r="KI64" s="133">
        <f t="shared" si="382"/>
        <v>14.509818788609619</v>
      </c>
      <c r="KJ64" s="133">
        <f t="shared" si="115"/>
        <v>17.370354183865842</v>
      </c>
      <c r="KK64" s="133">
        <f t="shared" si="116"/>
        <v>19.129200926121925</v>
      </c>
      <c r="KL64" s="133">
        <f t="shared" si="117"/>
        <v>20.680828020647361</v>
      </c>
      <c r="KM64" s="133">
        <f t="shared" si="118"/>
        <v>22.514816408313159</v>
      </c>
      <c r="KN64" s="81"/>
      <c r="KO64" s="81">
        <v>64</v>
      </c>
      <c r="KP64" s="133">
        <f t="shared" si="119"/>
        <v>1.0064674740434256</v>
      </c>
      <c r="KQ64" s="133">
        <f t="shared" si="120"/>
        <v>2.2359308543667673</v>
      </c>
      <c r="KR64" s="133">
        <f t="shared" si="121"/>
        <v>3.290213639185346</v>
      </c>
      <c r="KS64" s="133">
        <f t="shared" si="383"/>
        <v>4.5023438272346326</v>
      </c>
      <c r="KT64" s="133">
        <f t="shared" si="384"/>
        <v>6.5168045694053838</v>
      </c>
      <c r="KU64" s="134">
        <f t="shared" si="385"/>
        <v>8.7517435208742462</v>
      </c>
      <c r="KV64" s="133">
        <f t="shared" si="386"/>
        <v>10.976644514708816</v>
      </c>
      <c r="KW64" s="133">
        <f t="shared" si="122"/>
        <v>12.964904781642051</v>
      </c>
      <c r="KX64" s="133">
        <f t="shared" si="123"/>
        <v>14.15341418913307</v>
      </c>
      <c r="KY64" s="133">
        <f t="shared" si="124"/>
        <v>15.18231580611759</v>
      </c>
      <c r="KZ64" s="133">
        <f t="shared" si="125"/>
        <v>16.376438019411598</v>
      </c>
      <c r="LA64" s="81"/>
      <c r="LB64" s="81">
        <v>62</v>
      </c>
      <c r="LC64" s="133">
        <f t="shared" si="126"/>
        <v>2.7775751099481951</v>
      </c>
      <c r="LD64" s="133">
        <f t="shared" si="127"/>
        <v>6.4760626389951952</v>
      </c>
      <c r="LE64" s="133">
        <f t="shared" si="128"/>
        <v>9.7109025895290699</v>
      </c>
      <c r="LF64" s="133">
        <f t="shared" si="387"/>
        <v>13.499481865915349</v>
      </c>
      <c r="LG64" s="133">
        <f t="shared" si="388"/>
        <v>19.952690110102246</v>
      </c>
      <c r="LH64" s="134">
        <f t="shared" si="389"/>
        <v>27.329371768875866</v>
      </c>
      <c r="LI64" s="133">
        <f t="shared" si="390"/>
        <v>34.886811496345324</v>
      </c>
      <c r="LJ64" s="133">
        <f t="shared" si="129"/>
        <v>41.811492577251364</v>
      </c>
      <c r="LK64" s="133">
        <f t="shared" si="130"/>
        <v>46.024717523756117</v>
      </c>
      <c r="LL64" s="133">
        <f t="shared" si="131"/>
        <v>49.715427663740293</v>
      </c>
      <c r="LM64" s="133">
        <f t="shared" si="132"/>
        <v>54.047959186309761</v>
      </c>
      <c r="LN64" s="81"/>
      <c r="LO64" s="81">
        <v>62</v>
      </c>
      <c r="LP64" s="133">
        <f t="shared" si="133"/>
        <v>7.6090058984247726</v>
      </c>
      <c r="LQ64" s="133">
        <f t="shared" si="134"/>
        <v>11.382525029870475</v>
      </c>
      <c r="LR64" s="133">
        <f t="shared" si="135"/>
        <v>14.690973920147247</v>
      </c>
      <c r="LS64" s="133">
        <f t="shared" si="391"/>
        <v>18.574546917797466</v>
      </c>
      <c r="LT64" s="133">
        <f t="shared" si="392"/>
        <v>25.209578575680229</v>
      </c>
      <c r="LU64" s="134">
        <f t="shared" si="393"/>
        <v>32.82199997754573</v>
      </c>
      <c r="LV64" s="133">
        <f t="shared" si="394"/>
        <v>40.648550920231557</v>
      </c>
      <c r="LW64" s="133">
        <f t="shared" si="136"/>
        <v>47.841937262350356</v>
      </c>
      <c r="LX64" s="133">
        <f t="shared" si="137"/>
        <v>52.228206280465272</v>
      </c>
      <c r="LY64" s="133">
        <f t="shared" si="138"/>
        <v>56.076097645111687</v>
      </c>
      <c r="LZ64" s="133">
        <f t="shared" si="139"/>
        <v>60.59951526407481</v>
      </c>
      <c r="MA64" s="81"/>
      <c r="MB64" s="81">
        <v>64</v>
      </c>
      <c r="MC64" s="133">
        <f t="shared" si="140"/>
        <v>4.2645412188103649</v>
      </c>
      <c r="MD64" s="133">
        <f t="shared" si="141"/>
        <v>7.231334035089489</v>
      </c>
      <c r="ME64" s="133">
        <f t="shared" si="142"/>
        <v>9.8031980605402822</v>
      </c>
      <c r="MF64" s="133">
        <f t="shared" si="395"/>
        <v>12.79055623246137</v>
      </c>
      <c r="MG64" s="133">
        <f t="shared" si="396"/>
        <v>17.823972106236283</v>
      </c>
      <c r="MH64" s="134">
        <f t="shared" si="397"/>
        <v>23.503097764791626</v>
      </c>
      <c r="MI64" s="133">
        <f t="shared" si="398"/>
        <v>29.249770512506593</v>
      </c>
      <c r="MJ64" s="133">
        <f t="shared" si="143"/>
        <v>34.459367449245214</v>
      </c>
      <c r="MK64" s="133">
        <f t="shared" si="144"/>
        <v>37.605403097983633</v>
      </c>
      <c r="ML64" s="133">
        <f t="shared" si="145"/>
        <v>40.34760426175523</v>
      </c>
      <c r="MM64" s="133">
        <f t="shared" si="146"/>
        <v>43.551290126799664</v>
      </c>
      <c r="MN64" s="81"/>
      <c r="MO64" s="81">
        <v>62</v>
      </c>
      <c r="MP64" s="133">
        <f t="shared" si="147"/>
        <v>-3.4138015350905846</v>
      </c>
      <c r="MQ64" s="133">
        <f t="shared" si="148"/>
        <v>0.67878693793279865</v>
      </c>
      <c r="MR64" s="133">
        <f t="shared" si="149"/>
        <v>4.2101250033049027</v>
      </c>
      <c r="MS64" s="133">
        <f t="shared" si="399"/>
        <v>8.2935532230445688</v>
      </c>
      <c r="MT64" s="133">
        <f t="shared" si="400"/>
        <v>15.131297479150888</v>
      </c>
      <c r="MU64" s="134">
        <f t="shared" si="401"/>
        <v>22.786491702143316</v>
      </c>
      <c r="MV64" s="133">
        <f t="shared" si="402"/>
        <v>30.473263626779989</v>
      </c>
      <c r="MW64" s="133">
        <f t="shared" si="150"/>
        <v>37.39383011152281</v>
      </c>
      <c r="MX64" s="133">
        <f t="shared" si="151"/>
        <v>41.552442920705822</v>
      </c>
      <c r="MY64" s="133">
        <f t="shared" si="152"/>
        <v>45.165145581994146</v>
      </c>
      <c r="MZ64" s="133">
        <f t="shared" si="153"/>
        <v>49.37208716811562</v>
      </c>
      <c r="NA64" s="81"/>
      <c r="NB64" s="81">
        <v>62</v>
      </c>
      <c r="NC64" s="133">
        <f t="shared" si="154"/>
        <v>6.167415398010629</v>
      </c>
      <c r="ND64" s="133">
        <f t="shared" si="155"/>
        <v>9.6788207232234207</v>
      </c>
      <c r="NE64" s="133">
        <f t="shared" si="156"/>
        <v>12.710443004394509</v>
      </c>
      <c r="NF64" s="133">
        <f t="shared" si="403"/>
        <v>16.218050725250141</v>
      </c>
      <c r="NG64" s="133">
        <f t="shared" si="404"/>
        <v>22.096312063119033</v>
      </c>
      <c r="NH64" s="134">
        <f t="shared" si="405"/>
        <v>28.684056853228892</v>
      </c>
      <c r="NI64" s="133">
        <f t="shared" si="406"/>
        <v>35.305733789196012</v>
      </c>
      <c r="NJ64" s="133">
        <f t="shared" si="157"/>
        <v>41.272820712355525</v>
      </c>
      <c r="NK64" s="133">
        <f t="shared" si="158"/>
        <v>44.860839480716223</v>
      </c>
      <c r="NL64" s="133">
        <f t="shared" si="159"/>
        <v>47.97923185280824</v>
      </c>
      <c r="NM64" s="133">
        <f t="shared" si="160"/>
        <v>51.612123083357076</v>
      </c>
      <c r="NN64" s="81"/>
      <c r="NO64" s="81">
        <v>64</v>
      </c>
      <c r="NP64" s="133">
        <f t="shared" si="161"/>
        <v>-5.3157910160498929</v>
      </c>
      <c r="NQ64" s="133">
        <f t="shared" si="162"/>
        <v>-1.6572608317171316</v>
      </c>
      <c r="NR64" s="133">
        <f t="shared" si="163"/>
        <v>1.4907974681000979</v>
      </c>
      <c r="NS64" s="133">
        <f t="shared" si="407"/>
        <v>5.1219043852999064</v>
      </c>
      <c r="NT64" s="133">
        <f t="shared" si="408"/>
        <v>11.182659827399121</v>
      </c>
      <c r="NU64" s="134">
        <f t="shared" si="409"/>
        <v>17.942408780814887</v>
      </c>
      <c r="NV64" s="133">
        <f t="shared" si="410"/>
        <v>24.706329085561656</v>
      </c>
      <c r="NW64" s="133">
        <f t="shared" si="164"/>
        <v>30.778026550550855</v>
      </c>
      <c r="NX64" s="133">
        <f t="shared" si="165"/>
        <v>34.419068118508882</v>
      </c>
      <c r="NY64" s="133">
        <f t="shared" si="166"/>
        <v>37.577879391993484</v>
      </c>
      <c r="NZ64" s="133">
        <f t="shared" si="167"/>
        <v>41.251525081999112</v>
      </c>
      <c r="OA64" s="81"/>
      <c r="OB64" s="81">
        <v>62</v>
      </c>
      <c r="OC64" s="133">
        <v>14.446917744367086</v>
      </c>
      <c r="OD64" s="133">
        <v>15.764463500028933</v>
      </c>
      <c r="OE64" s="133">
        <v>16.993337210110948</v>
      </c>
      <c r="OF64" s="133">
        <v>18.529505297063089</v>
      </c>
      <c r="OG64" s="133">
        <v>21.407329895891579</v>
      </c>
      <c r="OH64" s="134">
        <v>25.144666057592623</v>
      </c>
      <c r="OI64" s="133">
        <v>29.534474136785768</v>
      </c>
      <c r="OJ64" s="133">
        <v>34.121484681410379</v>
      </c>
      <c r="OK64" s="133">
        <v>37.206007468130665</v>
      </c>
      <c r="OL64" s="133">
        <v>40.106295475687467</v>
      </c>
      <c r="OM64" s="133">
        <v>43.763953137642076</v>
      </c>
      <c r="ON64" s="81"/>
      <c r="OO64" s="81">
        <v>62</v>
      </c>
      <c r="OP64" s="133">
        <v>14.732738074898498</v>
      </c>
      <c r="OQ64" s="133">
        <v>15.777032090142779</v>
      </c>
      <c r="OR64" s="133">
        <v>16.734197728207754</v>
      </c>
      <c r="OS64" s="133">
        <v>17.910039789738626</v>
      </c>
      <c r="OT64" s="133">
        <v>25.330310117544133</v>
      </c>
      <c r="OU64" s="134">
        <v>22.757717517316994</v>
      </c>
      <c r="OV64" s="133">
        <v>25.820435183101559</v>
      </c>
      <c r="OW64" s="133">
        <v>28.917507313117753</v>
      </c>
      <c r="OX64" s="133">
        <v>30.949419566435701</v>
      </c>
      <c r="OY64" s="133">
        <v>32.827068084724267</v>
      </c>
      <c r="OZ64" s="133">
        <v>35.15393431723416</v>
      </c>
      <c r="PA64" s="81"/>
      <c r="PB64" s="81">
        <v>64</v>
      </c>
      <c r="PC64" s="133">
        <v>15.133217435030991</v>
      </c>
      <c r="PD64" s="133">
        <v>16.468084642615896</v>
      </c>
      <c r="PE64" s="133">
        <v>17.709945892079432</v>
      </c>
      <c r="PF64" s="133">
        <v>19.258401433678959</v>
      </c>
      <c r="PG64" s="133">
        <v>22.148630594483166</v>
      </c>
      <c r="PH64" s="134">
        <v>25.884050648024175</v>
      </c>
      <c r="PI64" s="133">
        <v>30.249458317136877</v>
      </c>
      <c r="PJ64" s="133">
        <v>34.789184359705864</v>
      </c>
      <c r="PK64" s="133">
        <v>37.830950022784862</v>
      </c>
      <c r="PL64" s="133">
        <v>40.683788824822081</v>
      </c>
      <c r="PM64" s="133">
        <v>44.272414694747894</v>
      </c>
      <c r="PN64" s="81"/>
      <c r="PO64" s="81">
        <v>62</v>
      </c>
      <c r="PP64" s="133">
        <v>10.032351555898488</v>
      </c>
      <c r="PQ64" s="133">
        <v>10.889006764647476</v>
      </c>
      <c r="PR64" s="133">
        <v>11.68405892400645</v>
      </c>
      <c r="PS64" s="133">
        <v>12.673014169002069</v>
      </c>
      <c r="PT64" s="133">
        <v>14.512542801791822</v>
      </c>
      <c r="PU64" s="134">
        <v>16.879218480770405</v>
      </c>
      <c r="PV64" s="133">
        <v>19.631846769568494</v>
      </c>
      <c r="PW64" s="133">
        <v>22.481472262412552</v>
      </c>
      <c r="PX64" s="133">
        <v>24.38433581811196</v>
      </c>
      <c r="PY64" s="133">
        <v>26.164738683657607</v>
      </c>
      <c r="PZ64" s="133">
        <v>28.398926705680537</v>
      </c>
      <c r="QA64" s="81"/>
      <c r="QB64" s="81">
        <v>62</v>
      </c>
      <c r="QC64" s="133">
        <v>10.106563010219363</v>
      </c>
      <c r="QD64" s="133">
        <v>10.957672449194272</v>
      </c>
      <c r="QE64" s="133">
        <v>11.74678333898019</v>
      </c>
      <c r="QF64" s="133">
        <v>12.727362123808131</v>
      </c>
      <c r="QG64" s="133">
        <v>14.548673250001233</v>
      </c>
      <c r="QH64" s="134">
        <v>16.887462055268085</v>
      </c>
      <c r="QI64" s="133">
        <v>19.602225561571057</v>
      </c>
      <c r="QJ64" s="133">
        <v>22.4073434772978</v>
      </c>
      <c r="QK64" s="133">
        <v>24.27782708154367</v>
      </c>
      <c r="QL64" s="133">
        <v>26.026181745292934</v>
      </c>
      <c r="QM64" s="133">
        <v>28.217938618672825</v>
      </c>
      <c r="QN64" s="81"/>
      <c r="QO64" s="81">
        <v>64</v>
      </c>
      <c r="QP64" s="133">
        <v>9.3764097361482968</v>
      </c>
      <c r="QQ64" s="133">
        <v>10.252401170413016</v>
      </c>
      <c r="QR64" s="133">
        <v>11.070984325392633</v>
      </c>
      <c r="QS64" s="133">
        <v>12.096200014633167</v>
      </c>
      <c r="QT64" s="133">
        <v>14.022052405541812</v>
      </c>
      <c r="QU64" s="134">
        <v>16.532048123823824</v>
      </c>
      <c r="QV64" s="133">
        <v>19.491341728291463</v>
      </c>
      <c r="QW64" s="133">
        <v>22.59458464954254</v>
      </c>
      <c r="QX64" s="133">
        <v>24.686930008703982</v>
      </c>
      <c r="QY64" s="133">
        <v>26.658010218831166</v>
      </c>
      <c r="QZ64" s="133">
        <v>29.148535831871435</v>
      </c>
      <c r="RA64" s="81"/>
      <c r="RB64" s="81">
        <v>62</v>
      </c>
      <c r="RC64" s="133">
        <f t="shared" si="168"/>
        <v>0.38610916836227621</v>
      </c>
      <c r="RD64" s="133">
        <f t="shared" si="169"/>
        <v>0.42109053843613836</v>
      </c>
      <c r="RE64" s="133">
        <f t="shared" si="170"/>
        <v>0.45412671863268045</v>
      </c>
      <c r="RF64" s="133">
        <f t="shared" si="411"/>
        <v>0.49599222750454003</v>
      </c>
      <c r="RG64" s="133">
        <f t="shared" si="412"/>
        <v>0.57615999776341487</v>
      </c>
      <c r="RH64" s="134">
        <f t="shared" si="413"/>
        <v>0.68372578444992138</v>
      </c>
      <c r="RI64" s="133">
        <f t="shared" si="414"/>
        <v>0.81514260831785279</v>
      </c>
      <c r="RJ64" s="133">
        <f t="shared" si="171"/>
        <v>0.95838595185441389</v>
      </c>
      <c r="RK64" s="133">
        <f t="shared" si="172"/>
        <v>1.0581379890126761</v>
      </c>
      <c r="RL64" s="133">
        <f t="shared" si="173"/>
        <v>1.1544589067822026</v>
      </c>
      <c r="RM64" s="133">
        <f t="shared" si="174"/>
        <v>1.2794377892419495</v>
      </c>
      <c r="RN64" s="81"/>
      <c r="RO64" s="81">
        <v>62</v>
      </c>
      <c r="RP64" s="133">
        <f t="shared" si="175"/>
        <v>0.42571951322326068</v>
      </c>
      <c r="RQ64" s="133">
        <f t="shared" si="176"/>
        <v>0.46471567541817976</v>
      </c>
      <c r="RR64" s="133">
        <f t="shared" si="177"/>
        <v>0.50177372633348993</v>
      </c>
      <c r="RS64" s="133">
        <f t="shared" si="415"/>
        <v>0.54905933311773925</v>
      </c>
      <c r="RT64" s="133">
        <f t="shared" si="416"/>
        <v>0.64061626386097814</v>
      </c>
      <c r="RU64" s="134">
        <f t="shared" si="417"/>
        <v>0.76553702141682622</v>
      </c>
      <c r="RV64" s="133">
        <f t="shared" si="418"/>
        <v>0.92133207438902398</v>
      </c>
      <c r="RW64" s="133">
        <f t="shared" si="178"/>
        <v>1.0950335765017405</v>
      </c>
      <c r="RX64" s="133">
        <f t="shared" si="179"/>
        <v>1.2183336563097633</v>
      </c>
      <c r="RY64" s="133">
        <f t="shared" si="180"/>
        <v>1.3391754698774081</v>
      </c>
      <c r="RZ64" s="133">
        <f t="shared" si="181"/>
        <v>1.4985318438752671</v>
      </c>
      <c r="SA64" s="81"/>
      <c r="SB64" s="81">
        <v>64</v>
      </c>
      <c r="SC64" s="133">
        <f t="shared" si="182"/>
        <v>0.39266243387924898</v>
      </c>
      <c r="SD64" s="133">
        <f t="shared" si="183"/>
        <v>0.42386866874703372</v>
      </c>
      <c r="SE64" s="133">
        <f t="shared" si="184"/>
        <v>0.45271181394890958</v>
      </c>
      <c r="SF64" s="133">
        <f t="shared" si="419"/>
        <v>0.48844456945344522</v>
      </c>
      <c r="SG64" s="133">
        <f t="shared" si="420"/>
        <v>0.55453227698650731</v>
      </c>
      <c r="SH64" s="134">
        <f t="shared" si="421"/>
        <v>0.63894133233324857</v>
      </c>
      <c r="SI64" s="133">
        <f t="shared" si="422"/>
        <v>0.73639136574165542</v>
      </c>
      <c r="SJ64" s="133">
        <f t="shared" si="185"/>
        <v>0.836595243889522</v>
      </c>
      <c r="SK64" s="133">
        <f t="shared" si="186"/>
        <v>0.90317815454840422</v>
      </c>
      <c r="SL64" s="133">
        <f t="shared" si="187"/>
        <v>0.96526513068152131</v>
      </c>
      <c r="SM64" s="133">
        <f t="shared" si="188"/>
        <v>1.0429161651252385</v>
      </c>
      <c r="SN64" s="81"/>
      <c r="SO64" s="81">
        <v>62</v>
      </c>
      <c r="SP64" s="133">
        <f t="shared" si="189"/>
        <v>0.27948041807892898</v>
      </c>
      <c r="SQ64" s="133">
        <f t="shared" si="190"/>
        <v>0.29705601627493822</v>
      </c>
      <c r="SR64" s="133">
        <f t="shared" si="191"/>
        <v>0.31282119768142375</v>
      </c>
      <c r="SS64" s="133">
        <f t="shared" si="423"/>
        <v>0.33176391993798393</v>
      </c>
      <c r="ST64" s="133">
        <f t="shared" si="424"/>
        <v>0.36525419984571472</v>
      </c>
      <c r="SU64" s="134">
        <f t="shared" si="425"/>
        <v>0.40549007826087075</v>
      </c>
      <c r="SV64" s="133">
        <f t="shared" si="426"/>
        <v>0.44894810755407843</v>
      </c>
      <c r="SW64" s="133">
        <f t="shared" si="192"/>
        <v>0.49081700425627928</v>
      </c>
      <c r="SX64" s="133">
        <f t="shared" si="193"/>
        <v>0.51727402052765648</v>
      </c>
      <c r="SY64" s="133">
        <f t="shared" si="194"/>
        <v>0.54107172427472661</v>
      </c>
      <c r="SZ64" s="133">
        <f t="shared" si="195"/>
        <v>0.56975947066082699</v>
      </c>
      <c r="TA64" s="81"/>
      <c r="TB64" s="81">
        <v>62</v>
      </c>
      <c r="TC64" s="133">
        <f t="shared" si="196"/>
        <v>0.29956241418233959</v>
      </c>
      <c r="TD64" s="133">
        <f t="shared" si="197"/>
        <v>0.31797631705589818</v>
      </c>
      <c r="TE64" s="133">
        <f t="shared" si="198"/>
        <v>0.33455189031609861</v>
      </c>
      <c r="TF64" s="133">
        <f t="shared" si="427"/>
        <v>0.35454183438834075</v>
      </c>
      <c r="TG64" s="133">
        <f t="shared" si="428"/>
        <v>0.39008023289405858</v>
      </c>
      <c r="TH64" s="134">
        <f t="shared" si="429"/>
        <v>0.43310779899640295</v>
      </c>
      <c r="TI64" s="133">
        <f t="shared" si="430"/>
        <v>0.47998260966194883</v>
      </c>
      <c r="TJ64" s="133">
        <f t="shared" si="199"/>
        <v>0.52553131749590187</v>
      </c>
      <c r="TK64" s="133">
        <f t="shared" si="200"/>
        <v>0.55450659648971568</v>
      </c>
      <c r="TL64" s="133">
        <f t="shared" si="201"/>
        <v>0.58069519434198713</v>
      </c>
      <c r="TM64" s="133">
        <f t="shared" si="202"/>
        <v>0.61242132786948544</v>
      </c>
      <c r="TN64" s="81"/>
      <c r="TO64" s="81">
        <v>64</v>
      </c>
      <c r="TP64" s="133">
        <f t="shared" si="203"/>
        <v>0.28294064911785044</v>
      </c>
      <c r="TQ64" s="133">
        <f t="shared" si="204"/>
        <v>0.2984338182902983</v>
      </c>
      <c r="TR64" s="133">
        <f t="shared" si="205"/>
        <v>0.31213183693458074</v>
      </c>
      <c r="TS64" s="133">
        <f t="shared" si="431"/>
        <v>0.3283556416649806</v>
      </c>
      <c r="TT64" s="133">
        <f t="shared" si="432"/>
        <v>0.35645451524683208</v>
      </c>
      <c r="TU64" s="134">
        <f t="shared" si="433"/>
        <v>0.38931223523871961</v>
      </c>
      <c r="TV64" s="133">
        <f t="shared" si="434"/>
        <v>0.42380981394940703</v>
      </c>
      <c r="TW64" s="133">
        <f t="shared" si="206"/>
        <v>0.45617084751770104</v>
      </c>
      <c r="TX64" s="133">
        <f t="shared" si="207"/>
        <v>0.47621468798762484</v>
      </c>
      <c r="TY64" s="133">
        <f t="shared" si="208"/>
        <v>0.49399363744056957</v>
      </c>
      <c r="TZ64" s="133">
        <f t="shared" si="209"/>
        <v>0.51512799567707457</v>
      </c>
      <c r="UA64" s="81"/>
      <c r="UB64" s="81">
        <v>62</v>
      </c>
      <c r="UC64" s="133">
        <f t="shared" si="210"/>
        <v>-11.032438185290786</v>
      </c>
      <c r="UD64" s="133">
        <f t="shared" si="211"/>
        <v>-8.002165193110919</v>
      </c>
      <c r="UE64" s="133">
        <f t="shared" si="212"/>
        <v>-5.4501125986556858</v>
      </c>
      <c r="UF64" s="133">
        <f t="shared" si="435"/>
        <v>-2.5645053249374712</v>
      </c>
      <c r="UG64" s="133">
        <f t="shared" si="436"/>
        <v>2.1271190451200113</v>
      </c>
      <c r="UH64" s="134">
        <f t="shared" si="437"/>
        <v>7.1969021463775817</v>
      </c>
      <c r="UI64" s="133">
        <f t="shared" si="438"/>
        <v>12.119264428159681</v>
      </c>
      <c r="UJ64" s="133">
        <f t="shared" si="213"/>
        <v>16.424236672972199</v>
      </c>
      <c r="UK64" s="133">
        <f t="shared" si="214"/>
        <v>18.958892234067534</v>
      </c>
      <c r="UL64" s="133">
        <f t="shared" si="215"/>
        <v>21.131250227030634</v>
      </c>
      <c r="UM64" s="133">
        <f t="shared" si="216"/>
        <v>23.628193612500979</v>
      </c>
      <c r="UN64" s="81"/>
      <c r="UO64" s="81">
        <v>62</v>
      </c>
      <c r="UP64" s="133">
        <f t="shared" si="217"/>
        <v>-6.9706041611314262</v>
      </c>
      <c r="UQ64" s="133">
        <f t="shared" si="218"/>
        <v>-4.3514251160383814</v>
      </c>
      <c r="UR64" s="133">
        <f t="shared" si="219"/>
        <v>-2.1025049409221594</v>
      </c>
      <c r="US64" s="133">
        <f t="shared" si="439"/>
        <v>0.48643916673435683</v>
      </c>
      <c r="UT64" s="133">
        <f t="shared" si="440"/>
        <v>4.796751347868927</v>
      </c>
      <c r="UU64" s="134">
        <f t="shared" si="441"/>
        <v>9.5897474581090805</v>
      </c>
      <c r="UV64" s="133">
        <f t="shared" si="442"/>
        <v>14.372204627982569</v>
      </c>
      <c r="UW64" s="133">
        <f t="shared" si="220"/>
        <v>18.654905655400405</v>
      </c>
      <c r="UX64" s="133">
        <f t="shared" si="221"/>
        <v>21.218825028629354</v>
      </c>
      <c r="UY64" s="133">
        <f t="shared" si="222"/>
        <v>23.440709496603183</v>
      </c>
      <c r="UZ64" s="133">
        <f t="shared" si="223"/>
        <v>26.021978623359004</v>
      </c>
      <c r="VA64" s="81"/>
      <c r="VB64" s="81">
        <v>65</v>
      </c>
      <c r="VC64" s="133">
        <f t="shared" si="224"/>
        <v>-10.929833195568477</v>
      </c>
      <c r="VD64" s="133">
        <f t="shared" si="225"/>
        <v>-8.058503257095353</v>
      </c>
      <c r="VE64" s="133">
        <f t="shared" si="226"/>
        <v>-5.6624914687767074</v>
      </c>
      <c r="VF64" s="133">
        <f t="shared" si="443"/>
        <v>-2.975903708504184</v>
      </c>
      <c r="VG64" s="133">
        <f t="shared" si="444"/>
        <v>1.3452246049770764</v>
      </c>
      <c r="VH64" s="134">
        <f t="shared" si="445"/>
        <v>5.9555466578500642</v>
      </c>
      <c r="VI64" s="133">
        <f t="shared" si="446"/>
        <v>10.379015552303017</v>
      </c>
      <c r="VJ64" s="133">
        <f t="shared" si="227"/>
        <v>14.208908842439072</v>
      </c>
      <c r="VK64" s="133">
        <f t="shared" si="228"/>
        <v>16.448127262475822</v>
      </c>
      <c r="VL64" s="133">
        <f t="shared" si="229"/>
        <v>18.358481014590367</v>
      </c>
      <c r="VM64" s="133">
        <f t="shared" si="230"/>
        <v>20.54463931021975</v>
      </c>
      <c r="VN64" s="81"/>
      <c r="VO64" s="81">
        <v>62</v>
      </c>
      <c r="VP64" s="133">
        <f t="shared" si="231"/>
        <v>-19.632827129689524</v>
      </c>
      <c r="VQ64" s="133">
        <f t="shared" si="232"/>
        <v>-14.803740050955497</v>
      </c>
      <c r="VR64" s="133">
        <f t="shared" si="233"/>
        <v>-10.447337764716771</v>
      </c>
      <c r="VS64" s="133">
        <f t="shared" si="447"/>
        <v>-5.1960155538513106</v>
      </c>
      <c r="VT64" s="133">
        <f t="shared" si="448"/>
        <v>4.0972807032817684</v>
      </c>
      <c r="VU64" s="134">
        <f t="shared" si="449"/>
        <v>15.220997787802652</v>
      </c>
      <c r="VV64" s="133">
        <f t="shared" si="450"/>
        <v>27.129182577696461</v>
      </c>
      <c r="VW64" s="133">
        <f t="shared" si="234"/>
        <v>38.463704592557058</v>
      </c>
      <c r="VX64" s="133">
        <f t="shared" si="235"/>
        <v>45.547389713925035</v>
      </c>
      <c r="VY64" s="133">
        <f t="shared" si="236"/>
        <v>51.864356456733724</v>
      </c>
      <c r="VZ64" s="133">
        <f t="shared" si="237"/>
        <v>59.408891143371541</v>
      </c>
      <c r="WA64" s="81"/>
      <c r="WB64" s="81">
        <v>62</v>
      </c>
      <c r="WC64" s="133">
        <f t="shared" si="238"/>
        <v>-13.225732701548118</v>
      </c>
      <c r="WD64" s="133">
        <f t="shared" si="239"/>
        <v>-8.459663926161987</v>
      </c>
      <c r="WE64" s="133">
        <f t="shared" si="240"/>
        <v>-4.1636544161280398</v>
      </c>
      <c r="WF64" s="133">
        <f t="shared" si="451"/>
        <v>1.0112563026447319</v>
      </c>
      <c r="WG64" s="133">
        <f t="shared" si="452"/>
        <v>10.161755145172677</v>
      </c>
      <c r="WH64" s="134">
        <f t="shared" si="453"/>
        <v>21.105090194987291</v>
      </c>
      <c r="WI64" s="133">
        <f t="shared" si="454"/>
        <v>32.81198933959336</v>
      </c>
      <c r="WJ64" s="133">
        <f t="shared" si="241"/>
        <v>43.949196047392583</v>
      </c>
      <c r="WK64" s="133">
        <f t="shared" si="242"/>
        <v>50.90737255702421</v>
      </c>
      <c r="WL64" s="133">
        <f t="shared" si="243"/>
        <v>57.111245013032551</v>
      </c>
      <c r="WM64" s="133">
        <f t="shared" si="244"/>
        <v>64.519470573277687</v>
      </c>
      <c r="WN64" s="81"/>
      <c r="WO64" s="81">
        <v>65</v>
      </c>
      <c r="WP64" s="133">
        <f t="shared" si="245"/>
        <v>-21.088755822458545</v>
      </c>
      <c r="WQ64" s="133">
        <f t="shared" si="246"/>
        <v>-16.379950694692717</v>
      </c>
      <c r="WR64" s="133">
        <f t="shared" si="247"/>
        <v>-12.169195159402761</v>
      </c>
      <c r="WS64" s="133">
        <f t="shared" si="455"/>
        <v>-7.1366095658677366</v>
      </c>
      <c r="WT64" s="133">
        <f t="shared" si="456"/>
        <v>1.6648914351848774</v>
      </c>
      <c r="WU64" s="134">
        <f t="shared" si="457"/>
        <v>12.044598293484135</v>
      </c>
      <c r="WV64" s="133">
        <f t="shared" si="458"/>
        <v>22.993481542987801</v>
      </c>
      <c r="WW64" s="133">
        <f t="shared" si="248"/>
        <v>33.278203915375279</v>
      </c>
      <c r="WX64" s="133">
        <f t="shared" si="249"/>
        <v>39.645001128717162</v>
      </c>
      <c r="WY64" s="133">
        <f t="shared" si="250"/>
        <v>45.28628166119487</v>
      </c>
      <c r="WZ64" s="133">
        <f t="shared" si="251"/>
        <v>51.98163002546881</v>
      </c>
      <c r="XA64" s="81"/>
      <c r="XB64" s="81">
        <v>62</v>
      </c>
      <c r="XC64" s="133">
        <f t="shared" si="252"/>
        <v>-25.038742018325383</v>
      </c>
      <c r="XD64" s="133">
        <f t="shared" si="253"/>
        <v>-19.907196365878193</v>
      </c>
      <c r="XE64" s="133">
        <f t="shared" si="254"/>
        <v>-15.349824061698733</v>
      </c>
      <c r="XF64" s="133">
        <f t="shared" si="459"/>
        <v>-9.9412975823293479</v>
      </c>
      <c r="XG64" s="133">
        <f t="shared" si="460"/>
        <v>-0.5783258460988705</v>
      </c>
      <c r="XH64" s="134">
        <f t="shared" si="461"/>
        <v>10.317854559185754</v>
      </c>
      <c r="XI64" s="133">
        <f t="shared" si="462"/>
        <v>21.65697059547896</v>
      </c>
      <c r="XJ64" s="133">
        <f t="shared" si="255"/>
        <v>32.17802481122245</v>
      </c>
      <c r="XK64" s="133">
        <f t="shared" si="256"/>
        <v>38.633192343729696</v>
      </c>
      <c r="XL64" s="133">
        <f t="shared" si="257"/>
        <v>44.318161509251659</v>
      </c>
      <c r="XM64" s="133">
        <f t="shared" si="258"/>
        <v>51.025362515271958</v>
      </c>
      <c r="XN64" s="81"/>
      <c r="XO64" s="81">
        <v>62</v>
      </c>
      <c r="XP64" s="133">
        <f t="shared" si="259"/>
        <v>-13.831391723879491</v>
      </c>
      <c r="XQ64" s="133">
        <f t="shared" si="260"/>
        <v>-9.2513090606589827</v>
      </c>
      <c r="XR64" s="133">
        <f t="shared" si="261"/>
        <v>-5.2246269880979952</v>
      </c>
      <c r="XS64" s="133">
        <f t="shared" si="463"/>
        <v>-0.48713032407783174</v>
      </c>
      <c r="XT64" s="133">
        <f t="shared" si="464"/>
        <v>7.6283685670754195</v>
      </c>
      <c r="XU64" s="134">
        <f t="shared" si="465"/>
        <v>16.96471405314319</v>
      </c>
      <c r="XV64" s="133">
        <f t="shared" si="466"/>
        <v>26.584274848347</v>
      </c>
      <c r="XW64" s="133">
        <f t="shared" si="262"/>
        <v>35.439185481292689</v>
      </c>
      <c r="XX64" s="133">
        <f t="shared" si="263"/>
        <v>40.843548477078066</v>
      </c>
      <c r="XY64" s="133">
        <f t="shared" si="264"/>
        <v>45.587115356965988</v>
      </c>
      <c r="XZ64" s="133">
        <f t="shared" si="265"/>
        <v>51.166049387324925</v>
      </c>
      <c r="YA64" s="81"/>
      <c r="YB64" s="81">
        <v>65</v>
      </c>
      <c r="YC64" s="133">
        <f t="shared" si="266"/>
        <v>-27.759253384678654</v>
      </c>
      <c r="YD64" s="133">
        <f t="shared" si="267"/>
        <v>-22.769567713086943</v>
      </c>
      <c r="YE64" s="133">
        <f t="shared" si="268"/>
        <v>-18.359486731296201</v>
      </c>
      <c r="YF64" s="133">
        <f t="shared" si="467"/>
        <v>-13.149884310218781</v>
      </c>
      <c r="YG64" s="133">
        <f t="shared" si="468"/>
        <v>-4.1875716651185826</v>
      </c>
      <c r="YH64" s="134">
        <f t="shared" si="469"/>
        <v>6.1626048585775024</v>
      </c>
      <c r="YI64" s="133">
        <f t="shared" si="470"/>
        <v>16.853978472881799</v>
      </c>
      <c r="YJ64" s="133">
        <f t="shared" si="269"/>
        <v>26.710096480233169</v>
      </c>
      <c r="YK64" s="133">
        <f t="shared" si="270"/>
        <v>32.729732479408504</v>
      </c>
      <c r="YL64" s="133">
        <f t="shared" si="271"/>
        <v>38.015014133810432</v>
      </c>
      <c r="YM64" s="133">
        <f t="shared" si="272"/>
        <v>44.232327305600144</v>
      </c>
      <c r="YN64" s="81"/>
      <c r="YO64" s="81">
        <v>62</v>
      </c>
      <c r="YP64" s="133">
        <v>18.130888953658904</v>
      </c>
      <c r="YQ64" s="133">
        <v>20.026551636346611</v>
      </c>
      <c r="YR64" s="133">
        <v>21.814707287471233</v>
      </c>
      <c r="YS64" s="133">
        <v>24.075381606540638</v>
      </c>
      <c r="YT64" s="133">
        <v>28.379898368684966</v>
      </c>
      <c r="YU64" s="134">
        <v>34.090595862055878</v>
      </c>
      <c r="YV64" s="133">
        <v>40.950418889180568</v>
      </c>
      <c r="YW64" s="133">
        <v>48.272079139725506</v>
      </c>
      <c r="YX64" s="133">
        <v>53.274550555050808</v>
      </c>
      <c r="YY64" s="133">
        <v>58.031394886814986</v>
      </c>
      <c r="YZ64" s="133">
        <v>64.098827652655729</v>
      </c>
      <c r="ZA64" s="81"/>
      <c r="ZB64" s="81">
        <v>62</v>
      </c>
      <c r="ZC64" s="133">
        <v>16.522582038521531</v>
      </c>
      <c r="ZD64" s="133">
        <v>18.212880063474525</v>
      </c>
      <c r="ZE64" s="133">
        <v>19.804301084293904</v>
      </c>
      <c r="ZF64" s="133">
        <v>21.81244754984553</v>
      </c>
      <c r="ZG64" s="133">
        <v>25.625708343174669</v>
      </c>
      <c r="ZH64" s="134">
        <v>30.666587222734929</v>
      </c>
      <c r="ZI64" s="133">
        <v>36.699066394396567</v>
      </c>
      <c r="ZJ64" s="133">
        <v>43.114811840373655</v>
      </c>
      <c r="ZK64" s="133">
        <v>47.486632721183909</v>
      </c>
      <c r="ZL64" s="133">
        <v>51.635961397211261</v>
      </c>
      <c r="ZM64" s="133">
        <v>56.918438637316093</v>
      </c>
      <c r="ZN64" s="81"/>
      <c r="ZO64" s="81">
        <v>65</v>
      </c>
      <c r="ZP64" s="133">
        <v>19.787843578638494</v>
      </c>
      <c r="ZQ64" s="133">
        <v>21.75018235755396</v>
      </c>
      <c r="ZR64" s="133">
        <v>23.592856726343946</v>
      </c>
      <c r="ZS64" s="133">
        <v>25.91191633158375</v>
      </c>
      <c r="ZT64" s="133">
        <v>30.298842064527804</v>
      </c>
      <c r="ZU64" s="134">
        <v>36.069181202674542</v>
      </c>
      <c r="ZV64" s="133">
        <v>42.938467082690678</v>
      </c>
      <c r="ZW64" s="133">
        <v>50.208013023166984</v>
      </c>
      <c r="ZX64" s="133">
        <v>55.143209138327094</v>
      </c>
      <c r="ZY64" s="133">
        <v>59.814939077029443</v>
      </c>
      <c r="ZZ64" s="133">
        <v>65.746721084647092</v>
      </c>
      <c r="AAA64" s="81"/>
      <c r="AAB64" s="81">
        <v>62</v>
      </c>
      <c r="AAC64" s="133">
        <v>10.687243890059868</v>
      </c>
      <c r="AAD64" s="133">
        <v>11.809249583524593</v>
      </c>
      <c r="AAE64" s="133">
        <v>12.868007319596053</v>
      </c>
      <c r="AAF64" s="133">
        <v>14.207025738844477</v>
      </c>
      <c r="AAG64" s="133">
        <v>16.757962254358961</v>
      </c>
      <c r="AAH64" s="134">
        <v>20.14454572158855</v>
      </c>
      <c r="AAI64" s="133">
        <v>24.215517147594532</v>
      </c>
      <c r="AAJ64" s="133">
        <v>28.563524117481986</v>
      </c>
      <c r="AAK64" s="133">
        <v>31.53578578644375</v>
      </c>
      <c r="AAL64" s="133">
        <v>34.363125231540351</v>
      </c>
      <c r="AAM64" s="133">
        <v>37.970755276447441</v>
      </c>
      <c r="AAN64" s="81"/>
      <c r="AAO64" s="81">
        <v>62</v>
      </c>
      <c r="AAP64" s="133">
        <v>10.500119593137832</v>
      </c>
      <c r="AAQ64" s="133">
        <v>11.664630334170434</v>
      </c>
      <c r="AAR64" s="133">
        <v>12.768957314095658</v>
      </c>
      <c r="AAS64" s="133">
        <v>14.17254810265945</v>
      </c>
      <c r="AAT64" s="133">
        <v>16.865679727999144</v>
      </c>
      <c r="AAU64" s="134">
        <v>20.474710624817817</v>
      </c>
      <c r="AAV64" s="133">
        <v>24.856026079641495</v>
      </c>
      <c r="AAW64" s="133">
        <v>29.579280460608437</v>
      </c>
      <c r="AAX64" s="133">
        <v>32.830697515705317</v>
      </c>
      <c r="AAY64" s="133">
        <v>35.938882172886395</v>
      </c>
      <c r="AAZ64" s="133">
        <v>39.924666709891326</v>
      </c>
      <c r="ABA64" s="81"/>
      <c r="ABB64" s="81">
        <v>65</v>
      </c>
      <c r="ABC64" s="133">
        <v>10.313587214812022</v>
      </c>
      <c r="ABD64" s="133">
        <v>11.413503636206729</v>
      </c>
      <c r="ABE64" s="133">
        <v>12.452865517932661</v>
      </c>
      <c r="ABF64" s="133">
        <v>13.769188044172113</v>
      </c>
      <c r="ABG64" s="133">
        <v>16.281932780036545</v>
      </c>
      <c r="ABH64" s="134">
        <v>19.626620452356406</v>
      </c>
      <c r="ABI64" s="133">
        <v>23.658384762106248</v>
      </c>
      <c r="ABJ64" s="133">
        <v>27.975813035968706</v>
      </c>
      <c r="ABK64" s="133">
        <v>30.932979226840924</v>
      </c>
      <c r="ABL64" s="133">
        <v>33.749867057376001</v>
      </c>
      <c r="ABM64" s="133">
        <v>37.349199881457096</v>
      </c>
      <c r="ABN64" s="81"/>
      <c r="ABO64" s="81">
        <v>62</v>
      </c>
      <c r="ABP64" s="133">
        <f t="shared" si="273"/>
        <v>0.30334381636135765</v>
      </c>
      <c r="ABQ64" s="133">
        <f t="shared" si="274"/>
        <v>0.34118379377543462</v>
      </c>
      <c r="ABR64" s="133">
        <f t="shared" si="275"/>
        <v>0.37638513399751666</v>
      </c>
      <c r="ABS64" s="133">
        <f t="shared" si="471"/>
        <v>0.42017485874641314</v>
      </c>
      <c r="ABT64" s="133">
        <f t="shared" si="472"/>
        <v>0.50132900277357895</v>
      </c>
      <c r="ABU64" s="134">
        <f t="shared" si="473"/>
        <v>0.60463000564851987</v>
      </c>
      <c r="ABV64" s="133">
        <f t="shared" si="474"/>
        <v>0.72264363063753756</v>
      </c>
      <c r="ABW64" s="133">
        <f t="shared" si="276"/>
        <v>0.84207352769221344</v>
      </c>
      <c r="ABX64" s="133">
        <f t="shared" si="277"/>
        <v>0.92021296092689009</v>
      </c>
      <c r="ABY64" s="133">
        <f t="shared" si="278"/>
        <v>0.99215636999847323</v>
      </c>
      <c r="ABZ64" s="133">
        <f t="shared" si="279"/>
        <v>1.0808649572656548</v>
      </c>
      <c r="ACA64" s="81"/>
      <c r="ACB64" s="81">
        <v>62</v>
      </c>
      <c r="ACC64" s="133">
        <f t="shared" si="280"/>
        <v>0.37385823314932842</v>
      </c>
      <c r="ACD64" s="133">
        <f t="shared" si="281"/>
        <v>0.41120454773908038</v>
      </c>
      <c r="ACE64" s="133">
        <f t="shared" si="282"/>
        <v>0.4458443373759895</v>
      </c>
      <c r="ACF64" s="133">
        <f t="shared" si="475"/>
        <v>0.48886572198963812</v>
      </c>
      <c r="ACG64" s="133">
        <f t="shared" si="476"/>
        <v>0.56858063753225008</v>
      </c>
      <c r="ACH64" s="134">
        <f t="shared" si="477"/>
        <v>0.67035094084152214</v>
      </c>
      <c r="ACI64" s="133">
        <f t="shared" si="478"/>
        <v>0.78738972630777904</v>
      </c>
      <c r="ACJ64" s="133">
        <f t="shared" si="283"/>
        <v>0.9069230737253855</v>
      </c>
      <c r="ACK64" s="133">
        <f t="shared" si="284"/>
        <v>0.98579716340377699</v>
      </c>
      <c r="ACL64" s="133">
        <f t="shared" si="285"/>
        <v>1.0589105243587364</v>
      </c>
      <c r="ACM64" s="133">
        <f t="shared" si="286"/>
        <v>1.1497333657627702</v>
      </c>
      <c r="ACN64" s="81"/>
      <c r="ACO64" s="81">
        <v>65</v>
      </c>
      <c r="ACP64" s="133">
        <f t="shared" si="287"/>
        <v>0.28097427912502959</v>
      </c>
      <c r="ACQ64" s="133">
        <f t="shared" si="288"/>
        <v>0.31907476460644424</v>
      </c>
      <c r="ACR64" s="133">
        <f t="shared" si="289"/>
        <v>0.35384586818807967</v>
      </c>
      <c r="ACS64" s="133">
        <f t="shared" si="479"/>
        <v>0.39624165738740913</v>
      </c>
      <c r="ACT64" s="133">
        <f t="shared" si="480"/>
        <v>0.47255306358493848</v>
      </c>
      <c r="ACU64" s="134">
        <f t="shared" si="481"/>
        <v>0.56564812763717176</v>
      </c>
      <c r="ACV64" s="133">
        <f t="shared" si="482"/>
        <v>0.66739969885283035</v>
      </c>
      <c r="ACW64" s="133">
        <f t="shared" si="290"/>
        <v>0.76625548360243179</v>
      </c>
      <c r="ACX64" s="133">
        <f t="shared" si="291"/>
        <v>0.82884439307354052</v>
      </c>
      <c r="ACY64" s="133">
        <f t="shared" si="292"/>
        <v>0.88518647289678942</v>
      </c>
      <c r="ACZ64" s="133">
        <f t="shared" si="293"/>
        <v>0.95310292860237766</v>
      </c>
      <c r="ADA64" s="81"/>
      <c r="ADB64" s="81">
        <v>62</v>
      </c>
      <c r="ADC64" s="133">
        <f t="shared" si="294"/>
        <v>0.23521016087607943</v>
      </c>
      <c r="ADD64" s="133">
        <f t="shared" si="295"/>
        <v>0.25632488994545782</v>
      </c>
      <c r="ADE64" s="133">
        <f t="shared" si="296"/>
        <v>0.27480455946394688</v>
      </c>
      <c r="ADF64" s="133">
        <f t="shared" si="483"/>
        <v>0.29646234149003092</v>
      </c>
      <c r="ADG64" s="133">
        <f t="shared" si="484"/>
        <v>0.33339036777502051</v>
      </c>
      <c r="ADH64" s="134">
        <f t="shared" si="485"/>
        <v>0.37566141348556337</v>
      </c>
      <c r="ADI64" s="133">
        <f t="shared" si="486"/>
        <v>0.41903215967943513</v>
      </c>
      <c r="ADJ64" s="133">
        <f t="shared" si="297"/>
        <v>0.45882688674562466</v>
      </c>
      <c r="ADK64" s="133">
        <f t="shared" si="298"/>
        <v>0.48306455606472781</v>
      </c>
      <c r="ADL64" s="133">
        <f t="shared" si="299"/>
        <v>0.50431155638257485</v>
      </c>
      <c r="ADM64" s="133">
        <f t="shared" si="300"/>
        <v>0.52927121474570904</v>
      </c>
      <c r="ADN64" s="81"/>
      <c r="ADO64" s="81">
        <v>62</v>
      </c>
      <c r="ADP64" s="133">
        <f t="shared" si="301"/>
        <v>0.2738522500518521</v>
      </c>
      <c r="ADQ64" s="133">
        <f t="shared" si="302"/>
        <v>0.29247541201599886</v>
      </c>
      <c r="ADR64" s="133">
        <f t="shared" si="303"/>
        <v>0.30887404476825081</v>
      </c>
      <c r="ADS64" s="133">
        <f t="shared" si="487"/>
        <v>0.32821306188698607</v>
      </c>
      <c r="ADT64" s="133">
        <f t="shared" si="488"/>
        <v>0.36148899706248266</v>
      </c>
      <c r="ADU64" s="134">
        <f t="shared" si="489"/>
        <v>0.40004602268474215</v>
      </c>
      <c r="ADV64" s="133">
        <f t="shared" si="490"/>
        <v>0.44011823093097685</v>
      </c>
      <c r="ADW64" s="133">
        <f t="shared" si="304"/>
        <v>0.47733466667358693</v>
      </c>
      <c r="ADX64" s="133">
        <f t="shared" si="305"/>
        <v>0.5002083711761065</v>
      </c>
      <c r="ADY64" s="133">
        <f t="shared" si="306"/>
        <v>0.52038619375598316</v>
      </c>
      <c r="ADZ64" s="133">
        <f t="shared" si="307"/>
        <v>0.54423874461397792</v>
      </c>
      <c r="AEA64" s="81"/>
      <c r="AEB64" s="81">
        <v>65</v>
      </c>
      <c r="AEC64" s="133">
        <f t="shared" si="308"/>
        <v>0.22229486174900032</v>
      </c>
      <c r="AED64" s="133">
        <f t="shared" si="309"/>
        <v>0.24423155313508543</v>
      </c>
      <c r="AEE64" s="133">
        <f t="shared" si="310"/>
        <v>0.26303511309377048</v>
      </c>
      <c r="AEF64" s="133">
        <f t="shared" si="491"/>
        <v>0.28464808397108649</v>
      </c>
      <c r="AEG64" s="133">
        <f t="shared" si="492"/>
        <v>0.32055904679662928</v>
      </c>
      <c r="AEH64" s="134">
        <f t="shared" si="493"/>
        <v>0.36039669079632614</v>
      </c>
      <c r="AEI64" s="133">
        <f t="shared" si="494"/>
        <v>0.40005858929376398</v>
      </c>
      <c r="AEJ64" s="133">
        <f t="shared" si="311"/>
        <v>0.43550882772188609</v>
      </c>
      <c r="AEK64" s="133">
        <f t="shared" si="312"/>
        <v>0.45670386317946254</v>
      </c>
      <c r="AEL64" s="133">
        <f t="shared" si="313"/>
        <v>0.47505549296106447</v>
      </c>
      <c r="AEM64" s="133">
        <f t="shared" si="314"/>
        <v>0.49635772946032208</v>
      </c>
      <c r="AEN64" s="81"/>
    </row>
    <row r="65" spans="1:820">
      <c r="A65" s="81"/>
      <c r="B65" s="81">
        <v>64</v>
      </c>
      <c r="C65" s="133">
        <f t="shared" si="0"/>
        <v>2.3622490437594776</v>
      </c>
      <c r="D65" s="133">
        <f t="shared" si="1"/>
        <v>2.8574172608894703</v>
      </c>
      <c r="E65" s="133">
        <f t="shared" si="2"/>
        <v>3.3841243399350933</v>
      </c>
      <c r="F65" s="133">
        <f t="shared" si="315"/>
        <v>4.1409056211662305</v>
      </c>
      <c r="G65" s="133">
        <f t="shared" si="316"/>
        <v>5.9015546965077696</v>
      </c>
      <c r="H65" s="134">
        <f t="shared" si="317"/>
        <v>9.0196449537426435</v>
      </c>
      <c r="I65" s="133">
        <f t="shared" si="318"/>
        <v>14.289525335647559</v>
      </c>
      <c r="J65" s="133">
        <f t="shared" si="3"/>
        <v>22.384207999875837</v>
      </c>
      <c r="K65" s="133">
        <f t="shared" si="4"/>
        <v>29.854265773700142</v>
      </c>
      <c r="L65" s="133">
        <f t="shared" si="5"/>
        <v>38.825871190950274</v>
      </c>
      <c r="M65" s="133">
        <f t="shared" si="6"/>
        <v>53.596486832308777</v>
      </c>
      <c r="N65" s="81"/>
      <c r="O65" s="75">
        <v>64</v>
      </c>
      <c r="P65" s="151">
        <f t="shared" si="7"/>
        <v>3.0790031509019444</v>
      </c>
      <c r="Q65" s="151">
        <f t="shared" si="8"/>
        <v>3.5729025886702526</v>
      </c>
      <c r="R65" s="151">
        <f t="shared" si="9"/>
        <v>4.0913592689955474</v>
      </c>
      <c r="S65" s="151">
        <f t="shared" si="319"/>
        <v>4.8301308671876404</v>
      </c>
      <c r="T65" s="151">
        <f t="shared" si="320"/>
        <v>6.548106844027183</v>
      </c>
      <c r="U65" s="134">
        <f t="shared" si="321"/>
        <v>9.6708646569247101</v>
      </c>
      <c r="V65" s="151">
        <f t="shared" si="322"/>
        <v>15.363176154344266</v>
      </c>
      <c r="W65" s="151">
        <f t="shared" si="10"/>
        <v>25.443978081540063</v>
      </c>
      <c r="X65" s="151">
        <f t="shared" si="11"/>
        <v>36.480720198106297</v>
      </c>
      <c r="Y65" s="151">
        <f t="shared" si="12"/>
        <v>52.363581312062877</v>
      </c>
      <c r="Z65" s="151">
        <f t="shared" si="13"/>
        <v>86.284387586311098</v>
      </c>
      <c r="AA65" s="81"/>
      <c r="AB65" s="75">
        <v>66</v>
      </c>
      <c r="AC65" s="151">
        <f t="shared" si="14"/>
        <v>2.1377894716820789</v>
      </c>
      <c r="AD65" s="151">
        <f t="shared" si="15"/>
        <v>2.5676568400642021</v>
      </c>
      <c r="AE65" s="151">
        <f t="shared" si="16"/>
        <v>3.0248182389921152</v>
      </c>
      <c r="AF65" s="151">
        <f t="shared" si="323"/>
        <v>3.6824726901306133</v>
      </c>
      <c r="AG65" s="151">
        <f t="shared" si="324"/>
        <v>5.2199407520826782</v>
      </c>
      <c r="AH65" s="134">
        <f t="shared" si="325"/>
        <v>7.9777144499323169</v>
      </c>
      <c r="AI65" s="151">
        <f t="shared" si="326"/>
        <v>12.751025587061331</v>
      </c>
      <c r="AJ65" s="151">
        <f t="shared" si="17"/>
        <v>20.350474436808359</v>
      </c>
      <c r="AK65" s="151">
        <f t="shared" si="18"/>
        <v>27.62988120324767</v>
      </c>
      <c r="AL65" s="151">
        <f t="shared" si="19"/>
        <v>36.682970469664497</v>
      </c>
      <c r="AM65" s="151">
        <f t="shared" si="20"/>
        <v>52.264041363677158</v>
      </c>
      <c r="AN65" s="81"/>
      <c r="AO65" s="81">
        <v>64</v>
      </c>
      <c r="AP65" s="133">
        <f t="shared" si="21"/>
        <v>2.1643344516442253</v>
      </c>
      <c r="AQ65" s="133">
        <f t="shared" si="22"/>
        <v>5.011307258411235</v>
      </c>
      <c r="AR65" s="133">
        <f t="shared" si="23"/>
        <v>7.7846799104987037</v>
      </c>
      <c r="AS65" s="133">
        <f t="shared" si="327"/>
        <v>11.359323792495154</v>
      </c>
      <c r="AT65" s="133">
        <f t="shared" si="328"/>
        <v>18.23270325737743</v>
      </c>
      <c r="AU65" s="134">
        <f t="shared" si="329"/>
        <v>27.254127398882094</v>
      </c>
      <c r="AV65" s="133">
        <f t="shared" si="330"/>
        <v>37.730999103373648</v>
      </c>
      <c r="AW65" s="133">
        <f t="shared" si="24"/>
        <v>48.385585423200467</v>
      </c>
      <c r="AX65" s="133">
        <f t="shared" si="25"/>
        <v>55.347126753415054</v>
      </c>
      <c r="AY65" s="133">
        <f t="shared" si="26"/>
        <v>61.736472215446121</v>
      </c>
      <c r="AZ65" s="133">
        <f t="shared" si="27"/>
        <v>69.577959090265509</v>
      </c>
      <c r="BA65" s="81"/>
      <c r="BB65" s="81">
        <v>64</v>
      </c>
      <c r="BC65" s="133">
        <f t="shared" si="28"/>
        <v>4.9922331481611559</v>
      </c>
      <c r="BD65" s="133">
        <f t="shared" si="29"/>
        <v>8.3094972352565719</v>
      </c>
      <c r="BE65" s="133">
        <f t="shared" si="30"/>
        <v>11.424916088147008</v>
      </c>
      <c r="BF65" s="133">
        <f t="shared" si="331"/>
        <v>15.30737699541692</v>
      </c>
      <c r="BG65" s="133">
        <f t="shared" si="332"/>
        <v>22.450527942317226</v>
      </c>
      <c r="BH65" s="134">
        <f t="shared" si="333"/>
        <v>31.353112800389862</v>
      </c>
      <c r="BI65" s="133">
        <f t="shared" si="334"/>
        <v>41.204504941711384</v>
      </c>
      <c r="BJ65" s="133">
        <f t="shared" si="31"/>
        <v>50.819924180488186</v>
      </c>
      <c r="BK65" s="133">
        <f t="shared" si="32"/>
        <v>56.926080635210575</v>
      </c>
      <c r="BL65" s="133">
        <f t="shared" si="33"/>
        <v>62.425643490244532</v>
      </c>
      <c r="BM65" s="133">
        <f t="shared" si="34"/>
        <v>69.053897682246713</v>
      </c>
      <c r="BN65" s="81"/>
      <c r="BO65" s="75">
        <v>66</v>
      </c>
      <c r="BP65" s="151">
        <f t="shared" si="35"/>
        <v>5.4971476106785779</v>
      </c>
      <c r="BQ65" s="151">
        <f t="shared" si="36"/>
        <v>7.0571756990984165</v>
      </c>
      <c r="BR65" s="151">
        <f t="shared" si="37"/>
        <v>8.6863338282907279</v>
      </c>
      <c r="BS65" s="151">
        <f t="shared" si="335"/>
        <v>10.952387199792128</v>
      </c>
      <c r="BT65" s="151">
        <f t="shared" si="336"/>
        <v>15.853419869372345</v>
      </c>
      <c r="BU65" s="134">
        <f t="shared" si="337"/>
        <v>23.407542192918534</v>
      </c>
      <c r="BV65" s="151">
        <f t="shared" si="338"/>
        <v>33.834411701733835</v>
      </c>
      <c r="BW65" s="151">
        <f t="shared" si="38"/>
        <v>46.32806685499866</v>
      </c>
      <c r="BX65" s="151">
        <f t="shared" si="39"/>
        <v>55.554367751149563</v>
      </c>
      <c r="BY65" s="151">
        <f t="shared" si="40"/>
        <v>64.781906958917418</v>
      </c>
      <c r="BZ65" s="151">
        <f t="shared" si="41"/>
        <v>77.12352492326292</v>
      </c>
      <c r="CA65" s="81"/>
      <c r="CB65" s="81">
        <v>64</v>
      </c>
      <c r="CC65" s="133">
        <f t="shared" si="42"/>
        <v>-2.7104989998859015</v>
      </c>
      <c r="CD65" s="133">
        <f t="shared" si="43"/>
        <v>0.16371646061697831</v>
      </c>
      <c r="CE65" s="133">
        <f t="shared" si="44"/>
        <v>2.9485958496607845</v>
      </c>
      <c r="CF65" s="133">
        <f t="shared" si="339"/>
        <v>6.4670295174196442</v>
      </c>
      <c r="CG65" s="133">
        <f t="shared" si="340"/>
        <v>12.971218770470081</v>
      </c>
      <c r="CH65" s="134">
        <f t="shared" si="341"/>
        <v>21.029902809780467</v>
      </c>
      <c r="CI65" s="133">
        <f t="shared" si="342"/>
        <v>29.831819626773825</v>
      </c>
      <c r="CJ65" s="133">
        <f t="shared" si="45"/>
        <v>38.294357882082082</v>
      </c>
      <c r="CK65" s="133">
        <f t="shared" si="46"/>
        <v>43.603901753283239</v>
      </c>
      <c r="CL65" s="133">
        <f t="shared" si="47"/>
        <v>48.34497244931061</v>
      </c>
      <c r="CM65" s="133">
        <f t="shared" si="48"/>
        <v>54.00972045030408</v>
      </c>
      <c r="CN65" s="81"/>
      <c r="CO65" s="81">
        <v>64</v>
      </c>
      <c r="CP65" s="133">
        <f t="shared" si="49"/>
        <v>3.2162983387845445</v>
      </c>
      <c r="CQ65" s="133">
        <f t="shared" si="50"/>
        <v>6.0732409420381659</v>
      </c>
      <c r="CR65" s="133">
        <f t="shared" si="51"/>
        <v>8.7087644342644097</v>
      </c>
      <c r="CS65" s="133">
        <f t="shared" si="343"/>
        <v>11.935131946770959</v>
      </c>
      <c r="CT65" s="133">
        <f t="shared" si="344"/>
        <v>17.726434397539158</v>
      </c>
      <c r="CU65" s="134">
        <f t="shared" si="345"/>
        <v>24.728234619570625</v>
      </c>
      <c r="CV65" s="133">
        <f t="shared" si="346"/>
        <v>32.252396956291889</v>
      </c>
      <c r="CW65" s="133">
        <f t="shared" si="52"/>
        <v>39.411664749750891</v>
      </c>
      <c r="CX65" s="133">
        <f t="shared" si="53"/>
        <v>43.877409071849748</v>
      </c>
      <c r="CY65" s="133">
        <f t="shared" si="54"/>
        <v>47.851857808633518</v>
      </c>
      <c r="CZ65" s="133">
        <f t="shared" si="55"/>
        <v>52.587207969826693</v>
      </c>
      <c r="DA65" s="81"/>
      <c r="DB65" s="81">
        <v>66</v>
      </c>
      <c r="DC65" s="133">
        <f t="shared" si="56"/>
        <v>-3.1883746666935942</v>
      </c>
      <c r="DD65" s="133">
        <f t="shared" si="57"/>
        <v>-0.88517339937247996</v>
      </c>
      <c r="DE65" s="133">
        <f t="shared" si="58"/>
        <v>1.4212974675479861</v>
      </c>
      <c r="DF65" s="133">
        <f t="shared" si="347"/>
        <v>4.4264070499944532</v>
      </c>
      <c r="DG65" s="133">
        <f t="shared" si="348"/>
        <v>10.204067207014724</v>
      </c>
      <c r="DH65" s="134">
        <f t="shared" si="349"/>
        <v>17.685970205934993</v>
      </c>
      <c r="DI65" s="133">
        <f t="shared" si="350"/>
        <v>26.186526159680032</v>
      </c>
      <c r="DJ65" s="133">
        <f t="shared" si="59"/>
        <v>34.627579535941422</v>
      </c>
      <c r="DK65" s="133">
        <f t="shared" si="60"/>
        <v>40.040540098113205</v>
      </c>
      <c r="DL65" s="133">
        <f t="shared" si="61"/>
        <v>44.943012171770064</v>
      </c>
      <c r="DM65" s="133">
        <f t="shared" si="62"/>
        <v>50.879936524261637</v>
      </c>
      <c r="DN65" s="81"/>
      <c r="DO65" s="81">
        <v>64</v>
      </c>
      <c r="DP65" s="133">
        <v>13.716089918205466</v>
      </c>
      <c r="DQ65" s="133">
        <v>14.896403094344043</v>
      </c>
      <c r="DR65" s="133">
        <v>15.992460567758734</v>
      </c>
      <c r="DS65" s="133">
        <v>17.356605942955895</v>
      </c>
      <c r="DT65" s="133">
        <v>19.896087527463578</v>
      </c>
      <c r="DU65" s="134">
        <v>23.166804198589713</v>
      </c>
      <c r="DV65" s="133">
        <v>26.975193792998692</v>
      </c>
      <c r="DW65" s="133">
        <v>30.921991231448793</v>
      </c>
      <c r="DX65" s="133">
        <v>33.559614826113666</v>
      </c>
      <c r="DY65" s="133">
        <v>36.028886528961614</v>
      </c>
      <c r="DZ65" s="133">
        <v>39.129286843142324</v>
      </c>
      <c r="EA65" s="81"/>
      <c r="EB65" s="81">
        <v>64</v>
      </c>
      <c r="EC65" s="133">
        <v>13.051535100077945</v>
      </c>
      <c r="ED65" s="133">
        <v>14.228880846494693</v>
      </c>
      <c r="EE65" s="133">
        <v>15.326063896977844</v>
      </c>
      <c r="EF65" s="133">
        <v>16.696454338548595</v>
      </c>
      <c r="EG65" s="133">
        <v>19.26059925070231</v>
      </c>
      <c r="EH65" s="134">
        <v>22.58526475752646</v>
      </c>
      <c r="EI65" s="133">
        <v>26.483816911821521</v>
      </c>
      <c r="EJ65" s="133">
        <v>30.551048373777594</v>
      </c>
      <c r="EK65" s="133">
        <v>33.282791171721037</v>
      </c>
      <c r="EL65" s="133">
        <v>35.849213277601478</v>
      </c>
      <c r="EM65" s="133">
        <v>39.083079519475092</v>
      </c>
      <c r="EN65" s="81"/>
      <c r="EO65" s="81">
        <v>66</v>
      </c>
      <c r="EP65" s="133">
        <v>11.627107002645827</v>
      </c>
      <c r="EQ65" s="133">
        <v>13.02739163395937</v>
      </c>
      <c r="ER65" s="133">
        <v>14.365869625533843</v>
      </c>
      <c r="ES65" s="133">
        <v>16.080601529146019</v>
      </c>
      <c r="ET65" s="133">
        <v>19.408569599953015</v>
      </c>
      <c r="EU65" s="134">
        <v>23.93568357074464</v>
      </c>
      <c r="EV65" s="133">
        <v>29.518762062723145</v>
      </c>
      <c r="EW65" s="133">
        <v>35.62783064802678</v>
      </c>
      <c r="EX65" s="133">
        <v>39.880422343560355</v>
      </c>
      <c r="EY65" s="133">
        <v>43.977870942741447</v>
      </c>
      <c r="EZ65" s="133">
        <v>49.274247486364722</v>
      </c>
      <c r="FA65" s="81"/>
      <c r="FB65" s="81">
        <v>64</v>
      </c>
      <c r="FC65" s="133">
        <v>9.661191484071793</v>
      </c>
      <c r="FD65" s="133">
        <v>10.440967173583157</v>
      </c>
      <c r="FE65" s="133">
        <v>11.161772930641721</v>
      </c>
      <c r="FF65" s="133">
        <v>12.054790213311982</v>
      </c>
      <c r="FG65" s="133">
        <v>13.70632191360634</v>
      </c>
      <c r="FH65" s="134">
        <v>15.815099500353503</v>
      </c>
      <c r="FI65" s="133">
        <v>18.248321743982153</v>
      </c>
      <c r="FJ65" s="133">
        <v>20.74838033513678</v>
      </c>
      <c r="FK65" s="133">
        <v>22.408391011023873</v>
      </c>
      <c r="FL65" s="133">
        <v>23.955383447513093</v>
      </c>
      <c r="FM65" s="133">
        <v>25.888874329677151</v>
      </c>
      <c r="FN65" s="81"/>
      <c r="FO65" s="81">
        <v>64</v>
      </c>
      <c r="FP65" s="133">
        <v>9.60627732918935</v>
      </c>
      <c r="FQ65" s="133">
        <v>10.3535139660839</v>
      </c>
      <c r="FR65" s="133">
        <v>11.042505139250668</v>
      </c>
      <c r="FS65" s="133">
        <v>11.893963478596627</v>
      </c>
      <c r="FT65" s="133">
        <v>13.462952178786727</v>
      </c>
      <c r="FU65" s="134">
        <v>15.456834696192844</v>
      </c>
      <c r="FV65" s="133">
        <v>17.746014072744156</v>
      </c>
      <c r="FW65" s="133">
        <v>20.086974308888692</v>
      </c>
      <c r="FX65" s="133">
        <v>21.63582772320478</v>
      </c>
      <c r="FY65" s="133">
        <v>23.075618539566936</v>
      </c>
      <c r="FZ65" s="133">
        <v>24.870585205725281</v>
      </c>
      <c r="GA65" s="81"/>
      <c r="GB65" s="81">
        <v>66</v>
      </c>
      <c r="GC65" s="133">
        <v>8.1213242634942873</v>
      </c>
      <c r="GD65" s="133">
        <v>9.0520563956452413</v>
      </c>
      <c r="GE65" s="133">
        <v>9.9374129253122749</v>
      </c>
      <c r="GF65" s="133">
        <v>11.06617062701833</v>
      </c>
      <c r="GG65" s="133">
        <v>13.241625545805698</v>
      </c>
      <c r="GH65" s="134">
        <v>16.17398005967927</v>
      </c>
      <c r="GI65" s="133">
        <v>19.75570371371542</v>
      </c>
      <c r="GJ65" s="133">
        <v>23.639399733472885</v>
      </c>
      <c r="GK65" s="133">
        <v>26.324520570597315</v>
      </c>
      <c r="GL65" s="133">
        <v>28.899248915058902</v>
      </c>
      <c r="GM65" s="133">
        <v>32.211203799212363</v>
      </c>
      <c r="GN65" s="81"/>
      <c r="GO65" s="81">
        <v>64</v>
      </c>
      <c r="GP65" s="133">
        <f t="shared" si="63"/>
        <v>0.51611697458422656</v>
      </c>
      <c r="GQ65" s="133">
        <f t="shared" si="64"/>
        <v>0.54792483985695606</v>
      </c>
      <c r="GR65" s="133">
        <f t="shared" si="65"/>
        <v>0.57379276198129181</v>
      </c>
      <c r="GS65" s="133">
        <f t="shared" si="351"/>
        <v>0.60216083702776313</v>
      </c>
      <c r="GT65" s="133">
        <f t="shared" si="352"/>
        <v>0.64782083813470548</v>
      </c>
      <c r="GU65" s="134">
        <f t="shared" si="353"/>
        <v>0.69252532166053504</v>
      </c>
      <c r="GV65" s="133">
        <f t="shared" si="354"/>
        <v>0.73436125094980875</v>
      </c>
      <c r="GW65" s="133">
        <f t="shared" si="66"/>
        <v>0.7718329383792486</v>
      </c>
      <c r="GX65" s="133">
        <f t="shared" si="67"/>
        <v>0.79279193430595185</v>
      </c>
      <c r="GY65" s="133">
        <f t="shared" si="68"/>
        <v>0.81050626770431466</v>
      </c>
      <c r="GZ65" s="133">
        <f t="shared" si="69"/>
        <v>0.83060039488818671</v>
      </c>
      <c r="HA65" s="81"/>
      <c r="HB65" s="81">
        <v>64</v>
      </c>
      <c r="HC65" s="133">
        <f t="shared" si="70"/>
        <v>0.51061512912899087</v>
      </c>
      <c r="HD65" s="133">
        <f t="shared" si="71"/>
        <v>0.54376058246457382</v>
      </c>
      <c r="HE65" s="133">
        <f t="shared" si="72"/>
        <v>0.57067161014820345</v>
      </c>
      <c r="HF65" s="133">
        <f t="shared" si="355"/>
        <v>0.60014586040066975</v>
      </c>
      <c r="HG65" s="133">
        <f t="shared" si="356"/>
        <v>0.64621824507002001</v>
      </c>
      <c r="HH65" s="134">
        <f t="shared" si="357"/>
        <v>0.69384139377166165</v>
      </c>
      <c r="HI65" s="133">
        <f t="shared" si="358"/>
        <v>0.73828482231731618</v>
      </c>
      <c r="HJ65" s="133">
        <f t="shared" si="73"/>
        <v>0.77591389268370103</v>
      </c>
      <c r="HK65" s="133">
        <f t="shared" si="74"/>
        <v>0.79758749253112893</v>
      </c>
      <c r="HL65" s="133">
        <f t="shared" si="75"/>
        <v>0.8159018089092277</v>
      </c>
      <c r="HM65" s="133">
        <f t="shared" si="76"/>
        <v>0.83667265525992951</v>
      </c>
      <c r="HN65" s="81"/>
      <c r="HO65" s="81">
        <v>66</v>
      </c>
      <c r="HP65" s="83">
        <f t="shared" si="77"/>
        <v>0.52070616693853955</v>
      </c>
      <c r="HQ65" s="83">
        <f t="shared" si="78"/>
        <v>0.5516789525477872</v>
      </c>
      <c r="HR65" s="83">
        <f t="shared" si="79"/>
        <v>0.57688805324956205</v>
      </c>
      <c r="HS65" s="83">
        <f t="shared" si="359"/>
        <v>0.60455034868735358</v>
      </c>
      <c r="HT65" s="83">
        <f t="shared" si="360"/>
        <v>0.64787722685362581</v>
      </c>
      <c r="HU65" s="84">
        <f t="shared" si="361"/>
        <v>0.69274706681280029</v>
      </c>
      <c r="HV65" s="83">
        <f t="shared" si="362"/>
        <v>0.73467759473322136</v>
      </c>
      <c r="HW65" s="83">
        <f t="shared" si="80"/>
        <v>0.77021041751887154</v>
      </c>
      <c r="HX65" s="83">
        <f t="shared" si="81"/>
        <v>0.79068666301699397</v>
      </c>
      <c r="HY65" s="83">
        <f t="shared" si="82"/>
        <v>0.80799385695262016</v>
      </c>
      <c r="HZ65" s="83">
        <f t="shared" si="83"/>
        <v>0.82762683674470383</v>
      </c>
      <c r="IA65" s="81"/>
      <c r="IB65" s="81">
        <v>64</v>
      </c>
      <c r="IC65" s="83">
        <f t="shared" si="84"/>
        <v>0.34142234238256935</v>
      </c>
      <c r="ID65" s="83">
        <f t="shared" si="85"/>
        <v>0.35440896867074256</v>
      </c>
      <c r="IE65" s="83">
        <f t="shared" si="86"/>
        <v>0.36466142923710698</v>
      </c>
      <c r="IF65" s="83">
        <f t="shared" si="363"/>
        <v>0.37561811946936419</v>
      </c>
      <c r="IG65" s="83">
        <f t="shared" si="364"/>
        <v>0.39222932288930834</v>
      </c>
      <c r="IH65" s="84">
        <f t="shared" si="365"/>
        <v>0.40880845840972041</v>
      </c>
      <c r="II65" s="83">
        <f t="shared" si="366"/>
        <v>0.42379772810464361</v>
      </c>
      <c r="IJ65" s="83">
        <f t="shared" si="87"/>
        <v>0.43615903008705059</v>
      </c>
      <c r="IK65" s="83">
        <f t="shared" si="88"/>
        <v>0.44315162213532361</v>
      </c>
      <c r="IL65" s="83">
        <f t="shared" si="89"/>
        <v>0.44899166382013367</v>
      </c>
      <c r="IM65" s="83">
        <f t="shared" si="90"/>
        <v>0.45554184507312417</v>
      </c>
      <c r="IN65" s="81"/>
      <c r="IO65" s="81">
        <v>64</v>
      </c>
      <c r="IP65" s="133">
        <f t="shared" si="91"/>
        <v>0.33869303105690929</v>
      </c>
      <c r="IQ65" s="133">
        <f t="shared" si="92"/>
        <v>0.35237529906852905</v>
      </c>
      <c r="IR65" s="133">
        <f t="shared" si="93"/>
        <v>0.36313829409821208</v>
      </c>
      <c r="IS65" s="133">
        <f t="shared" si="367"/>
        <v>0.37460873228118396</v>
      </c>
      <c r="IT65" s="133">
        <f t="shared" si="368"/>
        <v>0.39194633653517874</v>
      </c>
      <c r="IU65" s="134">
        <f t="shared" si="369"/>
        <v>0.40919902725704616</v>
      </c>
      <c r="IV65" s="133">
        <f t="shared" si="370"/>
        <v>0.42476170998251161</v>
      </c>
      <c r="IW65" s="133">
        <f t="shared" si="94"/>
        <v>0.43757500556121948</v>
      </c>
      <c r="IX65" s="133">
        <f t="shared" si="95"/>
        <v>0.44481609728832877</v>
      </c>
      <c r="IY65" s="133">
        <f t="shared" si="96"/>
        <v>0.45086011489578443</v>
      </c>
      <c r="IZ65" s="133">
        <f t="shared" si="97"/>
        <v>0.45763552435705079</v>
      </c>
      <c r="JA65" s="81"/>
      <c r="JB65" s="81">
        <v>66</v>
      </c>
      <c r="JC65" s="133">
        <f t="shared" si="98"/>
        <v>0.34377096663150325</v>
      </c>
      <c r="JD65" s="133">
        <f t="shared" si="99"/>
        <v>0.35628157605009192</v>
      </c>
      <c r="JE65" s="133">
        <f t="shared" si="100"/>
        <v>0.36618037052005586</v>
      </c>
      <c r="JF65" s="133">
        <f t="shared" si="371"/>
        <v>0.3767774832542044</v>
      </c>
      <c r="JG65" s="133">
        <f t="shared" si="372"/>
        <v>0.39287397897827858</v>
      </c>
      <c r="JH65" s="134">
        <f t="shared" si="373"/>
        <v>0.4089693095661196</v>
      </c>
      <c r="JI65" s="133">
        <f t="shared" si="374"/>
        <v>0.42354180749852</v>
      </c>
      <c r="JJ65" s="133">
        <f t="shared" si="101"/>
        <v>0.4355714693371876</v>
      </c>
      <c r="JK65" s="133">
        <f t="shared" si="102"/>
        <v>0.44238057952163312</v>
      </c>
      <c r="JL65" s="133">
        <f t="shared" si="103"/>
        <v>0.44806941301429015</v>
      </c>
      <c r="JM65" s="133">
        <f t="shared" si="104"/>
        <v>0.45445201062344509</v>
      </c>
      <c r="JN65" s="81"/>
      <c r="JO65" s="81">
        <v>63</v>
      </c>
      <c r="JP65" s="133">
        <f t="shared" si="105"/>
        <v>0.63342882825812552</v>
      </c>
      <c r="JQ65" s="133">
        <f t="shared" si="106"/>
        <v>2.0694250483065986</v>
      </c>
      <c r="JR65" s="133">
        <f t="shared" si="107"/>
        <v>3.3172115828426527</v>
      </c>
      <c r="JS65" s="133">
        <f t="shared" si="375"/>
        <v>4.7699247862795744</v>
      </c>
      <c r="JT65" s="133">
        <f t="shared" si="376"/>
        <v>7.2254608900819797</v>
      </c>
      <c r="JU65" s="134">
        <f t="shared" si="377"/>
        <v>10.007323274721617</v>
      </c>
      <c r="JV65" s="133">
        <f t="shared" si="378"/>
        <v>12.833861275547914</v>
      </c>
      <c r="JW65" s="133">
        <f t="shared" si="108"/>
        <v>15.405798174066849</v>
      </c>
      <c r="JX65" s="133">
        <f t="shared" si="109"/>
        <v>16.963190679473595</v>
      </c>
      <c r="JY65" s="133">
        <f t="shared" si="110"/>
        <v>18.32317992376662</v>
      </c>
      <c r="JZ65" s="133">
        <f t="shared" si="111"/>
        <v>19.914924362841251</v>
      </c>
      <c r="KA65" s="81"/>
      <c r="KB65" s="81">
        <v>63</v>
      </c>
      <c r="KC65" s="133">
        <f t="shared" si="112"/>
        <v>2.0879251274921202</v>
      </c>
      <c r="KD65" s="133">
        <f t="shared" si="113"/>
        <v>3.4977843817128154</v>
      </c>
      <c r="KE65" s="133">
        <f t="shared" si="114"/>
        <v>4.7440124115821956</v>
      </c>
      <c r="KF65" s="133">
        <f t="shared" si="379"/>
        <v>6.2182970550020737</v>
      </c>
      <c r="KG65" s="133">
        <f t="shared" si="380"/>
        <v>8.7638224556341857</v>
      </c>
      <c r="KH65" s="134">
        <f t="shared" si="381"/>
        <v>11.722711169483885</v>
      </c>
      <c r="KI65" s="133">
        <f t="shared" si="382"/>
        <v>14.803999455977246</v>
      </c>
      <c r="KJ65" s="133">
        <f t="shared" si="115"/>
        <v>17.668276902832559</v>
      </c>
      <c r="KK65" s="133">
        <f t="shared" si="116"/>
        <v>19.429023668639587</v>
      </c>
      <c r="KL65" s="133">
        <f t="shared" si="117"/>
        <v>20.982101366128255</v>
      </c>
      <c r="KM65" s="133">
        <f t="shared" si="118"/>
        <v>22.817555206292667</v>
      </c>
      <c r="KN65" s="81"/>
      <c r="KO65" s="81">
        <v>65</v>
      </c>
      <c r="KP65" s="133">
        <f t="shared" si="119"/>
        <v>1.3151390085362245</v>
      </c>
      <c r="KQ65" s="133">
        <f t="shared" si="120"/>
        <v>2.5311232681584777</v>
      </c>
      <c r="KR65" s="133">
        <f t="shared" si="121"/>
        <v>3.5739197048653857</v>
      </c>
      <c r="KS65" s="133">
        <f t="shared" si="383"/>
        <v>4.7729183465913003</v>
      </c>
      <c r="KT65" s="133">
        <f t="shared" si="384"/>
        <v>6.7657127343989067</v>
      </c>
      <c r="KU65" s="134">
        <f t="shared" si="385"/>
        <v>8.9768140652553008</v>
      </c>
      <c r="KV65" s="133">
        <f t="shared" si="386"/>
        <v>11.17816375300082</v>
      </c>
      <c r="KW65" s="133">
        <f t="shared" si="122"/>
        <v>13.145508797873045</v>
      </c>
      <c r="KX65" s="133">
        <f t="shared" si="123"/>
        <v>14.321568640625319</v>
      </c>
      <c r="KY65" s="133">
        <f t="shared" si="124"/>
        <v>15.339721907594015</v>
      </c>
      <c r="KZ65" s="133">
        <f t="shared" si="125"/>
        <v>16.521401780891001</v>
      </c>
      <c r="LA65" s="81"/>
      <c r="LB65" s="81">
        <v>63</v>
      </c>
      <c r="LC65" s="133">
        <f t="shared" si="126"/>
        <v>3.5353587514373785</v>
      </c>
      <c r="LD65" s="133">
        <f t="shared" si="127"/>
        <v>7.2309762963170527</v>
      </c>
      <c r="LE65" s="133">
        <f t="shared" si="128"/>
        <v>10.4623021864113</v>
      </c>
      <c r="LF65" s="133">
        <f t="shared" si="387"/>
        <v>14.245735675238016</v>
      </c>
      <c r="LG65" s="133">
        <f t="shared" si="388"/>
        <v>20.688008841593962</v>
      </c>
      <c r="LH65" s="134">
        <f t="shared" si="389"/>
        <v>28.04943415790536</v>
      </c>
      <c r="LI65" s="133">
        <f t="shared" si="390"/>
        <v>35.588780899036472</v>
      </c>
      <c r="LJ65" s="133">
        <f t="shared" si="129"/>
        <v>42.495084809467436</v>
      </c>
      <c r="LK65" s="133">
        <f t="shared" si="130"/>
        <v>46.696406179396185</v>
      </c>
      <c r="LL65" s="133">
        <f t="shared" si="131"/>
        <v>50.376287863387041</v>
      </c>
      <c r="LM65" s="133">
        <f t="shared" si="132"/>
        <v>54.69566968967542</v>
      </c>
      <c r="LN65" s="81"/>
      <c r="LO65" s="81">
        <v>63</v>
      </c>
      <c r="LP65" s="133">
        <f t="shared" si="133"/>
        <v>8.417232253997927</v>
      </c>
      <c r="LQ65" s="133">
        <f t="shared" si="134"/>
        <v>12.195465382571012</v>
      </c>
      <c r="LR65" s="133">
        <f t="shared" si="135"/>
        <v>15.50691000219641</v>
      </c>
      <c r="LS65" s="133">
        <f t="shared" si="391"/>
        <v>19.392828644377961</v>
      </c>
      <c r="LT65" s="133">
        <f t="shared" si="392"/>
        <v>26.029391434941363</v>
      </c>
      <c r="LU65" s="134">
        <f t="shared" si="393"/>
        <v>33.640410244489615</v>
      </c>
      <c r="LV65" s="133">
        <f t="shared" si="394"/>
        <v>41.462683920803087</v>
      </c>
      <c r="LW65" s="133">
        <f t="shared" si="136"/>
        <v>48.650059974074011</v>
      </c>
      <c r="LX65" s="133">
        <f t="shared" si="137"/>
        <v>53.031827255610082</v>
      </c>
      <c r="LY65" s="133">
        <f t="shared" si="138"/>
        <v>56.875303692676681</v>
      </c>
      <c r="LZ65" s="133">
        <f t="shared" si="139"/>
        <v>61.393021688111062</v>
      </c>
      <c r="MA65" s="81"/>
      <c r="MB65" s="81">
        <v>65</v>
      </c>
      <c r="MC65" s="133">
        <f t="shared" si="140"/>
        <v>5.0713133604063643</v>
      </c>
      <c r="MD65" s="133">
        <f t="shared" si="141"/>
        <v>8.0144383005257964</v>
      </c>
      <c r="ME65" s="133">
        <f t="shared" si="142"/>
        <v>10.565263816197017</v>
      </c>
      <c r="MF65" s="133">
        <f t="shared" si="395"/>
        <v>13.527645061732294</v>
      </c>
      <c r="MG65" s="133">
        <f t="shared" si="396"/>
        <v>18.517832678522382</v>
      </c>
      <c r="MH65" s="134">
        <f t="shared" si="397"/>
        <v>24.146719042221413</v>
      </c>
      <c r="MI65" s="133">
        <f t="shared" si="398"/>
        <v>29.841234175054616</v>
      </c>
      <c r="MJ65" s="133">
        <f t="shared" si="143"/>
        <v>35.002576371483819</v>
      </c>
      <c r="MK65" s="133">
        <f t="shared" si="144"/>
        <v>38.119078986765693</v>
      </c>
      <c r="ML65" s="133">
        <f t="shared" si="145"/>
        <v>40.835319388857066</v>
      </c>
      <c r="MM65" s="133">
        <f t="shared" si="146"/>
        <v>44.008436322737403</v>
      </c>
      <c r="MN65" s="81"/>
      <c r="MO65" s="81">
        <v>63</v>
      </c>
      <c r="MP65" s="133">
        <f t="shared" si="147"/>
        <v>-2.6443605674325212</v>
      </c>
      <c r="MQ65" s="133">
        <f t="shared" si="148"/>
        <v>1.4365553382306899</v>
      </c>
      <c r="MR65" s="133">
        <f t="shared" si="149"/>
        <v>4.9575607283392102</v>
      </c>
      <c r="MS65" s="133">
        <f t="shared" si="399"/>
        <v>9.0287926530391758</v>
      </c>
      <c r="MT65" s="133">
        <f t="shared" si="400"/>
        <v>15.845631829422452</v>
      </c>
      <c r="MU65" s="134">
        <f t="shared" si="401"/>
        <v>23.476859832683957</v>
      </c>
      <c r="MV65" s="133">
        <f t="shared" si="402"/>
        <v>31.139105682960555</v>
      </c>
      <c r="MW65" s="133">
        <f t="shared" si="150"/>
        <v>38.037277134024897</v>
      </c>
      <c r="MX65" s="133">
        <f t="shared" si="151"/>
        <v>42.182312847373758</v>
      </c>
      <c r="MY65" s="133">
        <f t="shared" si="152"/>
        <v>45.783156485553015</v>
      </c>
      <c r="MZ65" s="133">
        <f t="shared" si="153"/>
        <v>49.976220137423333</v>
      </c>
      <c r="NA65" s="81"/>
      <c r="NB65" s="81">
        <v>63</v>
      </c>
      <c r="NC65" s="133">
        <f t="shared" si="154"/>
        <v>7.0886377292691627</v>
      </c>
      <c r="ND65" s="133">
        <f t="shared" si="155"/>
        <v>10.575651953694265</v>
      </c>
      <c r="NE65" s="133">
        <f t="shared" si="156"/>
        <v>13.585865600156598</v>
      </c>
      <c r="NF65" s="133">
        <f t="shared" si="403"/>
        <v>17.068360213128084</v>
      </c>
      <c r="NG65" s="133">
        <f t="shared" si="404"/>
        <v>22.903848876133903</v>
      </c>
      <c r="NH65" s="134">
        <f t="shared" si="405"/>
        <v>29.442833506397452</v>
      </c>
      <c r="NI65" s="133">
        <f t="shared" si="406"/>
        <v>36.014801871122444</v>
      </c>
      <c r="NJ65" s="133">
        <f t="shared" si="157"/>
        <v>41.936608204206877</v>
      </c>
      <c r="NK65" s="133">
        <f t="shared" si="158"/>
        <v>45.497210945857319</v>
      </c>
      <c r="NL65" s="133">
        <f t="shared" si="159"/>
        <v>48.591673341154092</v>
      </c>
      <c r="NM65" s="133">
        <f t="shared" si="160"/>
        <v>52.19657670747236</v>
      </c>
      <c r="NN65" s="81"/>
      <c r="NO65" s="81">
        <v>65</v>
      </c>
      <c r="NP65" s="133">
        <f t="shared" si="161"/>
        <v>-4.6111886899124315</v>
      </c>
      <c r="NQ65" s="133">
        <f t="shared" si="162"/>
        <v>-0.9634908915447653</v>
      </c>
      <c r="NR65" s="133">
        <f t="shared" si="163"/>
        <v>2.1752124913148236</v>
      </c>
      <c r="NS65" s="133">
        <f t="shared" si="407"/>
        <v>5.7954966785278828</v>
      </c>
      <c r="NT65" s="133">
        <f t="shared" si="408"/>
        <v>11.838124763238916</v>
      </c>
      <c r="NU65" s="134">
        <f t="shared" si="409"/>
        <v>18.577582359224138</v>
      </c>
      <c r="NV65" s="133">
        <f t="shared" si="410"/>
        <v>25.321138582015557</v>
      </c>
      <c r="NW65" s="133">
        <f t="shared" si="164"/>
        <v>31.374515063066418</v>
      </c>
      <c r="NX65" s="133">
        <f t="shared" si="165"/>
        <v>35.004554357982805</v>
      </c>
      <c r="NY65" s="133">
        <f t="shared" si="166"/>
        <v>38.153812142302591</v>
      </c>
      <c r="NZ65" s="133">
        <f t="shared" si="167"/>
        <v>41.816338365831747</v>
      </c>
      <c r="OA65" s="81"/>
      <c r="OB65" s="81">
        <v>63</v>
      </c>
      <c r="OC65" s="133">
        <v>14.517561714773866</v>
      </c>
      <c r="OD65" s="133">
        <v>15.831575340549085</v>
      </c>
      <c r="OE65" s="133">
        <v>17.056438374988847</v>
      </c>
      <c r="OF65" s="133">
        <v>18.586698557105681</v>
      </c>
      <c r="OG65" s="133">
        <v>21.451044864293586</v>
      </c>
      <c r="OH65" s="134">
        <v>25.166770569026411</v>
      </c>
      <c r="OI65" s="133">
        <v>29.526130073425303</v>
      </c>
      <c r="OJ65" s="133">
        <v>34.076322856803337</v>
      </c>
      <c r="OK65" s="133">
        <v>37.133563698900204</v>
      </c>
      <c r="OL65" s="133">
        <v>40.006526656370461</v>
      </c>
      <c r="OM65" s="133">
        <v>43.627597617130562</v>
      </c>
      <c r="ON65" s="81"/>
      <c r="OO65" s="81">
        <v>63</v>
      </c>
      <c r="OP65" s="133">
        <v>14.958924643296768</v>
      </c>
      <c r="OQ65" s="133">
        <v>16.001123651891831</v>
      </c>
      <c r="OR65" s="133">
        <v>16.955365292622897</v>
      </c>
      <c r="OS65" s="133">
        <v>18.126385315333295</v>
      </c>
      <c r="OT65" s="133">
        <v>25.330751488582258</v>
      </c>
      <c r="OU65" s="134">
        <v>22.941581489236182</v>
      </c>
      <c r="OV65" s="133">
        <v>25.974763437003375</v>
      </c>
      <c r="OW65" s="133">
        <v>29.035913783761842</v>
      </c>
      <c r="OX65" s="133">
        <v>31.041275262660317</v>
      </c>
      <c r="OY65" s="133">
        <v>32.892450097717806</v>
      </c>
      <c r="OZ65" s="133">
        <v>35.184090686833649</v>
      </c>
      <c r="PA65" s="81"/>
      <c r="PB65" s="81">
        <v>65</v>
      </c>
      <c r="PC65" s="133">
        <v>14.926802322191536</v>
      </c>
      <c r="PD65" s="133">
        <v>16.267737216331135</v>
      </c>
      <c r="PE65" s="133">
        <v>17.516973736147946</v>
      </c>
      <c r="PF65" s="133">
        <v>19.076784449039664</v>
      </c>
      <c r="PG65" s="133">
        <v>21.994019715389339</v>
      </c>
      <c r="PH65" s="134">
        <v>25.774229787648885</v>
      </c>
      <c r="PI65" s="133">
        <v>30.204161392185394</v>
      </c>
      <c r="PJ65" s="133">
        <v>34.823002950057905</v>
      </c>
      <c r="PK65" s="133">
        <v>37.923840678921522</v>
      </c>
      <c r="PL65" s="133">
        <v>40.836098611159471</v>
      </c>
      <c r="PM65" s="133">
        <v>44.504570155585341</v>
      </c>
      <c r="PN65" s="81"/>
      <c r="PO65" s="81">
        <v>63</v>
      </c>
      <c r="PP65" s="133">
        <v>10.125654286320492</v>
      </c>
      <c r="PQ65" s="133">
        <v>10.988599541644598</v>
      </c>
      <c r="PR65" s="133">
        <v>11.789375983032096</v>
      </c>
      <c r="PS65" s="133">
        <v>12.785310619622489</v>
      </c>
      <c r="PT65" s="133">
        <v>14.637444118175361</v>
      </c>
      <c r="PU65" s="134">
        <v>17.019699270164473</v>
      </c>
      <c r="PV65" s="133">
        <v>19.789668258214064</v>
      </c>
      <c r="PW65" s="133">
        <v>22.656482260373139</v>
      </c>
      <c r="PX65" s="133">
        <v>24.570440680129806</v>
      </c>
      <c r="PY65" s="133">
        <v>26.360971855334704</v>
      </c>
      <c r="PZ65" s="133">
        <v>28.607550194378494</v>
      </c>
      <c r="QA65" s="81"/>
      <c r="QB65" s="81">
        <v>63</v>
      </c>
      <c r="QC65" s="133">
        <v>10.230229500435064</v>
      </c>
      <c r="QD65" s="133">
        <v>11.089283223586458</v>
      </c>
      <c r="QE65" s="133">
        <v>11.885595048135658</v>
      </c>
      <c r="QF65" s="133">
        <v>12.87491760288983</v>
      </c>
      <c r="QG65" s="133">
        <v>14.711923119590825</v>
      </c>
      <c r="QH65" s="134">
        <v>17.069944437335913</v>
      </c>
      <c r="QI65" s="133">
        <v>19.80590849511178</v>
      </c>
      <c r="QJ65" s="133">
        <v>22.631834399338846</v>
      </c>
      <c r="QK65" s="133">
        <v>24.515642836026196</v>
      </c>
      <c r="QL65" s="133">
        <v>26.276089916612055</v>
      </c>
      <c r="QM65" s="133">
        <v>28.482548028990315</v>
      </c>
      <c r="QN65" s="81"/>
      <c r="QO65" s="81">
        <v>65</v>
      </c>
      <c r="QP65" s="133">
        <v>9.364980297020427</v>
      </c>
      <c r="QQ65" s="133">
        <v>10.247449149635697</v>
      </c>
      <c r="QR65" s="133">
        <v>11.072649137990799</v>
      </c>
      <c r="QS65" s="133">
        <v>12.106858336363617</v>
      </c>
      <c r="QT65" s="133">
        <v>14.051517566355745</v>
      </c>
      <c r="QU65" s="134">
        <v>16.589300880317182</v>
      </c>
      <c r="QV65" s="133">
        <v>19.585422172237777</v>
      </c>
      <c r="QW65" s="133">
        <v>22.731322697573763</v>
      </c>
      <c r="QX65" s="133">
        <v>24.854477033273902</v>
      </c>
      <c r="QY65" s="133">
        <v>26.85594235980923</v>
      </c>
      <c r="QZ65" s="133">
        <v>29.386597191801023</v>
      </c>
      <c r="RA65" s="81"/>
      <c r="RB65" s="81">
        <v>63</v>
      </c>
      <c r="RC65" s="133">
        <f t="shared" si="168"/>
        <v>0.39114229001682804</v>
      </c>
      <c r="RD65" s="133">
        <f t="shared" si="169"/>
        <v>0.42661401297894502</v>
      </c>
      <c r="RE65" s="133">
        <f t="shared" si="170"/>
        <v>0.46011620416590177</v>
      </c>
      <c r="RF65" s="133">
        <f t="shared" si="411"/>
        <v>0.50257607498066781</v>
      </c>
      <c r="RG65" s="133">
        <f t="shared" si="412"/>
        <v>0.58389283330228881</v>
      </c>
      <c r="RH65" s="134">
        <f t="shared" si="413"/>
        <v>0.69302021145916404</v>
      </c>
      <c r="RI65" s="133">
        <f t="shared" si="414"/>
        <v>0.82637181377612112</v>
      </c>
      <c r="RJ65" s="133">
        <f t="shared" si="171"/>
        <v>0.97175328904755853</v>
      </c>
      <c r="RK65" s="133">
        <f t="shared" si="172"/>
        <v>1.0730102383255933</v>
      </c>
      <c r="RL65" s="133">
        <f t="shared" si="173"/>
        <v>1.1707955912787393</v>
      </c>
      <c r="RM65" s="133">
        <f t="shared" si="174"/>
        <v>1.2976898532196943</v>
      </c>
      <c r="RN65" s="81"/>
      <c r="RO65" s="81">
        <v>63</v>
      </c>
      <c r="RP65" s="133">
        <f t="shared" si="175"/>
        <v>0.43122375546609676</v>
      </c>
      <c r="RQ65" s="133">
        <f t="shared" si="176"/>
        <v>0.47090569135791721</v>
      </c>
      <c r="RR65" s="133">
        <f t="shared" si="177"/>
        <v>0.50863212246389289</v>
      </c>
      <c r="RS65" s="133">
        <f t="shared" si="415"/>
        <v>0.5567926808739847</v>
      </c>
      <c r="RT65" s="133">
        <f t="shared" si="416"/>
        <v>0.65010849362940692</v>
      </c>
      <c r="RU65" s="134">
        <f t="shared" si="417"/>
        <v>0.77755231322414875</v>
      </c>
      <c r="RV65" s="133">
        <f t="shared" si="418"/>
        <v>0.93666813448340536</v>
      </c>
      <c r="RW65" s="133">
        <f t="shared" si="178"/>
        <v>1.1142704175806804</v>
      </c>
      <c r="RX65" s="133">
        <f t="shared" si="179"/>
        <v>1.2404521255843777</v>
      </c>
      <c r="RY65" s="133">
        <f t="shared" si="180"/>
        <v>1.3642006417354795</v>
      </c>
      <c r="RZ65" s="133">
        <f t="shared" si="181"/>
        <v>1.527505282414283</v>
      </c>
      <c r="SA65" s="81"/>
      <c r="SB65" s="81">
        <v>65</v>
      </c>
      <c r="SC65" s="133">
        <f t="shared" si="182"/>
        <v>0.39853424464632115</v>
      </c>
      <c r="SD65" s="133">
        <f t="shared" si="183"/>
        <v>0.43003418903206492</v>
      </c>
      <c r="SE65" s="133">
        <f t="shared" si="184"/>
        <v>0.45913778565591945</v>
      </c>
      <c r="SF65" s="133">
        <f t="shared" si="419"/>
        <v>0.49517955024152221</v>
      </c>
      <c r="SG65" s="133">
        <f t="shared" si="420"/>
        <v>0.56180236896582914</v>
      </c>
      <c r="SH65" s="134">
        <f t="shared" si="421"/>
        <v>0.64683364417381151</v>
      </c>
      <c r="SI65" s="133">
        <f t="shared" si="422"/>
        <v>0.74492746969588086</v>
      </c>
      <c r="SJ65" s="133">
        <f t="shared" si="185"/>
        <v>0.84572058265221606</v>
      </c>
      <c r="SK65" s="133">
        <f t="shared" si="186"/>
        <v>0.91265860075286698</v>
      </c>
      <c r="SL65" s="133">
        <f t="shared" si="187"/>
        <v>0.97505272587834313</v>
      </c>
      <c r="SM65" s="133">
        <f t="shared" si="188"/>
        <v>1.0530576254171331</v>
      </c>
      <c r="SN65" s="81"/>
      <c r="SO65" s="81">
        <v>63</v>
      </c>
      <c r="SP65" s="133">
        <f t="shared" si="189"/>
        <v>0.28210919265527484</v>
      </c>
      <c r="SQ65" s="133">
        <f t="shared" si="190"/>
        <v>0.29978346692753122</v>
      </c>
      <c r="SR65" s="133">
        <f t="shared" si="191"/>
        <v>0.31563474882308046</v>
      </c>
      <c r="SS65" s="133">
        <f t="shared" si="423"/>
        <v>0.33467811817666915</v>
      </c>
      <c r="ST65" s="133">
        <f t="shared" si="424"/>
        <v>0.36833946651235527</v>
      </c>
      <c r="SU65" s="134">
        <f t="shared" si="425"/>
        <v>0.40877046036179704</v>
      </c>
      <c r="SV65" s="133">
        <f t="shared" si="426"/>
        <v>0.45242798485643415</v>
      </c>
      <c r="SW65" s="133">
        <f t="shared" si="192"/>
        <v>0.49447931751163254</v>
      </c>
      <c r="SX65" s="133">
        <f t="shared" si="193"/>
        <v>0.52104714966033516</v>
      </c>
      <c r="SY65" s="133">
        <f t="shared" si="194"/>
        <v>0.5449417967319935</v>
      </c>
      <c r="SZ65" s="133">
        <f t="shared" si="195"/>
        <v>0.57374317278747733</v>
      </c>
      <c r="TA65" s="81"/>
      <c r="TB65" s="81">
        <v>63</v>
      </c>
      <c r="TC65" s="133">
        <f t="shared" si="196"/>
        <v>0.30227091986574783</v>
      </c>
      <c r="TD65" s="133">
        <f t="shared" si="197"/>
        <v>0.32084721472133054</v>
      </c>
      <c r="TE65" s="133">
        <f t="shared" si="198"/>
        <v>0.33756880541963791</v>
      </c>
      <c r="TF65" s="133">
        <f t="shared" si="427"/>
        <v>0.35773465324297909</v>
      </c>
      <c r="TG65" s="133">
        <f t="shared" si="428"/>
        <v>0.39358529875737441</v>
      </c>
      <c r="TH65" s="134">
        <f t="shared" si="429"/>
        <v>0.43699017486953973</v>
      </c>
      <c r="TI65" s="133">
        <f t="shared" si="430"/>
        <v>0.48427521486390979</v>
      </c>
      <c r="TJ65" s="133">
        <f t="shared" si="199"/>
        <v>0.53022181979342953</v>
      </c>
      <c r="TK65" s="133">
        <f t="shared" si="200"/>
        <v>0.55944987773510757</v>
      </c>
      <c r="TL65" s="133">
        <f t="shared" si="201"/>
        <v>0.58586673326833039</v>
      </c>
      <c r="TM65" s="133">
        <f t="shared" si="202"/>
        <v>0.61786913714729585</v>
      </c>
      <c r="TN65" s="81"/>
      <c r="TO65" s="81">
        <v>65</v>
      </c>
      <c r="TP65" s="133">
        <f t="shared" si="203"/>
        <v>0.28596885182236642</v>
      </c>
      <c r="TQ65" s="133">
        <f t="shared" si="204"/>
        <v>0.3014619413333598</v>
      </c>
      <c r="TR65" s="133">
        <f t="shared" si="205"/>
        <v>0.31515602868901882</v>
      </c>
      <c r="TS65" s="133">
        <f t="shared" si="431"/>
        <v>0.33137081277066183</v>
      </c>
      <c r="TT65" s="133">
        <f t="shared" si="432"/>
        <v>0.35944378435058322</v>
      </c>
      <c r="TU65" s="134">
        <f t="shared" si="433"/>
        <v>0.39225635442946188</v>
      </c>
      <c r="TV65" s="133">
        <f t="shared" si="434"/>
        <v>0.42669127511891447</v>
      </c>
      <c r="TW65" s="133">
        <f t="shared" si="206"/>
        <v>0.45898090805416886</v>
      </c>
      <c r="TX65" s="133">
        <f t="shared" si="207"/>
        <v>0.47897495720851802</v>
      </c>
      <c r="TY65" s="133">
        <f t="shared" si="208"/>
        <v>0.49670642889120176</v>
      </c>
      <c r="TZ65" s="133">
        <f t="shared" si="209"/>
        <v>0.51778052672385388</v>
      </c>
      <c r="UA65" s="81"/>
      <c r="UB65" s="81">
        <v>63</v>
      </c>
      <c r="UC65" s="133">
        <f t="shared" si="210"/>
        <v>-10.53889965739846</v>
      </c>
      <c r="UD65" s="133">
        <f t="shared" si="211"/>
        <v>-7.5313364000509111</v>
      </c>
      <c r="UE65" s="133">
        <f t="shared" si="212"/>
        <v>-4.9975758936119092</v>
      </c>
      <c r="UF65" s="133">
        <f t="shared" si="435"/>
        <v>-2.1318356057608767</v>
      </c>
      <c r="UG65" s="133">
        <f t="shared" si="436"/>
        <v>2.5291060869177926</v>
      </c>
      <c r="UH65" s="134">
        <f t="shared" si="437"/>
        <v>7.5676602328721856</v>
      </c>
      <c r="UI65" s="133">
        <f t="shared" si="438"/>
        <v>12.461315235464653</v>
      </c>
      <c r="UJ65" s="133">
        <f t="shared" si="213"/>
        <v>16.742295272492271</v>
      </c>
      <c r="UK65" s="133">
        <f t="shared" si="214"/>
        <v>19.263255271386356</v>
      </c>
      <c r="UL65" s="133">
        <f t="shared" si="215"/>
        <v>21.424107456648656</v>
      </c>
      <c r="UM65" s="133">
        <f t="shared" si="216"/>
        <v>23.9080729918511</v>
      </c>
      <c r="UN65" s="81"/>
      <c r="UO65" s="81">
        <v>63</v>
      </c>
      <c r="UP65" s="133">
        <f t="shared" si="217"/>
        <v>-6.4732097425880681</v>
      </c>
      <c r="UQ65" s="133">
        <f t="shared" si="218"/>
        <v>-3.868441090518818</v>
      </c>
      <c r="UR65" s="133">
        <f t="shared" si="219"/>
        <v>-1.63181459339458</v>
      </c>
      <c r="US65" s="133">
        <f t="shared" si="439"/>
        <v>0.94305453831816521</v>
      </c>
      <c r="UT65" s="133">
        <f t="shared" si="440"/>
        <v>5.2300869804937378</v>
      </c>
      <c r="UU65" s="134">
        <f t="shared" si="441"/>
        <v>9.9973792214579191</v>
      </c>
      <c r="UV65" s="133">
        <f t="shared" si="442"/>
        <v>14.754342142000553</v>
      </c>
      <c r="UW65" s="133">
        <f t="shared" si="220"/>
        <v>19.014318895357682</v>
      </c>
      <c r="UX65" s="133">
        <f t="shared" si="221"/>
        <v>21.564674856614673</v>
      </c>
      <c r="UY65" s="133">
        <f t="shared" si="222"/>
        <v>23.774827408845034</v>
      </c>
      <c r="UZ65" s="133">
        <f t="shared" si="223"/>
        <v>26.342490609417503</v>
      </c>
      <c r="VA65" s="81"/>
      <c r="VB65" s="81">
        <v>66</v>
      </c>
      <c r="VC65" s="133">
        <f t="shared" si="224"/>
        <v>-10.426673237055446</v>
      </c>
      <c r="VD65" s="133">
        <f t="shared" si="225"/>
        <v>-7.5876044572705794</v>
      </c>
      <c r="VE65" s="133">
        <f t="shared" si="226"/>
        <v>-5.2171322978504833</v>
      </c>
      <c r="VF65" s="133">
        <f t="shared" si="443"/>
        <v>-2.5578574089095198</v>
      </c>
      <c r="VG65" s="133">
        <f t="shared" si="444"/>
        <v>1.7219065981834234</v>
      </c>
      <c r="VH65" s="134">
        <f t="shared" si="445"/>
        <v>6.2910759143788084</v>
      </c>
      <c r="VI65" s="133">
        <f t="shared" si="446"/>
        <v>10.677494923390043</v>
      </c>
      <c r="VJ65" s="133">
        <f t="shared" si="227"/>
        <v>14.476957377969697</v>
      </c>
      <c r="VK65" s="133">
        <f t="shared" si="228"/>
        <v>16.699011027892411</v>
      </c>
      <c r="VL65" s="133">
        <f t="shared" si="229"/>
        <v>18.595055699583611</v>
      </c>
      <c r="VM65" s="133">
        <f t="shared" si="230"/>
        <v>20.765192431032602</v>
      </c>
      <c r="VN65" s="81"/>
      <c r="VO65" s="81">
        <v>63</v>
      </c>
      <c r="VP65" s="133">
        <f t="shared" si="231"/>
        <v>-18.684659037171876</v>
      </c>
      <c r="VQ65" s="133">
        <f t="shared" si="232"/>
        <v>-13.846134064342309</v>
      </c>
      <c r="VR65" s="133">
        <f t="shared" si="233"/>
        <v>-9.4858028977227633</v>
      </c>
      <c r="VS65" s="133">
        <f t="shared" si="447"/>
        <v>-4.2345731758344343</v>
      </c>
      <c r="VT65" s="133">
        <f t="shared" si="448"/>
        <v>5.0480194518804353</v>
      </c>
      <c r="VU65" s="134">
        <f t="shared" si="449"/>
        <v>16.145016544618962</v>
      </c>
      <c r="VV65" s="133">
        <f t="shared" si="450"/>
        <v>28.01168971468018</v>
      </c>
      <c r="VW65" s="133">
        <f t="shared" si="234"/>
        <v>39.296952676205017</v>
      </c>
      <c r="VX65" s="133">
        <f t="shared" si="235"/>
        <v>46.34585069762165</v>
      </c>
      <c r="VY65" s="133">
        <f t="shared" si="236"/>
        <v>52.629533247649057</v>
      </c>
      <c r="VZ65" s="133">
        <f t="shared" si="237"/>
        <v>60.131803421791467</v>
      </c>
      <c r="WA65" s="81"/>
      <c r="WB65" s="81">
        <v>63</v>
      </c>
      <c r="WC65" s="133">
        <f t="shared" si="238"/>
        <v>-12.132228278225021</v>
      </c>
      <c r="WD65" s="133">
        <f t="shared" si="239"/>
        <v>-7.3589890831046958</v>
      </c>
      <c r="WE65" s="133">
        <f t="shared" si="240"/>
        <v>-3.0617039477193586</v>
      </c>
      <c r="WF65" s="133">
        <f t="shared" si="451"/>
        <v>2.1092663885758824</v>
      </c>
      <c r="WG65" s="133">
        <f t="shared" si="452"/>
        <v>11.240810826528701</v>
      </c>
      <c r="WH65" s="134">
        <f t="shared" si="453"/>
        <v>22.145612884403882</v>
      </c>
      <c r="WI65" s="133">
        <f t="shared" si="454"/>
        <v>33.796520885930725</v>
      </c>
      <c r="WJ65" s="133">
        <f t="shared" si="241"/>
        <v>44.869277496900104</v>
      </c>
      <c r="WK65" s="133">
        <f t="shared" si="242"/>
        <v>51.782586666517282</v>
      </c>
      <c r="WL65" s="133">
        <f t="shared" si="243"/>
        <v>57.943851010596383</v>
      </c>
      <c r="WM65" s="133">
        <f t="shared" si="244"/>
        <v>65.298301745366786</v>
      </c>
      <c r="WN65" s="81"/>
      <c r="WO65" s="81">
        <v>66</v>
      </c>
      <c r="WP65" s="133">
        <f t="shared" si="245"/>
        <v>-20.221988067302789</v>
      </c>
      <c r="WQ65" s="133">
        <f t="shared" si="246"/>
        <v>-15.514286848466639</v>
      </c>
      <c r="WR65" s="133">
        <f t="shared" si="247"/>
        <v>-11.308248063252762</v>
      </c>
      <c r="WS65" s="133">
        <f t="shared" si="455"/>
        <v>-6.2851197518435029</v>
      </c>
      <c r="WT65" s="133">
        <f t="shared" si="456"/>
        <v>2.4917646160020226</v>
      </c>
      <c r="WU65" s="134">
        <f t="shared" si="457"/>
        <v>12.83214891244031</v>
      </c>
      <c r="WV65" s="133">
        <f t="shared" si="458"/>
        <v>23.730334026881202</v>
      </c>
      <c r="WW65" s="133">
        <f t="shared" si="248"/>
        <v>33.960679445787299</v>
      </c>
      <c r="WX65" s="133">
        <f t="shared" si="249"/>
        <v>40.291100371978295</v>
      </c>
      <c r="WY65" s="133">
        <f t="shared" si="250"/>
        <v>45.898639397294481</v>
      </c>
      <c r="WZ65" s="133">
        <f t="shared" si="251"/>
        <v>52.552285778049885</v>
      </c>
      <c r="XA65" s="81"/>
      <c r="XB65" s="81">
        <v>63</v>
      </c>
      <c r="XC65" s="133">
        <f t="shared" si="252"/>
        <v>-24.090551273363626</v>
      </c>
      <c r="XD65" s="133">
        <f t="shared" si="253"/>
        <v>-18.959001311071056</v>
      </c>
      <c r="XE65" s="133">
        <f t="shared" si="254"/>
        <v>-14.405465339799484</v>
      </c>
      <c r="XF65" s="133">
        <f t="shared" si="459"/>
        <v>-9.0052125787334347</v>
      </c>
      <c r="XG65" s="133">
        <f t="shared" si="460"/>
        <v>0.33601574941138068</v>
      </c>
      <c r="XH65" s="134">
        <f t="shared" si="461"/>
        <v>11.198008173003991</v>
      </c>
      <c r="XI65" s="133">
        <f t="shared" si="462"/>
        <v>22.494063061823816</v>
      </c>
      <c r="XJ65" s="133">
        <f t="shared" si="255"/>
        <v>32.969952398055064</v>
      </c>
      <c r="XK65" s="133">
        <f t="shared" si="256"/>
        <v>39.395389060595129</v>
      </c>
      <c r="XL65" s="133">
        <f t="shared" si="257"/>
        <v>45.053078361516391</v>
      </c>
      <c r="XM65" s="133">
        <f t="shared" si="258"/>
        <v>51.726915384934621</v>
      </c>
      <c r="XN65" s="81"/>
      <c r="XO65" s="81">
        <v>63</v>
      </c>
      <c r="XP65" s="133">
        <f t="shared" si="259"/>
        <v>-12.652283187771836</v>
      </c>
      <c r="XQ65" s="133">
        <f t="shared" si="260"/>
        <v>-8.0964593914616003</v>
      </c>
      <c r="XR65" s="133">
        <f t="shared" si="261"/>
        <v>-4.0939231676249221</v>
      </c>
      <c r="XS65" s="133">
        <f t="shared" si="463"/>
        <v>0.61233427887495395</v>
      </c>
      <c r="XT65" s="133">
        <f t="shared" si="464"/>
        <v>8.6684796664477162</v>
      </c>
      <c r="XU65" s="134">
        <f t="shared" si="465"/>
        <v>17.92929517202591</v>
      </c>
      <c r="XV65" s="133">
        <f t="shared" si="466"/>
        <v>27.464709847715774</v>
      </c>
      <c r="XW65" s="133">
        <f t="shared" si="262"/>
        <v>36.237632414297615</v>
      </c>
      <c r="XX65" s="133">
        <f t="shared" si="263"/>
        <v>41.590163350460948</v>
      </c>
      <c r="XY65" s="133">
        <f t="shared" si="264"/>
        <v>46.287249631217442</v>
      </c>
      <c r="XZ65" s="133">
        <f t="shared" si="265"/>
        <v>51.810447709556691</v>
      </c>
      <c r="YA65" s="81"/>
      <c r="YB65" s="81">
        <v>66</v>
      </c>
      <c r="YC65" s="133">
        <f t="shared" si="266"/>
        <v>-26.905504536525871</v>
      </c>
      <c r="YD65" s="133">
        <f t="shared" si="267"/>
        <v>-21.922621536300539</v>
      </c>
      <c r="YE65" s="133">
        <f t="shared" si="268"/>
        <v>-17.521775723863499</v>
      </c>
      <c r="YF65" s="133">
        <f t="shared" si="467"/>
        <v>-12.326121884805623</v>
      </c>
      <c r="YG65" s="133">
        <f t="shared" si="468"/>
        <v>-3.3937003552520792</v>
      </c>
      <c r="YH65" s="134">
        <f t="shared" si="469"/>
        <v>6.9150976042697252</v>
      </c>
      <c r="YI65" s="133">
        <f t="shared" si="470"/>
        <v>17.558107267699377</v>
      </c>
      <c r="YJ65" s="133">
        <f t="shared" si="269"/>
        <v>27.365811232855471</v>
      </c>
      <c r="YK65" s="133">
        <f t="shared" si="270"/>
        <v>33.354416319927317</v>
      </c>
      <c r="YL65" s="133">
        <f t="shared" si="271"/>
        <v>38.611667488138245</v>
      </c>
      <c r="YM65" s="133">
        <f t="shared" si="272"/>
        <v>44.79516976447578</v>
      </c>
      <c r="YN65" s="81"/>
      <c r="YO65" s="81">
        <v>63</v>
      </c>
      <c r="YP65" s="133">
        <v>18.226562661729922</v>
      </c>
      <c r="YQ65" s="133">
        <v>20.112335967229718</v>
      </c>
      <c r="YR65" s="133">
        <v>21.889532146364807</v>
      </c>
      <c r="YS65" s="133">
        <v>24.134291051497978</v>
      </c>
      <c r="YT65" s="133">
        <v>28.402856566005894</v>
      </c>
      <c r="YU65" s="134">
        <v>34.056045328600568</v>
      </c>
      <c r="YV65" s="133">
        <v>40.834421732489616</v>
      </c>
      <c r="YW65" s="133">
        <v>48.056693314457576</v>
      </c>
      <c r="YX65" s="133">
        <v>52.984879515403726</v>
      </c>
      <c r="YY65" s="133">
        <v>57.666808336607623</v>
      </c>
      <c r="YZ65" s="133">
        <v>63.633184432462571</v>
      </c>
      <c r="ZA65" s="81"/>
      <c r="ZB65" s="81">
        <v>63</v>
      </c>
      <c r="ZC65" s="133">
        <v>16.793430877674414</v>
      </c>
      <c r="ZD65" s="133">
        <v>18.470218402868365</v>
      </c>
      <c r="ZE65" s="133">
        <v>20.045657042178725</v>
      </c>
      <c r="ZF65" s="133">
        <v>22.029528817990858</v>
      </c>
      <c r="ZG65" s="133">
        <v>25.785484260737984</v>
      </c>
      <c r="ZH65" s="134">
        <v>30.731231219750896</v>
      </c>
      <c r="ZI65" s="133">
        <v>36.625589914546865</v>
      </c>
      <c r="ZJ65" s="133">
        <v>42.870121285141686</v>
      </c>
      <c r="ZK65" s="133">
        <v>47.112876883737513</v>
      </c>
      <c r="ZL65" s="133">
        <v>51.131424203144711</v>
      </c>
      <c r="ZM65" s="133">
        <v>56.236785631297749</v>
      </c>
      <c r="ZN65" s="81"/>
      <c r="ZO65" s="81">
        <v>66</v>
      </c>
      <c r="ZP65" s="133">
        <v>19.737105176635392</v>
      </c>
      <c r="ZQ65" s="133">
        <v>21.695785807507193</v>
      </c>
      <c r="ZR65" s="133">
        <v>23.535133163264952</v>
      </c>
      <c r="ZS65" s="133">
        <v>25.850141594526445</v>
      </c>
      <c r="ZT65" s="133">
        <v>30.229774402666258</v>
      </c>
      <c r="ZU65" s="134">
        <v>35.991160594529603</v>
      </c>
      <c r="ZV65" s="133">
        <v>42.850589081040923</v>
      </c>
      <c r="ZW65" s="133">
        <v>50.11050466414094</v>
      </c>
      <c r="ZX65" s="133">
        <v>55.039571348723101</v>
      </c>
      <c r="ZY65" s="133">
        <v>59.705772007253032</v>
      </c>
      <c r="ZZ65" s="133">
        <v>65.630883016961391</v>
      </c>
      <c r="AAA65" s="81"/>
      <c r="AAB65" s="81">
        <v>63</v>
      </c>
      <c r="AAC65" s="133">
        <v>10.778503799816679</v>
      </c>
      <c r="AAD65" s="133">
        <v>11.905594667133771</v>
      </c>
      <c r="AAE65" s="133">
        <v>12.968778409202596</v>
      </c>
      <c r="AAF65" s="133">
        <v>14.312923484918915</v>
      </c>
      <c r="AAG65" s="133">
        <v>16.8723340161295</v>
      </c>
      <c r="AAH65" s="134">
        <v>20.267917545537252</v>
      </c>
      <c r="AAI65" s="133">
        <v>24.346867554897489</v>
      </c>
      <c r="AAJ65" s="133">
        <v>28.700529424721086</v>
      </c>
      <c r="AAK65" s="133">
        <v>31.675187027731376</v>
      </c>
      <c r="AAL65" s="133">
        <v>34.503818844656891</v>
      </c>
      <c r="AAM65" s="133">
        <v>38.111827880942386</v>
      </c>
      <c r="AAN65" s="81"/>
      <c r="AAO65" s="81">
        <v>63</v>
      </c>
      <c r="AAP65" s="133">
        <v>10.667687203787247</v>
      </c>
      <c r="AAQ65" s="133">
        <v>11.839188336411583</v>
      </c>
      <c r="AAR65" s="133">
        <v>12.949136067297419</v>
      </c>
      <c r="AAS65" s="133">
        <v>14.358590063869995</v>
      </c>
      <c r="AAT65" s="133">
        <v>17.05943193907023</v>
      </c>
      <c r="AAU65" s="134">
        <v>20.672584468501441</v>
      </c>
      <c r="AAV65" s="133">
        <v>25.050995257853739</v>
      </c>
      <c r="AAW65" s="133">
        <v>29.763071910707076</v>
      </c>
      <c r="AAX65" s="133">
        <v>33.002645611748456</v>
      </c>
      <c r="AAY65" s="133">
        <v>36.096710050045274</v>
      </c>
      <c r="AAZ65" s="133">
        <v>40.060768603676991</v>
      </c>
      <c r="ABA65" s="81"/>
      <c r="ABB65" s="81">
        <v>66</v>
      </c>
      <c r="ABC65" s="133">
        <v>10.300973333205741</v>
      </c>
      <c r="ABD65" s="133">
        <v>11.406514311622585</v>
      </c>
      <c r="ABE65" s="133">
        <v>12.451783708500995</v>
      </c>
      <c r="ABF65" s="133">
        <v>13.776338936224887</v>
      </c>
      <c r="ABG65" s="133">
        <v>16.306867384672824</v>
      </c>
      <c r="ABH65" s="134">
        <v>19.678840961614252</v>
      </c>
      <c r="ABI65" s="133">
        <v>23.748079410794627</v>
      </c>
      <c r="ABJ65" s="133">
        <v>28.110282665463124</v>
      </c>
      <c r="ABK65" s="133">
        <v>31.10050661481711</v>
      </c>
      <c r="ABL65" s="133">
        <v>33.950492763412797</v>
      </c>
      <c r="ABM65" s="133">
        <v>37.594193195721033</v>
      </c>
      <c r="ABN65" s="81"/>
      <c r="ABO65" s="81">
        <v>63</v>
      </c>
      <c r="ABP65" s="133">
        <f t="shared" si="273"/>
        <v>0.30718504864015084</v>
      </c>
      <c r="ABQ65" s="133">
        <f t="shared" si="274"/>
        <v>0.34538835181129413</v>
      </c>
      <c r="ABR65" s="133">
        <f t="shared" si="275"/>
        <v>0.38091985008018692</v>
      </c>
      <c r="ABS65" s="133">
        <f t="shared" si="471"/>
        <v>0.42511110582233913</v>
      </c>
      <c r="ABT65" s="133">
        <f t="shared" si="472"/>
        <v>0.50698658217000436</v>
      </c>
      <c r="ABU65" s="134">
        <f t="shared" si="473"/>
        <v>0.61117078306463479</v>
      </c>
      <c r="ABV65" s="133">
        <f t="shared" si="474"/>
        <v>0.73015529362342502</v>
      </c>
      <c r="ABW65" s="133">
        <f t="shared" si="276"/>
        <v>0.85053448889452743</v>
      </c>
      <c r="ABX65" s="133">
        <f t="shared" si="277"/>
        <v>0.92927984155925369</v>
      </c>
      <c r="ABY65" s="133">
        <f t="shared" si="278"/>
        <v>1.0017718292626436</v>
      </c>
      <c r="ABZ65" s="133">
        <f t="shared" si="279"/>
        <v>1.0911457958530928</v>
      </c>
      <c r="ACA65" s="81"/>
      <c r="ACB65" s="81">
        <v>63</v>
      </c>
      <c r="ACC65" s="133">
        <f t="shared" si="280"/>
        <v>0.38006934807540488</v>
      </c>
      <c r="ACD65" s="133">
        <f t="shared" si="281"/>
        <v>0.4177907667939097</v>
      </c>
      <c r="ACE65" s="133">
        <f t="shared" si="282"/>
        <v>0.45276230148159274</v>
      </c>
      <c r="ACF65" s="133">
        <f t="shared" si="475"/>
        <v>0.49617613774690528</v>
      </c>
      <c r="ACG65" s="133">
        <f t="shared" si="476"/>
        <v>0.57656767695713063</v>
      </c>
      <c r="ACH65" s="134">
        <f t="shared" si="477"/>
        <v>0.67912027552205401</v>
      </c>
      <c r="ACI65" s="133">
        <f t="shared" si="478"/>
        <v>0.79696450279899878</v>
      </c>
      <c r="ACJ65" s="133">
        <f t="shared" si="283"/>
        <v>0.91723334614259489</v>
      </c>
      <c r="ACK65" s="133">
        <f t="shared" si="284"/>
        <v>0.99655106921388625</v>
      </c>
      <c r="ACL65" s="133">
        <f t="shared" si="285"/>
        <v>1.0700491951430793</v>
      </c>
      <c r="ACM65" s="133">
        <f t="shared" si="286"/>
        <v>1.1613176057911019</v>
      </c>
      <c r="ACN65" s="81"/>
      <c r="ACO65" s="81">
        <v>66</v>
      </c>
      <c r="ACP65" s="133">
        <f t="shared" si="287"/>
        <v>0.28396723783796779</v>
      </c>
      <c r="ACQ65" s="133">
        <f t="shared" si="288"/>
        <v>0.32231412667359938</v>
      </c>
      <c r="ACR65" s="133">
        <f t="shared" si="289"/>
        <v>0.35730225402937499</v>
      </c>
      <c r="ACS65" s="133">
        <f t="shared" si="479"/>
        <v>0.39995410580392082</v>
      </c>
      <c r="ACT65" s="133">
        <f t="shared" si="480"/>
        <v>0.47670695762673099</v>
      </c>
      <c r="ACU65" s="134">
        <f t="shared" si="481"/>
        <v>0.57031374591057071</v>
      </c>
      <c r="ACV65" s="133">
        <f t="shared" si="482"/>
        <v>0.67259857274062707</v>
      </c>
      <c r="ACW65" s="133">
        <f t="shared" si="290"/>
        <v>0.771951894733653</v>
      </c>
      <c r="ACX65" s="133">
        <f t="shared" si="291"/>
        <v>0.83484712935259531</v>
      </c>
      <c r="ACY65" s="133">
        <f t="shared" si="292"/>
        <v>0.89145994752597202</v>
      </c>
      <c r="ACZ65" s="133">
        <f t="shared" si="293"/>
        <v>0.95969709126624547</v>
      </c>
      <c r="ADA65" s="81"/>
      <c r="ADB65" s="81">
        <v>63</v>
      </c>
      <c r="ADC65" s="133">
        <f t="shared" si="294"/>
        <v>0.23750845999503162</v>
      </c>
      <c r="ADD65" s="133">
        <f t="shared" si="295"/>
        <v>0.25866772341480537</v>
      </c>
      <c r="ADE65" s="133">
        <f t="shared" si="296"/>
        <v>0.27718408616823004</v>
      </c>
      <c r="ADF65" s="133">
        <f t="shared" si="483"/>
        <v>0.29888250528166121</v>
      </c>
      <c r="ADG65" s="133">
        <f t="shared" si="484"/>
        <v>0.3358747813271169</v>
      </c>
      <c r="ADH65" s="134">
        <f t="shared" si="485"/>
        <v>0.37821289488115672</v>
      </c>
      <c r="ADI65" s="133">
        <f t="shared" si="486"/>
        <v>0.42164659403097715</v>
      </c>
      <c r="ADJ65" s="133">
        <f t="shared" si="297"/>
        <v>0.46149475762647801</v>
      </c>
      <c r="ADK65" s="133">
        <f t="shared" si="298"/>
        <v>0.48576322334447103</v>
      </c>
      <c r="ADL65" s="133">
        <f t="shared" si="299"/>
        <v>0.50703624283553361</v>
      </c>
      <c r="ADM65" s="133">
        <f t="shared" si="300"/>
        <v>0.53202539499839385</v>
      </c>
      <c r="ADN65" s="81"/>
      <c r="ADO65" s="81">
        <v>63</v>
      </c>
      <c r="ADP65" s="133">
        <f t="shared" si="301"/>
        <v>0.27712036706376175</v>
      </c>
      <c r="ADQ65" s="133">
        <f t="shared" si="302"/>
        <v>0.29574288439214197</v>
      </c>
      <c r="ADR65" s="133">
        <f t="shared" si="303"/>
        <v>0.31213660661564524</v>
      </c>
      <c r="ADS65" s="133">
        <f t="shared" si="487"/>
        <v>0.33146508887315579</v>
      </c>
      <c r="ADT65" s="133">
        <f t="shared" si="488"/>
        <v>0.36471217390515931</v>
      </c>
      <c r="ADU65" s="134">
        <f t="shared" si="489"/>
        <v>0.40322101015878359</v>
      </c>
      <c r="ADV65" s="133">
        <f t="shared" si="490"/>
        <v>0.44322878356980072</v>
      </c>
      <c r="ADW65" s="133">
        <f t="shared" si="304"/>
        <v>0.48037408245485691</v>
      </c>
      <c r="ADX65" s="133">
        <f t="shared" si="305"/>
        <v>0.50319927375612439</v>
      </c>
      <c r="ADY65" s="133">
        <f t="shared" si="306"/>
        <v>0.5233315311592377</v>
      </c>
      <c r="ADZ65" s="133">
        <f t="shared" si="307"/>
        <v>0.54712709712490815</v>
      </c>
      <c r="AEA65" s="81"/>
      <c r="AEB65" s="81">
        <v>66</v>
      </c>
      <c r="AEC65" s="133">
        <f t="shared" si="308"/>
        <v>0.22417070828273422</v>
      </c>
      <c r="AED65" s="133">
        <f t="shared" si="309"/>
        <v>0.24611308574022939</v>
      </c>
      <c r="AEE65" s="133">
        <f t="shared" si="310"/>
        <v>0.26492198809450368</v>
      </c>
      <c r="AEF65" s="133">
        <f t="shared" si="491"/>
        <v>0.28654155143732635</v>
      </c>
      <c r="AEG65" s="133">
        <f t="shared" si="492"/>
        <v>0.32246435611738822</v>
      </c>
      <c r="AEH65" s="134">
        <f t="shared" si="493"/>
        <v>0.36231618415895939</v>
      </c>
      <c r="AEI65" s="133">
        <f t="shared" si="494"/>
        <v>0.40199307316501021</v>
      </c>
      <c r="AEJ65" s="133">
        <f t="shared" si="311"/>
        <v>0.43745730674644495</v>
      </c>
      <c r="AEK65" s="133">
        <f t="shared" si="312"/>
        <v>0.45866093883550391</v>
      </c>
      <c r="AEL65" s="133">
        <f t="shared" si="313"/>
        <v>0.47702013532202098</v>
      </c>
      <c r="AEM65" s="133">
        <f t="shared" si="314"/>
        <v>0.49833128649344471</v>
      </c>
      <c r="AEN65" s="81"/>
    </row>
    <row r="66" spans="1:820">
      <c r="A66" s="81"/>
      <c r="B66" s="81">
        <v>65</v>
      </c>
      <c r="C66" s="133">
        <f t="shared" si="0"/>
        <v>2.38386039197488</v>
      </c>
      <c r="D66" s="133">
        <f t="shared" si="1"/>
        <v>2.8846411704541128</v>
      </c>
      <c r="E66" s="133">
        <f t="shared" si="2"/>
        <v>3.4175448931979293</v>
      </c>
      <c r="F66" s="133">
        <f t="shared" si="315"/>
        <v>4.1835807148273405</v>
      </c>
      <c r="G66" s="133">
        <f t="shared" si="316"/>
        <v>5.9670679105609912</v>
      </c>
      <c r="H66" s="134">
        <f t="shared" si="317"/>
        <v>9.1290082769423471</v>
      </c>
      <c r="I66" s="133">
        <f t="shared" si="318"/>
        <v>14.480026611104766</v>
      </c>
      <c r="J66" s="133">
        <f t="shared" si="3"/>
        <v>22.711306891372331</v>
      </c>
      <c r="K66" s="133">
        <f t="shared" si="4"/>
        <v>30.316819177740218</v>
      </c>
      <c r="L66" s="133">
        <f t="shared" si="5"/>
        <v>39.460285215954706</v>
      </c>
      <c r="M66" s="133">
        <f t="shared" si="6"/>
        <v>54.531051556456049</v>
      </c>
      <c r="N66" s="81"/>
      <c r="O66" s="75">
        <v>65</v>
      </c>
      <c r="P66" s="151">
        <f t="shared" si="7"/>
        <v>3.1010215701659649</v>
      </c>
      <c r="Q66" s="151">
        <f t="shared" si="8"/>
        <v>3.6015893118871047</v>
      </c>
      <c r="R66" s="151">
        <f t="shared" si="9"/>
        <v>4.1276766086059329</v>
      </c>
      <c r="S66" s="151">
        <f t="shared" si="319"/>
        <v>4.8783433423830314</v>
      </c>
      <c r="T66" s="151">
        <f t="shared" si="320"/>
        <v>6.6280907309788617</v>
      </c>
      <c r="U66" s="134">
        <f t="shared" si="321"/>
        <v>9.8209579880570477</v>
      </c>
      <c r="V66" s="151">
        <f t="shared" si="322"/>
        <v>15.673618156185707</v>
      </c>
      <c r="W66" s="151">
        <f t="shared" si="10"/>
        <v>26.117310959287096</v>
      </c>
      <c r="X66" s="151">
        <f t="shared" si="11"/>
        <v>37.64153722507119</v>
      </c>
      <c r="Y66" s="151">
        <f t="shared" si="12"/>
        <v>54.357785296174086</v>
      </c>
      <c r="Z66" s="151">
        <f t="shared" si="13"/>
        <v>90.469508100900768</v>
      </c>
      <c r="AA66" s="81"/>
      <c r="AB66" s="75">
        <v>67</v>
      </c>
      <c r="AC66" s="151">
        <f t="shared" si="14"/>
        <v>2.1634250473927055</v>
      </c>
      <c r="AD66" s="151">
        <f t="shared" si="15"/>
        <v>2.5973961356099871</v>
      </c>
      <c r="AE66" s="151">
        <f t="shared" si="16"/>
        <v>3.0587016075330582</v>
      </c>
      <c r="AF66" s="151">
        <f t="shared" si="323"/>
        <v>3.7219719418007018</v>
      </c>
      <c r="AG66" s="151">
        <f t="shared" si="324"/>
        <v>5.2712538002027136</v>
      </c>
      <c r="AH66" s="134">
        <f t="shared" si="325"/>
        <v>8.0466672432963566</v>
      </c>
      <c r="AI66" s="151">
        <f t="shared" si="326"/>
        <v>12.842760089546259</v>
      </c>
      <c r="AJ66" s="151">
        <f t="shared" si="17"/>
        <v>20.464283157293046</v>
      </c>
      <c r="AK66" s="151">
        <f t="shared" si="18"/>
        <v>27.75287885493174</v>
      </c>
      <c r="AL66" s="151">
        <f t="shared" si="19"/>
        <v>36.804883351976486</v>
      </c>
      <c r="AM66" s="151">
        <f t="shared" si="20"/>
        <v>52.358732861207386</v>
      </c>
      <c r="AN66" s="81"/>
      <c r="AO66" s="81">
        <v>65</v>
      </c>
      <c r="AP66" s="133">
        <f t="shared" si="21"/>
        <v>2.2180385931154509</v>
      </c>
      <c r="AQ66" s="133">
        <f t="shared" si="22"/>
        <v>5.0992483198092176</v>
      </c>
      <c r="AR66" s="133">
        <f t="shared" si="23"/>
        <v>7.9077418962583605</v>
      </c>
      <c r="AS66" s="133">
        <f t="shared" si="327"/>
        <v>11.529488280292775</v>
      </c>
      <c r="AT66" s="133">
        <f t="shared" si="328"/>
        <v>18.497447574220597</v>
      </c>
      <c r="AU66" s="134">
        <f t="shared" si="329"/>
        <v>27.64828303006939</v>
      </c>
      <c r="AV66" s="133">
        <f t="shared" si="330"/>
        <v>38.280307453936459</v>
      </c>
      <c r="AW66" s="133">
        <f t="shared" si="24"/>
        <v>49.096336432592345</v>
      </c>
      <c r="AX66" s="133">
        <f t="shared" si="25"/>
        <v>56.164854504036995</v>
      </c>
      <c r="AY66" s="133">
        <f t="shared" si="26"/>
        <v>62.653227064448764</v>
      </c>
      <c r="AZ66" s="133">
        <f t="shared" si="27"/>
        <v>70.617188278242338</v>
      </c>
      <c r="BA66" s="81"/>
      <c r="BB66" s="81">
        <v>65</v>
      </c>
      <c r="BC66" s="133">
        <f t="shared" si="28"/>
        <v>5.0399342739433104</v>
      </c>
      <c r="BD66" s="133">
        <f t="shared" si="29"/>
        <v>8.4002453030051036</v>
      </c>
      <c r="BE66" s="133">
        <f t="shared" si="30"/>
        <v>11.558160884637648</v>
      </c>
      <c r="BF66" s="133">
        <f t="shared" si="331"/>
        <v>15.495605212735018</v>
      </c>
      <c r="BG66" s="133">
        <f t="shared" si="332"/>
        <v>22.744051011196298</v>
      </c>
      <c r="BH66" s="134">
        <f t="shared" si="333"/>
        <v>31.782935134697833</v>
      </c>
      <c r="BI66" s="133">
        <f t="shared" si="334"/>
        <v>41.789523673872154</v>
      </c>
      <c r="BJ66" s="133">
        <f t="shared" si="31"/>
        <v>51.559531252619841</v>
      </c>
      <c r="BK66" s="133">
        <f t="shared" si="32"/>
        <v>57.765079055945272</v>
      </c>
      <c r="BL66" s="133">
        <f t="shared" si="33"/>
        <v>63.354830875250535</v>
      </c>
      <c r="BM66" s="133">
        <f t="shared" si="34"/>
        <v>70.092515185451148</v>
      </c>
      <c r="BN66" s="81"/>
      <c r="BO66" s="75">
        <v>67</v>
      </c>
      <c r="BP66" s="151">
        <f t="shared" si="35"/>
        <v>5.6094267444960595</v>
      </c>
      <c r="BQ66" s="151">
        <f t="shared" si="36"/>
        <v>7.1988264075106754</v>
      </c>
      <c r="BR66" s="151">
        <f t="shared" si="37"/>
        <v>8.8582201602883934</v>
      </c>
      <c r="BS66" s="151">
        <f t="shared" si="335"/>
        <v>11.165758112710366</v>
      </c>
      <c r="BT66" s="151">
        <f t="shared" si="336"/>
        <v>16.154859447280469</v>
      </c>
      <c r="BU66" s="134">
        <f t="shared" si="337"/>
        <v>23.841720823102037</v>
      </c>
      <c r="BV66" s="151">
        <f t="shared" si="338"/>
        <v>34.447921571558467</v>
      </c>
      <c r="BW66" s="151">
        <f t="shared" si="38"/>
        <v>47.15249826563376</v>
      </c>
      <c r="BX66" s="151">
        <f t="shared" si="39"/>
        <v>56.532552818779656</v>
      </c>
      <c r="BY66" s="151">
        <f t="shared" si="40"/>
        <v>65.912527965922848</v>
      </c>
      <c r="BZ66" s="151">
        <f t="shared" si="41"/>
        <v>78.45630379066796</v>
      </c>
      <c r="CA66" s="81"/>
      <c r="CB66" s="81">
        <v>65</v>
      </c>
      <c r="CC66" s="133">
        <f t="shared" si="42"/>
        <v>-2.5123669621311686</v>
      </c>
      <c r="CD66" s="133">
        <f t="shared" si="43"/>
        <v>0.4004078204937036</v>
      </c>
      <c r="CE66" s="133">
        <f t="shared" si="44"/>
        <v>3.21550496463641</v>
      </c>
      <c r="CF66" s="133">
        <f t="shared" si="339"/>
        <v>6.7667831757188734</v>
      </c>
      <c r="CG66" s="133">
        <f t="shared" si="340"/>
        <v>13.322964874682896</v>
      </c>
      <c r="CH66" s="134">
        <f t="shared" si="341"/>
        <v>21.437367532838529</v>
      </c>
      <c r="CI66" s="133">
        <f t="shared" si="342"/>
        <v>30.293885277006932</v>
      </c>
      <c r="CJ66" s="133">
        <f t="shared" si="45"/>
        <v>38.805027111232242</v>
      </c>
      <c r="CK66" s="133">
        <f t="shared" si="46"/>
        <v>44.143665466087953</v>
      </c>
      <c r="CL66" s="133">
        <f t="shared" si="47"/>
        <v>48.909989701599869</v>
      </c>
      <c r="CM66" s="133">
        <f t="shared" si="48"/>
        <v>54.604153063274062</v>
      </c>
      <c r="CN66" s="81"/>
      <c r="CO66" s="81">
        <v>65</v>
      </c>
      <c r="CP66" s="133">
        <f t="shared" si="49"/>
        <v>3.4151322167704583</v>
      </c>
      <c r="CQ66" s="133">
        <f t="shared" si="50"/>
        <v>6.2983500071415071</v>
      </c>
      <c r="CR66" s="133">
        <f t="shared" si="51"/>
        <v>8.9562847252817299</v>
      </c>
      <c r="CS66" s="133">
        <f t="shared" si="343"/>
        <v>12.208443089057827</v>
      </c>
      <c r="CT66" s="133">
        <f t="shared" si="344"/>
        <v>18.042949249926412</v>
      </c>
      <c r="CU66" s="134">
        <f t="shared" si="345"/>
        <v>25.093496437994506</v>
      </c>
      <c r="CV66" s="133">
        <f t="shared" si="346"/>
        <v>32.667260905383017</v>
      </c>
      <c r="CW66" s="133">
        <f t="shared" si="52"/>
        <v>39.871864998977664</v>
      </c>
      <c r="CX66" s="133">
        <f t="shared" si="53"/>
        <v>44.365187478641808</v>
      </c>
      <c r="CY66" s="133">
        <f t="shared" si="54"/>
        <v>48.363806122386386</v>
      </c>
      <c r="CZ66" s="133">
        <f t="shared" si="55"/>
        <v>53.127554968320723</v>
      </c>
      <c r="DA66" s="81"/>
      <c r="DB66" s="81">
        <v>67</v>
      </c>
      <c r="DC66" s="133">
        <f t="shared" si="56"/>
        <v>-2.9990262670898487</v>
      </c>
      <c r="DD66" s="133">
        <f t="shared" si="57"/>
        <v>-0.65140749144375398</v>
      </c>
      <c r="DE66" s="133">
        <f t="shared" si="58"/>
        <v>1.6922099624538047</v>
      </c>
      <c r="DF66" s="133">
        <f t="shared" si="347"/>
        <v>4.7395254662332649</v>
      </c>
      <c r="DG66" s="133">
        <f t="shared" si="348"/>
        <v>10.587074450116166</v>
      </c>
      <c r="DH66" s="134">
        <f t="shared" si="349"/>
        <v>18.147149600321136</v>
      </c>
      <c r="DI66" s="133">
        <f t="shared" si="350"/>
        <v>26.726905451159229</v>
      </c>
      <c r="DJ66" s="133">
        <f t="shared" si="59"/>
        <v>35.24025162539715</v>
      </c>
      <c r="DK66" s="133">
        <f t="shared" si="60"/>
        <v>40.697195971897301</v>
      </c>
      <c r="DL66" s="133">
        <f t="shared" si="61"/>
        <v>45.638239267275658</v>
      </c>
      <c r="DM66" s="133">
        <f t="shared" si="62"/>
        <v>51.620524501436229</v>
      </c>
      <c r="DN66" s="81"/>
      <c r="DO66" s="81">
        <v>65</v>
      </c>
      <c r="DP66" s="133">
        <v>13.786781405337333</v>
      </c>
      <c r="DQ66" s="133">
        <v>14.969623236111119</v>
      </c>
      <c r="DR66" s="133">
        <v>16.067786811154285</v>
      </c>
      <c r="DS66" s="133">
        <v>17.434252483745006</v>
      </c>
      <c r="DT66" s="133">
        <v>19.977247414493913</v>
      </c>
      <c r="DU66" s="134">
        <v>23.251125835217504</v>
      </c>
      <c r="DV66" s="133">
        <v>27.061528617445628</v>
      </c>
      <c r="DW66" s="133">
        <v>31.008777296827979</v>
      </c>
      <c r="DX66" s="133">
        <v>33.645881598940747</v>
      </c>
      <c r="DY66" s="133">
        <v>36.114125524615559</v>
      </c>
      <c r="DZ66" s="133">
        <v>39.212549812085108</v>
      </c>
      <c r="EA66" s="81"/>
      <c r="EB66" s="81">
        <v>65</v>
      </c>
      <c r="EC66" s="133">
        <v>13.099855870191787</v>
      </c>
      <c r="ED66" s="133">
        <v>14.296644045771458</v>
      </c>
      <c r="EE66" s="133">
        <v>15.413038982494559</v>
      </c>
      <c r="EF66" s="133">
        <v>16.808791213727066</v>
      </c>
      <c r="EG66" s="133">
        <v>19.42407515444906</v>
      </c>
      <c r="EH66" s="134">
        <v>22.821330674433778</v>
      </c>
      <c r="EI66" s="133">
        <v>26.812763522105737</v>
      </c>
      <c r="EJ66" s="133">
        <v>30.984567963847685</v>
      </c>
      <c r="EK66" s="133">
        <v>33.790424739947028</v>
      </c>
      <c r="EL66" s="133">
        <v>36.429048109783054</v>
      </c>
      <c r="EM66" s="133">
        <v>39.757165186598876</v>
      </c>
      <c r="EN66" s="81"/>
      <c r="EO66" s="81">
        <v>67</v>
      </c>
      <c r="EP66" s="133">
        <v>11.430014825396597</v>
      </c>
      <c r="EQ66" s="133">
        <v>12.859453913382591</v>
      </c>
      <c r="ER66" s="133">
        <v>14.231032695159007</v>
      </c>
      <c r="ES66" s="133">
        <v>15.994904886225411</v>
      </c>
      <c r="ET66" s="133">
        <v>19.437200188452206</v>
      </c>
      <c r="EU66" s="134">
        <v>24.153835334528836</v>
      </c>
      <c r="EV66" s="133">
        <v>30.015010171791147</v>
      </c>
      <c r="EW66" s="133">
        <v>36.474600225347807</v>
      </c>
      <c r="EX66" s="133">
        <v>40.995462090814584</v>
      </c>
      <c r="EY66" s="133">
        <v>45.368004372284624</v>
      </c>
      <c r="EZ66" s="133">
        <v>51.041732690604015</v>
      </c>
      <c r="FA66" s="81"/>
      <c r="FB66" s="81">
        <v>65</v>
      </c>
      <c r="FC66" s="133">
        <v>9.746811354644386</v>
      </c>
      <c r="FD66" s="133">
        <v>10.526417576510969</v>
      </c>
      <c r="FE66" s="133">
        <v>11.246616996066638</v>
      </c>
      <c r="FF66" s="133">
        <v>12.13832687952547</v>
      </c>
      <c r="FG66" s="133">
        <v>13.785962032244184</v>
      </c>
      <c r="FH66" s="134">
        <v>15.8872857845724</v>
      </c>
      <c r="FI66" s="133">
        <v>18.308903579621116</v>
      </c>
      <c r="FJ66" s="133">
        <v>20.794121966382871</v>
      </c>
      <c r="FK66" s="133">
        <v>22.442824334548966</v>
      </c>
      <c r="FL66" s="133">
        <v>23.978323847222622</v>
      </c>
      <c r="FM66" s="133">
        <v>25.896248569580049</v>
      </c>
      <c r="FN66" s="81"/>
      <c r="FO66" s="81">
        <v>65</v>
      </c>
      <c r="FP66" s="133">
        <v>9.691098396494537</v>
      </c>
      <c r="FQ66" s="133">
        <v>10.445295605878243</v>
      </c>
      <c r="FR66" s="133">
        <v>11.140727206515079</v>
      </c>
      <c r="FS66" s="133">
        <v>12.000172326155585</v>
      </c>
      <c r="FT66" s="133">
        <v>13.583951669869631</v>
      </c>
      <c r="FU66" s="134">
        <v>15.596752755598699</v>
      </c>
      <c r="FV66" s="133">
        <v>17.907800501001795</v>
      </c>
      <c r="FW66" s="133">
        <v>20.271266937481279</v>
      </c>
      <c r="FX66" s="133">
        <v>21.83508239722612</v>
      </c>
      <c r="FY66" s="133">
        <v>23.288828358517502</v>
      </c>
      <c r="FZ66" s="133">
        <v>25.101251330526889</v>
      </c>
      <c r="GA66" s="81"/>
      <c r="GB66" s="81">
        <v>67</v>
      </c>
      <c r="GC66" s="133">
        <v>8.0056615160634728</v>
      </c>
      <c r="GD66" s="133">
        <v>8.9542979788151396</v>
      </c>
      <c r="GE66" s="133">
        <v>9.8596087069623639</v>
      </c>
      <c r="GF66" s="133">
        <v>11.017546430846918</v>
      </c>
      <c r="GG66" s="133">
        <v>13.259680810248636</v>
      </c>
      <c r="GH66" s="134">
        <v>16.300460497635719</v>
      </c>
      <c r="GI66" s="133">
        <v>20.038567763231121</v>
      </c>
      <c r="GJ66" s="133">
        <v>24.116532124708087</v>
      </c>
      <c r="GK66" s="133">
        <v>26.948839485623285</v>
      </c>
      <c r="GL66" s="133">
        <v>29.673461064575989</v>
      </c>
      <c r="GM66" s="133">
        <v>33.189638595366752</v>
      </c>
      <c r="GN66" s="81"/>
      <c r="GO66" s="81">
        <v>65</v>
      </c>
      <c r="GP66" s="133">
        <f t="shared" si="63"/>
        <v>0.51831862669441042</v>
      </c>
      <c r="GQ66" s="133">
        <f t="shared" si="64"/>
        <v>0.55002249483951937</v>
      </c>
      <c r="GR66" s="133">
        <f t="shared" si="65"/>
        <v>0.57581583158388394</v>
      </c>
      <c r="GS66" s="133">
        <f t="shared" si="351"/>
        <v>0.60411092540140265</v>
      </c>
      <c r="GT66" s="133">
        <f t="shared" si="352"/>
        <v>0.64966979699636651</v>
      </c>
      <c r="GU66" s="134">
        <f t="shared" si="353"/>
        <v>0.69429140145576218</v>
      </c>
      <c r="GV66" s="133">
        <f t="shared" si="354"/>
        <v>0.73606159069064192</v>
      </c>
      <c r="GW66" s="133">
        <f t="shared" si="66"/>
        <v>0.77348251723412631</v>
      </c>
      <c r="GX66" s="133">
        <f t="shared" si="67"/>
        <v>0.79441603812325567</v>
      </c>
      <c r="GY66" s="133">
        <f t="shared" si="68"/>
        <v>0.81211031632403452</v>
      </c>
      <c r="GZ66" s="133">
        <f t="shared" si="69"/>
        <v>0.83218321325674349</v>
      </c>
      <c r="HA66" s="81"/>
      <c r="HB66" s="81">
        <v>65</v>
      </c>
      <c r="HC66" s="133">
        <f t="shared" si="70"/>
        <v>0.51341755393519728</v>
      </c>
      <c r="HD66" s="133">
        <f t="shared" si="71"/>
        <v>0.54637575492865642</v>
      </c>
      <c r="HE66" s="133">
        <f t="shared" si="72"/>
        <v>0.57315046361657962</v>
      </c>
      <c r="HF66" s="133">
        <f t="shared" si="355"/>
        <v>0.6024891499650149</v>
      </c>
      <c r="HG66" s="133">
        <f t="shared" si="356"/>
        <v>0.64837382292973522</v>
      </c>
      <c r="HH66" s="134">
        <f t="shared" si="357"/>
        <v>0.6958284242448991</v>
      </c>
      <c r="HI66" s="133">
        <f t="shared" si="358"/>
        <v>0.74013352891420026</v>
      </c>
      <c r="HJ66" s="133">
        <f t="shared" si="73"/>
        <v>0.77765739263977074</v>
      </c>
      <c r="HK66" s="133">
        <f t="shared" si="74"/>
        <v>0.79927470219003138</v>
      </c>
      <c r="HL66" s="133">
        <f t="shared" si="75"/>
        <v>0.81754367151662566</v>
      </c>
      <c r="HM66" s="133">
        <f t="shared" si="76"/>
        <v>0.83826536760109971</v>
      </c>
      <c r="HN66" s="81"/>
      <c r="HO66" s="81">
        <v>67</v>
      </c>
      <c r="HP66" s="83">
        <f t="shared" si="77"/>
        <v>0.52219849484339231</v>
      </c>
      <c r="HQ66" s="83">
        <f t="shared" si="78"/>
        <v>0.55316032775139412</v>
      </c>
      <c r="HR66" s="83">
        <f t="shared" si="79"/>
        <v>0.57836463891919587</v>
      </c>
      <c r="HS66" s="83">
        <f t="shared" si="359"/>
        <v>0.60602533467047071</v>
      </c>
      <c r="HT66" s="83">
        <f t="shared" si="360"/>
        <v>0.64935622907953683</v>
      </c>
      <c r="HU66" s="84">
        <f t="shared" si="361"/>
        <v>0.69423718527934619</v>
      </c>
      <c r="HV66" s="83">
        <f t="shared" si="362"/>
        <v>0.73618334103853589</v>
      </c>
      <c r="HW66" s="83">
        <f t="shared" si="80"/>
        <v>0.7717327261125082</v>
      </c>
      <c r="HX66" s="83">
        <f t="shared" si="81"/>
        <v>0.79221972338352609</v>
      </c>
      <c r="HY66" s="83">
        <f t="shared" si="82"/>
        <v>0.80953662961677908</v>
      </c>
      <c r="HZ66" s="83">
        <f t="shared" si="83"/>
        <v>0.82918127031095523</v>
      </c>
      <c r="IA66" s="81"/>
      <c r="IB66" s="81">
        <v>65</v>
      </c>
      <c r="IC66" s="83">
        <f t="shared" si="84"/>
        <v>0.34236702653869172</v>
      </c>
      <c r="ID66" s="83">
        <f t="shared" si="85"/>
        <v>0.35527381981792355</v>
      </c>
      <c r="IE66" s="83">
        <f t="shared" si="86"/>
        <v>0.3654704709219237</v>
      </c>
      <c r="IF66" s="83">
        <f t="shared" si="363"/>
        <v>0.37637360437047723</v>
      </c>
      <c r="IG66" s="83">
        <f t="shared" si="364"/>
        <v>0.39291389256276027</v>
      </c>
      <c r="IH66" s="84">
        <f t="shared" si="365"/>
        <v>0.40943263190940171</v>
      </c>
      <c r="II66" s="83">
        <f t="shared" si="366"/>
        <v>0.42437472238961921</v>
      </c>
      <c r="IJ66" s="83">
        <f t="shared" si="87"/>
        <v>0.43670162688431957</v>
      </c>
      <c r="IK66" s="83">
        <f t="shared" si="88"/>
        <v>0.44367635629701491</v>
      </c>
      <c r="IL66" s="83">
        <f t="shared" si="89"/>
        <v>0.44950228826107896</v>
      </c>
      <c r="IM66" s="83">
        <f t="shared" si="90"/>
        <v>0.45603746350721081</v>
      </c>
      <c r="IN66" s="81"/>
      <c r="IO66" s="81">
        <v>65</v>
      </c>
      <c r="IP66" s="133">
        <f t="shared" si="91"/>
        <v>0.33989784728415418</v>
      </c>
      <c r="IQ66" s="133">
        <f t="shared" si="92"/>
        <v>0.35345472182001009</v>
      </c>
      <c r="IR66" s="133">
        <f t="shared" si="93"/>
        <v>0.36413026273483801</v>
      </c>
      <c r="IS66" s="133">
        <f t="shared" si="367"/>
        <v>0.3755168170515028</v>
      </c>
      <c r="IT66" s="133">
        <f t="shared" si="368"/>
        <v>0.39274318698526639</v>
      </c>
      <c r="IU66" s="134">
        <f t="shared" si="369"/>
        <v>0.40990072073152634</v>
      </c>
      <c r="IV66" s="133">
        <f t="shared" si="370"/>
        <v>0.42538856333167674</v>
      </c>
      <c r="IW66" s="133">
        <f t="shared" si="94"/>
        <v>0.43814686761341287</v>
      </c>
      <c r="IX66" s="133">
        <f t="shared" si="95"/>
        <v>0.44535921485378943</v>
      </c>
      <c r="IY66" s="133">
        <f t="shared" si="96"/>
        <v>0.45138041814183127</v>
      </c>
      <c r="IZ66" s="133">
        <f t="shared" si="97"/>
        <v>0.45813144340777345</v>
      </c>
      <c r="JA66" s="81"/>
      <c r="JB66" s="81">
        <v>67</v>
      </c>
      <c r="JC66" s="133">
        <f t="shared" si="98"/>
        <v>0.34441634361776924</v>
      </c>
      <c r="JD66" s="133">
        <f t="shared" si="99"/>
        <v>0.35689577192804939</v>
      </c>
      <c r="JE66" s="133">
        <f t="shared" si="100"/>
        <v>0.36677324229448433</v>
      </c>
      <c r="JF66" s="133">
        <f t="shared" si="371"/>
        <v>0.37735037168557678</v>
      </c>
      <c r="JG66" s="133">
        <f t="shared" si="372"/>
        <v>0.39342135539579981</v>
      </c>
      <c r="JH66" s="134">
        <f t="shared" si="373"/>
        <v>0.40949610000036635</v>
      </c>
      <c r="JI66" s="133">
        <f t="shared" si="374"/>
        <v>0.42405350418024557</v>
      </c>
      <c r="JJ66" s="133">
        <f t="shared" si="101"/>
        <v>0.43607286959786801</v>
      </c>
      <c r="JK66" s="133">
        <f t="shared" si="102"/>
        <v>0.44287691959323328</v>
      </c>
      <c r="JL66" s="133">
        <f t="shared" si="103"/>
        <v>0.44856191548372853</v>
      </c>
      <c r="JM66" s="133">
        <f t="shared" si="104"/>
        <v>0.45494060332630631</v>
      </c>
      <c r="JN66" s="81"/>
      <c r="JO66" s="81">
        <v>64</v>
      </c>
      <c r="JP66" s="133">
        <f t="shared" si="105"/>
        <v>0.89835544304940385</v>
      </c>
      <c r="JQ66" s="133">
        <f t="shared" si="106"/>
        <v>2.3321042795174236</v>
      </c>
      <c r="JR66" s="133">
        <f t="shared" si="107"/>
        <v>3.577772706827929</v>
      </c>
      <c r="JS66" s="133">
        <f t="shared" si="375"/>
        <v>5.0278457653685251</v>
      </c>
      <c r="JT66" s="133">
        <f t="shared" si="376"/>
        <v>7.4785422768888523</v>
      </c>
      <c r="JU66" s="134">
        <f t="shared" si="377"/>
        <v>10.254428243535465</v>
      </c>
      <c r="JV66" s="133">
        <f t="shared" si="378"/>
        <v>13.074438345224021</v>
      </c>
      <c r="JW66" s="133">
        <f t="shared" si="108"/>
        <v>15.640093289102165</v>
      </c>
      <c r="JX66" s="133">
        <f t="shared" si="109"/>
        <v>17.193541641461184</v>
      </c>
      <c r="JY66" s="133">
        <f t="shared" si="110"/>
        <v>18.550007660882191</v>
      </c>
      <c r="JZ66" s="133">
        <f t="shared" si="111"/>
        <v>20.137541320896897</v>
      </c>
      <c r="KA66" s="81"/>
      <c r="KB66" s="81">
        <v>64</v>
      </c>
      <c r="KC66" s="133">
        <f t="shared" si="112"/>
        <v>2.3523158964801425</v>
      </c>
      <c r="KD66" s="133">
        <f t="shared" si="113"/>
        <v>3.7672476832920001</v>
      </c>
      <c r="KE66" s="133">
        <f t="shared" si="114"/>
        <v>5.017486598984247</v>
      </c>
      <c r="KF66" s="133">
        <f t="shared" si="379"/>
        <v>6.4960197062074574</v>
      </c>
      <c r="KG66" s="133">
        <f t="shared" si="380"/>
        <v>9.0478062402699653</v>
      </c>
      <c r="KH66" s="134">
        <f t="shared" si="381"/>
        <v>12.012567000189042</v>
      </c>
      <c r="KI66" s="133">
        <f t="shared" si="382"/>
        <v>15.098675546029364</v>
      </c>
      <c r="KJ66" s="133">
        <f t="shared" si="115"/>
        <v>17.966462829237152</v>
      </c>
      <c r="KK66" s="133">
        <f t="shared" si="116"/>
        <v>19.728970060900238</v>
      </c>
      <c r="KL66" s="133">
        <f t="shared" si="117"/>
        <v>21.283376960233127</v>
      </c>
      <c r="KM66" s="133">
        <f t="shared" si="118"/>
        <v>23.120154572001717</v>
      </c>
      <c r="KN66" s="81"/>
      <c r="KO66" s="81">
        <v>66</v>
      </c>
      <c r="KP66" s="133">
        <f t="shared" si="119"/>
        <v>1.6238222453461191</v>
      </c>
      <c r="KQ66" s="133">
        <f t="shared" si="120"/>
        <v>2.8262940320432008</v>
      </c>
      <c r="KR66" s="133">
        <f t="shared" si="121"/>
        <v>3.8575722225275015</v>
      </c>
      <c r="KS66" s="133">
        <f t="shared" si="383"/>
        <v>5.0433994180281054</v>
      </c>
      <c r="KT66" s="133">
        <f t="shared" si="384"/>
        <v>7.0144547472863898</v>
      </c>
      <c r="KU66" s="134">
        <f t="shared" si="385"/>
        <v>9.2016302473841591</v>
      </c>
      <c r="KV66" s="133">
        <f t="shared" si="386"/>
        <v>11.379334603993382</v>
      </c>
      <c r="KW66" s="133">
        <f t="shared" si="122"/>
        <v>13.325676208198626</v>
      </c>
      <c r="KX66" s="133">
        <f t="shared" si="123"/>
        <v>14.489232169781427</v>
      </c>
      <c r="KY66" s="133">
        <f t="shared" si="124"/>
        <v>15.496589226576592</v>
      </c>
      <c r="KZ66" s="133">
        <f t="shared" si="125"/>
        <v>16.665770334301794</v>
      </c>
      <c r="LA66" s="81"/>
      <c r="LB66" s="81">
        <v>64</v>
      </c>
      <c r="LC66" s="133">
        <f t="shared" si="126"/>
        <v>4.2963126989402198</v>
      </c>
      <c r="LD66" s="133">
        <f t="shared" si="127"/>
        <v>7.9887395373149204</v>
      </c>
      <c r="LE66" s="133">
        <f t="shared" si="128"/>
        <v>11.216299780952511</v>
      </c>
      <c r="LF66" s="133">
        <f t="shared" si="387"/>
        <v>14.994320814289352</v>
      </c>
      <c r="LG66" s="133">
        <f t="shared" si="388"/>
        <v>21.425259852904937</v>
      </c>
      <c r="LH66" s="134">
        <f t="shared" si="389"/>
        <v>28.771037484254897</v>
      </c>
      <c r="LI66" s="133">
        <f t="shared" si="390"/>
        <v>36.291943427092086</v>
      </c>
      <c r="LJ66" s="133">
        <f t="shared" si="129"/>
        <v>43.179587328022215</v>
      </c>
      <c r="LK66" s="133">
        <f t="shared" si="130"/>
        <v>47.368846559707755</v>
      </c>
      <c r="LL66" s="133">
        <f t="shared" si="131"/>
        <v>51.037768070957931</v>
      </c>
      <c r="LM66" s="133">
        <f t="shared" si="132"/>
        <v>55.343853155030509</v>
      </c>
      <c r="LN66" s="81"/>
      <c r="LO66" s="81">
        <v>64</v>
      </c>
      <c r="LP66" s="133">
        <f t="shared" si="133"/>
        <v>9.2290610485261091</v>
      </c>
      <c r="LQ66" s="133">
        <f t="shared" si="134"/>
        <v>13.011681811725214</v>
      </c>
      <c r="LR66" s="133">
        <f t="shared" si="135"/>
        <v>16.325866391735534</v>
      </c>
      <c r="LS66" s="133">
        <f t="shared" si="391"/>
        <v>20.213859954678288</v>
      </c>
      <c r="LT66" s="133">
        <f t="shared" si="392"/>
        <v>26.851549839229055</v>
      </c>
      <c r="LU66" s="134">
        <f t="shared" si="393"/>
        <v>34.460771622125989</v>
      </c>
      <c r="LV66" s="133">
        <f t="shared" si="394"/>
        <v>42.278419514697376</v>
      </c>
      <c r="LW66" s="133">
        <f t="shared" si="136"/>
        <v>49.459503654852938</v>
      </c>
      <c r="LX66" s="133">
        <f t="shared" si="137"/>
        <v>53.836612138478117</v>
      </c>
      <c r="LY66" s="133">
        <f t="shared" si="138"/>
        <v>57.675543672398931</v>
      </c>
      <c r="LZ66" s="133">
        <f t="shared" si="139"/>
        <v>62.187417511152233</v>
      </c>
      <c r="MA66" s="81"/>
      <c r="MB66" s="81">
        <v>66</v>
      </c>
      <c r="MC66" s="133">
        <f t="shared" si="140"/>
        <v>5.8800506039647473</v>
      </c>
      <c r="MD66" s="133">
        <f t="shared" si="141"/>
        <v>8.7992736552693316</v>
      </c>
      <c r="ME66" s="133">
        <f t="shared" si="142"/>
        <v>11.32888238521668</v>
      </c>
      <c r="MF66" s="133">
        <f t="shared" si="395"/>
        <v>14.266103835409247</v>
      </c>
      <c r="MG66" s="133">
        <f t="shared" si="396"/>
        <v>19.212803594641478</v>
      </c>
      <c r="MH66" s="134">
        <f t="shared" si="397"/>
        <v>24.791215819900948</v>
      </c>
      <c r="MI66" s="133">
        <f t="shared" si="398"/>
        <v>30.433384226501538</v>
      </c>
      <c r="MJ66" s="133">
        <f t="shared" si="143"/>
        <v>35.546333539273824</v>
      </c>
      <c r="MK66" s="133">
        <f t="shared" si="144"/>
        <v>38.633232420441054</v>
      </c>
      <c r="ML66" s="133">
        <f t="shared" si="145"/>
        <v>41.32345724476999</v>
      </c>
      <c r="MM66" s="133">
        <f t="shared" si="146"/>
        <v>44.465948427790572</v>
      </c>
      <c r="MN66" s="81"/>
      <c r="MO66" s="81">
        <v>64</v>
      </c>
      <c r="MP66" s="133">
        <f t="shared" si="147"/>
        <v>-1.8726198869919699</v>
      </c>
      <c r="MQ66" s="133">
        <f t="shared" si="148"/>
        <v>2.1964878720539645</v>
      </c>
      <c r="MR66" s="133">
        <f t="shared" si="149"/>
        <v>5.7070543371504741</v>
      </c>
      <c r="MS66" s="133">
        <f t="shared" si="399"/>
        <v>9.7659763652592062</v>
      </c>
      <c r="MT66" s="133">
        <f t="shared" si="400"/>
        <v>16.561736405422678</v>
      </c>
      <c r="MU66" s="134">
        <f t="shared" si="401"/>
        <v>24.168819972442996</v>
      </c>
      <c r="MV66" s="133">
        <f t="shared" si="402"/>
        <v>31.806372721011947</v>
      </c>
      <c r="MW66" s="133">
        <f t="shared" si="150"/>
        <v>38.682005933296431</v>
      </c>
      <c r="MX66" s="133">
        <f t="shared" si="151"/>
        <v>42.813380985734447</v>
      </c>
      <c r="MY66" s="133">
        <f t="shared" si="152"/>
        <v>46.402294249221264</v>
      </c>
      <c r="MZ66" s="133">
        <f t="shared" si="153"/>
        <v>50.581398132650712</v>
      </c>
      <c r="NA66" s="81"/>
      <c r="NB66" s="81">
        <v>64</v>
      </c>
      <c r="NC66" s="133">
        <f t="shared" si="154"/>
        <v>8.0121054908386533</v>
      </c>
      <c r="ND66" s="133">
        <f t="shared" si="155"/>
        <v>11.474559112375271</v>
      </c>
      <c r="NE66" s="133">
        <f t="shared" si="156"/>
        <v>14.463237639850281</v>
      </c>
      <c r="NF66" s="133">
        <f t="shared" si="403"/>
        <v>17.920490793416104</v>
      </c>
      <c r="NG66" s="133">
        <f t="shared" si="404"/>
        <v>23.713024705808383</v>
      </c>
      <c r="NH66" s="134">
        <f t="shared" si="405"/>
        <v>30.203080996983164</v>
      </c>
      <c r="NI66" s="133">
        <f t="shared" si="406"/>
        <v>36.725198881173853</v>
      </c>
      <c r="NJ66" s="133">
        <f t="shared" si="157"/>
        <v>42.60161384036671</v>
      </c>
      <c r="NK66" s="133">
        <f t="shared" si="158"/>
        <v>46.134740076720277</v>
      </c>
      <c r="NL66" s="133">
        <f t="shared" si="159"/>
        <v>49.205223074561772</v>
      </c>
      <c r="NM66" s="133">
        <f t="shared" si="160"/>
        <v>52.782084226215474</v>
      </c>
      <c r="NN66" s="81"/>
      <c r="NO66" s="81">
        <v>66</v>
      </c>
      <c r="NP66" s="133">
        <f t="shared" si="161"/>
        <v>-3.9049799903856197</v>
      </c>
      <c r="NQ66" s="133">
        <f t="shared" si="162"/>
        <v>-0.26813889673788793</v>
      </c>
      <c r="NR66" s="133">
        <f t="shared" si="163"/>
        <v>2.8611900664280796</v>
      </c>
      <c r="NS66" s="133">
        <f t="shared" si="407"/>
        <v>6.4706302607463542</v>
      </c>
      <c r="NT66" s="133">
        <f t="shared" si="408"/>
        <v>12.495097657678087</v>
      </c>
      <c r="NU66" s="134">
        <f t="shared" si="409"/>
        <v>19.214228954478401</v>
      </c>
      <c r="NV66" s="133">
        <f t="shared" si="410"/>
        <v>25.9373877379454</v>
      </c>
      <c r="NW66" s="133">
        <f t="shared" si="164"/>
        <v>31.972414261099281</v>
      </c>
      <c r="NX66" s="133">
        <f t="shared" si="165"/>
        <v>35.59143424530216</v>
      </c>
      <c r="NY66" s="133">
        <f t="shared" si="166"/>
        <v>38.731123928251442</v>
      </c>
      <c r="NZ66" s="133">
        <f t="shared" si="167"/>
        <v>42.382513862067576</v>
      </c>
      <c r="OA66" s="81"/>
      <c r="OB66" s="81">
        <v>64</v>
      </c>
      <c r="OC66" s="133">
        <v>14.594017450197978</v>
      </c>
      <c r="OD66" s="133">
        <v>15.904865334861404</v>
      </c>
      <c r="OE66" s="133">
        <v>17.126058658104565</v>
      </c>
      <c r="OF66" s="133">
        <v>18.650837283542518</v>
      </c>
      <c r="OG66" s="133">
        <v>21.50250792815639</v>
      </c>
      <c r="OH66" s="134">
        <v>25.197680026831378</v>
      </c>
      <c r="OI66" s="133">
        <v>29.52786162693047</v>
      </c>
      <c r="OJ66" s="133">
        <v>34.042604580269028</v>
      </c>
      <c r="OK66" s="133">
        <v>37.073508354131008</v>
      </c>
      <c r="OL66" s="133">
        <v>39.920053729905391</v>
      </c>
      <c r="OM66" s="133">
        <v>43.505709164816999</v>
      </c>
      <c r="ON66" s="81"/>
      <c r="OO66" s="81">
        <v>64</v>
      </c>
      <c r="OP66" s="133">
        <v>15.19964211942699</v>
      </c>
      <c r="OQ66" s="133">
        <v>16.239971467260052</v>
      </c>
      <c r="OR66" s="133">
        <v>17.191487113047778</v>
      </c>
      <c r="OS66" s="133">
        <v>18.357920560216716</v>
      </c>
      <c r="OT66" s="133">
        <v>25.325119561483522</v>
      </c>
      <c r="OU66" s="134">
        <v>23.14157866283362</v>
      </c>
      <c r="OV66" s="133">
        <v>26.145845345300724</v>
      </c>
      <c r="OW66" s="133">
        <v>29.171749668024169</v>
      </c>
      <c r="OX66" s="133">
        <v>31.151037690140498</v>
      </c>
      <c r="OY66" s="133">
        <v>32.97620713729426</v>
      </c>
      <c r="OZ66" s="133">
        <v>35.233241598737408</v>
      </c>
      <c r="PA66" s="81"/>
      <c r="PB66" s="81">
        <v>66</v>
      </c>
      <c r="PC66" s="133">
        <v>14.720869779363738</v>
      </c>
      <c r="PD66" s="133">
        <v>16.068737401140734</v>
      </c>
      <c r="PE66" s="133">
        <v>17.326279999119762</v>
      </c>
      <c r="PF66" s="133">
        <v>18.898770500839777</v>
      </c>
      <c r="PG66" s="133">
        <v>21.845948236529853</v>
      </c>
      <c r="PH66" s="134">
        <v>25.675581736839948</v>
      </c>
      <c r="PI66" s="133">
        <v>30.176556786983699</v>
      </c>
      <c r="PJ66" s="133">
        <v>34.882454257850036</v>
      </c>
      <c r="PK66" s="133">
        <v>38.048299898110905</v>
      </c>
      <c r="PL66" s="133">
        <v>41.025967446474652</v>
      </c>
      <c r="PM66" s="133">
        <v>44.782374099205079</v>
      </c>
      <c r="PN66" s="81"/>
      <c r="PO66" s="81">
        <v>64</v>
      </c>
      <c r="PP66" s="133">
        <v>10.221402467411176</v>
      </c>
      <c r="PQ66" s="133">
        <v>11.090825850568077</v>
      </c>
      <c r="PR66" s="133">
        <v>11.897500166677936</v>
      </c>
      <c r="PS66" s="133">
        <v>12.900628968174628</v>
      </c>
      <c r="PT66" s="133">
        <v>14.76576386622056</v>
      </c>
      <c r="PU66" s="134">
        <v>17.164103948518555</v>
      </c>
      <c r="PV66" s="133">
        <v>19.951996186903514</v>
      </c>
      <c r="PW66" s="133">
        <v>22.836596966111767</v>
      </c>
      <c r="PX66" s="133">
        <v>24.762047508154094</v>
      </c>
      <c r="PY66" s="133">
        <v>26.563077296940914</v>
      </c>
      <c r="PZ66" s="133">
        <v>28.822508975147194</v>
      </c>
      <c r="QA66" s="81"/>
      <c r="QB66" s="81">
        <v>64</v>
      </c>
      <c r="QC66" s="133">
        <v>10.357584785572122</v>
      </c>
      <c r="QD66" s="133">
        <v>11.224828396904437</v>
      </c>
      <c r="QE66" s="133">
        <v>12.028565490914131</v>
      </c>
      <c r="QF66" s="133">
        <v>13.026906476247721</v>
      </c>
      <c r="QG66" s="133">
        <v>14.880105850648492</v>
      </c>
      <c r="QH66" s="134">
        <v>17.257983666940667</v>
      </c>
      <c r="QI66" s="133">
        <v>20.01585225520494</v>
      </c>
      <c r="QJ66" s="133">
        <v>22.863294581215136</v>
      </c>
      <c r="QK66" s="133">
        <v>24.760891103213023</v>
      </c>
      <c r="QL66" s="133">
        <v>26.533857776438545</v>
      </c>
      <c r="QM66" s="133">
        <v>28.755545468792334</v>
      </c>
      <c r="QN66" s="81"/>
      <c r="QO66" s="81">
        <v>66</v>
      </c>
      <c r="QP66" s="133">
        <v>9.3529318233408798</v>
      </c>
      <c r="QQ66" s="133">
        <v>10.242024522915543</v>
      </c>
      <c r="QR66" s="133">
        <v>11.074003465198199</v>
      </c>
      <c r="QS66" s="133">
        <v>12.117441935939517</v>
      </c>
      <c r="QT66" s="133">
        <v>14.081442961393595</v>
      </c>
      <c r="QU66" s="134">
        <v>16.647876480474132</v>
      </c>
      <c r="QV66" s="133">
        <v>19.682059009788802</v>
      </c>
      <c r="QW66" s="133">
        <v>22.872136938994554</v>
      </c>
      <c r="QX66" s="133">
        <v>25.027244408954459</v>
      </c>
      <c r="QY66" s="133">
        <v>27.060254609723255</v>
      </c>
      <c r="QZ66" s="133">
        <v>29.632611093932368</v>
      </c>
      <c r="RA66" s="81"/>
      <c r="RB66" s="81">
        <v>64</v>
      </c>
      <c r="RC66" s="133">
        <f t="shared" si="168"/>
        <v>0.39625876774613777</v>
      </c>
      <c r="RD66" s="133">
        <f t="shared" si="169"/>
        <v>0.43222829383148575</v>
      </c>
      <c r="RE66" s="133">
        <f t="shared" si="170"/>
        <v>0.46620352883666971</v>
      </c>
      <c r="RF66" s="133">
        <f t="shared" si="411"/>
        <v>0.50926667072565202</v>
      </c>
      <c r="RG66" s="133">
        <f t="shared" si="412"/>
        <v>0.59174947043992043</v>
      </c>
      <c r="RH66" s="134">
        <f t="shared" si="413"/>
        <v>0.70246131606633788</v>
      </c>
      <c r="RI66" s="133">
        <f t="shared" si="414"/>
        <v>0.83777564917453617</v>
      </c>
      <c r="RJ66" s="133">
        <f t="shared" si="171"/>
        <v>0.98532574116667804</v>
      </c>
      <c r="RK66" s="133">
        <f t="shared" si="172"/>
        <v>1.0881088472266232</v>
      </c>
      <c r="RL66" s="133">
        <f t="shared" si="173"/>
        <v>1.1873791637529127</v>
      </c>
      <c r="RM66" s="133">
        <f t="shared" si="174"/>
        <v>1.3162154648754791</v>
      </c>
      <c r="RN66" s="81"/>
      <c r="RO66" s="81">
        <v>64</v>
      </c>
      <c r="RP66" s="133">
        <f t="shared" si="175"/>
        <v>0.43681806928237665</v>
      </c>
      <c r="RQ66" s="133">
        <f t="shared" si="176"/>
        <v>0.4771988700940174</v>
      </c>
      <c r="RR66" s="133">
        <f t="shared" si="177"/>
        <v>0.51560672391517781</v>
      </c>
      <c r="RS66" s="133">
        <f t="shared" si="415"/>
        <v>0.56465969785843173</v>
      </c>
      <c r="RT66" s="133">
        <f t="shared" si="416"/>
        <v>0.65977070778958391</v>
      </c>
      <c r="RU66" s="134">
        <f t="shared" si="417"/>
        <v>0.78979213801811943</v>
      </c>
      <c r="RV66" s="133">
        <f t="shared" si="418"/>
        <v>0.95230425188404999</v>
      </c>
      <c r="RW66" s="133">
        <f t="shared" si="178"/>
        <v>1.1339005805317994</v>
      </c>
      <c r="RX66" s="133">
        <f t="shared" si="179"/>
        <v>1.2630355328033183</v>
      </c>
      <c r="RY66" s="133">
        <f t="shared" si="180"/>
        <v>1.3897650648782254</v>
      </c>
      <c r="RZ66" s="133">
        <f t="shared" si="181"/>
        <v>1.5571219220297137</v>
      </c>
      <c r="SA66" s="81"/>
      <c r="SB66" s="81">
        <v>66</v>
      </c>
      <c r="SC66" s="133">
        <f t="shared" si="182"/>
        <v>0.40450250558772416</v>
      </c>
      <c r="SD66" s="133">
        <f t="shared" si="183"/>
        <v>0.43629772173079295</v>
      </c>
      <c r="SE66" s="133">
        <f t="shared" si="184"/>
        <v>0.46566294837686373</v>
      </c>
      <c r="SF66" s="133">
        <f t="shared" si="419"/>
        <v>0.50201486421209263</v>
      </c>
      <c r="SG66" s="133">
        <f t="shared" si="420"/>
        <v>0.56917409500293448</v>
      </c>
      <c r="SH66" s="134">
        <f t="shared" si="421"/>
        <v>0.65482796407863375</v>
      </c>
      <c r="SI66" s="133">
        <f t="shared" si="422"/>
        <v>0.75356455847073278</v>
      </c>
      <c r="SJ66" s="133">
        <f t="shared" si="185"/>
        <v>0.85494454415188592</v>
      </c>
      <c r="SK66" s="133">
        <f t="shared" si="186"/>
        <v>0.92223549042227304</v>
      </c>
      <c r="SL66" s="133">
        <f t="shared" si="187"/>
        <v>0.98493435476332047</v>
      </c>
      <c r="SM66" s="133">
        <f t="shared" si="188"/>
        <v>1.0632896532424565</v>
      </c>
      <c r="SN66" s="81"/>
      <c r="SO66" s="81">
        <v>64</v>
      </c>
      <c r="SP66" s="133">
        <f t="shared" si="189"/>
        <v>0.28476016459570896</v>
      </c>
      <c r="SQ66" s="133">
        <f t="shared" si="190"/>
        <v>0.3025329319657965</v>
      </c>
      <c r="SR66" s="133">
        <f t="shared" si="191"/>
        <v>0.31847011127111319</v>
      </c>
      <c r="SS66" s="133">
        <f t="shared" si="423"/>
        <v>0.33761383894085129</v>
      </c>
      <c r="ST66" s="133">
        <f t="shared" si="424"/>
        <v>0.37144563721295099</v>
      </c>
      <c r="SU66" s="134">
        <f t="shared" si="425"/>
        <v>0.41207084309128111</v>
      </c>
      <c r="SV66" s="133">
        <f t="shared" si="426"/>
        <v>0.45592671766881737</v>
      </c>
      <c r="SW66" s="133">
        <f t="shared" si="192"/>
        <v>0.49815923915075389</v>
      </c>
      <c r="SX66" s="133">
        <f t="shared" si="193"/>
        <v>0.52483703448271857</v>
      </c>
      <c r="SY66" s="133">
        <f t="shared" si="194"/>
        <v>0.54882781886295373</v>
      </c>
      <c r="SZ66" s="133">
        <f t="shared" si="195"/>
        <v>0.57774180728402591</v>
      </c>
      <c r="TA66" s="81"/>
      <c r="TB66" s="81">
        <v>64</v>
      </c>
      <c r="TC66" s="133">
        <f t="shared" si="196"/>
        <v>0.30500114749005552</v>
      </c>
      <c r="TD66" s="133">
        <f t="shared" si="197"/>
        <v>0.32374063234518491</v>
      </c>
      <c r="TE66" s="133">
        <f t="shared" si="198"/>
        <v>0.34060893763298045</v>
      </c>
      <c r="TF66" s="133">
        <f t="shared" si="427"/>
        <v>0.36095150495695943</v>
      </c>
      <c r="TG66" s="133">
        <f t="shared" si="428"/>
        <v>0.397115785452408</v>
      </c>
      <c r="TH66" s="134">
        <f t="shared" si="429"/>
        <v>0.44089955569807632</v>
      </c>
      <c r="TI66" s="133">
        <f t="shared" si="430"/>
        <v>0.48859644415293646</v>
      </c>
      <c r="TJ66" s="133">
        <f t="shared" si="199"/>
        <v>0.53494242470846642</v>
      </c>
      <c r="TK66" s="133">
        <f t="shared" si="200"/>
        <v>0.56442415798227275</v>
      </c>
      <c r="TL66" s="133">
        <f t="shared" si="201"/>
        <v>0.59107005393629508</v>
      </c>
      <c r="TM66" s="133">
        <f t="shared" si="202"/>
        <v>0.62334964355388822</v>
      </c>
      <c r="TN66" s="81"/>
      <c r="TO66" s="81">
        <v>66</v>
      </c>
      <c r="TP66" s="133">
        <f t="shared" si="203"/>
        <v>0.28901895534902583</v>
      </c>
      <c r="TQ66" s="133">
        <f t="shared" si="204"/>
        <v>0.30451069607059539</v>
      </c>
      <c r="TR66" s="133">
        <f t="shared" si="205"/>
        <v>0.3181997534978373</v>
      </c>
      <c r="TS66" s="133">
        <f t="shared" si="431"/>
        <v>0.33440424275397673</v>
      </c>
      <c r="TT66" s="133">
        <f t="shared" si="432"/>
        <v>0.36244917070338728</v>
      </c>
      <c r="TU66" s="134">
        <f t="shared" si="433"/>
        <v>0.39521418340344316</v>
      </c>
      <c r="TV66" s="133">
        <f t="shared" si="434"/>
        <v>0.42958402089976033</v>
      </c>
      <c r="TW66" s="133">
        <f t="shared" si="206"/>
        <v>0.46180006532493401</v>
      </c>
      <c r="TX66" s="133">
        <f t="shared" si="207"/>
        <v>0.4817430072542766</v>
      </c>
      <c r="TY66" s="133">
        <f t="shared" si="208"/>
        <v>0.49942585764826586</v>
      </c>
      <c r="TZ66" s="133">
        <f t="shared" si="209"/>
        <v>0.5204383634059605</v>
      </c>
      <c r="UA66" s="81"/>
      <c r="UB66" s="81">
        <v>64</v>
      </c>
      <c r="UC66" s="133">
        <f t="shared" si="210"/>
        <v>-10.046635649159413</v>
      </c>
      <c r="UD66" s="133">
        <f t="shared" si="211"/>
        <v>-7.0617084346125267</v>
      </c>
      <c r="UE66" s="133">
        <f t="shared" si="212"/>
        <v>-4.5462061137762433</v>
      </c>
      <c r="UF66" s="133">
        <f t="shared" si="435"/>
        <v>-1.7003198592908433</v>
      </c>
      <c r="UG66" s="133">
        <f t="shared" si="436"/>
        <v>2.929914339284764</v>
      </c>
      <c r="UH66" s="134">
        <f t="shared" si="437"/>
        <v>7.9371638817699193</v>
      </c>
      <c r="UI66" s="133">
        <f t="shared" si="438"/>
        <v>12.802002149951377</v>
      </c>
      <c r="UJ66" s="133">
        <f t="shared" si="213"/>
        <v>17.058872201986645</v>
      </c>
      <c r="UK66" s="133">
        <f t="shared" si="214"/>
        <v>19.566059566803006</v>
      </c>
      <c r="UL66" s="133">
        <f t="shared" si="215"/>
        <v>21.715336013581464</v>
      </c>
      <c r="UM66" s="133">
        <f t="shared" si="216"/>
        <v>24.186239420219962</v>
      </c>
      <c r="UN66" s="81"/>
      <c r="UO66" s="81">
        <v>64</v>
      </c>
      <c r="UP66" s="133">
        <f t="shared" si="217"/>
        <v>-5.9757573203196017</v>
      </c>
      <c r="UQ66" s="133">
        <f t="shared" si="218"/>
        <v>-3.3855092781383469</v>
      </c>
      <c r="UR66" s="133">
        <f t="shared" si="219"/>
        <v>-1.1612743550033926</v>
      </c>
      <c r="US66" s="133">
        <f t="shared" si="439"/>
        <v>1.3994041909718291</v>
      </c>
      <c r="UT66" s="133">
        <f t="shared" si="440"/>
        <v>5.6629591583811134</v>
      </c>
      <c r="UU66" s="134">
        <f t="shared" si="441"/>
        <v>10.404322046601777</v>
      </c>
      <c r="UV66" s="133">
        <f t="shared" si="442"/>
        <v>15.135561576973259</v>
      </c>
      <c r="UW66" s="133">
        <f t="shared" si="220"/>
        <v>19.372606292959894</v>
      </c>
      <c r="UX66" s="133">
        <f t="shared" si="221"/>
        <v>21.909273553080673</v>
      </c>
      <c r="UY66" s="133">
        <f t="shared" si="222"/>
        <v>24.107585154767641</v>
      </c>
      <c r="UZ66" s="133">
        <f t="shared" si="223"/>
        <v>26.661515290981285</v>
      </c>
      <c r="VA66" s="81"/>
      <c r="VB66" s="81">
        <v>67</v>
      </c>
      <c r="VC66" s="133">
        <f t="shared" si="224"/>
        <v>-9.926034526068662</v>
      </c>
      <c r="VD66" s="133">
        <f t="shared" si="225"/>
        <v>-7.1188869353888578</v>
      </c>
      <c r="VE66" s="133">
        <f t="shared" si="226"/>
        <v>-4.7737338584713669</v>
      </c>
      <c r="VF66" s="133">
        <f t="shared" si="443"/>
        <v>-2.1415800812315382</v>
      </c>
      <c r="VG66" s="133">
        <f t="shared" si="444"/>
        <v>2.0970303470760143</v>
      </c>
      <c r="VH66" s="134">
        <f t="shared" si="445"/>
        <v>6.6251706747916899</v>
      </c>
      <c r="VI66" s="133">
        <f t="shared" si="446"/>
        <v>10.974586036706242</v>
      </c>
      <c r="VJ66" s="133">
        <f t="shared" si="227"/>
        <v>14.74361429127741</v>
      </c>
      <c r="VK66" s="133">
        <f t="shared" si="228"/>
        <v>16.948486227952813</v>
      </c>
      <c r="VL66" s="133">
        <f t="shared" si="229"/>
        <v>18.830199934404661</v>
      </c>
      <c r="VM66" s="133">
        <f t="shared" si="230"/>
        <v>20.984282644969753</v>
      </c>
      <c r="VN66" s="81"/>
      <c r="VO66" s="81">
        <v>64</v>
      </c>
      <c r="VP66" s="133">
        <f t="shared" si="231"/>
        <v>-17.726454552885713</v>
      </c>
      <c r="VQ66" s="133">
        <f t="shared" si="232"/>
        <v>-12.879742203147458</v>
      </c>
      <c r="VR66" s="133">
        <f t="shared" si="233"/>
        <v>-8.516502232618187</v>
      </c>
      <c r="VS66" s="133">
        <f t="shared" si="447"/>
        <v>-3.2664847162279429</v>
      </c>
      <c r="VT66" s="133">
        <f t="shared" si="448"/>
        <v>6.003653804025916</v>
      </c>
      <c r="VU66" s="134">
        <f t="shared" si="449"/>
        <v>17.072127839804914</v>
      </c>
      <c r="VV66" s="133">
        <f t="shared" si="450"/>
        <v>28.895618360635986</v>
      </c>
      <c r="VW66" s="133">
        <f t="shared" si="234"/>
        <v>40.130219879619425</v>
      </c>
      <c r="VX66" s="133">
        <f t="shared" si="235"/>
        <v>47.143529332657756</v>
      </c>
      <c r="VY66" s="133">
        <f t="shared" si="236"/>
        <v>53.393254469718094</v>
      </c>
      <c r="VZ66" s="133">
        <f t="shared" si="237"/>
        <v>60.852501447768397</v>
      </c>
      <c r="WA66" s="81"/>
      <c r="WB66" s="81">
        <v>64</v>
      </c>
      <c r="WC66" s="133">
        <f t="shared" si="238"/>
        <v>-11.025766175601781</v>
      </c>
      <c r="WD66" s="133">
        <f t="shared" si="239"/>
        <v>-6.2469759533442684</v>
      </c>
      <c r="WE66" s="133">
        <f t="shared" si="240"/>
        <v>-1.9497250698041171</v>
      </c>
      <c r="WF66" s="133">
        <f t="shared" si="451"/>
        <v>3.2158803264809066</v>
      </c>
      <c r="WG66" s="133">
        <f t="shared" si="452"/>
        <v>12.326275714902053</v>
      </c>
      <c r="WH66" s="134">
        <f t="shared" si="453"/>
        <v>23.190333106842324</v>
      </c>
      <c r="WI66" s="133">
        <f t="shared" si="454"/>
        <v>34.783253027339192</v>
      </c>
      <c r="WJ66" s="133">
        <f t="shared" si="241"/>
        <v>45.789929398583588</v>
      </c>
      <c r="WK66" s="133">
        <f t="shared" si="242"/>
        <v>52.657460734635997</v>
      </c>
      <c r="WL66" s="133">
        <f t="shared" si="243"/>
        <v>58.77536513944677</v>
      </c>
      <c r="WM66" s="133">
        <f t="shared" si="244"/>
        <v>66.075208978761395</v>
      </c>
      <c r="WN66" s="81"/>
      <c r="WO66" s="81">
        <v>67</v>
      </c>
      <c r="WP66" s="133">
        <f t="shared" si="245"/>
        <v>-19.348433693866397</v>
      </c>
      <c r="WQ66" s="133">
        <f t="shared" si="246"/>
        <v>-14.642911378983378</v>
      </c>
      <c r="WR66" s="133">
        <f t="shared" si="247"/>
        <v>-10.44243904299271</v>
      </c>
      <c r="WS66" s="133">
        <f t="shared" si="455"/>
        <v>-5.4296753615802018</v>
      </c>
      <c r="WT66" s="133">
        <f t="shared" si="456"/>
        <v>3.3212210204757895</v>
      </c>
      <c r="WU66" s="134">
        <f t="shared" si="457"/>
        <v>13.620921996661018</v>
      </c>
      <c r="WV66" s="133">
        <f t="shared" si="458"/>
        <v>24.467187216893045</v>
      </c>
      <c r="WW66" s="133">
        <f t="shared" si="248"/>
        <v>34.642154774729825</v>
      </c>
      <c r="WX66" s="133">
        <f t="shared" si="249"/>
        <v>40.935635948427013</v>
      </c>
      <c r="WY66" s="133">
        <f t="shared" si="250"/>
        <v>46.508964388486383</v>
      </c>
      <c r="WZ66" s="133">
        <f t="shared" si="251"/>
        <v>53.120384294991176</v>
      </c>
      <c r="XA66" s="81"/>
      <c r="XB66" s="81">
        <v>64</v>
      </c>
      <c r="XC66" s="133">
        <f t="shared" si="252"/>
        <v>-23.134073493987579</v>
      </c>
      <c r="XD66" s="133">
        <f t="shared" si="253"/>
        <v>-18.003663273052375</v>
      </c>
      <c r="XE66" s="133">
        <f t="shared" si="254"/>
        <v>-13.454836416266616</v>
      </c>
      <c r="XF66" s="133">
        <f t="shared" si="459"/>
        <v>-8.0637667094045256</v>
      </c>
      <c r="XG66" s="133">
        <f t="shared" si="460"/>
        <v>1.2543722238125028</v>
      </c>
      <c r="XH66" s="134">
        <f t="shared" si="461"/>
        <v>12.080854038453616</v>
      </c>
      <c r="XI66" s="133">
        <f t="shared" si="462"/>
        <v>23.332653029467714</v>
      </c>
      <c r="XJ66" s="133">
        <f t="shared" si="255"/>
        <v>33.762382338790637</v>
      </c>
      <c r="XK66" s="133">
        <f t="shared" si="256"/>
        <v>40.15751800603875</v>
      </c>
      <c r="XL66" s="133">
        <f t="shared" si="257"/>
        <v>45.787446016298837</v>
      </c>
      <c r="XM66" s="133">
        <f t="shared" si="258"/>
        <v>52.427372319004199</v>
      </c>
      <c r="XN66" s="81"/>
      <c r="XO66" s="81">
        <v>64</v>
      </c>
      <c r="XP66" s="133">
        <f t="shared" si="259"/>
        <v>-11.464617357432495</v>
      </c>
      <c r="XQ66" s="133">
        <f t="shared" si="260"/>
        <v>-6.9343029108490768</v>
      </c>
      <c r="XR66" s="133">
        <f t="shared" si="261"/>
        <v>-2.9568682642024982</v>
      </c>
      <c r="XS66" s="133">
        <f t="shared" si="463"/>
        <v>1.7171605425053897</v>
      </c>
      <c r="XT66" s="133">
        <f t="shared" si="464"/>
        <v>9.7125163782819968</v>
      </c>
      <c r="XU66" s="134">
        <f t="shared" si="465"/>
        <v>18.896444949981493</v>
      </c>
      <c r="XV66" s="133">
        <f t="shared" si="466"/>
        <v>28.346550225759408</v>
      </c>
      <c r="XW66" s="133">
        <f t="shared" si="262"/>
        <v>37.036568707973025</v>
      </c>
      <c r="XX66" s="133">
        <f t="shared" si="263"/>
        <v>42.336765958895619</v>
      </c>
      <c r="XY66" s="133">
        <f t="shared" si="264"/>
        <v>46.986961512420145</v>
      </c>
      <c r="XZ66" s="133">
        <f t="shared" si="265"/>
        <v>52.453972885387167</v>
      </c>
      <c r="YA66" s="81"/>
      <c r="YB66" s="81">
        <v>67</v>
      </c>
      <c r="YC66" s="133">
        <f t="shared" si="266"/>
        <v>-26.045558389646054</v>
      </c>
      <c r="YD66" s="133">
        <f t="shared" si="267"/>
        <v>-21.070461419838537</v>
      </c>
      <c r="YE66" s="133">
        <f t="shared" si="268"/>
        <v>-16.67958749952745</v>
      </c>
      <c r="YF66" s="133">
        <f t="shared" si="467"/>
        <v>-11.498640296307819</v>
      </c>
      <c r="YG66" s="133">
        <f t="shared" si="468"/>
        <v>-2.5972195466714894</v>
      </c>
      <c r="YH66" s="134">
        <f t="shared" si="469"/>
        <v>7.6691173716087704</v>
      </c>
      <c r="YI66" s="133">
        <f t="shared" si="470"/>
        <v>18.262787106000509</v>
      </c>
      <c r="YJ66" s="133">
        <f t="shared" si="269"/>
        <v>28.021263037317546</v>
      </c>
      <c r="YK66" s="133">
        <f t="shared" si="270"/>
        <v>33.978369896121343</v>
      </c>
      <c r="YL66" s="133">
        <f t="shared" si="271"/>
        <v>39.207195258517693</v>
      </c>
      <c r="YM66" s="133">
        <f t="shared" si="272"/>
        <v>45.356436814035014</v>
      </c>
      <c r="YN66" s="81"/>
      <c r="YO66" s="81">
        <v>64</v>
      </c>
      <c r="YP66" s="133">
        <v>18.329683260261309</v>
      </c>
      <c r="YQ66" s="133">
        <v>20.205733868223415</v>
      </c>
      <c r="YR66" s="133">
        <v>21.972113087641855</v>
      </c>
      <c r="YS66" s="133">
        <v>24.201122130752186</v>
      </c>
      <c r="YT66" s="133">
        <v>28.43402498278294</v>
      </c>
      <c r="YU66" s="134">
        <v>34.03007145668046</v>
      </c>
      <c r="YV66" s="133">
        <v>40.727465212821102</v>
      </c>
      <c r="YW66" s="133">
        <v>47.850911915991645</v>
      </c>
      <c r="YX66" s="133">
        <v>52.705252277174836</v>
      </c>
      <c r="YY66" s="133">
        <v>57.312729688476274</v>
      </c>
      <c r="YZ66" s="133">
        <v>63.178711105031368</v>
      </c>
      <c r="ZA66" s="81"/>
      <c r="ZB66" s="81">
        <v>64</v>
      </c>
      <c r="ZC66" s="133">
        <v>17.082260008579276</v>
      </c>
      <c r="ZD66" s="133">
        <v>18.744931732377601</v>
      </c>
      <c r="ZE66" s="133">
        <v>20.303793083228967</v>
      </c>
      <c r="ZF66" s="133">
        <v>22.262625908633062</v>
      </c>
      <c r="ZG66" s="133">
        <v>25.959848047775814</v>
      </c>
      <c r="ZH66" s="134">
        <v>30.808748941242136</v>
      </c>
      <c r="ZI66" s="133">
        <v>36.563350046488878</v>
      </c>
      <c r="ZJ66" s="133">
        <v>42.635537030535694</v>
      </c>
      <c r="ZK66" s="133">
        <v>46.748851676808826</v>
      </c>
      <c r="ZL66" s="133">
        <v>50.636568053486016</v>
      </c>
      <c r="ZM66" s="133">
        <v>55.56518931615485</v>
      </c>
      <c r="ZN66" s="81"/>
      <c r="ZO66" s="81">
        <v>67</v>
      </c>
      <c r="ZP66" s="133">
        <v>19.688257818834533</v>
      </c>
      <c r="ZQ66" s="133">
        <v>21.643781534872154</v>
      </c>
      <c r="ZR66" s="133">
        <v>23.480297432582592</v>
      </c>
      <c r="ZS66" s="133">
        <v>25.791909698027297</v>
      </c>
      <c r="ZT66" s="133">
        <v>30.165574142541409</v>
      </c>
      <c r="ZU66" s="134">
        <v>35.919897405616105</v>
      </c>
      <c r="ZV66" s="133">
        <v>42.771903612151334</v>
      </c>
      <c r="ZW66" s="133">
        <v>50.024951418338389</v>
      </c>
      <c r="ZX66" s="133">
        <v>54.949858848021961</v>
      </c>
      <c r="ZY66" s="133">
        <v>59.612458550793029</v>
      </c>
      <c r="ZZ66" s="133">
        <v>65.533428173400637</v>
      </c>
      <c r="AAA66" s="81"/>
      <c r="AAB66" s="81">
        <v>64</v>
      </c>
      <c r="AAC66" s="133">
        <v>10.872060701264409</v>
      </c>
      <c r="AAD66" s="133">
        <v>12.0042687994179</v>
      </c>
      <c r="AAE66" s="133">
        <v>13.07189458692271</v>
      </c>
      <c r="AAF66" s="133">
        <v>14.421168993414806</v>
      </c>
      <c r="AAG66" s="133">
        <v>16.989011499332143</v>
      </c>
      <c r="AAH66" s="134">
        <v>20.393459920218923</v>
      </c>
      <c r="AAI66" s="133">
        <v>24.480129849457384</v>
      </c>
      <c r="AAJ66" s="133">
        <v>28.839077311103317</v>
      </c>
      <c r="AAK66" s="133">
        <v>31.81583241450252</v>
      </c>
      <c r="AAL66" s="133">
        <v>34.645442755975516</v>
      </c>
      <c r="AAM66" s="133">
        <v>38.25339270495499</v>
      </c>
      <c r="AAN66" s="81"/>
      <c r="AAO66" s="81">
        <v>64</v>
      </c>
      <c r="AAP66" s="133">
        <v>10.841872458129094</v>
      </c>
      <c r="AAQ66" s="133">
        <v>12.020317122498682</v>
      </c>
      <c r="AAR66" s="133">
        <v>13.13579449129853</v>
      </c>
      <c r="AAS66" s="133">
        <v>14.550939132748407</v>
      </c>
      <c r="AAT66" s="133">
        <v>17.259011898439155</v>
      </c>
      <c r="AAU66" s="134">
        <v>20.87540290547874</v>
      </c>
      <c r="AAV66" s="133">
        <v>25.249559420344394</v>
      </c>
      <c r="AAW66" s="133">
        <v>29.94875055763902</v>
      </c>
      <c r="AAX66" s="133">
        <v>33.175187595599425</v>
      </c>
      <c r="AAY66" s="133">
        <v>36.25382275900251</v>
      </c>
      <c r="AAZ66" s="133">
        <v>40.194389682137086</v>
      </c>
      <c r="ABA66" s="81"/>
      <c r="ABB66" s="81">
        <v>67</v>
      </c>
      <c r="ABC66" s="133">
        <v>10.287410514196621</v>
      </c>
      <c r="ABD66" s="133">
        <v>11.39866364750133</v>
      </c>
      <c r="ABE66" s="133">
        <v>12.449947149991798</v>
      </c>
      <c r="ABF66" s="133">
        <v>13.782901169656757</v>
      </c>
      <c r="ABG66" s="133">
        <v>16.331619146586998</v>
      </c>
      <c r="ABH66" s="134">
        <v>19.731580924934796</v>
      </c>
      <c r="ABI66" s="133">
        <v>23.839356177897049</v>
      </c>
      <c r="ABJ66" s="133">
        <v>28.247702062493023</v>
      </c>
      <c r="ABK66" s="133">
        <v>31.272043255019518</v>
      </c>
      <c r="ABL66" s="133">
        <v>34.156221978055804</v>
      </c>
      <c r="ABM66" s="133">
        <v>37.845800482052134</v>
      </c>
      <c r="ABN66" s="81"/>
      <c r="ABO66" s="81">
        <v>64</v>
      </c>
      <c r="ABP66" s="133">
        <f t="shared" si="273"/>
        <v>0.31105632668337707</v>
      </c>
      <c r="ABQ66" s="133">
        <f t="shared" si="274"/>
        <v>0.34962406996289658</v>
      </c>
      <c r="ABR66" s="133">
        <f t="shared" si="275"/>
        <v>0.38548663116776766</v>
      </c>
      <c r="ABS66" s="133">
        <f t="shared" si="471"/>
        <v>0.43008039171044343</v>
      </c>
      <c r="ABT66" s="133">
        <f t="shared" si="472"/>
        <v>0.51267863493163113</v>
      </c>
      <c r="ABU66" s="134">
        <f t="shared" si="473"/>
        <v>0.61774730537258538</v>
      </c>
      <c r="ABV66" s="133">
        <f t="shared" si="474"/>
        <v>0.73770356587155239</v>
      </c>
      <c r="ABW66" s="133">
        <f t="shared" si="276"/>
        <v>0.85903243337828805</v>
      </c>
      <c r="ABX66" s="133">
        <f t="shared" si="277"/>
        <v>0.93838372594220476</v>
      </c>
      <c r="ABY66" s="133">
        <f t="shared" si="278"/>
        <v>1.011424175775957</v>
      </c>
      <c r="ABZ66" s="133">
        <f t="shared" si="279"/>
        <v>1.1014632191339073</v>
      </c>
      <c r="ACA66" s="81"/>
      <c r="ACB66" s="81">
        <v>64</v>
      </c>
      <c r="ACC66" s="133">
        <f t="shared" si="280"/>
        <v>0.38636083528122805</v>
      </c>
      <c r="ACD66" s="133">
        <f t="shared" si="281"/>
        <v>0.42445796828709009</v>
      </c>
      <c r="ACE66" s="133">
        <f t="shared" si="282"/>
        <v>0.45976153440954076</v>
      </c>
      <c r="ACF66" s="133">
        <f t="shared" si="475"/>
        <v>0.50356785526841641</v>
      </c>
      <c r="ACG66" s="133">
        <f t="shared" si="476"/>
        <v>0.58463529273711723</v>
      </c>
      <c r="ACH66" s="134">
        <f t="shared" si="477"/>
        <v>0.68796808691642608</v>
      </c>
      <c r="ACI66" s="133">
        <f t="shared" si="478"/>
        <v>0.80661411031612251</v>
      </c>
      <c r="ACJ66" s="133">
        <f t="shared" si="283"/>
        <v>0.92761369859321929</v>
      </c>
      <c r="ACK66" s="133">
        <f t="shared" si="284"/>
        <v>1.0073714711248927</v>
      </c>
      <c r="ACL66" s="133">
        <f t="shared" si="285"/>
        <v>1.0812507752814362</v>
      </c>
      <c r="ACM66" s="133">
        <f t="shared" si="286"/>
        <v>1.1729599957396513</v>
      </c>
      <c r="ACN66" s="81"/>
      <c r="ACO66" s="81">
        <v>67</v>
      </c>
      <c r="ACP66" s="133">
        <f t="shared" si="287"/>
        <v>0.28697092666485935</v>
      </c>
      <c r="ACQ66" s="133">
        <f t="shared" si="288"/>
        <v>0.32556372561554858</v>
      </c>
      <c r="ACR66" s="133">
        <f t="shared" si="289"/>
        <v>0.360768391984925</v>
      </c>
      <c r="ACS66" s="133">
        <f t="shared" si="479"/>
        <v>0.40367567778103708</v>
      </c>
      <c r="ACT66" s="133">
        <f t="shared" si="480"/>
        <v>0.48086875907523702</v>
      </c>
      <c r="ACU66" s="134">
        <f t="shared" si="481"/>
        <v>0.57498567203213347</v>
      </c>
      <c r="ACV66" s="133">
        <f t="shared" si="482"/>
        <v>0.67780189440262562</v>
      </c>
      <c r="ACW66" s="133">
        <f t="shared" si="290"/>
        <v>0.77765085894464903</v>
      </c>
      <c r="ACX66" s="133">
        <f t="shared" si="291"/>
        <v>0.84085118229229439</v>
      </c>
      <c r="ACY66" s="133">
        <f t="shared" si="292"/>
        <v>0.89773360461088458</v>
      </c>
      <c r="ACZ66" s="133">
        <f t="shared" si="293"/>
        <v>0.96629004528499429</v>
      </c>
      <c r="ADA66" s="81"/>
      <c r="ADB66" s="81">
        <v>64</v>
      </c>
      <c r="ADC66" s="133">
        <f t="shared" si="294"/>
        <v>0.23980860336440674</v>
      </c>
      <c r="ADD66" s="133">
        <f t="shared" si="295"/>
        <v>0.26101173537603767</v>
      </c>
      <c r="ADE66" s="133">
        <f t="shared" si="296"/>
        <v>0.27956422939670916</v>
      </c>
      <c r="ADF66" s="133">
        <f t="shared" si="483"/>
        <v>0.30130264708801235</v>
      </c>
      <c r="ADG66" s="133">
        <f t="shared" si="484"/>
        <v>0.33835812393741832</v>
      </c>
      <c r="ADH66" s="134">
        <f t="shared" si="485"/>
        <v>0.38076215134298558</v>
      </c>
      <c r="ADI66" s="133">
        <f t="shared" si="486"/>
        <v>0.42425765767043383</v>
      </c>
      <c r="ADJ66" s="133">
        <f t="shared" si="297"/>
        <v>0.46415823218093133</v>
      </c>
      <c r="ADK66" s="133">
        <f t="shared" si="298"/>
        <v>0.48845687927046422</v>
      </c>
      <c r="ADL66" s="133">
        <f t="shared" si="299"/>
        <v>0.50975538388628805</v>
      </c>
      <c r="ADM66" s="133">
        <f t="shared" si="300"/>
        <v>0.53477340782975979</v>
      </c>
      <c r="ADN66" s="81"/>
      <c r="ADO66" s="81">
        <v>64</v>
      </c>
      <c r="ADP66" s="133">
        <f t="shared" si="301"/>
        <v>0.2803993806126211</v>
      </c>
      <c r="ADQ66" s="133">
        <f t="shared" si="302"/>
        <v>0.29901986706949801</v>
      </c>
      <c r="ADR66" s="133">
        <f t="shared" si="303"/>
        <v>0.31540751582532772</v>
      </c>
      <c r="ADS66" s="133">
        <f t="shared" si="487"/>
        <v>0.33472415345801904</v>
      </c>
      <c r="ADT66" s="133">
        <f t="shared" si="488"/>
        <v>0.36794027074574082</v>
      </c>
      <c r="ADU66" s="134">
        <f t="shared" si="489"/>
        <v>0.40639864577838125</v>
      </c>
      <c r="ADV66" s="133">
        <f t="shared" si="490"/>
        <v>0.44633979428755932</v>
      </c>
      <c r="ADW66" s="133">
        <f t="shared" si="304"/>
        <v>0.48341205290037842</v>
      </c>
      <c r="ADX66" s="133">
        <f t="shared" si="305"/>
        <v>0.50618761522033984</v>
      </c>
      <c r="ADY66" s="133">
        <f t="shared" si="306"/>
        <v>0.52627335388644003</v>
      </c>
      <c r="ADZ66" s="133">
        <f t="shared" si="307"/>
        <v>0.55001084188766869</v>
      </c>
      <c r="AEA66" s="81"/>
      <c r="AEB66" s="81">
        <v>67</v>
      </c>
      <c r="AEC66" s="133">
        <f t="shared" si="308"/>
        <v>0.22604241950381751</v>
      </c>
      <c r="AED66" s="133">
        <f t="shared" si="309"/>
        <v>0.24799021357902903</v>
      </c>
      <c r="AEE66" s="133">
        <f t="shared" si="310"/>
        <v>0.26680422010743632</v>
      </c>
      <c r="AEF66" s="133">
        <f t="shared" si="491"/>
        <v>0.28843009566746425</v>
      </c>
      <c r="AEG66" s="133">
        <f t="shared" si="492"/>
        <v>0.32436426501040333</v>
      </c>
      <c r="AEH66" s="134">
        <f t="shared" si="493"/>
        <v>0.36422973547291626</v>
      </c>
      <c r="AEI66" s="133">
        <f t="shared" si="494"/>
        <v>0.40392106669622713</v>
      </c>
      <c r="AEJ66" s="133">
        <f t="shared" si="311"/>
        <v>0.43939879975752488</v>
      </c>
      <c r="AEK66" s="133">
        <f t="shared" si="312"/>
        <v>0.46061073013731285</v>
      </c>
      <c r="AEL66" s="133">
        <f t="shared" si="313"/>
        <v>0.47897723400292724</v>
      </c>
      <c r="AEM66" s="133">
        <f t="shared" si="314"/>
        <v>0.50029699779766534</v>
      </c>
      <c r="AEN66" s="81"/>
    </row>
    <row r="67" spans="1:820">
      <c r="A67" s="81"/>
      <c r="B67" s="81">
        <v>66</v>
      </c>
      <c r="C67" s="133">
        <f t="shared" si="0"/>
        <v>2.4056816944782904</v>
      </c>
      <c r="D67" s="133">
        <f t="shared" si="1"/>
        <v>2.9121262628820306</v>
      </c>
      <c r="E67" s="133">
        <f t="shared" si="2"/>
        <v>3.4512836284621167</v>
      </c>
      <c r="F67" s="133">
        <f t="shared" si="315"/>
        <v>4.2266601383687368</v>
      </c>
      <c r="G67" s="133">
        <f t="shared" si="316"/>
        <v>6.0332035774798509</v>
      </c>
      <c r="H67" s="134">
        <f t="shared" si="317"/>
        <v>9.2394334212255824</v>
      </c>
      <c r="I67" s="133">
        <f t="shared" si="318"/>
        <v>14.672461138054139</v>
      </c>
      <c r="J67" s="133">
        <f t="shared" si="3"/>
        <v>23.041935002885722</v>
      </c>
      <c r="K67" s="133">
        <f t="shared" si="4"/>
        <v>30.784605003052807</v>
      </c>
      <c r="L67" s="133">
        <f t="shared" si="5"/>
        <v>40.102226836678973</v>
      </c>
      <c r="M67" s="133">
        <f t="shared" si="6"/>
        <v>55.477434413729043</v>
      </c>
      <c r="N67" s="81"/>
      <c r="O67" s="75">
        <v>66</v>
      </c>
      <c r="P67" s="151">
        <f t="shared" si="7"/>
        <v>3.123221933391056</v>
      </c>
      <c r="Q67" s="151">
        <f t="shared" si="8"/>
        <v>3.6305414073295417</v>
      </c>
      <c r="R67" s="151">
        <f t="shared" si="9"/>
        <v>4.1643662315494483</v>
      </c>
      <c r="S67" s="151">
        <f t="shared" si="319"/>
        <v>4.9271152924617709</v>
      </c>
      <c r="T67" s="151">
        <f t="shared" si="320"/>
        <v>6.7092307078644753</v>
      </c>
      <c r="U67" s="134">
        <f t="shared" si="321"/>
        <v>9.9738785882451317</v>
      </c>
      <c r="V67" s="151">
        <f t="shared" si="322"/>
        <v>15.991892168733623</v>
      </c>
      <c r="W67" s="151">
        <f t="shared" si="10"/>
        <v>26.813491452503012</v>
      </c>
      <c r="X67" s="151">
        <f t="shared" si="11"/>
        <v>38.85050270455347</v>
      </c>
      <c r="Y67" s="151">
        <f t="shared" si="12"/>
        <v>56.45245768876692</v>
      </c>
      <c r="Z67" s="151">
        <f t="shared" si="13"/>
        <v>94.928074751156473</v>
      </c>
      <c r="AA67" s="81"/>
      <c r="AB67" s="75">
        <v>68</v>
      </c>
      <c r="AC67" s="151">
        <f t="shared" si="14"/>
        <v>2.1894060109233404</v>
      </c>
      <c r="AD67" s="151">
        <f t="shared" si="15"/>
        <v>2.6275039509932152</v>
      </c>
      <c r="AE67" s="151">
        <f t="shared" si="16"/>
        <v>3.0929695401011257</v>
      </c>
      <c r="AF67" s="151">
        <f t="shared" si="323"/>
        <v>3.761865843570547</v>
      </c>
      <c r="AG67" s="151">
        <f t="shared" si="324"/>
        <v>5.3229379513495045</v>
      </c>
      <c r="AH67" s="134">
        <f t="shared" si="325"/>
        <v>8.1158308157264933</v>
      </c>
      <c r="AI67" s="151">
        <f t="shared" si="326"/>
        <v>12.934197543771621</v>
      </c>
      <c r="AJ67" s="151">
        <f t="shared" si="17"/>
        <v>20.576624361001318</v>
      </c>
      <c r="AK67" s="151">
        <f t="shared" si="18"/>
        <v>27.873032147602437</v>
      </c>
      <c r="AL67" s="151">
        <f t="shared" si="19"/>
        <v>36.922019321146784</v>
      </c>
      <c r="AM67" s="151">
        <f t="shared" si="20"/>
        <v>52.444970093266249</v>
      </c>
      <c r="AN67" s="81"/>
      <c r="AO67" s="81">
        <v>66</v>
      </c>
      <c r="AP67" s="133">
        <f t="shared" si="21"/>
        <v>2.2723939429114361</v>
      </c>
      <c r="AQ67" s="133">
        <f t="shared" si="22"/>
        <v>5.1880072807610924</v>
      </c>
      <c r="AR67" s="133">
        <f t="shared" si="23"/>
        <v>8.0317992928814732</v>
      </c>
      <c r="AS67" s="133">
        <f t="shared" si="327"/>
        <v>11.700892867882658</v>
      </c>
      <c r="AT67" s="133">
        <f t="shared" si="328"/>
        <v>18.76393764074156</v>
      </c>
      <c r="AU67" s="134">
        <f t="shared" si="329"/>
        <v>28.044894868262798</v>
      </c>
      <c r="AV67" s="133">
        <f t="shared" si="330"/>
        <v>38.832940700570092</v>
      </c>
      <c r="AW67" s="133">
        <f t="shared" si="24"/>
        <v>49.811328841424867</v>
      </c>
      <c r="AX67" s="133">
        <f t="shared" si="25"/>
        <v>56.987436056469257</v>
      </c>
      <c r="AY67" s="133">
        <f t="shared" si="26"/>
        <v>63.575405477966036</v>
      </c>
      <c r="AZ67" s="133">
        <f t="shared" si="27"/>
        <v>71.66254889602736</v>
      </c>
      <c r="BA67" s="81"/>
      <c r="BB67" s="81">
        <v>66</v>
      </c>
      <c r="BC67" s="133">
        <f t="shared" si="28"/>
        <v>5.0881353686452337</v>
      </c>
      <c r="BD67" s="133">
        <f t="shared" si="29"/>
        <v>8.4916055602030376</v>
      </c>
      <c r="BE67" s="133">
        <f t="shared" si="30"/>
        <v>11.69215319108687</v>
      </c>
      <c r="BF67" s="133">
        <f t="shared" si="331"/>
        <v>15.684777824947691</v>
      </c>
      <c r="BG67" s="133">
        <f t="shared" si="332"/>
        <v>23.038936489509698</v>
      </c>
      <c r="BH67" s="134">
        <f t="shared" si="333"/>
        <v>32.214706947488629</v>
      </c>
      <c r="BI67" s="133">
        <f t="shared" si="334"/>
        <v>42.377196694308502</v>
      </c>
      <c r="BJ67" s="133">
        <f t="shared" si="31"/>
        <v>52.302518809784253</v>
      </c>
      <c r="BK67" s="133">
        <f t="shared" si="32"/>
        <v>58.607933902786819</v>
      </c>
      <c r="BL67" s="133">
        <f t="shared" si="33"/>
        <v>64.288311372686834</v>
      </c>
      <c r="BM67" s="133">
        <f t="shared" si="34"/>
        <v>71.135960783313692</v>
      </c>
      <c r="BN67" s="81"/>
      <c r="BO67" s="75">
        <v>68</v>
      </c>
      <c r="BP67" s="151">
        <f t="shared" si="35"/>
        <v>5.7239714769097452</v>
      </c>
      <c r="BQ67" s="151">
        <f t="shared" si="36"/>
        <v>7.3432358512498457</v>
      </c>
      <c r="BR67" s="151">
        <f t="shared" si="37"/>
        <v>9.033355290886421</v>
      </c>
      <c r="BS67" s="151">
        <f t="shared" si="335"/>
        <v>11.383027185909645</v>
      </c>
      <c r="BT67" s="151">
        <f t="shared" si="336"/>
        <v>16.461508978098006</v>
      </c>
      <c r="BU67" s="134">
        <f t="shared" si="337"/>
        <v>24.282964903372577</v>
      </c>
      <c r="BV67" s="151">
        <f t="shared" si="338"/>
        <v>35.070845218450245</v>
      </c>
      <c r="BW67" s="151">
        <f t="shared" si="38"/>
        <v>47.988942978900411</v>
      </c>
      <c r="BX67" s="151">
        <f t="shared" si="39"/>
        <v>57.524563050033223</v>
      </c>
      <c r="BY67" s="151">
        <f t="shared" si="40"/>
        <v>67.058714781116095</v>
      </c>
      <c r="BZ67" s="151">
        <f t="shared" si="41"/>
        <v>79.806885040036434</v>
      </c>
      <c r="CA67" s="81"/>
      <c r="CB67" s="81">
        <v>66</v>
      </c>
      <c r="CC67" s="133">
        <f t="shared" si="42"/>
        <v>-2.310022812469799</v>
      </c>
      <c r="CD67" s="133">
        <f t="shared" si="43"/>
        <v>0.6411258190253033</v>
      </c>
      <c r="CE67" s="133">
        <f t="shared" si="44"/>
        <v>3.4863608216825108</v>
      </c>
      <c r="CF67" s="133">
        <f t="shared" si="339"/>
        <v>7.0704255584466322</v>
      </c>
      <c r="CG67" s="133">
        <f t="shared" si="340"/>
        <v>13.678527202929889</v>
      </c>
      <c r="CH67" s="134">
        <f t="shared" si="341"/>
        <v>21.848564845422089</v>
      </c>
      <c r="CI67" s="133">
        <f t="shared" si="342"/>
        <v>30.75958065851464</v>
      </c>
      <c r="CJ67" s="133">
        <f t="shared" si="45"/>
        <v>39.319213475014799</v>
      </c>
      <c r="CK67" s="133">
        <f t="shared" si="46"/>
        <v>44.686869294383357</v>
      </c>
      <c r="CL67" s="133">
        <f t="shared" si="47"/>
        <v>49.478374535115037</v>
      </c>
      <c r="CM67" s="133">
        <f t="shared" si="48"/>
        <v>55.20186234478625</v>
      </c>
      <c r="CN67" s="81"/>
      <c r="CO67" s="81">
        <v>66</v>
      </c>
      <c r="CP67" s="133">
        <f t="shared" si="49"/>
        <v>3.6166848981463593</v>
      </c>
      <c r="CQ67" s="133">
        <f t="shared" si="50"/>
        <v>6.5262439002892636</v>
      </c>
      <c r="CR67" s="133">
        <f t="shared" si="51"/>
        <v>9.2066480943912552</v>
      </c>
      <c r="CS67" s="133">
        <f t="shared" si="343"/>
        <v>12.48466361660418</v>
      </c>
      <c r="CT67" s="133">
        <f t="shared" si="344"/>
        <v>18.362478887285995</v>
      </c>
      <c r="CU67" s="134">
        <f t="shared" si="345"/>
        <v>25.46188066040752</v>
      </c>
      <c r="CV67" s="133">
        <f t="shared" si="346"/>
        <v>33.085343996289126</v>
      </c>
      <c r="CW67" s="133">
        <f t="shared" si="52"/>
        <v>40.335362270598672</v>
      </c>
      <c r="CX67" s="133">
        <f t="shared" si="53"/>
        <v>44.856305771137762</v>
      </c>
      <c r="CY67" s="133">
        <f t="shared" si="54"/>
        <v>48.879129290650845</v>
      </c>
      <c r="CZ67" s="133">
        <f t="shared" si="55"/>
        <v>53.671315005631847</v>
      </c>
      <c r="DA67" s="81"/>
      <c r="DB67" s="81">
        <v>68</v>
      </c>
      <c r="DC67" s="133">
        <f t="shared" si="56"/>
        <v>-2.8047300731136025</v>
      </c>
      <c r="DD67" s="133">
        <f t="shared" si="57"/>
        <v>-0.41265365056356007</v>
      </c>
      <c r="DE67" s="133">
        <f t="shared" si="58"/>
        <v>1.9681715433325815</v>
      </c>
      <c r="DF67" s="133">
        <f t="shared" si="347"/>
        <v>5.0577724920817397</v>
      </c>
      <c r="DG67" s="133">
        <f t="shared" si="348"/>
        <v>10.975338406303479</v>
      </c>
      <c r="DH67" s="134">
        <f t="shared" si="349"/>
        <v>18.613701579179999</v>
      </c>
      <c r="DI67" s="133">
        <f t="shared" si="350"/>
        <v>27.272735486533069</v>
      </c>
      <c r="DJ67" s="133">
        <f t="shared" si="59"/>
        <v>35.858410187577157</v>
      </c>
      <c r="DK67" s="133">
        <f t="shared" si="60"/>
        <v>41.359344034571976</v>
      </c>
      <c r="DL67" s="133">
        <f t="shared" si="61"/>
        <v>46.338954066249947</v>
      </c>
      <c r="DM67" s="133">
        <f t="shared" si="62"/>
        <v>52.366584075383841</v>
      </c>
      <c r="DN67" s="81"/>
      <c r="DO67" s="81">
        <v>66</v>
      </c>
      <c r="DP67" s="133">
        <v>13.860487957054024</v>
      </c>
      <c r="DQ67" s="133">
        <v>15.046263840299913</v>
      </c>
      <c r="DR67" s="133">
        <v>16.146921260144619</v>
      </c>
      <c r="DS67" s="133">
        <v>17.516203968415432</v>
      </c>
      <c r="DT67" s="133">
        <v>20.063675303603631</v>
      </c>
      <c r="DU67" s="134">
        <v>23.342021573729781</v>
      </c>
      <c r="DV67" s="133">
        <v>27.156040102513327</v>
      </c>
      <c r="DW67" s="133">
        <v>31.10548222268476</v>
      </c>
      <c r="DX67" s="133">
        <v>33.74327293546154</v>
      </c>
      <c r="DY67" s="133">
        <v>36.211645424503345</v>
      </c>
      <c r="DZ67" s="133">
        <v>39.309580790853452</v>
      </c>
      <c r="EA67" s="81"/>
      <c r="EB67" s="81">
        <v>66</v>
      </c>
      <c r="EC67" s="133">
        <v>13.15128438453835</v>
      </c>
      <c r="ED67" s="133">
        <v>14.368327268894953</v>
      </c>
      <c r="EE67" s="133">
        <v>15.504758312341673</v>
      </c>
      <c r="EF67" s="133">
        <v>16.926988716009312</v>
      </c>
      <c r="EG67" s="133">
        <v>19.59574470276204</v>
      </c>
      <c r="EH67" s="134">
        <v>23.069052775024108</v>
      </c>
      <c r="EI67" s="133">
        <v>27.157998025042449</v>
      </c>
      <c r="EJ67" s="133">
        <v>31.439803314426381</v>
      </c>
      <c r="EK67" s="133">
        <v>34.323733734903499</v>
      </c>
      <c r="EL67" s="133">
        <v>37.038493484828351</v>
      </c>
      <c r="EM67" s="133">
        <v>40.466100524943421</v>
      </c>
      <c r="EN67" s="81"/>
      <c r="EO67" s="81">
        <v>68</v>
      </c>
      <c r="EP67" s="133">
        <v>11.232665462137266</v>
      </c>
      <c r="EQ67" s="133">
        <v>12.691981115291661</v>
      </c>
      <c r="ER67" s="133">
        <v>14.097832547991292</v>
      </c>
      <c r="ES67" s="133">
        <v>15.913023920948138</v>
      </c>
      <c r="ET67" s="133">
        <v>19.475985099222825</v>
      </c>
      <c r="EU67" s="134">
        <v>24.395016746340101</v>
      </c>
      <c r="EV67" s="133">
        <v>30.55644369321077</v>
      </c>
      <c r="EW67" s="133">
        <v>37.398098878667135</v>
      </c>
      <c r="EX67" s="133">
        <v>42.21335726810063</v>
      </c>
      <c r="EY67" s="133">
        <v>46.889200090063198</v>
      </c>
      <c r="EZ67" s="133">
        <v>52.980910368978407</v>
      </c>
      <c r="FA67" s="81"/>
      <c r="FB67" s="81">
        <v>66</v>
      </c>
      <c r="FC67" s="133">
        <v>9.8339234402510431</v>
      </c>
      <c r="FD67" s="133">
        <v>10.613526116594501</v>
      </c>
      <c r="FE67" s="133">
        <v>11.333283379495326</v>
      </c>
      <c r="FF67" s="133">
        <v>12.223903321679204</v>
      </c>
      <c r="FG67" s="133">
        <v>13.868083697704011</v>
      </c>
      <c r="FH67" s="134">
        <v>15.962588913873033</v>
      </c>
      <c r="FI67" s="133">
        <v>18.373428541932398</v>
      </c>
      <c r="FJ67" s="133">
        <v>20.844752950672031</v>
      </c>
      <c r="FK67" s="133">
        <v>22.482826582656987</v>
      </c>
      <c r="FL67" s="133">
        <v>24.007501563020572</v>
      </c>
      <c r="FM67" s="133">
        <v>25.910741158545925</v>
      </c>
      <c r="FN67" s="81"/>
      <c r="FO67" s="81">
        <v>66</v>
      </c>
      <c r="FP67" s="133">
        <v>9.7771036456258571</v>
      </c>
      <c r="FQ67" s="133">
        <v>10.538625942009247</v>
      </c>
      <c r="FR67" s="133">
        <v>11.240850960128656</v>
      </c>
      <c r="FS67" s="133">
        <v>12.108739938878434</v>
      </c>
      <c r="FT67" s="133">
        <v>13.708207471549748</v>
      </c>
      <c r="FU67" s="134">
        <v>15.741160104807649</v>
      </c>
      <c r="FV67" s="133">
        <v>18.075603390118179</v>
      </c>
      <c r="FW67" s="133">
        <v>20.463245779158985</v>
      </c>
      <c r="FX67" s="133">
        <v>22.043181812843095</v>
      </c>
      <c r="FY67" s="133">
        <v>23.511995093920795</v>
      </c>
      <c r="FZ67" s="133">
        <v>25.343305177709055</v>
      </c>
      <c r="GA67" s="81"/>
      <c r="GB67" s="81">
        <v>68</v>
      </c>
      <c r="GC67" s="133">
        <v>7.88773230302768</v>
      </c>
      <c r="GD67" s="133">
        <v>8.8548423387829853</v>
      </c>
      <c r="GE67" s="133">
        <v>9.7809310664529505</v>
      </c>
      <c r="GF67" s="133">
        <v>10.969487753064461</v>
      </c>
      <c r="GG67" s="133">
        <v>13.282255039715341</v>
      </c>
      <c r="GH67" s="134">
        <v>16.439102942602911</v>
      </c>
      <c r="GI67" s="133">
        <v>20.346251803585865</v>
      </c>
      <c r="GJ67" s="133">
        <v>24.635982248305048</v>
      </c>
      <c r="GK67" s="133">
        <v>27.629691255507396</v>
      </c>
      <c r="GL67" s="133">
        <v>30.519358246940648</v>
      </c>
      <c r="GM67" s="133">
        <v>34.261318104541076</v>
      </c>
      <c r="GN67" s="81"/>
      <c r="GO67" s="81">
        <v>66</v>
      </c>
      <c r="GP67" s="133">
        <f t="shared" si="63"/>
        <v>0.52049714958415794</v>
      </c>
      <c r="GQ67" s="133">
        <f t="shared" si="64"/>
        <v>0.55209913191185023</v>
      </c>
      <c r="GR67" s="133">
        <f t="shared" si="65"/>
        <v>0.57781932115753321</v>
      </c>
      <c r="GS67" s="133">
        <f t="shared" si="351"/>
        <v>0.60604278239503195</v>
      </c>
      <c r="GT67" s="133">
        <f t="shared" si="352"/>
        <v>0.65150230424954536</v>
      </c>
      <c r="GU67" s="134">
        <f t="shared" si="353"/>
        <v>0.69604241784228149</v>
      </c>
      <c r="GV67" s="133">
        <f t="shared" si="354"/>
        <v>0.73774792841728831</v>
      </c>
      <c r="GW67" s="133">
        <f t="shared" si="66"/>
        <v>0.7751188931163413</v>
      </c>
      <c r="GX67" s="133">
        <f t="shared" si="67"/>
        <v>0.79602733436779161</v>
      </c>
      <c r="GY67" s="133">
        <f t="shared" si="68"/>
        <v>0.81370186648392273</v>
      </c>
      <c r="GZ67" s="133">
        <f t="shared" si="69"/>
        <v>0.83375385871010466</v>
      </c>
      <c r="HA67" s="81"/>
      <c r="HB67" s="81">
        <v>66</v>
      </c>
      <c r="HC67" s="133">
        <f t="shared" si="70"/>
        <v>0.51619483066497196</v>
      </c>
      <c r="HD67" s="133">
        <f t="shared" si="71"/>
        <v>0.5489686536607663</v>
      </c>
      <c r="HE67" s="133">
        <f t="shared" si="72"/>
        <v>0.57560887890686441</v>
      </c>
      <c r="HF67" s="133">
        <f t="shared" si="355"/>
        <v>0.60481361886583784</v>
      </c>
      <c r="HG67" s="133">
        <f t="shared" si="356"/>
        <v>0.65051248767529035</v>
      </c>
      <c r="HH67" s="134">
        <f t="shared" si="357"/>
        <v>0.69779993466500334</v>
      </c>
      <c r="HI67" s="133">
        <f t="shared" si="358"/>
        <v>0.74196763744781358</v>
      </c>
      <c r="HJ67" s="133">
        <f t="shared" si="73"/>
        <v>0.77938686359921017</v>
      </c>
      <c r="HK67" s="133">
        <f t="shared" si="74"/>
        <v>0.800948140521901</v>
      </c>
      <c r="HL67" s="133">
        <f t="shared" si="75"/>
        <v>0.81917194659392367</v>
      </c>
      <c r="HM67" s="133">
        <f t="shared" si="76"/>
        <v>0.83984466757281129</v>
      </c>
      <c r="HN67" s="81"/>
      <c r="HO67" s="81">
        <v>68</v>
      </c>
      <c r="HP67" s="83">
        <f t="shared" si="77"/>
        <v>0.52367011051105394</v>
      </c>
      <c r="HQ67" s="83">
        <f t="shared" si="78"/>
        <v>0.55462257520025382</v>
      </c>
      <c r="HR67" s="83">
        <f t="shared" si="79"/>
        <v>0.57982324715751721</v>
      </c>
      <c r="HS67" s="83">
        <f t="shared" si="359"/>
        <v>0.60748348512348294</v>
      </c>
      <c r="HT67" s="83">
        <f t="shared" si="360"/>
        <v>0.6508199748674296</v>
      </c>
      <c r="HU67" s="84">
        <f t="shared" si="361"/>
        <v>0.69571346492498687</v>
      </c>
      <c r="HV67" s="83">
        <f t="shared" si="362"/>
        <v>0.7376764133813325</v>
      </c>
      <c r="HW67" s="83">
        <f t="shared" si="80"/>
        <v>0.7732432486173999</v>
      </c>
      <c r="HX67" s="83">
        <f t="shared" si="81"/>
        <v>0.79374147370808912</v>
      </c>
      <c r="HY67" s="83">
        <f t="shared" si="82"/>
        <v>0.81106847637039525</v>
      </c>
      <c r="HZ67" s="83">
        <f t="shared" si="83"/>
        <v>0.83072519505497444</v>
      </c>
      <c r="IA67" s="81"/>
      <c r="IB67" s="81">
        <v>66</v>
      </c>
      <c r="IC67" s="83">
        <f t="shared" si="84"/>
        <v>0.34329921926374657</v>
      </c>
      <c r="ID67" s="83">
        <f t="shared" si="85"/>
        <v>0.35612797770367072</v>
      </c>
      <c r="IE67" s="83">
        <f t="shared" si="86"/>
        <v>0.36626998567021207</v>
      </c>
      <c r="IF67" s="83">
        <f t="shared" si="363"/>
        <v>0.37712061334996322</v>
      </c>
      <c r="IG67" s="83">
        <f t="shared" si="364"/>
        <v>0.39359127822684775</v>
      </c>
      <c r="IH67" s="84">
        <f t="shared" si="365"/>
        <v>0.410050635156534</v>
      </c>
      <c r="II67" s="83">
        <f t="shared" si="366"/>
        <v>0.42494628508080073</v>
      </c>
      <c r="IJ67" s="83">
        <f t="shared" si="87"/>
        <v>0.43723930223423518</v>
      </c>
      <c r="IK67" s="83">
        <f t="shared" si="88"/>
        <v>0.44419642475411769</v>
      </c>
      <c r="IL67" s="83">
        <f t="shared" si="89"/>
        <v>0.45000844466950646</v>
      </c>
      <c r="IM67" s="83">
        <f t="shared" si="90"/>
        <v>0.45652882000488609</v>
      </c>
      <c r="IN67" s="81"/>
      <c r="IO67" s="81">
        <v>66</v>
      </c>
      <c r="IP67" s="133">
        <f t="shared" si="91"/>
        <v>0.34108769839834691</v>
      </c>
      <c r="IQ67" s="133">
        <f t="shared" si="92"/>
        <v>0.35452182740802274</v>
      </c>
      <c r="IR67" s="133">
        <f t="shared" si="93"/>
        <v>0.36511154173168853</v>
      </c>
      <c r="IS67" s="133">
        <f t="shared" si="367"/>
        <v>0.37641560834509652</v>
      </c>
      <c r="IT67" s="133">
        <f t="shared" si="368"/>
        <v>0.39353235273220744</v>
      </c>
      <c r="IU67" s="134">
        <f t="shared" si="369"/>
        <v>0.41059589220550108</v>
      </c>
      <c r="IV67" s="133">
        <f t="shared" si="370"/>
        <v>0.42600967445443022</v>
      </c>
      <c r="IW67" s="133">
        <f t="shared" si="94"/>
        <v>0.43871348634900248</v>
      </c>
      <c r="IX67" s="133">
        <f t="shared" si="95"/>
        <v>0.44589732524485387</v>
      </c>
      <c r="IY67" s="133">
        <f t="shared" si="96"/>
        <v>0.45189588968716904</v>
      </c>
      <c r="IZ67" s="133">
        <f t="shared" si="97"/>
        <v>0.45862270666759852</v>
      </c>
      <c r="JA67" s="81"/>
      <c r="JB67" s="81">
        <v>68</v>
      </c>
      <c r="JC67" s="133">
        <f t="shared" si="98"/>
        <v>0.34505162894665725</v>
      </c>
      <c r="JD67" s="133">
        <f t="shared" si="99"/>
        <v>0.35750104194236121</v>
      </c>
      <c r="JE67" s="133">
        <f t="shared" si="100"/>
        <v>0.36735799168729716</v>
      </c>
      <c r="JF67" s="133">
        <f t="shared" si="371"/>
        <v>0.37791590085240695</v>
      </c>
      <c r="JG67" s="133">
        <f t="shared" si="372"/>
        <v>0.39396237296341624</v>
      </c>
      <c r="JH67" s="134">
        <f t="shared" si="373"/>
        <v>0.41001737704724611</v>
      </c>
      <c r="JI67" s="133">
        <f t="shared" si="374"/>
        <v>0.42456034588085878</v>
      </c>
      <c r="JJ67" s="133">
        <f t="shared" si="101"/>
        <v>0.43656989513515493</v>
      </c>
      <c r="JK67" s="133">
        <f t="shared" si="102"/>
        <v>0.44336913483735385</v>
      </c>
      <c r="JL67" s="133">
        <f t="shared" si="103"/>
        <v>0.44905049093076688</v>
      </c>
      <c r="JM67" s="133">
        <f t="shared" si="104"/>
        <v>0.45542547991636917</v>
      </c>
      <c r="JN67" s="81"/>
      <c r="JO67" s="81">
        <v>65</v>
      </c>
      <c r="JP67" s="133">
        <f t="shared" si="105"/>
        <v>1.1640766309180819</v>
      </c>
      <c r="JQ67" s="133">
        <f t="shared" si="106"/>
        <v>2.5954610253459833</v>
      </c>
      <c r="JR67" s="133">
        <f t="shared" si="107"/>
        <v>3.8389125200183152</v>
      </c>
      <c r="JS67" s="133">
        <f t="shared" si="375"/>
        <v>5.2862332616534005</v>
      </c>
      <c r="JT67" s="133">
        <f t="shared" si="376"/>
        <v>7.731906431704715</v>
      </c>
      <c r="JU67" s="134">
        <f t="shared" si="377"/>
        <v>10.501614909909431</v>
      </c>
      <c r="JV67" s="133">
        <f t="shared" si="378"/>
        <v>13.314898806647623</v>
      </c>
      <c r="JW67" s="133">
        <f t="shared" si="108"/>
        <v>15.874095489144519</v>
      </c>
      <c r="JX67" s="133">
        <f t="shared" si="109"/>
        <v>17.423494512576216</v>
      </c>
      <c r="JY67" s="133">
        <f t="shared" si="110"/>
        <v>18.77634631006698</v>
      </c>
      <c r="JZ67" s="133">
        <f t="shared" si="111"/>
        <v>20.359563585435428</v>
      </c>
      <c r="KA67" s="81"/>
      <c r="KB67" s="81">
        <v>65</v>
      </c>
      <c r="KC67" s="133">
        <f t="shared" si="112"/>
        <v>2.6183359948533997</v>
      </c>
      <c r="KD67" s="133">
        <f t="shared" si="113"/>
        <v>4.0381911498502259</v>
      </c>
      <c r="KE67" s="133">
        <f t="shared" si="114"/>
        <v>5.2923154521521258</v>
      </c>
      <c r="KF67" s="133">
        <f t="shared" si="379"/>
        <v>6.7749548206499615</v>
      </c>
      <c r="KG67" s="133">
        <f t="shared" si="380"/>
        <v>9.3327695768235497</v>
      </c>
      <c r="KH67" s="134">
        <f t="shared" si="381"/>
        <v>12.303146799086944</v>
      </c>
      <c r="KI67" s="133">
        <f t="shared" si="382"/>
        <v>15.393822110801514</v>
      </c>
      <c r="KJ67" s="133">
        <f t="shared" si="115"/>
        <v>18.264892261289191</v>
      </c>
      <c r="KK67" s="133">
        <f t="shared" si="116"/>
        <v>20.029023732915554</v>
      </c>
      <c r="KL67" s="133">
        <f t="shared" si="117"/>
        <v>21.584641434645228</v>
      </c>
      <c r="KM67" s="133">
        <f t="shared" si="118"/>
        <v>23.422604756012035</v>
      </c>
      <c r="KN67" s="81"/>
      <c r="KO67" s="81">
        <v>67</v>
      </c>
      <c r="KP67" s="133">
        <f t="shared" si="119"/>
        <v>1.9324751591542118</v>
      </c>
      <c r="KQ67" s="133">
        <f t="shared" si="120"/>
        <v>3.1214045581617427</v>
      </c>
      <c r="KR67" s="133">
        <f t="shared" si="121"/>
        <v>4.1411356530811716</v>
      </c>
      <c r="KS67" s="133">
        <f t="shared" si="383"/>
        <v>5.3137550941282683</v>
      </c>
      <c r="KT67" s="133">
        <f t="shared" si="384"/>
        <v>7.2630047740992012</v>
      </c>
      <c r="KU67" s="134">
        <f t="shared" si="385"/>
        <v>9.4261731496598067</v>
      </c>
      <c r="KV67" s="133">
        <f t="shared" si="386"/>
        <v>11.580145113001155</v>
      </c>
      <c r="KW67" s="133">
        <f t="shared" si="122"/>
        <v>13.50540131305122</v>
      </c>
      <c r="KX67" s="133">
        <f t="shared" si="123"/>
        <v>14.65640282278186</v>
      </c>
      <c r="KY67" s="133">
        <f t="shared" si="124"/>
        <v>15.65291905332278</v>
      </c>
      <c r="KZ67" s="133">
        <f t="shared" si="125"/>
        <v>16.809548734611415</v>
      </c>
      <c r="LA67" s="81"/>
      <c r="LB67" s="81">
        <v>65</v>
      </c>
      <c r="LC67" s="133">
        <f t="shared" si="126"/>
        <v>5.0603055188613908</v>
      </c>
      <c r="LD67" s="133">
        <f t="shared" si="127"/>
        <v>8.7492281826326987</v>
      </c>
      <c r="LE67" s="133">
        <f t="shared" si="128"/>
        <v>11.972776745159216</v>
      </c>
      <c r="LF67" s="133">
        <f t="shared" si="387"/>
        <v>15.745124478279614</v>
      </c>
      <c r="LG67" s="133">
        <f t="shared" si="388"/>
        <v>22.164339106919705</v>
      </c>
      <c r="LH67" s="134">
        <f t="shared" si="389"/>
        <v>29.494086626461929</v>
      </c>
      <c r="LI67" s="133">
        <f t="shared" si="390"/>
        <v>36.99621239724231</v>
      </c>
      <c r="LJ67" s="133">
        <f t="shared" si="129"/>
        <v>43.864920835536829</v>
      </c>
      <c r="LK67" s="133">
        <f t="shared" si="130"/>
        <v>48.041963765824413</v>
      </c>
      <c r="LL67" s="133">
        <f t="shared" si="131"/>
        <v>51.699797203201051</v>
      </c>
      <c r="LM67" s="133">
        <f t="shared" si="132"/>
        <v>55.992442949155411</v>
      </c>
      <c r="LN67" s="81"/>
      <c r="LO67" s="81">
        <v>65</v>
      </c>
      <c r="LP67" s="133">
        <f t="shared" si="133"/>
        <v>10.044356208095</v>
      </c>
      <c r="LQ67" s="133">
        <f t="shared" si="134"/>
        <v>13.831045212220562</v>
      </c>
      <c r="LR67" s="133">
        <f t="shared" si="135"/>
        <v>17.147719185573482</v>
      </c>
      <c r="LS67" s="133">
        <f t="shared" si="391"/>
        <v>21.037522256462427</v>
      </c>
      <c r="LT67" s="133">
        <f t="shared" si="392"/>
        <v>27.675942876436519</v>
      </c>
      <c r="LU67" s="134">
        <f t="shared" si="393"/>
        <v>35.28298060482706</v>
      </c>
      <c r="LV67" s="133">
        <f t="shared" si="394"/>
        <v>43.095660861121985</v>
      </c>
      <c r="LW67" s="133">
        <f t="shared" si="136"/>
        <v>50.270177067704935</v>
      </c>
      <c r="LX67" s="133">
        <f t="shared" si="137"/>
        <v>54.6424729463087</v>
      </c>
      <c r="LY67" s="133">
        <f t="shared" si="138"/>
        <v>58.476732382769001</v>
      </c>
      <c r="LZ67" s="133">
        <f t="shared" si="139"/>
        <v>62.982620733711016</v>
      </c>
      <c r="MA67" s="81"/>
      <c r="MB67" s="81">
        <v>67</v>
      </c>
      <c r="MC67" s="133">
        <f t="shared" si="140"/>
        <v>6.690631265597581</v>
      </c>
      <c r="MD67" s="133">
        <f t="shared" si="141"/>
        <v>9.585726887950301</v>
      </c>
      <c r="ME67" s="133">
        <f t="shared" si="142"/>
        <v>12.09394693860947</v>
      </c>
      <c r="MF67" s="133">
        <f t="shared" si="395"/>
        <v>15.005832281039275</v>
      </c>
      <c r="MG67" s="133">
        <f t="shared" si="396"/>
        <v>19.908794106609207</v>
      </c>
      <c r="MH67" s="134">
        <f t="shared" si="397"/>
        <v>25.436506536729155</v>
      </c>
      <c r="MI67" s="133">
        <f t="shared" si="398"/>
        <v>31.026147329117727</v>
      </c>
      <c r="MJ67" s="133">
        <f t="shared" si="143"/>
        <v>36.090572471038691</v>
      </c>
      <c r="MK67" s="133">
        <f t="shared" si="144"/>
        <v>39.147800868320395</v>
      </c>
      <c r="ML67" s="133">
        <f t="shared" si="145"/>
        <v>41.811958655928287</v>
      </c>
      <c r="MM67" s="133">
        <f t="shared" si="146"/>
        <v>44.923771110231449</v>
      </c>
      <c r="MN67" s="81"/>
      <c r="MO67" s="81">
        <v>65</v>
      </c>
      <c r="MP67" s="133">
        <f t="shared" si="147"/>
        <v>-1.0987486649878946</v>
      </c>
      <c r="MQ67" s="133">
        <f t="shared" si="148"/>
        <v>2.9584213457906472</v>
      </c>
      <c r="MR67" s="133">
        <f t="shared" si="149"/>
        <v>6.4584473053149125</v>
      </c>
      <c r="MS67" s="133">
        <f t="shared" si="399"/>
        <v>10.50495087210529</v>
      </c>
      <c r="MT67" s="133">
        <f t="shared" si="400"/>
        <v>17.279465623714856</v>
      </c>
      <c r="MU67" s="134">
        <f t="shared" si="401"/>
        <v>24.862234954853065</v>
      </c>
      <c r="MV67" s="133">
        <f t="shared" si="402"/>
        <v>32.474935799088449</v>
      </c>
      <c r="MW67" s="133">
        <f t="shared" si="150"/>
        <v>39.32789487795818</v>
      </c>
      <c r="MX67" s="133">
        <f t="shared" si="151"/>
        <v>43.44553007538169</v>
      </c>
      <c r="MY67" s="133">
        <f t="shared" si="152"/>
        <v>47.02244540260336</v>
      </c>
      <c r="MZ67" s="133">
        <f t="shared" si="153"/>
        <v>51.187512092399096</v>
      </c>
      <c r="NA67" s="81"/>
      <c r="NB67" s="81">
        <v>65</v>
      </c>
      <c r="NC67" s="133">
        <f t="shared" si="154"/>
        <v>8.9376396041298314</v>
      </c>
      <c r="ND67" s="133">
        <f t="shared" si="155"/>
        <v>12.375372349154549</v>
      </c>
      <c r="NE67" s="133">
        <f t="shared" si="156"/>
        <v>15.342396088303357</v>
      </c>
      <c r="NF67" s="133">
        <f t="shared" si="403"/>
        <v>18.774286391236547</v>
      </c>
      <c r="NG67" s="133">
        <f t="shared" si="404"/>
        <v>24.523693667891866</v>
      </c>
      <c r="NH67" s="134">
        <f t="shared" si="405"/>
        <v>30.964663522767214</v>
      </c>
      <c r="NI67" s="133">
        <f t="shared" si="406"/>
        <v>37.436798340033135</v>
      </c>
      <c r="NJ67" s="133">
        <f t="shared" si="157"/>
        <v>43.267719138196227</v>
      </c>
      <c r="NK67" s="133">
        <f t="shared" si="158"/>
        <v>46.773313081757507</v>
      </c>
      <c r="NL67" s="133">
        <f t="shared" si="159"/>
        <v>49.81977128834211</v>
      </c>
      <c r="NM67" s="133">
        <f t="shared" si="160"/>
        <v>53.368540521947324</v>
      </c>
      <c r="NN67" s="81"/>
      <c r="NO67" s="81">
        <v>67</v>
      </c>
      <c r="NP67" s="133">
        <f t="shared" si="161"/>
        <v>-3.1973041316976634</v>
      </c>
      <c r="NQ67" s="133">
        <f t="shared" si="162"/>
        <v>0.4286580326789533</v>
      </c>
      <c r="NR67" s="133">
        <f t="shared" si="163"/>
        <v>3.548594806598949</v>
      </c>
      <c r="NS67" s="133">
        <f t="shared" si="407"/>
        <v>7.1471716921514101</v>
      </c>
      <c r="NT67" s="133">
        <f t="shared" si="408"/>
        <v>13.153448242564409</v>
      </c>
      <c r="NU67" s="134">
        <f t="shared" si="409"/>
        <v>19.85222176955304</v>
      </c>
      <c r="NV67" s="133">
        <f t="shared" si="410"/>
        <v>26.554953192464545</v>
      </c>
      <c r="NW67" s="133">
        <f t="shared" si="164"/>
        <v>32.571603851181983</v>
      </c>
      <c r="NX67" s="133">
        <f t="shared" si="165"/>
        <v>36.179589321888749</v>
      </c>
      <c r="NY67" s="133">
        <f t="shared" si="166"/>
        <v>39.309697881325697</v>
      </c>
      <c r="NZ67" s="133">
        <f t="shared" si="167"/>
        <v>42.949936549939828</v>
      </c>
      <c r="OA67" s="81"/>
      <c r="OB67" s="81">
        <v>65</v>
      </c>
      <c r="OC67" s="133">
        <v>14.676327352961303</v>
      </c>
      <c r="OD67" s="133">
        <v>15.984368863387798</v>
      </c>
      <c r="OE67" s="133">
        <v>17.202226482594899</v>
      </c>
      <c r="OF67" s="133">
        <v>18.72194070454087</v>
      </c>
      <c r="OG67" s="133">
        <v>21.561719778180393</v>
      </c>
      <c r="OH67" s="134">
        <v>25.2373688588637</v>
      </c>
      <c r="OI67" s="133">
        <v>29.539609709745232</v>
      </c>
      <c r="OJ67" s="133">
        <v>34.020233103497752</v>
      </c>
      <c r="OK67" s="133">
        <v>37.025718011722475</v>
      </c>
      <c r="OL67" s="133">
        <v>39.846727284755026</v>
      </c>
      <c r="OM67" s="133">
        <v>43.398104416758486</v>
      </c>
      <c r="ON67" s="81"/>
      <c r="OO67" s="81">
        <v>65</v>
      </c>
      <c r="OP67" s="133">
        <v>15.45535414790869</v>
      </c>
      <c r="OQ67" s="133">
        <v>16.494010828394153</v>
      </c>
      <c r="OR67" s="133">
        <v>17.442972218376603</v>
      </c>
      <c r="OS67" s="133">
        <v>18.605022033663058</v>
      </c>
      <c r="OT67" s="133">
        <v>25.312655983895993</v>
      </c>
      <c r="OU67" s="134">
        <v>23.357950161304991</v>
      </c>
      <c r="OV67" s="133">
        <v>26.333836370884644</v>
      </c>
      <c r="OW67" s="133">
        <v>29.325084095618688</v>
      </c>
      <c r="OX67" s="133">
        <v>31.278719527123439</v>
      </c>
      <c r="OY67" s="133">
        <v>33.078299839525847</v>
      </c>
      <c r="OZ67" s="133">
        <v>35.301283329818347</v>
      </c>
      <c r="PA67" s="81"/>
      <c r="PB67" s="81">
        <v>67</v>
      </c>
      <c r="PC67" s="133">
        <v>14.515555559587275</v>
      </c>
      <c r="PD67" s="133">
        <v>15.871187002354374</v>
      </c>
      <c r="PE67" s="133">
        <v>17.137940941077623</v>
      </c>
      <c r="PF67" s="133">
        <v>18.724412883585419</v>
      </c>
      <c r="PG67" s="133">
        <v>21.704455153765895</v>
      </c>
      <c r="PH67" s="134">
        <v>25.588186119339333</v>
      </c>
      <c r="PI67" s="133">
        <v>30.166860409041178</v>
      </c>
      <c r="PJ67" s="133">
        <v>34.96799995539169</v>
      </c>
      <c r="PK67" s="133">
        <v>38.205013725340777</v>
      </c>
      <c r="PL67" s="133">
        <v>41.254335216441099</v>
      </c>
      <c r="PM67" s="133">
        <v>45.107144965284881</v>
      </c>
      <c r="PN67" s="81"/>
      <c r="PO67" s="81">
        <v>65</v>
      </c>
      <c r="PP67" s="133">
        <v>10.319635820888234</v>
      </c>
      <c r="PQ67" s="133">
        <v>11.195728091274578</v>
      </c>
      <c r="PR67" s="133">
        <v>12.008476315956861</v>
      </c>
      <c r="PS67" s="133">
        <v>13.019017037151189</v>
      </c>
      <c r="PT67" s="133">
        <v>14.897555267209576</v>
      </c>
      <c r="PU67" s="134">
        <v>17.312492435240333</v>
      </c>
      <c r="PV67" s="133">
        <v>20.118897963074584</v>
      </c>
      <c r="PW67" s="133">
        <v>23.021891243014981</v>
      </c>
      <c r="PX67" s="133">
        <v>24.959235995825942</v>
      </c>
      <c r="PY67" s="133">
        <v>26.771139123487934</v>
      </c>
      <c r="PZ67" s="133">
        <v>29.043892587137453</v>
      </c>
      <c r="QA67" s="81"/>
      <c r="QB67" s="81">
        <v>65</v>
      </c>
      <c r="QC67" s="133">
        <v>10.488701935234229</v>
      </c>
      <c r="QD67" s="133">
        <v>11.364385168339354</v>
      </c>
      <c r="QE67" s="133">
        <v>12.175775600067777</v>
      </c>
      <c r="QF67" s="133">
        <v>13.183414200777808</v>
      </c>
      <c r="QG67" s="133">
        <v>15.053315004219396</v>
      </c>
      <c r="QH67" s="134">
        <v>17.451683227123702</v>
      </c>
      <c r="QI67" s="133">
        <v>20.232171277522809</v>
      </c>
      <c r="QJ67" s="133">
        <v>23.101849249483646</v>
      </c>
      <c r="QK67" s="133">
        <v>25.013704051688951</v>
      </c>
      <c r="QL67" s="133">
        <v>26.799623820245394</v>
      </c>
      <c r="QM67" s="133">
        <v>29.037077165552006</v>
      </c>
      <c r="QN67" s="81"/>
      <c r="QO67" s="81">
        <v>67</v>
      </c>
      <c r="QP67" s="133">
        <v>9.3402908570176351</v>
      </c>
      <c r="QQ67" s="133">
        <v>10.236151056484225</v>
      </c>
      <c r="QR67" s="133">
        <v>11.075068913545167</v>
      </c>
      <c r="QS67" s="133">
        <v>12.127970373385487</v>
      </c>
      <c r="QT67" s="133">
        <v>14.111846482606111</v>
      </c>
      <c r="QU67" s="134">
        <v>16.707795259958367</v>
      </c>
      <c r="QV67" s="133">
        <v>19.781282541073615</v>
      </c>
      <c r="QW67" s="133">
        <v>23.017076547389635</v>
      </c>
      <c r="QX67" s="133">
        <v>25.205298913063867</v>
      </c>
      <c r="QY67" s="133">
        <v>27.271033898220548</v>
      </c>
      <c r="QZ67" s="133">
        <v>29.886694828025988</v>
      </c>
      <c r="RA67" s="81"/>
      <c r="RB67" s="81">
        <v>65</v>
      </c>
      <c r="RC67" s="133">
        <f t="shared" si="168"/>
        <v>0.40145931049329664</v>
      </c>
      <c r="RD67" s="133">
        <f t="shared" si="169"/>
        <v>0.43793417143538294</v>
      </c>
      <c r="RE67" s="133">
        <f t="shared" si="170"/>
        <v>0.47238956126445319</v>
      </c>
      <c r="RF67" s="133">
        <f t="shared" si="411"/>
        <v>0.51606498397252176</v>
      </c>
      <c r="RG67" s="133">
        <f t="shared" si="412"/>
        <v>0.59973107535036374</v>
      </c>
      <c r="RH67" s="134">
        <f t="shared" si="413"/>
        <v>0.71205053625502612</v>
      </c>
      <c r="RI67" s="133">
        <f t="shared" si="414"/>
        <v>0.84935589431384295</v>
      </c>
      <c r="RJ67" s="133">
        <f t="shared" si="171"/>
        <v>0.99910547062572141</v>
      </c>
      <c r="RK67" s="133">
        <f t="shared" si="172"/>
        <v>1.1034362497988444</v>
      </c>
      <c r="RL67" s="133">
        <f t="shared" si="173"/>
        <v>1.2042123241647094</v>
      </c>
      <c r="RM67" s="133">
        <f t="shared" si="174"/>
        <v>1.3350176737842279</v>
      </c>
      <c r="RN67" s="81"/>
      <c r="RO67" s="81">
        <v>65</v>
      </c>
      <c r="RP67" s="133">
        <f t="shared" si="175"/>
        <v>0.44250339797064664</v>
      </c>
      <c r="RQ67" s="133">
        <f t="shared" si="176"/>
        <v>0.48359637823783691</v>
      </c>
      <c r="RR67" s="133">
        <f t="shared" si="177"/>
        <v>0.52269892862873113</v>
      </c>
      <c r="RS67" s="133">
        <f t="shared" si="415"/>
        <v>0.57266210387810668</v>
      </c>
      <c r="RT67" s="133">
        <f t="shared" si="416"/>
        <v>0.66960533299382086</v>
      </c>
      <c r="RU67" s="134">
        <f t="shared" si="417"/>
        <v>0.80226006080931289</v>
      </c>
      <c r="RV67" s="133">
        <f t="shared" si="418"/>
        <v>0.96824568496724051</v>
      </c>
      <c r="RW67" s="133">
        <f t="shared" si="178"/>
        <v>1.1539315597718041</v>
      </c>
      <c r="RX67" s="133">
        <f t="shared" si="179"/>
        <v>1.2860931768753316</v>
      </c>
      <c r="RY67" s="133">
        <f t="shared" si="180"/>
        <v>1.4158799782730271</v>
      </c>
      <c r="RZ67" s="133">
        <f t="shared" si="181"/>
        <v>1.5873958152105474</v>
      </c>
      <c r="SA67" s="81"/>
      <c r="SB67" s="81">
        <v>67</v>
      </c>
      <c r="SC67" s="133">
        <f t="shared" si="182"/>
        <v>0.41056794013724307</v>
      </c>
      <c r="SD67" s="133">
        <f t="shared" si="183"/>
        <v>0.44265993594837721</v>
      </c>
      <c r="SE67" s="133">
        <f t="shared" si="184"/>
        <v>0.47228792130987912</v>
      </c>
      <c r="SF67" s="133">
        <f t="shared" si="419"/>
        <v>0.50895106958727476</v>
      </c>
      <c r="SG67" s="133">
        <f t="shared" si="420"/>
        <v>0.57664790431804958</v>
      </c>
      <c r="SH67" s="134">
        <f t="shared" si="421"/>
        <v>0.66292461150395487</v>
      </c>
      <c r="SI67" s="133">
        <f t="shared" si="422"/>
        <v>0.76230281748603612</v>
      </c>
      <c r="SJ67" s="133">
        <f t="shared" si="185"/>
        <v>0.86426719528805274</v>
      </c>
      <c r="SK67" s="133">
        <f t="shared" si="186"/>
        <v>0.93190882291497745</v>
      </c>
      <c r="SL67" s="133">
        <f t="shared" si="187"/>
        <v>0.99490996185271319</v>
      </c>
      <c r="SM67" s="133">
        <f t="shared" si="188"/>
        <v>1.0736121355504356</v>
      </c>
      <c r="SN67" s="81"/>
      <c r="SO67" s="81">
        <v>65</v>
      </c>
      <c r="SP67" s="133">
        <f t="shared" si="189"/>
        <v>0.28743302582822422</v>
      </c>
      <c r="SQ67" s="133">
        <f t="shared" si="190"/>
        <v>0.30530409619659221</v>
      </c>
      <c r="SR67" s="133">
        <f t="shared" si="191"/>
        <v>0.32132696464518556</v>
      </c>
      <c r="SS67" s="133">
        <f t="shared" si="423"/>
        <v>0.34057075703263023</v>
      </c>
      <c r="ST67" s="133">
        <f t="shared" si="424"/>
        <v>0.37457238174763136</v>
      </c>
      <c r="SU67" s="134">
        <f t="shared" si="425"/>
        <v>0.41539089565784776</v>
      </c>
      <c r="SV67" s="133">
        <f t="shared" si="426"/>
        <v>0.45944398052811214</v>
      </c>
      <c r="SW67" s="133">
        <f t="shared" si="192"/>
        <v>0.50185645411930269</v>
      </c>
      <c r="SX67" s="133">
        <f t="shared" si="193"/>
        <v>0.52864336896471364</v>
      </c>
      <c r="SY67" s="133">
        <f t="shared" si="194"/>
        <v>0.55272949426846818</v>
      </c>
      <c r="SZ67" s="133">
        <f t="shared" si="195"/>
        <v>0.58175509116649526</v>
      </c>
      <c r="TA67" s="81"/>
      <c r="TB67" s="81">
        <v>65</v>
      </c>
      <c r="TC67" s="133">
        <f t="shared" si="196"/>
        <v>0.30775285469992164</v>
      </c>
      <c r="TD67" s="133">
        <f t="shared" si="197"/>
        <v>0.32665632056421734</v>
      </c>
      <c r="TE67" s="133">
        <f t="shared" si="198"/>
        <v>0.34367203162528398</v>
      </c>
      <c r="TF67" s="133">
        <f t="shared" si="427"/>
        <v>0.36419212740572909</v>
      </c>
      <c r="TG67" s="133">
        <f t="shared" si="428"/>
        <v>0.40067141978437604</v>
      </c>
      <c r="TH67" s="134">
        <f t="shared" si="429"/>
        <v>0.44483565645016648</v>
      </c>
      <c r="TI67" s="133">
        <f t="shared" si="430"/>
        <v>0.49294600134418021</v>
      </c>
      <c r="TJ67" s="133">
        <f t="shared" si="199"/>
        <v>0.53969282677552233</v>
      </c>
      <c r="TK67" s="133">
        <f t="shared" si="200"/>
        <v>0.56942912659025957</v>
      </c>
      <c r="TL67" s="133">
        <f t="shared" si="201"/>
        <v>0.59630484148104168</v>
      </c>
      <c r="TM67" s="133">
        <f t="shared" si="202"/>
        <v>0.62886252765233408</v>
      </c>
      <c r="TN67" s="81"/>
      <c r="TO67" s="81">
        <v>67</v>
      </c>
      <c r="TP67" s="133">
        <f t="shared" si="203"/>
        <v>0.29209055800124856</v>
      </c>
      <c r="TQ67" s="133">
        <f t="shared" si="204"/>
        <v>0.30757968210270775</v>
      </c>
      <c r="TR67" s="133">
        <f t="shared" si="205"/>
        <v>0.32126261368560949</v>
      </c>
      <c r="TS67" s="133">
        <f t="shared" si="431"/>
        <v>0.33745553893835495</v>
      </c>
      <c r="TT67" s="133">
        <f t="shared" si="432"/>
        <v>0.36547029443510942</v>
      </c>
      <c r="TU67" s="134">
        <f t="shared" si="433"/>
        <v>0.39818536321971743</v>
      </c>
      <c r="TV67" s="133">
        <f t="shared" si="434"/>
        <v>0.43248772038736027</v>
      </c>
      <c r="TW67" s="133">
        <f t="shared" si="206"/>
        <v>0.46462801970602641</v>
      </c>
      <c r="TX67" s="133">
        <f t="shared" si="207"/>
        <v>0.48451856005997296</v>
      </c>
      <c r="TY67" s="133">
        <f t="shared" si="208"/>
        <v>0.50215166606442296</v>
      </c>
      <c r="TZ67" s="133">
        <f t="shared" si="209"/>
        <v>0.52310127383626825</v>
      </c>
      <c r="UA67" s="81"/>
      <c r="UB67" s="81">
        <v>65</v>
      </c>
      <c r="UC67" s="133">
        <f t="shared" si="210"/>
        <v>-9.5557053330405211</v>
      </c>
      <c r="UD67" s="133">
        <f t="shared" si="211"/>
        <v>-6.5933348594274008</v>
      </c>
      <c r="UE67" s="133">
        <f t="shared" si="212"/>
        <v>-4.0960513992243364</v>
      </c>
      <c r="UF67" s="133">
        <f t="shared" si="435"/>
        <v>-1.26999957594807</v>
      </c>
      <c r="UG67" s="133">
        <f t="shared" si="436"/>
        <v>3.3295138462594451</v>
      </c>
      <c r="UH67" s="134">
        <f t="shared" si="437"/>
        <v>8.305396109937405</v>
      </c>
      <c r="UI67" s="133">
        <f t="shared" si="438"/>
        <v>13.141320949491387</v>
      </c>
      <c r="UJ67" s="133">
        <f t="shared" si="213"/>
        <v>17.37397438401446</v>
      </c>
      <c r="UK67" s="133">
        <f t="shared" si="214"/>
        <v>19.867318566555255</v>
      </c>
      <c r="UL67" s="133">
        <f t="shared" si="215"/>
        <v>22.004954904132276</v>
      </c>
      <c r="UM67" s="133">
        <f t="shared" si="216"/>
        <v>24.462718254065138</v>
      </c>
      <c r="UN67" s="81"/>
      <c r="UO67" s="81">
        <v>65</v>
      </c>
      <c r="UP67" s="133">
        <f t="shared" si="217"/>
        <v>-5.4783134719077324</v>
      </c>
      <c r="UQ67" s="133">
        <f t="shared" si="218"/>
        <v>-2.9026899018979897</v>
      </c>
      <c r="UR67" s="133">
        <f t="shared" si="219"/>
        <v>-0.69093886566363949</v>
      </c>
      <c r="US67" s="133">
        <f t="shared" si="439"/>
        <v>1.8554400094306089</v>
      </c>
      <c r="UT67" s="133">
        <f t="shared" si="440"/>
        <v>6.0953307756604502</v>
      </c>
      <c r="UU67" s="134">
        <f t="shared" si="441"/>
        <v>10.810551191878027</v>
      </c>
      <c r="UV67" s="133">
        <f t="shared" si="442"/>
        <v>15.515850592334935</v>
      </c>
      <c r="UW67" s="133">
        <f t="shared" si="220"/>
        <v>19.72976663849655</v>
      </c>
      <c r="UX67" s="133">
        <f t="shared" si="221"/>
        <v>22.252626577379964</v>
      </c>
      <c r="UY67" s="133">
        <f t="shared" si="222"/>
        <v>24.438993974506943</v>
      </c>
      <c r="UZ67" s="133">
        <f t="shared" si="223"/>
        <v>26.979070624418092</v>
      </c>
      <c r="VA67" s="81"/>
      <c r="VB67" s="81">
        <v>68</v>
      </c>
      <c r="VC67" s="133">
        <f t="shared" si="224"/>
        <v>-9.4279354141357672</v>
      </c>
      <c r="VD67" s="133">
        <f t="shared" si="225"/>
        <v>-6.6523723744469123</v>
      </c>
      <c r="VE67" s="133">
        <f t="shared" si="226"/>
        <v>-4.33231811314851</v>
      </c>
      <c r="VF67" s="133">
        <f t="shared" si="443"/>
        <v>-1.7270920991237872</v>
      </c>
      <c r="VG67" s="133">
        <f t="shared" si="444"/>
        <v>2.4705808391395436</v>
      </c>
      <c r="VH67" s="134">
        <f t="shared" si="445"/>
        <v>6.9578239285097681</v>
      </c>
      <c r="VI67" s="133">
        <f t="shared" si="446"/>
        <v>11.27029072847192</v>
      </c>
      <c r="VJ67" s="133">
        <f t="shared" si="227"/>
        <v>15.00888953407393</v>
      </c>
      <c r="VK67" s="133">
        <f t="shared" si="228"/>
        <v>17.196567652459592</v>
      </c>
      <c r="VL67" s="133">
        <f t="shared" si="229"/>
        <v>19.06393265991737</v>
      </c>
      <c r="VM67" s="133">
        <f t="shared" si="230"/>
        <v>21.201933649762154</v>
      </c>
      <c r="VN67" s="81"/>
      <c r="VO67" s="81">
        <v>65</v>
      </c>
      <c r="VP67" s="133">
        <f t="shared" si="231"/>
        <v>-16.758375574408113</v>
      </c>
      <c r="VQ67" s="133">
        <f t="shared" si="232"/>
        <v>-11.90471478369745</v>
      </c>
      <c r="VR67" s="133">
        <f t="shared" si="233"/>
        <v>-7.5395760870196895</v>
      </c>
      <c r="VS67" s="133">
        <f t="shared" si="447"/>
        <v>-2.2918786375987068</v>
      </c>
      <c r="VT67" s="133">
        <f t="shared" si="448"/>
        <v>6.9640764262841586</v>
      </c>
      <c r="VU67" s="134">
        <f t="shared" si="449"/>
        <v>18.002250594441669</v>
      </c>
      <c r="VV67" s="133">
        <f t="shared" si="450"/>
        <v>29.780917088471689</v>
      </c>
      <c r="VW67" s="133">
        <f t="shared" si="234"/>
        <v>40.963484537821991</v>
      </c>
      <c r="VX67" s="133">
        <f t="shared" si="235"/>
        <v>47.940423287184679</v>
      </c>
      <c r="VY67" s="133">
        <f t="shared" si="236"/>
        <v>54.155535482591894</v>
      </c>
      <c r="VZ67" s="133">
        <f t="shared" si="237"/>
        <v>61.57102223924479</v>
      </c>
      <c r="WA67" s="81"/>
      <c r="WB67" s="81">
        <v>65</v>
      </c>
      <c r="WC67" s="133">
        <f t="shared" si="238"/>
        <v>-9.906548703529019</v>
      </c>
      <c r="WD67" s="133">
        <f t="shared" si="239"/>
        <v>-5.1238096631292578</v>
      </c>
      <c r="WE67" s="133">
        <f t="shared" si="240"/>
        <v>-0.82788887282475798</v>
      </c>
      <c r="WF67" s="133">
        <f t="shared" si="451"/>
        <v>4.3309428109930437</v>
      </c>
      <c r="WG67" s="133">
        <f t="shared" si="452"/>
        <v>13.418020840260709</v>
      </c>
      <c r="WH67" s="134">
        <f t="shared" si="453"/>
        <v>24.239152477015018</v>
      </c>
      <c r="WI67" s="133">
        <f t="shared" si="454"/>
        <v>35.772120261809313</v>
      </c>
      <c r="WJ67" s="133">
        <f t="shared" si="241"/>
        <v>46.71111824276354</v>
      </c>
      <c r="WK67" s="133">
        <f t="shared" si="242"/>
        <v>53.531981692174618</v>
      </c>
      <c r="WL67" s="133">
        <f t="shared" si="243"/>
        <v>59.605792870090291</v>
      </c>
      <c r="WM67" s="133">
        <f t="shared" si="244"/>
        <v>66.850220278427372</v>
      </c>
      <c r="WN67" s="81"/>
      <c r="WO67" s="81">
        <v>68</v>
      </c>
      <c r="WP67" s="133">
        <f t="shared" si="245"/>
        <v>-18.468243964721928</v>
      </c>
      <c r="WQ67" s="133">
        <f t="shared" si="246"/>
        <v>-13.76595733881009</v>
      </c>
      <c r="WR67" s="133">
        <f t="shared" si="247"/>
        <v>-9.5718869684072345</v>
      </c>
      <c r="WS67" s="133">
        <f t="shared" si="455"/>
        <v>-4.5703799598503991</v>
      </c>
      <c r="WT67" s="133">
        <f t="shared" si="456"/>
        <v>4.1531813700502411</v>
      </c>
      <c r="WU67" s="134">
        <f t="shared" si="457"/>
        <v>14.410864981472763</v>
      </c>
      <c r="WV67" s="133">
        <f t="shared" si="458"/>
        <v>25.204015980614891</v>
      </c>
      <c r="WW67" s="133">
        <f t="shared" si="248"/>
        <v>35.322630515003773</v>
      </c>
      <c r="WX67" s="133">
        <f t="shared" si="249"/>
        <v>41.57862453502954</v>
      </c>
      <c r="WY67" s="133">
        <f t="shared" si="250"/>
        <v>47.117287663104797</v>
      </c>
      <c r="WZ67" s="133">
        <f t="shared" si="251"/>
        <v>53.685973801828844</v>
      </c>
      <c r="XA67" s="81"/>
      <c r="XB67" s="81">
        <v>65</v>
      </c>
      <c r="XC67" s="133">
        <f t="shared" si="252"/>
        <v>-22.16955826343311</v>
      </c>
      <c r="XD67" s="133">
        <f t="shared" si="253"/>
        <v>-17.041404881651424</v>
      </c>
      <c r="XE67" s="133">
        <f t="shared" si="254"/>
        <v>-12.498140806869344</v>
      </c>
      <c r="XF67" s="133">
        <f t="shared" si="459"/>
        <v>-7.1171442094348549</v>
      </c>
      <c r="XG67" s="133">
        <f t="shared" si="460"/>
        <v>2.176588105241926</v>
      </c>
      <c r="XH67" s="134">
        <f t="shared" si="461"/>
        <v>12.966266966709306</v>
      </c>
      <c r="XI67" s="133">
        <f t="shared" si="462"/>
        <v>24.172645752471503</v>
      </c>
      <c r="XJ67" s="133">
        <f t="shared" si="255"/>
        <v>34.55524814714132</v>
      </c>
      <c r="XK67" s="133">
        <f t="shared" si="256"/>
        <v>40.919530215414063</v>
      </c>
      <c r="XL67" s="133">
        <f t="shared" si="257"/>
        <v>46.521231096847622</v>
      </c>
      <c r="XM67" s="133">
        <f t="shared" si="258"/>
        <v>53.126718540412192</v>
      </c>
      <c r="XN67" s="81"/>
      <c r="XO67" s="81">
        <v>65</v>
      </c>
      <c r="XP67" s="133">
        <f t="shared" si="259"/>
        <v>-10.268685483438006</v>
      </c>
      <c r="XQ67" s="133">
        <f t="shared" si="260"/>
        <v>-5.7650943868442965</v>
      </c>
      <c r="XR67" s="133">
        <f t="shared" si="261"/>
        <v>-1.8136909546901805</v>
      </c>
      <c r="XS67" s="133">
        <f t="shared" si="463"/>
        <v>2.8271456633992784</v>
      </c>
      <c r="XT67" s="133">
        <f t="shared" si="464"/>
        <v>10.760312544701549</v>
      </c>
      <c r="XU67" s="134">
        <f t="shared" si="465"/>
        <v>19.86603257957622</v>
      </c>
      <c r="XV67" s="133">
        <f t="shared" si="466"/>
        <v>29.229697748727652</v>
      </c>
      <c r="XW67" s="133">
        <f t="shared" si="262"/>
        <v>37.835924440717186</v>
      </c>
      <c r="XX67" s="133">
        <f t="shared" si="263"/>
        <v>43.083303273275099</v>
      </c>
      <c r="XY67" s="133">
        <f t="shared" si="264"/>
        <v>47.686212679588586</v>
      </c>
      <c r="XZ67" s="133">
        <f t="shared" si="265"/>
        <v>53.096603831699973</v>
      </c>
      <c r="YA67" s="81"/>
      <c r="YB67" s="81">
        <v>68</v>
      </c>
      <c r="YC67" s="133">
        <f t="shared" si="266"/>
        <v>-25.179625645702718</v>
      </c>
      <c r="YD67" s="133">
        <f t="shared" si="267"/>
        <v>-20.213270922688288</v>
      </c>
      <c r="YE67" s="133">
        <f t="shared" si="268"/>
        <v>-15.833086866179606</v>
      </c>
      <c r="YF67" s="133">
        <f t="shared" si="467"/>
        <v>-10.667585764719945</v>
      </c>
      <c r="YG67" s="133">
        <f t="shared" si="468"/>
        <v>-1.7982481861275801</v>
      </c>
      <c r="YH67" s="134">
        <f t="shared" si="469"/>
        <v>8.4245734673603536</v>
      </c>
      <c r="YI67" s="133">
        <f t="shared" si="470"/>
        <v>18.96795527817843</v>
      </c>
      <c r="YJ67" s="133">
        <f t="shared" si="269"/>
        <v>28.67641481162611</v>
      </c>
      <c r="YK67" s="133">
        <f t="shared" si="270"/>
        <v>34.601571859270557</v>
      </c>
      <c r="YL67" s="133">
        <f t="shared" si="271"/>
        <v>39.801589999558566</v>
      </c>
      <c r="YM67" s="133">
        <f t="shared" si="272"/>
        <v>45.916137490637901</v>
      </c>
      <c r="YN67" s="81"/>
      <c r="YO67" s="81">
        <v>65</v>
      </c>
      <c r="YP67" s="133">
        <v>18.440300730417604</v>
      </c>
      <c r="YQ67" s="133">
        <v>20.306777468949559</v>
      </c>
      <c r="YR67" s="133">
        <v>22.062466168947708</v>
      </c>
      <c r="YS67" s="133">
        <v>24.275871714663275</v>
      </c>
      <c r="YT67" s="133">
        <v>28.473367561490914</v>
      </c>
      <c r="YU67" s="134">
        <v>34.012601766317246</v>
      </c>
      <c r="YV67" s="133">
        <v>40.6294435112301</v>
      </c>
      <c r="YW67" s="133">
        <v>47.654605054421758</v>
      </c>
      <c r="YX67" s="133">
        <v>52.435528741674851</v>
      </c>
      <c r="YY67" s="133">
        <v>56.969013457846756</v>
      </c>
      <c r="YZ67" s="133">
        <v>62.735260982258865</v>
      </c>
      <c r="ZA67" s="81"/>
      <c r="ZB67" s="81">
        <v>65</v>
      </c>
      <c r="ZC67" s="133">
        <v>17.389664261690427</v>
      </c>
      <c r="ZD67" s="133">
        <v>19.03750982003195</v>
      </c>
      <c r="ZE67" s="133">
        <v>20.579108266935719</v>
      </c>
      <c r="ZF67" s="133">
        <v>22.512034546134608</v>
      </c>
      <c r="ZG67" s="133">
        <v>26.148931754039381</v>
      </c>
      <c r="ZH67" s="134">
        <v>30.899115872156692</v>
      </c>
      <c r="ZI67" s="133">
        <v>36.512212837661274</v>
      </c>
      <c r="ZJ67" s="133">
        <v>42.410887373344934</v>
      </c>
      <c r="ZK67" s="133">
        <v>46.394399081662968</v>
      </c>
      <c r="ZL67" s="133">
        <v>50.151273496722638</v>
      </c>
      <c r="ZM67" s="133">
        <v>54.903610979097479</v>
      </c>
      <c r="ZN67" s="81"/>
      <c r="ZO67" s="81">
        <v>68</v>
      </c>
      <c r="ZP67" s="133">
        <v>19.641297120646087</v>
      </c>
      <c r="ZQ67" s="133">
        <v>21.594158935630475</v>
      </c>
      <c r="ZR67" s="133">
        <v>23.428332762199005</v>
      </c>
      <c r="ZS67" s="133">
        <v>25.737195708556239</v>
      </c>
      <c r="ZT67" s="133">
        <v>30.106199871833013</v>
      </c>
      <c r="ZU67" s="134">
        <v>35.855326856695832</v>
      </c>
      <c r="ZV67" s="133">
        <v>42.702316116730792</v>
      </c>
      <c r="ZW67" s="133">
        <v>49.951225399941272</v>
      </c>
      <c r="ZX67" s="133">
        <v>54.873920267804237</v>
      </c>
      <c r="ZY67" s="133">
        <v>59.534824571437227</v>
      </c>
      <c r="ZZ67" s="133">
        <v>65.454152854758377</v>
      </c>
      <c r="AAA67" s="81"/>
      <c r="AAB67" s="81">
        <v>65</v>
      </c>
      <c r="AAC67" s="133">
        <v>10.967951903436836</v>
      </c>
      <c r="AAD67" s="133">
        <v>12.10530913711284</v>
      </c>
      <c r="AAE67" s="133">
        <v>13.177392875787755</v>
      </c>
      <c r="AAF67" s="133">
        <v>14.531799165770225</v>
      </c>
      <c r="AAG67" s="133">
        <v>17.108031620792335</v>
      </c>
      <c r="AAH67" s="134">
        <v>20.52121046837814</v>
      </c>
      <c r="AAI67" s="133">
        <v>24.615343741571184</v>
      </c>
      <c r="AAJ67" s="133">
        <v>28.979211333956787</v>
      </c>
      <c r="AAK67" s="133">
        <v>31.957769116927651</v>
      </c>
      <c r="AAL67" s="133">
        <v>34.788048311495757</v>
      </c>
      <c r="AAM67" s="133">
        <v>38.395507456183616</v>
      </c>
      <c r="AAN67" s="81"/>
      <c r="AAO67" s="81">
        <v>65</v>
      </c>
      <c r="AAP67" s="133">
        <v>11.022862285463054</v>
      </c>
      <c r="AAQ67" s="133">
        <v>12.20818973812106</v>
      </c>
      <c r="AAR67" s="133">
        <v>13.329092660939743</v>
      </c>
      <c r="AAS67" s="133">
        <v>14.749739442465755</v>
      </c>
      <c r="AAT67" s="133">
        <v>17.464535635743552</v>
      </c>
      <c r="AAU67" s="134">
        <v>21.083250779785654</v>
      </c>
      <c r="AAV67" s="133">
        <v>25.451776830160647</v>
      </c>
      <c r="AAW67" s="133">
        <v>30.136360386378719</v>
      </c>
      <c r="AAX67" s="133">
        <v>33.348366220450131</v>
      </c>
      <c r="AAY67" s="133">
        <v>36.41026826895839</v>
      </c>
      <c r="AAZ67" s="133">
        <v>40.325593473987574</v>
      </c>
      <c r="ABA67" s="81"/>
      <c r="ABB67" s="81">
        <v>68</v>
      </c>
      <c r="ABC67" s="133">
        <v>10.272931455626731</v>
      </c>
      <c r="ABD67" s="133">
        <v>11.389982543951096</v>
      </c>
      <c r="ABE67" s="133">
        <v>12.447385235778524</v>
      </c>
      <c r="ABF67" s="133">
        <v>13.788902567356576</v>
      </c>
      <c r="ABG67" s="133">
        <v>16.356214150004856</v>
      </c>
      <c r="ABH67" s="134">
        <v>19.784867069257864</v>
      </c>
      <c r="ABI67" s="133">
        <v>23.932247484549361</v>
      </c>
      <c r="ABJ67" s="133">
        <v>28.388115953106354</v>
      </c>
      <c r="ABK67" s="133">
        <v>31.447646034369839</v>
      </c>
      <c r="ABL67" s="133">
        <v>34.367125975630898</v>
      </c>
      <c r="ABM67" s="133">
        <v>38.104115328619542</v>
      </c>
      <c r="ABN67" s="81"/>
      <c r="ABO67" s="81">
        <v>65</v>
      </c>
      <c r="ABP67" s="133">
        <f t="shared" si="273"/>
        <v>0.3149574378451539</v>
      </c>
      <c r="ABQ67" s="133">
        <f t="shared" si="274"/>
        <v>0.35389071684954215</v>
      </c>
      <c r="ABR67" s="133">
        <f t="shared" si="275"/>
        <v>0.39008523036060155</v>
      </c>
      <c r="ABS67" s="133">
        <f t="shared" si="471"/>
        <v>0.4350824524975126</v>
      </c>
      <c r="ABT67" s="133">
        <f t="shared" si="472"/>
        <v>0.51840487146288172</v>
      </c>
      <c r="ABU67" s="134">
        <f t="shared" si="473"/>
        <v>0.62435925952906146</v>
      </c>
      <c r="ABV67" s="133">
        <f t="shared" si="474"/>
        <v>0.7452881179407681</v>
      </c>
      <c r="ABW67" s="133">
        <f t="shared" si="276"/>
        <v>0.86756702442469957</v>
      </c>
      <c r="ABX67" s="133">
        <f t="shared" si="277"/>
        <v>0.94752427693883579</v>
      </c>
      <c r="ABY67" s="133">
        <f t="shared" si="278"/>
        <v>1.0211130747158146</v>
      </c>
      <c r="ABZ67" s="133">
        <f t="shared" si="279"/>
        <v>1.1118168983798991</v>
      </c>
      <c r="ACA67" s="81"/>
      <c r="ACB67" s="81">
        <v>65</v>
      </c>
      <c r="ACC67" s="133">
        <f t="shared" si="280"/>
        <v>0.39273293622450395</v>
      </c>
      <c r="ACD67" s="133">
        <f t="shared" si="281"/>
        <v>0.43120634235270905</v>
      </c>
      <c r="ACE67" s="133">
        <f t="shared" si="282"/>
        <v>0.46684218224637841</v>
      </c>
      <c r="ACF67" s="133">
        <f t="shared" si="475"/>
        <v>0.51104097056724074</v>
      </c>
      <c r="ACG67" s="133">
        <f t="shared" si="476"/>
        <v>0.59278350104080457</v>
      </c>
      <c r="ACH67" s="134">
        <f t="shared" si="477"/>
        <v>0.69689431193373907</v>
      </c>
      <c r="ACI67" s="133">
        <f t="shared" si="478"/>
        <v>0.8163384230288252</v>
      </c>
      <c r="ACJ67" s="133">
        <f t="shared" si="283"/>
        <v>0.93806396922047119</v>
      </c>
      <c r="ACK67" s="133">
        <f t="shared" si="284"/>
        <v>1.018258197561233</v>
      </c>
      <c r="ACL67" s="133">
        <f t="shared" si="285"/>
        <v>1.0925150933930072</v>
      </c>
      <c r="ACM67" s="133">
        <f t="shared" si="286"/>
        <v>1.1846603759889449</v>
      </c>
      <c r="ACN67" s="81"/>
      <c r="ACO67" s="81">
        <v>68</v>
      </c>
      <c r="ACP67" s="133">
        <f t="shared" si="287"/>
        <v>0.289985132561834</v>
      </c>
      <c r="ACQ67" s="133">
        <f t="shared" si="288"/>
        <v>0.32882334702099414</v>
      </c>
      <c r="ACR67" s="133">
        <f t="shared" si="289"/>
        <v>0.36424406807421184</v>
      </c>
      <c r="ACS67" s="133">
        <f t="shared" si="479"/>
        <v>0.4074061616912269</v>
      </c>
      <c r="ACT67" s="133">
        <f t="shared" si="480"/>
        <v>0.48503826469524364</v>
      </c>
      <c r="ACU67" s="134">
        <f t="shared" si="481"/>
        <v>0.57966371872799949</v>
      </c>
      <c r="ACV67" s="133">
        <f t="shared" si="482"/>
        <v>0.6830094995682835</v>
      </c>
      <c r="ACW67" s="133">
        <f t="shared" si="290"/>
        <v>0.78335223869411386</v>
      </c>
      <c r="ACX67" s="133">
        <f t="shared" si="291"/>
        <v>0.84685643312550707</v>
      </c>
      <c r="ACY67" s="133">
        <f t="shared" si="292"/>
        <v>0.90400734335340138</v>
      </c>
      <c r="ACZ67" s="133">
        <f t="shared" si="293"/>
        <v>0.97288171272898061</v>
      </c>
      <c r="ADA67" s="81"/>
      <c r="ADB67" s="81">
        <v>65</v>
      </c>
      <c r="ADC67" s="133">
        <f t="shared" si="294"/>
        <v>0.24211038597881157</v>
      </c>
      <c r="ADD67" s="133">
        <f t="shared" si="295"/>
        <v>0.26335673384962172</v>
      </c>
      <c r="ADE67" s="133">
        <f t="shared" si="296"/>
        <v>0.28194480861205462</v>
      </c>
      <c r="ADF67" s="133">
        <f t="shared" si="483"/>
        <v>0.30372259986898953</v>
      </c>
      <c r="ADG67" s="133">
        <f t="shared" si="484"/>
        <v>0.34084025185730932</v>
      </c>
      <c r="ADH67" s="134">
        <f t="shared" si="485"/>
        <v>0.3833090662621233</v>
      </c>
      <c r="ADI67" s="133">
        <f t="shared" si="486"/>
        <v>0.42686526237009442</v>
      </c>
      <c r="ADJ67" s="133">
        <f t="shared" si="297"/>
        <v>0.4668172486765772</v>
      </c>
      <c r="ADK67" s="133">
        <f t="shared" si="298"/>
        <v>0.49114547844762124</v>
      </c>
      <c r="ADL67" s="133">
        <f t="shared" si="299"/>
        <v>0.51246894857873915</v>
      </c>
      <c r="ADM67" s="133">
        <f t="shared" si="300"/>
        <v>0.53751523937914547</v>
      </c>
      <c r="ADN67" s="81"/>
      <c r="ADO67" s="81">
        <v>65</v>
      </c>
      <c r="ADP67" s="133">
        <f t="shared" si="301"/>
        <v>0.28368895773163066</v>
      </c>
      <c r="ADQ67" s="133">
        <f t="shared" si="302"/>
        <v>0.30230604677836231</v>
      </c>
      <c r="ADR67" s="133">
        <f t="shared" si="303"/>
        <v>0.3186864767336387</v>
      </c>
      <c r="ADS67" s="133">
        <f t="shared" si="487"/>
        <v>0.337989981078407</v>
      </c>
      <c r="ADT67" s="133">
        <f t="shared" si="488"/>
        <v>0.37117305021588259</v>
      </c>
      <c r="ADU67" s="134">
        <f t="shared" si="489"/>
        <v>0.40957873668545752</v>
      </c>
      <c r="ADV67" s="133">
        <f t="shared" si="490"/>
        <v>0.44945111804612065</v>
      </c>
      <c r="ADW67" s="133">
        <f t="shared" si="304"/>
        <v>0.48644847873578018</v>
      </c>
      <c r="ADX67" s="133">
        <f t="shared" si="305"/>
        <v>0.50917332503278789</v>
      </c>
      <c r="ADY67" s="133">
        <f t="shared" si="306"/>
        <v>0.52921161712141684</v>
      </c>
      <c r="ADZ67" s="133">
        <f t="shared" si="307"/>
        <v>0.55288996491755071</v>
      </c>
      <c r="AEA67" s="81"/>
      <c r="AEB67" s="81">
        <v>68</v>
      </c>
      <c r="AEC67" s="133">
        <f t="shared" si="308"/>
        <v>0.22790992625968767</v>
      </c>
      <c r="AED67" s="133">
        <f t="shared" si="309"/>
        <v>0.24986287785173217</v>
      </c>
      <c r="AEE67" s="133">
        <f t="shared" si="310"/>
        <v>0.26868175933530447</v>
      </c>
      <c r="AEF67" s="133">
        <f t="shared" si="491"/>
        <v>0.29031367731020058</v>
      </c>
      <c r="AEG67" s="133">
        <f t="shared" si="492"/>
        <v>0.32625875162872064</v>
      </c>
      <c r="AEH67" s="134">
        <f t="shared" si="493"/>
        <v>0.36613734243246882</v>
      </c>
      <c r="AEI67" s="133">
        <f t="shared" si="494"/>
        <v>0.4058425871008558</v>
      </c>
      <c r="AEJ67" s="133">
        <f t="shared" si="311"/>
        <v>0.44133334144008962</v>
      </c>
      <c r="AEK67" s="133">
        <f t="shared" si="312"/>
        <v>0.46255328222065728</v>
      </c>
      <c r="AEL67" s="133">
        <f t="shared" si="313"/>
        <v>0.48092684318936807</v>
      </c>
      <c r="AEM67" s="133">
        <f t="shared" si="314"/>
        <v>0.50225492806336336</v>
      </c>
      <c r="AEN67" s="81"/>
    </row>
    <row r="68" spans="1:820">
      <c r="A68" s="81"/>
      <c r="B68" s="81">
        <v>67</v>
      </c>
      <c r="C68" s="133">
        <f t="shared" si="0"/>
        <v>2.4277134885485556</v>
      </c>
      <c r="D68" s="133">
        <f t="shared" si="1"/>
        <v>2.9398735481888587</v>
      </c>
      <c r="E68" s="133">
        <f t="shared" si="2"/>
        <v>3.4853421274796856</v>
      </c>
      <c r="F68" s="133">
        <f t="shared" si="315"/>
        <v>4.2701464018460538</v>
      </c>
      <c r="G68" s="133">
        <f t="shared" si="316"/>
        <v>6.0999667693897059</v>
      </c>
      <c r="H68" s="134">
        <f t="shared" si="317"/>
        <v>9.350931081554819</v>
      </c>
      <c r="I68" s="133">
        <f t="shared" si="318"/>
        <v>14.866851535901576</v>
      </c>
      <c r="J68" s="133">
        <f t="shared" si="3"/>
        <v>23.376137935375993</v>
      </c>
      <c r="K68" s="133">
        <f t="shared" si="4"/>
        <v>31.257694264861861</v>
      </c>
      <c r="L68" s="133">
        <f t="shared" si="5"/>
        <v>40.751802288251973</v>
      </c>
      <c r="M68" s="133">
        <f t="shared" si="6"/>
        <v>56.435809684954016</v>
      </c>
      <c r="N68" s="81"/>
      <c r="O68" s="75">
        <v>67</v>
      </c>
      <c r="P68" s="151">
        <f t="shared" si="7"/>
        <v>3.1456048406678714</v>
      </c>
      <c r="Q68" s="151">
        <f t="shared" si="8"/>
        <v>3.6597604669638302</v>
      </c>
      <c r="R68" s="151">
        <f t="shared" si="9"/>
        <v>4.2014312168821961</v>
      </c>
      <c r="S68" s="151">
        <f t="shared" si="319"/>
        <v>4.9764528248279687</v>
      </c>
      <c r="T68" s="151">
        <f t="shared" si="320"/>
        <v>6.7915448852043596</v>
      </c>
      <c r="U68" s="134">
        <f t="shared" si="321"/>
        <v>10.129688869198802</v>
      </c>
      <c r="V68" s="151">
        <f t="shared" si="322"/>
        <v>16.318239404280114</v>
      </c>
      <c r="W68" s="151">
        <f t="shared" si="10"/>
        <v>27.533487368286956</v>
      </c>
      <c r="X68" s="151">
        <f t="shared" si="11"/>
        <v>40.110135852660115</v>
      </c>
      <c r="Y68" s="151">
        <f t="shared" si="12"/>
        <v>58.654037148505125</v>
      </c>
      <c r="Z68" s="151">
        <f t="shared" si="13"/>
        <v>99.683043911346545</v>
      </c>
      <c r="AA68" s="81"/>
      <c r="AB68" s="75">
        <v>69</v>
      </c>
      <c r="AC68" s="151">
        <f t="shared" si="14"/>
        <v>2.2157358630449582</v>
      </c>
      <c r="AD68" s="151">
        <f t="shared" si="15"/>
        <v>2.6579837936567308</v>
      </c>
      <c r="AE68" s="151">
        <f t="shared" si="16"/>
        <v>3.1276255130723882</v>
      </c>
      <c r="AF68" s="151">
        <f t="shared" si="323"/>
        <v>3.8021578044714759</v>
      </c>
      <c r="AG68" s="151">
        <f t="shared" si="324"/>
        <v>5.3749965625166478</v>
      </c>
      <c r="AH68" s="134">
        <f t="shared" si="325"/>
        <v>8.1852094369526736</v>
      </c>
      <c r="AI68" s="151">
        <f t="shared" si="326"/>
        <v>13.025348007133973</v>
      </c>
      <c r="AJ68" s="151">
        <f t="shared" si="17"/>
        <v>20.687529015000869</v>
      </c>
      <c r="AK68" s="151">
        <f t="shared" si="18"/>
        <v>27.99040485199669</v>
      </c>
      <c r="AL68" s="151">
        <f t="shared" si="19"/>
        <v>37.034498800610372</v>
      </c>
      <c r="AM68" s="151">
        <f t="shared" si="20"/>
        <v>52.523007435735721</v>
      </c>
      <c r="AN68" s="81"/>
      <c r="AO68" s="81">
        <v>67</v>
      </c>
      <c r="AP68" s="133">
        <f t="shared" si="21"/>
        <v>2.3273805253297537</v>
      </c>
      <c r="AQ68" s="133">
        <f t="shared" si="22"/>
        <v>5.2775614952284995</v>
      </c>
      <c r="AR68" s="133">
        <f t="shared" si="23"/>
        <v>8.1568267344333378</v>
      </c>
      <c r="AS68" s="133">
        <f t="shared" si="327"/>
        <v>11.873508558302973</v>
      </c>
      <c r="AT68" s="133">
        <f t="shared" si="328"/>
        <v>19.032137198854205</v>
      </c>
      <c r="AU68" s="134">
        <f t="shared" si="329"/>
        <v>28.443916749908905</v>
      </c>
      <c r="AV68" s="133">
        <f t="shared" si="330"/>
        <v>39.388840823028282</v>
      </c>
      <c r="AW68" s="133">
        <f t="shared" si="24"/>
        <v>50.53049230149621</v>
      </c>
      <c r="AX68" s="133">
        <f t="shared" si="25"/>
        <v>57.814792896078536</v>
      </c>
      <c r="AY68" s="133">
        <f t="shared" si="26"/>
        <v>64.50292138265155</v>
      </c>
      <c r="AZ68" s="133">
        <f t="shared" si="27"/>
        <v>72.713945522379461</v>
      </c>
      <c r="BA68" s="81"/>
      <c r="BB68" s="81">
        <v>67</v>
      </c>
      <c r="BC68" s="133">
        <f t="shared" si="28"/>
        <v>5.1368171124782256</v>
      </c>
      <c r="BD68" s="133">
        <f t="shared" si="29"/>
        <v>8.5835554769460174</v>
      </c>
      <c r="BE68" s="133">
        <f t="shared" si="30"/>
        <v>11.82686704744556</v>
      </c>
      <c r="BF68" s="133">
        <f t="shared" si="331"/>
        <v>15.874864188820215</v>
      </c>
      <c r="BG68" s="133">
        <f t="shared" si="332"/>
        <v>23.335144285305727</v>
      </c>
      <c r="BH68" s="134">
        <f t="shared" si="333"/>
        <v>32.648375359225831</v>
      </c>
      <c r="BI68" s="133">
        <f t="shared" si="334"/>
        <v>42.967456112946657</v>
      </c>
      <c r="BJ68" s="133">
        <f t="shared" si="31"/>
        <v>53.048803707877866</v>
      </c>
      <c r="BK68" s="133">
        <f t="shared" si="32"/>
        <v>59.454552110546665</v>
      </c>
      <c r="BL68" s="133">
        <f t="shared" si="33"/>
        <v>65.225982854293932</v>
      </c>
      <c r="BM68" s="133">
        <f t="shared" si="34"/>
        <v>72.184121286379735</v>
      </c>
      <c r="BN68" s="81"/>
      <c r="BO68" s="75">
        <v>69</v>
      </c>
      <c r="BP68" s="151">
        <f t="shared" si="35"/>
        <v>5.8408017372977694</v>
      </c>
      <c r="BQ68" s="151">
        <f t="shared" si="36"/>
        <v>7.4904268279766262</v>
      </c>
      <c r="BR68" s="151">
        <f t="shared" si="37"/>
        <v>9.211764682866038</v>
      </c>
      <c r="BS68" s="151">
        <f t="shared" si="335"/>
        <v>11.60422318673386</v>
      </c>
      <c r="BT68" s="151">
        <f t="shared" si="336"/>
        <v>16.773403305106886</v>
      </c>
      <c r="BU68" s="134">
        <f t="shared" si="337"/>
        <v>24.731316896692967</v>
      </c>
      <c r="BV68" s="151">
        <f t="shared" si="338"/>
        <v>35.703233639418606</v>
      </c>
      <c r="BW68" s="151">
        <f t="shared" si="38"/>
        <v>48.837460448267784</v>
      </c>
      <c r="BX68" s="151">
        <f t="shared" si="39"/>
        <v>58.53046334181991</v>
      </c>
      <c r="BY68" s="151">
        <f t="shared" si="40"/>
        <v>68.220537257526942</v>
      </c>
      <c r="BZ68" s="151">
        <f t="shared" si="41"/>
        <v>81.175344570851863</v>
      </c>
      <c r="CA68" s="81"/>
      <c r="CB68" s="81">
        <v>67</v>
      </c>
      <c r="CC68" s="133">
        <f t="shared" si="42"/>
        <v>-2.103537464455596</v>
      </c>
      <c r="CD68" s="133">
        <f t="shared" si="43"/>
        <v>0.88579453967304733</v>
      </c>
      <c r="CE68" s="133">
        <f t="shared" si="44"/>
        <v>3.7610810414481177</v>
      </c>
      <c r="CF68" s="133">
        <f t="shared" si="339"/>
        <v>7.3778670418757484</v>
      </c>
      <c r="CG68" s="133">
        <f t="shared" si="340"/>
        <v>14.037805889000136</v>
      </c>
      <c r="CH68" s="134">
        <f t="shared" si="341"/>
        <v>22.263386243179657</v>
      </c>
      <c r="CI68" s="133">
        <f t="shared" si="342"/>
        <v>31.228791078990486</v>
      </c>
      <c r="CJ68" s="133">
        <f t="shared" si="45"/>
        <v>39.836798431595327</v>
      </c>
      <c r="CK68" s="133">
        <f t="shared" si="46"/>
        <v>45.233393046220691</v>
      </c>
      <c r="CL68" s="133">
        <f t="shared" si="47"/>
        <v>50.050005682604045</v>
      </c>
      <c r="CM68" s="133">
        <f t="shared" si="48"/>
        <v>55.802726158938476</v>
      </c>
      <c r="CN68" s="81"/>
      <c r="CO68" s="81">
        <v>67</v>
      </c>
      <c r="CP68" s="133">
        <f t="shared" si="49"/>
        <v>3.8208957023992278</v>
      </c>
      <c r="CQ68" s="133">
        <f t="shared" si="50"/>
        <v>6.7568550215593222</v>
      </c>
      <c r="CR68" s="133">
        <f t="shared" si="51"/>
        <v>9.4597814084279364</v>
      </c>
      <c r="CS68" s="133">
        <f t="shared" si="343"/>
        <v>12.763714439637766</v>
      </c>
      <c r="CT68" s="133">
        <f t="shared" si="344"/>
        <v>18.684935120998851</v>
      </c>
      <c r="CU68" s="134">
        <f t="shared" si="345"/>
        <v>25.83328993219865</v>
      </c>
      <c r="CV68" s="133">
        <f t="shared" si="346"/>
        <v>33.506540499323542</v>
      </c>
      <c r="CW68" s="133">
        <f t="shared" si="52"/>
        <v>40.802043851762917</v>
      </c>
      <c r="CX68" s="133">
        <f t="shared" si="53"/>
        <v>45.350647251019666</v>
      </c>
      <c r="CY68" s="133">
        <f t="shared" si="54"/>
        <v>49.397707265133626</v>
      </c>
      <c r="CZ68" s="133">
        <f t="shared" si="55"/>
        <v>54.218364251347175</v>
      </c>
      <c r="DA68" s="81"/>
      <c r="DB68" s="81">
        <v>69</v>
      </c>
      <c r="DC68" s="133">
        <f t="shared" si="56"/>
        <v>-2.6055196543170798</v>
      </c>
      <c r="DD68" s="133">
        <f t="shared" si="57"/>
        <v>-0.16895598792434541</v>
      </c>
      <c r="DE68" s="133">
        <f t="shared" si="58"/>
        <v>2.2491286341832764</v>
      </c>
      <c r="DF68" s="133">
        <f t="shared" si="347"/>
        <v>5.3810840916401625</v>
      </c>
      <c r="DG68" s="133">
        <f t="shared" si="348"/>
        <v>11.368779272805916</v>
      </c>
      <c r="DH68" s="134">
        <f t="shared" si="349"/>
        <v>19.085531305837492</v>
      </c>
      <c r="DI68" s="133">
        <f t="shared" si="350"/>
        <v>27.823908811348215</v>
      </c>
      <c r="DJ68" s="133">
        <f t="shared" si="59"/>
        <v>36.481938259718504</v>
      </c>
      <c r="DK68" s="133">
        <f t="shared" si="60"/>
        <v>42.026862365237285</v>
      </c>
      <c r="DL68" s="133">
        <f t="shared" si="61"/>
        <v>47.045030765402764</v>
      </c>
      <c r="DM68" s="133">
        <f t="shared" si="62"/>
        <v>53.117985390474772</v>
      </c>
      <c r="DN68" s="81"/>
      <c r="DO68" s="81">
        <v>67</v>
      </c>
      <c r="DP68" s="133">
        <v>13.937228918489106</v>
      </c>
      <c r="DQ68" s="133">
        <v>15.126346107730981</v>
      </c>
      <c r="DR68" s="133">
        <v>16.229886660069383</v>
      </c>
      <c r="DS68" s="133">
        <v>17.602484823533896</v>
      </c>
      <c r="DT68" s="133">
        <v>20.155398042581773</v>
      </c>
      <c r="DU68" s="134">
        <v>23.43952004528796</v>
      </c>
      <c r="DV68" s="133">
        <v>27.258757122669071</v>
      </c>
      <c r="DW68" s="133">
        <v>31.212133142640919</v>
      </c>
      <c r="DX68" s="133">
        <v>33.851813722469181</v>
      </c>
      <c r="DY68" s="133">
        <v>36.321468254164536</v>
      </c>
      <c r="DZ68" s="133">
        <v>39.420397208559045</v>
      </c>
      <c r="EA68" s="81"/>
      <c r="EB68" s="81">
        <v>67</v>
      </c>
      <c r="EC68" s="133">
        <v>13.205830192677547</v>
      </c>
      <c r="ED68" s="133">
        <v>14.443952370781815</v>
      </c>
      <c r="EE68" s="133">
        <v>15.601258698302683</v>
      </c>
      <c r="EF68" s="133">
        <v>17.051107084651257</v>
      </c>
      <c r="EG68" s="133">
        <v>19.77572610039509</v>
      </c>
      <c r="EH68" s="134">
        <v>23.328651524849001</v>
      </c>
      <c r="EI68" s="133">
        <v>27.519898849982884</v>
      </c>
      <c r="EJ68" s="133">
        <v>31.917339986547287</v>
      </c>
      <c r="EK68" s="133">
        <v>34.883466295386</v>
      </c>
      <c r="EL68" s="133">
        <v>37.678466945704947</v>
      </c>
      <c r="EM68" s="133">
        <v>41.211038914433807</v>
      </c>
      <c r="EN68" s="81"/>
      <c r="EO68" s="81">
        <v>69</v>
      </c>
      <c r="EP68" s="133">
        <v>11.035223778269156</v>
      </c>
      <c r="EQ68" s="133">
        <v>12.525061438064126</v>
      </c>
      <c r="ER68" s="133">
        <v>13.966311707153288</v>
      </c>
      <c r="ES68" s="133">
        <v>15.834990425551622</v>
      </c>
      <c r="ET68" s="133">
        <v>19.52511606602167</v>
      </c>
      <c r="EU68" s="134">
        <v>24.660077528873124</v>
      </c>
      <c r="EV68" s="133">
        <v>31.14549596907673</v>
      </c>
      <c r="EW68" s="133">
        <v>38.403523297921353</v>
      </c>
      <c r="EX68" s="133">
        <v>43.541876801916573</v>
      </c>
      <c r="EY68" s="133">
        <v>48.552210840414389</v>
      </c>
      <c r="EZ68" s="133">
        <v>55.107122061951976</v>
      </c>
      <c r="FA68" s="81"/>
      <c r="FB68" s="81">
        <v>67</v>
      </c>
      <c r="FC68" s="133">
        <v>9.9225514734754743</v>
      </c>
      <c r="FD68" s="133">
        <v>10.702319097307853</v>
      </c>
      <c r="FE68" s="133">
        <v>11.42180043494918</v>
      </c>
      <c r="FF68" s="133">
        <v>12.311549981667843</v>
      </c>
      <c r="FG68" s="133">
        <v>13.952719842837812</v>
      </c>
      <c r="FH68" s="134">
        <v>16.041042334110923</v>
      </c>
      <c r="FI68" s="133">
        <v>18.441926883296773</v>
      </c>
      <c r="FJ68" s="133">
        <v>20.900296026729897</v>
      </c>
      <c r="FK68" s="133">
        <v>22.528413154321047</v>
      </c>
      <c r="FL68" s="133">
        <v>24.042923484636702</v>
      </c>
      <c r="FM68" s="133">
        <v>25.932346116075291</v>
      </c>
      <c r="FN68" s="81"/>
      <c r="FO68" s="81">
        <v>67</v>
      </c>
      <c r="FP68" s="133">
        <v>9.8643110630221553</v>
      </c>
      <c r="FQ68" s="133">
        <v>10.633528836594758</v>
      </c>
      <c r="FR68" s="133">
        <v>11.342906039548172</v>
      </c>
      <c r="FS68" s="133">
        <v>12.219703546935502</v>
      </c>
      <c r="FT68" s="133">
        <v>13.835772020171541</v>
      </c>
      <c r="FU68" s="134">
        <v>15.890130589604523</v>
      </c>
      <c r="FV68" s="133">
        <v>18.249523755274684</v>
      </c>
      <c r="FW68" s="133">
        <v>20.663042207599808</v>
      </c>
      <c r="FX68" s="133">
        <v>22.260278739357613</v>
      </c>
      <c r="FY68" s="133">
        <v>23.745292276420233</v>
      </c>
      <c r="FZ68" s="133">
        <v>25.596947271989947</v>
      </c>
      <c r="GA68" s="81"/>
      <c r="GB68" s="81">
        <v>69</v>
      </c>
      <c r="GC68" s="133">
        <v>7.7677038251924824</v>
      </c>
      <c r="GD68" s="133">
        <v>8.7537977996399636</v>
      </c>
      <c r="GE68" s="133">
        <v>9.7014494146450403</v>
      </c>
      <c r="GF68" s="133">
        <v>10.922042553438249</v>
      </c>
      <c r="GG68" s="133">
        <v>13.309456642106433</v>
      </c>
      <c r="GH68" s="134">
        <v>16.590334796120793</v>
      </c>
      <c r="GI68" s="133">
        <v>20.679973348920676</v>
      </c>
      <c r="GJ68" s="133">
        <v>25.200342088095162</v>
      </c>
      <c r="GK68" s="133">
        <v>28.370936844950485</v>
      </c>
      <c r="GL68" s="133">
        <v>31.442262541030665</v>
      </c>
      <c r="GM68" s="133">
        <v>35.433792899609678</v>
      </c>
      <c r="GN68" s="81"/>
      <c r="GO68" s="81">
        <v>67</v>
      </c>
      <c r="GP68" s="133">
        <f t="shared" si="63"/>
        <v>0.52265309426082307</v>
      </c>
      <c r="GQ68" s="133">
        <f t="shared" si="64"/>
        <v>0.55415523250877741</v>
      </c>
      <c r="GR68" s="133">
        <f t="shared" si="65"/>
        <v>0.57980366693291652</v>
      </c>
      <c r="GS68" s="133">
        <f t="shared" si="351"/>
        <v>0.60795680341912828</v>
      </c>
      <c r="GT68" s="133">
        <f t="shared" si="352"/>
        <v>0.65331870371181411</v>
      </c>
      <c r="GU68" s="134">
        <f t="shared" si="353"/>
        <v>0.69777867611236688</v>
      </c>
      <c r="GV68" s="133">
        <f t="shared" si="354"/>
        <v>0.73942054090847331</v>
      </c>
      <c r="GW68" s="133">
        <f t="shared" si="66"/>
        <v>0.77674232182774461</v>
      </c>
      <c r="GX68" s="133">
        <f t="shared" si="67"/>
        <v>0.79762606860068963</v>
      </c>
      <c r="GY68" s="133">
        <f t="shared" si="68"/>
        <v>0.81528115579715221</v>
      </c>
      <c r="GZ68" s="133">
        <f t="shared" si="69"/>
        <v>0.83531256054083214</v>
      </c>
      <c r="HA68" s="81"/>
      <c r="HB68" s="81">
        <v>67</v>
      </c>
      <c r="HC68" s="133">
        <f t="shared" si="70"/>
        <v>0.51894740823609409</v>
      </c>
      <c r="HD68" s="133">
        <f t="shared" si="71"/>
        <v>0.55153965586536569</v>
      </c>
      <c r="HE68" s="133">
        <f t="shared" si="72"/>
        <v>0.5780471941890718</v>
      </c>
      <c r="HF68" s="133">
        <f t="shared" si="355"/>
        <v>0.60711957611776379</v>
      </c>
      <c r="HG68" s="133">
        <f t="shared" si="356"/>
        <v>0.65263452195087934</v>
      </c>
      <c r="HH68" s="134">
        <f t="shared" si="357"/>
        <v>0.69975619615101947</v>
      </c>
      <c r="HI68" s="133">
        <f t="shared" si="358"/>
        <v>0.7437874171966401</v>
      </c>
      <c r="HJ68" s="133">
        <f t="shared" si="73"/>
        <v>0.78110257766727276</v>
      </c>
      <c r="HK68" s="133">
        <f t="shared" si="74"/>
        <v>0.80260808257337224</v>
      </c>
      <c r="HL68" s="133">
        <f t="shared" si="75"/>
        <v>0.82078691226388079</v>
      </c>
      <c r="HM68" s="133">
        <f t="shared" si="76"/>
        <v>0.84141083733475663</v>
      </c>
      <c r="HN68" s="81"/>
      <c r="HO68" s="81">
        <v>69</v>
      </c>
      <c r="HP68" s="83">
        <f t="shared" si="77"/>
        <v>0.52512162754679315</v>
      </c>
      <c r="HQ68" s="83">
        <f t="shared" si="78"/>
        <v>0.55606623873919125</v>
      </c>
      <c r="HR68" s="83">
        <f t="shared" si="79"/>
        <v>0.58126437148973387</v>
      </c>
      <c r="HS68" s="83">
        <f t="shared" si="359"/>
        <v>0.60892524377707669</v>
      </c>
      <c r="HT68" s="83">
        <f t="shared" si="360"/>
        <v>0.65226883912364575</v>
      </c>
      <c r="HU68" s="84">
        <f t="shared" si="361"/>
        <v>0.69717621862513923</v>
      </c>
      <c r="HV68" s="83">
        <f t="shared" si="362"/>
        <v>0.73915707325736668</v>
      </c>
      <c r="HW68" s="83">
        <f t="shared" si="80"/>
        <v>0.77474220697895158</v>
      </c>
      <c r="HX68" s="83">
        <f t="shared" si="81"/>
        <v>0.79525211455097966</v>
      </c>
      <c r="HY68" s="83">
        <f t="shared" si="82"/>
        <v>0.81258958041031748</v>
      </c>
      <c r="HZ68" s="83">
        <f t="shared" si="83"/>
        <v>0.8322587751991809</v>
      </c>
      <c r="IA68" s="81"/>
      <c r="IB68" s="81">
        <v>67</v>
      </c>
      <c r="IC68" s="83">
        <f t="shared" si="84"/>
        <v>0.34421926292373201</v>
      </c>
      <c r="ID68" s="83">
        <f t="shared" si="85"/>
        <v>0.35697171902090269</v>
      </c>
      <c r="IE68" s="83">
        <f t="shared" si="86"/>
        <v>0.36706021026145413</v>
      </c>
      <c r="IF68" s="83">
        <f t="shared" si="363"/>
        <v>0.37785934908151253</v>
      </c>
      <c r="IG68" s="83">
        <f t="shared" si="364"/>
        <v>0.39426164310649925</v>
      </c>
      <c r="IH68" s="84">
        <f t="shared" si="365"/>
        <v>0.41066260236511837</v>
      </c>
      <c r="II68" s="83">
        <f t="shared" si="366"/>
        <v>0.42551253033925435</v>
      </c>
      <c r="IJ68" s="83">
        <f t="shared" si="87"/>
        <v>0.43777215698079031</v>
      </c>
      <c r="IK68" s="83">
        <f t="shared" si="88"/>
        <v>0.44471192183655334</v>
      </c>
      <c r="IL68" s="83">
        <f t="shared" si="89"/>
        <v>0.4505102224136035</v>
      </c>
      <c r="IM68" s="83">
        <f t="shared" si="90"/>
        <v>0.45701599882831534</v>
      </c>
      <c r="IN68" s="81"/>
      <c r="IO68" s="81">
        <v>67</v>
      </c>
      <c r="IP68" s="133">
        <f t="shared" si="91"/>
        <v>0.34226294189696327</v>
      </c>
      <c r="IQ68" s="133">
        <f t="shared" si="92"/>
        <v>0.35557688486845518</v>
      </c>
      <c r="IR68" s="133">
        <f t="shared" si="93"/>
        <v>0.366082352245376</v>
      </c>
      <c r="IS68" s="133">
        <f t="shared" si="367"/>
        <v>0.37730529066849305</v>
      </c>
      <c r="IT68" s="133">
        <f t="shared" si="368"/>
        <v>0.39431398182714827</v>
      </c>
      <c r="IU68" s="134">
        <f t="shared" si="369"/>
        <v>0.41128466794133184</v>
      </c>
      <c r="IV68" s="133">
        <f t="shared" si="370"/>
        <v>0.42662515765920406</v>
      </c>
      <c r="IW68" s="133">
        <f t="shared" si="94"/>
        <v>0.43927496983945247</v>
      </c>
      <c r="IX68" s="133">
        <f t="shared" si="95"/>
        <v>0.44643053405454708</v>
      </c>
      <c r="IY68" s="133">
        <f t="shared" si="96"/>
        <v>0.45240663351691307</v>
      </c>
      <c r="IZ68" s="133">
        <f t="shared" si="97"/>
        <v>0.45910941674001232</v>
      </c>
      <c r="JA68" s="81"/>
      <c r="JB68" s="81">
        <v>69</v>
      </c>
      <c r="JC68" s="133">
        <f t="shared" si="98"/>
        <v>0.34567714188735055</v>
      </c>
      <c r="JD68" s="133">
        <f t="shared" si="99"/>
        <v>0.35809765540559507</v>
      </c>
      <c r="JE68" s="133">
        <f t="shared" si="100"/>
        <v>0.3679348544230911</v>
      </c>
      <c r="JF68" s="133">
        <f t="shared" si="371"/>
        <v>0.37847427518127785</v>
      </c>
      <c r="JG68" s="133">
        <f t="shared" si="372"/>
        <v>0.39449719589912835</v>
      </c>
      <c r="JH68" s="134">
        <f t="shared" si="373"/>
        <v>0.41053327158636316</v>
      </c>
      <c r="JI68" s="133">
        <f t="shared" si="374"/>
        <v>0.42506243785354086</v>
      </c>
      <c r="JJ68" s="133">
        <f t="shared" si="101"/>
        <v>0.43706263265239625</v>
      </c>
      <c r="JK68" s="133">
        <f t="shared" si="102"/>
        <v>0.44385730234001092</v>
      </c>
      <c r="JL68" s="133">
        <f t="shared" si="103"/>
        <v>0.44953520884075387</v>
      </c>
      <c r="JM68" s="133">
        <f t="shared" si="104"/>
        <v>0.45590670178244358</v>
      </c>
      <c r="JN68" s="81"/>
      <c r="JO68" s="81">
        <v>66</v>
      </c>
      <c r="JP68" s="133">
        <f t="shared" si="105"/>
        <v>1.4305492746074293</v>
      </c>
      <c r="JQ68" s="133">
        <f t="shared" si="106"/>
        <v>2.8594553378713066</v>
      </c>
      <c r="JR68" s="133">
        <f t="shared" si="107"/>
        <v>4.1005938395089458</v>
      </c>
      <c r="JS68" s="133">
        <f t="shared" si="375"/>
        <v>5.5450533305202256</v>
      </c>
      <c r="JT68" s="133">
        <f t="shared" si="376"/>
        <v>7.9855249415196425</v>
      </c>
      <c r="JU68" s="134">
        <f t="shared" si="377"/>
        <v>10.748861225732185</v>
      </c>
      <c r="JV68" s="133">
        <f t="shared" si="378"/>
        <v>13.555227188986546</v>
      </c>
      <c r="JW68" s="133">
        <f t="shared" si="108"/>
        <v>16.10779538237971</v>
      </c>
      <c r="JX68" s="133">
        <f t="shared" si="109"/>
        <v>17.653043623843441</v>
      </c>
      <c r="JY68" s="133">
        <f t="shared" si="110"/>
        <v>19.002193478017222</v>
      </c>
      <c r="JZ68" s="133">
        <f t="shared" si="111"/>
        <v>20.580992625186592</v>
      </c>
      <c r="KA68" s="81"/>
      <c r="KB68" s="81">
        <v>66</v>
      </c>
      <c r="KC68" s="133">
        <f t="shared" si="112"/>
        <v>2.8859419130588719</v>
      </c>
      <c r="KD68" s="133">
        <f t="shared" si="113"/>
        <v>4.3105733008509777</v>
      </c>
      <c r="KE68" s="133">
        <f t="shared" si="114"/>
        <v>5.5684593033428538</v>
      </c>
      <c r="KF68" s="133">
        <f t="shared" si="379"/>
        <v>7.0550649149581499</v>
      </c>
      <c r="KG68" s="133">
        <f t="shared" si="380"/>
        <v>9.6186788814898758</v>
      </c>
      <c r="KH68" s="134">
        <f t="shared" si="381"/>
        <v>12.594421738213891</v>
      </c>
      <c r="KI68" s="133">
        <f t="shared" si="382"/>
        <v>15.689415527785732</v>
      </c>
      <c r="KJ68" s="133">
        <f t="shared" si="115"/>
        <v>18.563546632178351</v>
      </c>
      <c r="KK68" s="133">
        <f t="shared" si="116"/>
        <v>20.329169321876641</v>
      </c>
      <c r="KL68" s="133">
        <f t="shared" si="117"/>
        <v>21.885882309495074</v>
      </c>
      <c r="KM68" s="133">
        <f t="shared" si="118"/>
        <v>23.72489675041755</v>
      </c>
      <c r="KN68" s="81"/>
      <c r="KO68" s="81">
        <v>68</v>
      </c>
      <c r="KP68" s="133">
        <f t="shared" si="119"/>
        <v>2.2410586091806977</v>
      </c>
      <c r="KQ68" s="133">
        <f t="shared" si="120"/>
        <v>3.4164189184026483</v>
      </c>
      <c r="KR68" s="133">
        <f t="shared" si="121"/>
        <v>4.4245769220186908</v>
      </c>
      <c r="KS68" s="133">
        <f t="shared" si="383"/>
        <v>5.5839556664023924</v>
      </c>
      <c r="KT68" s="133">
        <f t="shared" si="384"/>
        <v>7.5113388443430864</v>
      </c>
      <c r="KU68" s="134">
        <f t="shared" si="385"/>
        <v>9.6504253033823204</v>
      </c>
      <c r="KV68" s="133">
        <f t="shared" si="386"/>
        <v>11.78058436502835</v>
      </c>
      <c r="KW68" s="133">
        <f t="shared" si="122"/>
        <v>13.68467909017286</v>
      </c>
      <c r="KX68" s="133">
        <f t="shared" si="123"/>
        <v>14.823079107978462</v>
      </c>
      <c r="KY68" s="133">
        <f t="shared" si="124"/>
        <v>15.808712954874263</v>
      </c>
      <c r="KZ68" s="133">
        <f t="shared" si="125"/>
        <v>16.952742099370742</v>
      </c>
      <c r="LA68" s="81"/>
      <c r="LB68" s="81">
        <v>66</v>
      </c>
      <c r="LC68" s="133">
        <f t="shared" si="126"/>
        <v>5.8272118407599791</v>
      </c>
      <c r="LD68" s="133">
        <f t="shared" si="127"/>
        <v>9.5123239647364244</v>
      </c>
      <c r="LE68" s="133">
        <f t="shared" si="128"/>
        <v>12.731620250135457</v>
      </c>
      <c r="LF68" s="133">
        <f t="shared" si="387"/>
        <v>16.498039540741253</v>
      </c>
      <c r="LG68" s="133">
        <f t="shared" si="388"/>
        <v>22.90514804649856</v>
      </c>
      <c r="LH68" s="134">
        <f t="shared" si="389"/>
        <v>30.218491707315316</v>
      </c>
      <c r="LI68" s="133">
        <f t="shared" si="390"/>
        <v>37.701506107984279</v>
      </c>
      <c r="LJ68" s="133">
        <f t="shared" si="129"/>
        <v>44.551010754587658</v>
      </c>
      <c r="LK68" s="133">
        <f t="shared" si="130"/>
        <v>48.715687449653053</v>
      </c>
      <c r="LL68" s="133">
        <f t="shared" si="131"/>
        <v>52.362308573544119</v>
      </c>
      <c r="LM68" s="133">
        <f t="shared" si="132"/>
        <v>56.641376647918797</v>
      </c>
      <c r="LN68" s="81"/>
      <c r="LO68" s="81">
        <v>66</v>
      </c>
      <c r="LP68" s="133">
        <f t="shared" si="133"/>
        <v>10.862987606768076</v>
      </c>
      <c r="LQ68" s="133">
        <f t="shared" si="134"/>
        <v>14.653432296194904</v>
      </c>
      <c r="LR68" s="133">
        <f t="shared" si="135"/>
        <v>17.972350212642038</v>
      </c>
      <c r="LS68" s="133">
        <f t="shared" si="391"/>
        <v>21.863702610309549</v>
      </c>
      <c r="LT68" s="133">
        <f t="shared" si="392"/>
        <v>28.502465177080619</v>
      </c>
      <c r="LU68" s="134">
        <f t="shared" si="393"/>
        <v>36.106939114198312</v>
      </c>
      <c r="LV68" s="133">
        <f t="shared" si="394"/>
        <v>43.914316422177706</v>
      </c>
      <c r="LW68" s="133">
        <f t="shared" si="136"/>
        <v>51.081994152486118</v>
      </c>
      <c r="LX68" s="133">
        <f t="shared" si="137"/>
        <v>55.449326789782148</v>
      </c>
      <c r="LY68" s="133">
        <f t="shared" si="138"/>
        <v>59.278789638346169</v>
      </c>
      <c r="LZ68" s="133">
        <f t="shared" si="139"/>
        <v>63.778554276408144</v>
      </c>
      <c r="MA68" s="81"/>
      <c r="MB68" s="81">
        <v>68</v>
      </c>
      <c r="MC68" s="133">
        <f t="shared" si="140"/>
        <v>7.5029398948312362</v>
      </c>
      <c r="MD68" s="133">
        <f t="shared" si="141"/>
        <v>10.373690695856197</v>
      </c>
      <c r="ME68" s="133">
        <f t="shared" si="142"/>
        <v>12.860356318805529</v>
      </c>
      <c r="MF68" s="133">
        <f t="shared" si="395"/>
        <v>15.746735555924523</v>
      </c>
      <c r="MG68" s="133">
        <f t="shared" si="396"/>
        <v>20.60571853806011</v>
      </c>
      <c r="MH68" s="134">
        <f t="shared" si="397"/>
        <v>26.082514335103355</v>
      </c>
      <c r="MI68" s="133">
        <f t="shared" si="398"/>
        <v>31.61945448878911</v>
      </c>
      <c r="MJ68" s="133">
        <f t="shared" si="143"/>
        <v>36.635230702296035</v>
      </c>
      <c r="MK68" s="133">
        <f t="shared" si="144"/>
        <v>39.662725617298683</v>
      </c>
      <c r="ML68" s="133">
        <f t="shared" si="145"/>
        <v>42.300768090461823</v>
      </c>
      <c r="MM68" s="133">
        <f t="shared" si="146"/>
        <v>45.381852471902242</v>
      </c>
      <c r="MN68" s="81"/>
      <c r="MO68" s="81">
        <v>66</v>
      </c>
      <c r="MP68" s="133">
        <f t="shared" si="147"/>
        <v>-0.32290633804019109</v>
      </c>
      <c r="MQ68" s="133">
        <f t="shared" si="148"/>
        <v>3.7222020236243623</v>
      </c>
      <c r="MR68" s="133">
        <f t="shared" si="149"/>
        <v>7.2115903523975433</v>
      </c>
      <c r="MS68" s="133">
        <f t="shared" si="399"/>
        <v>11.245571697115416</v>
      </c>
      <c r="MT68" s="133">
        <f t="shared" si="400"/>
        <v>17.998682536194714</v>
      </c>
      <c r="MU68" s="134">
        <f t="shared" si="401"/>
        <v>25.556975831875292</v>
      </c>
      <c r="MV68" s="133">
        <f t="shared" si="402"/>
        <v>33.144673771514498</v>
      </c>
      <c r="MW68" s="133">
        <f t="shared" si="150"/>
        <v>39.974829747333253</v>
      </c>
      <c r="MX68" s="133">
        <f t="shared" si="151"/>
        <v>44.078650032513828</v>
      </c>
      <c r="MY68" s="133">
        <f t="shared" si="152"/>
        <v>47.643503447095917</v>
      </c>
      <c r="MZ68" s="133">
        <f t="shared" si="153"/>
        <v>51.794459686956394</v>
      </c>
      <c r="NA68" s="81"/>
      <c r="NB68" s="81">
        <v>66</v>
      </c>
      <c r="NC68" s="133">
        <f t="shared" si="154"/>
        <v>9.8650713165506083</v>
      </c>
      <c r="ND68" s="133">
        <f t="shared" si="155"/>
        <v>13.277931645701297</v>
      </c>
      <c r="NE68" s="133">
        <f t="shared" si="156"/>
        <v>16.223187397978226</v>
      </c>
      <c r="NF68" s="133">
        <f t="shared" si="403"/>
        <v>19.629600078087709</v>
      </c>
      <c r="NG68" s="133">
        <f t="shared" si="404"/>
        <v>25.335718527548462</v>
      </c>
      <c r="NH68" s="134">
        <f t="shared" si="405"/>
        <v>31.727453425055767</v>
      </c>
      <c r="NI68" s="133">
        <f t="shared" si="406"/>
        <v>38.149481422062266</v>
      </c>
      <c r="NJ68" s="133">
        <f t="shared" si="157"/>
        <v>43.934812830169633</v>
      </c>
      <c r="NK68" s="133">
        <f t="shared" si="158"/>
        <v>47.412823119847147</v>
      </c>
      <c r="NL68" s="133">
        <f t="shared" si="159"/>
        <v>50.435214937063677</v>
      </c>
      <c r="NM68" s="133">
        <f t="shared" si="160"/>
        <v>53.955846925403975</v>
      </c>
      <c r="NN68" s="81"/>
      <c r="NO68" s="81">
        <v>68</v>
      </c>
      <c r="NP68" s="133">
        <f t="shared" si="161"/>
        <v>-2.4882921604045691</v>
      </c>
      <c r="NQ68" s="133">
        <f t="shared" si="162"/>
        <v>1.1267708252096398</v>
      </c>
      <c r="NR68" s="133">
        <f t="shared" si="163"/>
        <v>4.2372992748371558</v>
      </c>
      <c r="NS68" s="133">
        <f t="shared" si="407"/>
        <v>7.824995371345409</v>
      </c>
      <c r="NT68" s="133">
        <f t="shared" si="408"/>
        <v>13.813053904829268</v>
      </c>
      <c r="NU68" s="134">
        <f t="shared" si="409"/>
        <v>20.491441459394132</v>
      </c>
      <c r="NV68" s="133">
        <f t="shared" si="410"/>
        <v>27.173718833487335</v>
      </c>
      <c r="NW68" s="133">
        <f t="shared" si="164"/>
        <v>33.171970605917643</v>
      </c>
      <c r="NX68" s="133">
        <f t="shared" si="165"/>
        <v>36.768908085442952</v>
      </c>
      <c r="NY68" s="133">
        <f t="shared" si="166"/>
        <v>39.889423993903158</v>
      </c>
      <c r="NZ68" s="133">
        <f t="shared" si="167"/>
        <v>43.518498158484185</v>
      </c>
      <c r="OA68" s="81"/>
      <c r="OB68" s="81">
        <v>66</v>
      </c>
      <c r="OC68" s="133">
        <v>14.764539095632175</v>
      </c>
      <c r="OD68" s="133">
        <v>16.070126736821454</v>
      </c>
      <c r="OE68" s="133">
        <v>17.284975851177066</v>
      </c>
      <c r="OF68" s="133">
        <v>18.800033815382463</v>
      </c>
      <c r="OG68" s="133">
        <v>21.628687228435936</v>
      </c>
      <c r="OH68" s="134">
        <v>25.285818092508169</v>
      </c>
      <c r="OI68" s="133">
        <v>29.561322416591683</v>
      </c>
      <c r="OJ68" s="133">
        <v>34.00911949872502</v>
      </c>
      <c r="OK68" s="133">
        <v>36.990077516589302</v>
      </c>
      <c r="OL68" s="133">
        <v>39.786406608880093</v>
      </c>
      <c r="OM68" s="133">
        <v>43.304609271315513</v>
      </c>
      <c r="ON68" s="81"/>
      <c r="OO68" s="81">
        <v>66</v>
      </c>
      <c r="OP68" s="133">
        <v>15.726559185771652</v>
      </c>
      <c r="OQ68" s="133">
        <v>16.763710766265188</v>
      </c>
      <c r="OR68" s="133">
        <v>17.710262488171754</v>
      </c>
      <c r="OS68" s="133">
        <v>18.868098122689439</v>
      </c>
      <c r="OT68" s="133">
        <v>25.29260919158267</v>
      </c>
      <c r="OU68" s="134">
        <v>23.590966180087698</v>
      </c>
      <c r="OV68" s="133">
        <v>26.53892012000863</v>
      </c>
      <c r="OW68" s="133">
        <v>29.496013943280989</v>
      </c>
      <c r="OX68" s="133">
        <v>31.424361196325371</v>
      </c>
      <c r="OY68" s="133">
        <v>33.198716744146772</v>
      </c>
      <c r="OZ68" s="133">
        <v>35.388140453097719</v>
      </c>
      <c r="PA68" s="81"/>
      <c r="PB68" s="81">
        <v>68</v>
      </c>
      <c r="PC68" s="133">
        <v>14.310986576398975</v>
      </c>
      <c r="PD68" s="133">
        <v>15.675178887273093</v>
      </c>
      <c r="PE68" s="133">
        <v>16.952024033356988</v>
      </c>
      <c r="PF68" s="133">
        <v>18.5537567336808</v>
      </c>
      <c r="PG68" s="133">
        <v>21.569574210970664</v>
      </c>
      <c r="PH68" s="134">
        <v>25.512125307730212</v>
      </c>
      <c r="PI68" s="133">
        <v>30.175307651009867</v>
      </c>
      <c r="PJ68" s="133">
        <v>35.080148298797134</v>
      </c>
      <c r="PK68" s="133">
        <v>38.394738966662338</v>
      </c>
      <c r="PL68" s="133">
        <v>41.522239867117442</v>
      </c>
      <c r="PM68" s="133">
        <v>45.480340173801224</v>
      </c>
      <c r="PN68" s="81"/>
      <c r="PO68" s="81">
        <v>66</v>
      </c>
      <c r="PP68" s="133">
        <v>10.420394992753636</v>
      </c>
      <c r="PQ68" s="133">
        <v>11.303349641833318</v>
      </c>
      <c r="PR68" s="133">
        <v>12.122350298626726</v>
      </c>
      <c r="PS68" s="133">
        <v>13.140523734289046</v>
      </c>
      <c r="PT68" s="133">
        <v>15.032872731532342</v>
      </c>
      <c r="PU68" s="134">
        <v>17.464925964231281</v>
      </c>
      <c r="PV68" s="133">
        <v>20.290442444595087</v>
      </c>
      <c r="PW68" s="133">
        <v>23.212441536112262</v>
      </c>
      <c r="PX68" s="133">
        <v>25.162087501351493</v>
      </c>
      <c r="PY68" s="133">
        <v>26.985243189080677</v>
      </c>
      <c r="PZ68" s="133">
        <v>29.271792398291428</v>
      </c>
      <c r="QA68" s="81"/>
      <c r="QB68" s="81">
        <v>66</v>
      </c>
      <c r="QC68" s="133">
        <v>10.6236565766964</v>
      </c>
      <c r="QD68" s="133">
        <v>11.508033416575969</v>
      </c>
      <c r="QE68" s="133">
        <v>12.327309095636359</v>
      </c>
      <c r="QF68" s="133">
        <v>13.344529148270022</v>
      </c>
      <c r="QG68" s="133">
        <v>15.231647276480954</v>
      </c>
      <c r="QH68" s="134">
        <v>17.651149990929643</v>
      </c>
      <c r="QI68" s="133">
        <v>20.454983649954738</v>
      </c>
      <c r="QJ68" s="133">
        <v>23.34762752140163</v>
      </c>
      <c r="QK68" s="133">
        <v>25.274217883656622</v>
      </c>
      <c r="QL68" s="133">
        <v>27.073530700173791</v>
      </c>
      <c r="QM68" s="133">
        <v>29.327293644424376</v>
      </c>
      <c r="QN68" s="81"/>
      <c r="QO68" s="81">
        <v>68</v>
      </c>
      <c r="QP68" s="133">
        <v>9.3270827418312923</v>
      </c>
      <c r="QQ68" s="133">
        <v>10.229851309285417</v>
      </c>
      <c r="QR68" s="133">
        <v>11.075865882198386</v>
      </c>
      <c r="QS68" s="133">
        <v>12.138462016666116</v>
      </c>
      <c r="QT68" s="133">
        <v>14.142744918236179</v>
      </c>
      <c r="QU68" s="134">
        <v>16.769076712475517</v>
      </c>
      <c r="QV68" s="133">
        <v>19.883122789430818</v>
      </c>
      <c r="QW68" s="133">
        <v>23.166191351325921</v>
      </c>
      <c r="QX68" s="133">
        <v>25.388708817867574</v>
      </c>
      <c r="QY68" s="133">
        <v>27.488369604516912</v>
      </c>
      <c r="QZ68" s="133">
        <v>30.148969573060437</v>
      </c>
      <c r="RA68" s="81"/>
      <c r="RB68" s="81">
        <v>66</v>
      </c>
      <c r="RC68" s="133">
        <f t="shared" si="168"/>
        <v>0.40674466704972317</v>
      </c>
      <c r="RD68" s="133">
        <f t="shared" si="169"/>
        <v>0.44373247873095872</v>
      </c>
      <c r="RE68" s="133">
        <f t="shared" si="170"/>
        <v>0.47867521500570509</v>
      </c>
      <c r="RF68" s="133">
        <f t="shared" si="411"/>
        <v>0.52297203189915975</v>
      </c>
      <c r="RG68" s="133">
        <f t="shared" si="412"/>
        <v>0.60783886768561091</v>
      </c>
      <c r="RH68" s="134">
        <f t="shared" si="413"/>
        <v>0.72178937051256209</v>
      </c>
      <c r="RI68" s="133">
        <f t="shared" si="414"/>
        <v>0.86111439757323183</v>
      </c>
      <c r="RJ68" s="133">
        <f t="shared" si="171"/>
        <v>1.0130947166980258</v>
      </c>
      <c r="RK68" s="133">
        <f t="shared" si="172"/>
        <v>1.1189949624823148</v>
      </c>
      <c r="RL68" s="133">
        <f t="shared" si="173"/>
        <v>1.2212978599576012</v>
      </c>
      <c r="RM68" s="133">
        <f t="shared" si="174"/>
        <v>1.3540996234198313</v>
      </c>
      <c r="RN68" s="81"/>
      <c r="RO68" s="81">
        <v>66</v>
      </c>
      <c r="RP68" s="133">
        <f t="shared" si="175"/>
        <v>0.44828072811588876</v>
      </c>
      <c r="RQ68" s="133">
        <f t="shared" si="176"/>
        <v>0.49009943191573901</v>
      </c>
      <c r="RR68" s="133">
        <f t="shared" si="177"/>
        <v>0.5299101904649518</v>
      </c>
      <c r="RS68" s="133">
        <f t="shared" si="415"/>
        <v>0.58080168353660722</v>
      </c>
      <c r="RT68" s="133">
        <f t="shared" si="416"/>
        <v>0.67961488020881511</v>
      </c>
      <c r="RU68" s="134">
        <f t="shared" si="417"/>
        <v>0.81495976271498449</v>
      </c>
      <c r="RV68" s="133">
        <f t="shared" si="418"/>
        <v>0.9844978565995004</v>
      </c>
      <c r="RW68" s="133">
        <f t="shared" si="178"/>
        <v>1.1743710800709655</v>
      </c>
      <c r="RX68" s="133">
        <f t="shared" si="179"/>
        <v>1.3096346416946161</v>
      </c>
      <c r="RY68" s="133">
        <f t="shared" si="180"/>
        <v>1.4425569659214097</v>
      </c>
      <c r="RZ68" s="133">
        <f t="shared" si="181"/>
        <v>1.6183414487119967</v>
      </c>
      <c r="SA68" s="81"/>
      <c r="SB68" s="81">
        <v>68</v>
      </c>
      <c r="SC68" s="133">
        <f t="shared" si="182"/>
        <v>0.41673130536826936</v>
      </c>
      <c r="SD68" s="133">
        <f t="shared" si="183"/>
        <v>0.44912153467195054</v>
      </c>
      <c r="SE68" s="133">
        <f t="shared" si="184"/>
        <v>0.47901335775298298</v>
      </c>
      <c r="SF68" s="133">
        <f t="shared" si="419"/>
        <v>0.51598875894819152</v>
      </c>
      <c r="SG68" s="133">
        <f t="shared" si="420"/>
        <v>0.58422428092584988</v>
      </c>
      <c r="SH68" s="134">
        <f t="shared" si="421"/>
        <v>0.67112394114295582</v>
      </c>
      <c r="SI68" s="133">
        <f t="shared" si="422"/>
        <v>0.77114246769879569</v>
      </c>
      <c r="SJ68" s="133">
        <f t="shared" si="185"/>
        <v>0.87368863851569634</v>
      </c>
      <c r="SK68" s="133">
        <f t="shared" si="186"/>
        <v>0.94167863297079546</v>
      </c>
      <c r="SL68" s="133">
        <f t="shared" si="187"/>
        <v>1.0049795267360362</v>
      </c>
      <c r="SM68" s="133">
        <f t="shared" si="188"/>
        <v>1.0840249937682434</v>
      </c>
      <c r="SN68" s="81"/>
      <c r="SO68" s="81">
        <v>66</v>
      </c>
      <c r="SP68" s="133">
        <f t="shared" si="189"/>
        <v>0.29012748603461674</v>
      </c>
      <c r="SQ68" s="133">
        <f t="shared" si="190"/>
        <v>0.30809666246933781</v>
      </c>
      <c r="SR68" s="133">
        <f t="shared" si="191"/>
        <v>0.32420500681705777</v>
      </c>
      <c r="SS68" s="133">
        <f t="shared" si="423"/>
        <v>0.34354856569934411</v>
      </c>
      <c r="ST68" s="133">
        <f t="shared" si="424"/>
        <v>0.37771938855669884</v>
      </c>
      <c r="SU68" s="134">
        <f t="shared" si="425"/>
        <v>0.41873030591686061</v>
      </c>
      <c r="SV68" s="133">
        <f t="shared" si="426"/>
        <v>0.46297946637250431</v>
      </c>
      <c r="SW68" s="133">
        <f t="shared" si="192"/>
        <v>0.50557066530246497</v>
      </c>
      <c r="SX68" s="133">
        <f t="shared" si="193"/>
        <v>0.53246586461882084</v>
      </c>
      <c r="SY68" s="133">
        <f t="shared" si="194"/>
        <v>0.55664654366959732</v>
      </c>
      <c r="SZ68" s="133">
        <f t="shared" si="195"/>
        <v>0.58578275798368795</v>
      </c>
      <c r="TA68" s="81"/>
      <c r="TB68" s="81">
        <v>66</v>
      </c>
      <c r="TC68" s="133">
        <f t="shared" si="196"/>
        <v>0.31052581453258749</v>
      </c>
      <c r="TD68" s="133">
        <f t="shared" si="197"/>
        <v>0.3295940458270184</v>
      </c>
      <c r="TE68" s="133">
        <f t="shared" si="198"/>
        <v>0.34675784823587413</v>
      </c>
      <c r="TF68" s="133">
        <f t="shared" si="427"/>
        <v>0.36745627504463729</v>
      </c>
      <c r="TG68" s="133">
        <f t="shared" si="428"/>
        <v>0.40425194581121227</v>
      </c>
      <c r="TH68" s="134">
        <f t="shared" si="429"/>
        <v>0.44879821007566489</v>
      </c>
      <c r="TI68" s="133">
        <f t="shared" si="430"/>
        <v>0.49732360893441807</v>
      </c>
      <c r="TJ68" s="133">
        <f t="shared" si="199"/>
        <v>0.54447273980752453</v>
      </c>
      <c r="TK68" s="133">
        <f t="shared" si="200"/>
        <v>0.57446449253752507</v>
      </c>
      <c r="TL68" s="133">
        <f t="shared" si="201"/>
        <v>0.60157080094140358</v>
      </c>
      <c r="TM68" s="133">
        <f t="shared" si="202"/>
        <v>0.63440749022516474</v>
      </c>
      <c r="TN68" s="81"/>
      <c r="TO68" s="81">
        <v>68</v>
      </c>
      <c r="TP68" s="133">
        <f t="shared" si="203"/>
        <v>0.29518327702929914</v>
      </c>
      <c r="TQ68" s="133">
        <f t="shared" si="204"/>
        <v>0.31066851818951147</v>
      </c>
      <c r="TR68" s="133">
        <f t="shared" si="205"/>
        <v>0.32434423083670538</v>
      </c>
      <c r="TS68" s="133">
        <f t="shared" si="431"/>
        <v>0.34052432792740117</v>
      </c>
      <c r="TT68" s="133">
        <f t="shared" si="432"/>
        <v>0.36850679475673309</v>
      </c>
      <c r="TU68" s="134">
        <f t="shared" si="433"/>
        <v>0.40116955344418254</v>
      </c>
      <c r="TV68" s="133">
        <f t="shared" si="434"/>
        <v>0.43540206022735756</v>
      </c>
      <c r="TW68" s="133">
        <f t="shared" si="206"/>
        <v>0.46746448793119805</v>
      </c>
      <c r="TX68" s="133">
        <f t="shared" si="207"/>
        <v>0.48730135304875222</v>
      </c>
      <c r="TY68" s="133">
        <f t="shared" si="208"/>
        <v>0.50488361113066327</v>
      </c>
      <c r="TZ68" s="133">
        <f t="shared" si="209"/>
        <v>0.52576903966509514</v>
      </c>
      <c r="UA68" s="81"/>
      <c r="UB68" s="81">
        <v>66</v>
      </c>
      <c r="UC68" s="133">
        <f t="shared" si="210"/>
        <v>-9.0661620394740865</v>
      </c>
      <c r="UD68" s="133">
        <f t="shared" si="211"/>
        <v>-6.1262640205320906</v>
      </c>
      <c r="UE68" s="133">
        <f t="shared" si="212"/>
        <v>-3.6471551988613697</v>
      </c>
      <c r="UF68" s="133">
        <f t="shared" si="435"/>
        <v>-0.84091213934953402</v>
      </c>
      <c r="UG68" s="133">
        <f t="shared" si="436"/>
        <v>3.7278778409496311</v>
      </c>
      <c r="UH68" s="134">
        <f t="shared" si="437"/>
        <v>8.6723421821040603</v>
      </c>
      <c r="UI68" s="133">
        <f t="shared" si="438"/>
        <v>13.479268794634109</v>
      </c>
      <c r="UJ68" s="133">
        <f t="shared" si="213"/>
        <v>17.687609402624929</v>
      </c>
      <c r="UK68" s="133">
        <f t="shared" si="214"/>
        <v>20.167045967642537</v>
      </c>
      <c r="UL68" s="133">
        <f t="shared" si="215"/>
        <v>22.292983040823472</v>
      </c>
      <c r="UM68" s="133">
        <f t="shared" si="216"/>
        <v>24.737534367948001</v>
      </c>
      <c r="UN68" s="81"/>
      <c r="UO68" s="81">
        <v>66</v>
      </c>
      <c r="UP68" s="133">
        <f t="shared" si="217"/>
        <v>-4.9809401795124444</v>
      </c>
      <c r="UQ68" s="133">
        <f t="shared" si="218"/>
        <v>-2.4200389593724552</v>
      </c>
      <c r="UR68" s="133">
        <f t="shared" si="219"/>
        <v>-0.2208588629366659</v>
      </c>
      <c r="US68" s="133">
        <f t="shared" si="439"/>
        <v>2.3111174057373987</v>
      </c>
      <c r="UT68" s="133">
        <f t="shared" si="440"/>
        <v>6.5271676264509253</v>
      </c>
      <c r="UU68" s="134">
        <f t="shared" si="441"/>
        <v>11.216044117733823</v>
      </c>
      <c r="UV68" s="133">
        <f t="shared" si="442"/>
        <v>15.895198354883753</v>
      </c>
      <c r="UW68" s="133">
        <f t="shared" si="220"/>
        <v>20.085799609292096</v>
      </c>
      <c r="UX68" s="133">
        <f t="shared" si="221"/>
        <v>22.594739905362935</v>
      </c>
      <c r="UY68" s="133">
        <f t="shared" si="222"/>
        <v>24.769065304075212</v>
      </c>
      <c r="UZ68" s="133">
        <f t="shared" si="223"/>
        <v>27.295174390026801</v>
      </c>
      <c r="VA68" s="81"/>
      <c r="VB68" s="81">
        <v>69</v>
      </c>
      <c r="VC68" s="133">
        <f t="shared" si="224"/>
        <v>-8.9323900238133476</v>
      </c>
      <c r="VD68" s="133">
        <f t="shared" si="225"/>
        <v>-6.1880785187892045</v>
      </c>
      <c r="VE68" s="133">
        <f t="shared" si="226"/>
        <v>-3.8929034209955873</v>
      </c>
      <c r="VF68" s="133">
        <f t="shared" si="443"/>
        <v>-1.3144106610142288</v>
      </c>
      <c r="VG68" s="133">
        <f t="shared" si="444"/>
        <v>2.8425455037318983</v>
      </c>
      <c r="VH68" s="134">
        <f t="shared" si="445"/>
        <v>7.2890303250653119</v>
      </c>
      <c r="VI68" s="133">
        <f t="shared" si="446"/>
        <v>11.564611775356681</v>
      </c>
      <c r="VJ68" s="133">
        <f t="shared" si="227"/>
        <v>15.272793406717341</v>
      </c>
      <c r="VK68" s="133">
        <f t="shared" si="228"/>
        <v>17.443270107598437</v>
      </c>
      <c r="VL68" s="133">
        <f t="shared" si="229"/>
        <v>19.296272557653182</v>
      </c>
      <c r="VM68" s="133">
        <f t="shared" si="230"/>
        <v>21.418168576655177</v>
      </c>
      <c r="VN68" s="81"/>
      <c r="VO68" s="81">
        <v>66</v>
      </c>
      <c r="VP68" s="133">
        <f t="shared" si="231"/>
        <v>-15.780579907574044</v>
      </c>
      <c r="VQ68" s="133">
        <f t="shared" si="232"/>
        <v>-10.921197867689635</v>
      </c>
      <c r="VR68" s="133">
        <f t="shared" si="233"/>
        <v>-6.5551604483699037</v>
      </c>
      <c r="VS68" s="133">
        <f t="shared" si="447"/>
        <v>-1.31087906974399</v>
      </c>
      <c r="VT68" s="133">
        <f t="shared" si="448"/>
        <v>7.929184105730144</v>
      </c>
      <c r="VU68" s="134">
        <f t="shared" si="449"/>
        <v>18.935307284401937</v>
      </c>
      <c r="VV68" s="133">
        <f t="shared" si="450"/>
        <v>30.667537114669905</v>
      </c>
      <c r="VW68" s="133">
        <f t="shared" si="234"/>
        <v>41.796726525000388</v>
      </c>
      <c r="VX68" s="133">
        <f t="shared" si="235"/>
        <v>48.736530979929746</v>
      </c>
      <c r="VY68" s="133">
        <f t="shared" si="236"/>
        <v>54.916391637467918</v>
      </c>
      <c r="VZ68" s="133">
        <f t="shared" si="237"/>
        <v>62.287401837195723</v>
      </c>
      <c r="WA68" s="81"/>
      <c r="WB68" s="81">
        <v>66</v>
      </c>
      <c r="WC68" s="133">
        <f t="shared" si="238"/>
        <v>-8.7747735714315027</v>
      </c>
      <c r="WD68" s="133">
        <f t="shared" si="239"/>
        <v>-3.9896706551071688</v>
      </c>
      <c r="WE68" s="133">
        <f t="shared" si="240"/>
        <v>0.30363827581971492</v>
      </c>
      <c r="WF68" s="133">
        <f t="shared" si="451"/>
        <v>5.454303245049843</v>
      </c>
      <c r="WG68" s="133">
        <f t="shared" si="452"/>
        <v>14.515921732709501</v>
      </c>
      <c r="WH68" s="134">
        <f t="shared" si="453"/>
        <v>25.291976568077537</v>
      </c>
      <c r="WI68" s="133">
        <f t="shared" si="454"/>
        <v>36.763060157956012</v>
      </c>
      <c r="WJ68" s="133">
        <f t="shared" si="241"/>
        <v>47.632812496644966</v>
      </c>
      <c r="WK68" s="133">
        <f t="shared" si="242"/>
        <v>54.406137657812558</v>
      </c>
      <c r="WL68" s="133">
        <f t="shared" si="243"/>
        <v>60.435140096788963</v>
      </c>
      <c r="WM68" s="133">
        <f t="shared" si="244"/>
        <v>67.62336309272294</v>
      </c>
      <c r="WN68" s="81"/>
      <c r="WO68" s="81">
        <v>69</v>
      </c>
      <c r="WP68" s="133">
        <f t="shared" si="245"/>
        <v>-17.581565476849363</v>
      </c>
      <c r="WQ68" s="133">
        <f t="shared" si="246"/>
        <v>-12.883553412476978</v>
      </c>
      <c r="WR68" s="133">
        <f t="shared" si="247"/>
        <v>-8.696706576612705</v>
      </c>
      <c r="WS68" s="133">
        <f t="shared" si="455"/>
        <v>-3.7073332602852389</v>
      </c>
      <c r="WT68" s="133">
        <f t="shared" si="456"/>
        <v>4.9875696908371268</v>
      </c>
      <c r="WU68" s="134">
        <f t="shared" si="457"/>
        <v>15.201927838266108</v>
      </c>
      <c r="WV68" s="133">
        <f t="shared" si="458"/>
        <v>25.940796765054962</v>
      </c>
      <c r="WW68" s="133">
        <f t="shared" si="248"/>
        <v>36.002107839612854</v>
      </c>
      <c r="WX68" s="133">
        <f t="shared" si="249"/>
        <v>42.220082687014489</v>
      </c>
      <c r="WY68" s="133">
        <f t="shared" si="250"/>
        <v>47.723639494526275</v>
      </c>
      <c r="WZ68" s="133">
        <f t="shared" si="251"/>
        <v>54.249100985522453</v>
      </c>
      <c r="XA68" s="81"/>
      <c r="XB68" s="81">
        <v>66</v>
      </c>
      <c r="XC68" s="133">
        <f t="shared" si="252"/>
        <v>-21.197245865418999</v>
      </c>
      <c r="XD68" s="133">
        <f t="shared" si="253"/>
        <v>-16.072440114856313</v>
      </c>
      <c r="XE68" s="133">
        <f t="shared" si="254"/>
        <v>-11.535573759639583</v>
      </c>
      <c r="XF68" s="133">
        <f t="shared" si="459"/>
        <v>-6.1655214234902687</v>
      </c>
      <c r="XG68" s="133">
        <f t="shared" si="460"/>
        <v>3.1025151634948074</v>
      </c>
      <c r="XH68" s="134">
        <f t="shared" si="461"/>
        <v>13.854128128631281</v>
      </c>
      <c r="XI68" s="133">
        <f t="shared" si="462"/>
        <v>25.013951750300471</v>
      </c>
      <c r="XJ68" s="133">
        <f t="shared" si="255"/>
        <v>35.348487441564181</v>
      </c>
      <c r="XK68" s="133">
        <f t="shared" si="256"/>
        <v>41.681380057023198</v>
      </c>
      <c r="XL68" s="133">
        <f t="shared" si="257"/>
        <v>47.254402846663744</v>
      </c>
      <c r="XM68" s="133">
        <f t="shared" si="258"/>
        <v>53.82494101586088</v>
      </c>
      <c r="XN68" s="81"/>
      <c r="XO68" s="81">
        <v>66</v>
      </c>
      <c r="XP68" s="133">
        <f t="shared" si="259"/>
        <v>-9.0647670161791822</v>
      </c>
      <c r="XQ68" s="133">
        <f t="shared" si="260"/>
        <v>-4.5890780973949177</v>
      </c>
      <c r="XR68" s="133">
        <f t="shared" si="261"/>
        <v>-0.66461025086824321</v>
      </c>
      <c r="XS68" s="133">
        <f t="shared" si="463"/>
        <v>3.9420957431336134</v>
      </c>
      <c r="XT68" s="133">
        <f t="shared" si="464"/>
        <v>11.811709849208157</v>
      </c>
      <c r="XU68" s="134">
        <f t="shared" si="465"/>
        <v>20.837933968356531</v>
      </c>
      <c r="XV68" s="133">
        <f t="shared" si="466"/>
        <v>30.114059697696582</v>
      </c>
      <c r="XW68" s="133">
        <f t="shared" si="262"/>
        <v>38.635634022708139</v>
      </c>
      <c r="XX68" s="133">
        <f t="shared" si="263"/>
        <v>43.82972583360695</v>
      </c>
      <c r="XY68" s="133">
        <f t="shared" si="264"/>
        <v>48.384967686573468</v>
      </c>
      <c r="XZ68" s="133">
        <f t="shared" si="265"/>
        <v>53.738321495287231</v>
      </c>
      <c r="YA68" s="81"/>
      <c r="YB68" s="81">
        <v>69</v>
      </c>
      <c r="YC68" s="133">
        <f t="shared" si="266"/>
        <v>-24.307908626700609</v>
      </c>
      <c r="YD68" s="133">
        <f t="shared" si="267"/>
        <v>-19.351226117094619</v>
      </c>
      <c r="YE68" s="133">
        <f t="shared" si="268"/>
        <v>-14.982431671674291</v>
      </c>
      <c r="YF68" s="133">
        <f t="shared" si="467"/>
        <v>-9.8330980492862139</v>
      </c>
      <c r="YG68" s="133">
        <f t="shared" si="468"/>
        <v>-0.99689954520592039</v>
      </c>
      <c r="YH68" s="134">
        <f t="shared" si="469"/>
        <v>9.1813799176472983</v>
      </c>
      <c r="YI68" s="133">
        <f t="shared" si="470"/>
        <v>19.673552700902228</v>
      </c>
      <c r="YJ68" s="133">
        <f t="shared" si="269"/>
        <v>29.331232000279989</v>
      </c>
      <c r="YK68" s="133">
        <f t="shared" si="270"/>
        <v>35.224002677440687</v>
      </c>
      <c r="YL68" s="133">
        <f t="shared" si="271"/>
        <v>40.394845438619818</v>
      </c>
      <c r="YM68" s="133">
        <f t="shared" si="272"/>
        <v>46.474281223356478</v>
      </c>
      <c r="YN68" s="81"/>
      <c r="YO68" s="81">
        <v>66</v>
      </c>
      <c r="YP68" s="133">
        <v>18.558472471445405</v>
      </c>
      <c r="YQ68" s="133">
        <v>20.415505884601423</v>
      </c>
      <c r="YR68" s="133">
        <v>22.16061404481551</v>
      </c>
      <c r="YS68" s="133">
        <v>24.358542798329495</v>
      </c>
      <c r="YT68" s="133">
        <v>28.520853501486751</v>
      </c>
      <c r="YU68" s="134">
        <v>34.003567878727765</v>
      </c>
      <c r="YV68" s="133">
        <v>40.540253412226036</v>
      </c>
      <c r="YW68" s="133">
        <v>47.467643613005549</v>
      </c>
      <c r="YX68" s="133">
        <v>52.175568156413568</v>
      </c>
      <c r="YY68" s="133">
        <v>56.635511998522311</v>
      </c>
      <c r="YZ68" s="133">
        <v>62.302683060918682</v>
      </c>
      <c r="ZA68" s="81"/>
      <c r="ZB68" s="81">
        <v>66</v>
      </c>
      <c r="ZC68" s="133">
        <v>17.716286197854576</v>
      </c>
      <c r="ZD68" s="133">
        <v>19.348483285903811</v>
      </c>
      <c r="ZE68" s="133">
        <v>20.872037028152075</v>
      </c>
      <c r="ZF68" s="133">
        <v>22.778080063812112</v>
      </c>
      <c r="ZG68" s="133">
        <v>26.352888781239916</v>
      </c>
      <c r="ZH68" s="134">
        <v>31.002321529485389</v>
      </c>
      <c r="ZI68" s="133">
        <v>36.472052388496095</v>
      </c>
      <c r="ZJ68" s="133">
        <v>42.196003241931585</v>
      </c>
      <c r="ZK68" s="133">
        <v>46.049359673002122</v>
      </c>
      <c r="ZL68" s="133">
        <v>49.675415174161344</v>
      </c>
      <c r="ZM68" s="133">
        <v>54.251998950772602</v>
      </c>
      <c r="ZN68" s="81"/>
      <c r="ZO68" s="81">
        <v>69</v>
      </c>
      <c r="ZP68" s="133">
        <v>19.596217426412643</v>
      </c>
      <c r="ZQ68" s="133">
        <v>21.546906291984946</v>
      </c>
      <c r="ZR68" s="133">
        <v>23.379221456897959</v>
      </c>
      <c r="ZS68" s="133">
        <v>25.68597406581172</v>
      </c>
      <c r="ZT68" s="133">
        <v>30.051610273668409</v>
      </c>
      <c r="ZU68" s="134">
        <v>35.797385510541233</v>
      </c>
      <c r="ZV68" s="133">
        <v>42.641735258796842</v>
      </c>
      <c r="ZW68" s="133">
        <v>49.889204361376905</v>
      </c>
      <c r="ZX68" s="133">
        <v>54.811611744762331</v>
      </c>
      <c r="ZY68" s="133">
        <v>59.472705363135361</v>
      </c>
      <c r="ZZ68" s="133">
        <v>65.392865444690798</v>
      </c>
      <c r="AAA68" s="81"/>
      <c r="AAB68" s="81">
        <v>66</v>
      </c>
      <c r="AAC68" s="133">
        <v>11.066215308194458</v>
      </c>
      <c r="AAD68" s="133">
        <v>12.208753286887164</v>
      </c>
      <c r="AAE68" s="133">
        <v>13.285310611571603</v>
      </c>
      <c r="AAF68" s="133">
        <v>14.644851040417764</v>
      </c>
      <c r="AAG68" s="133">
        <v>17.229431095532146</v>
      </c>
      <c r="AAH68" s="134">
        <v>20.651206158273858</v>
      </c>
      <c r="AAI68" s="133">
        <v>24.752547743849703</v>
      </c>
      <c r="AAJ68" s="133">
        <v>29.120973276855008</v>
      </c>
      <c r="AAK68" s="133">
        <v>32.101042140487664</v>
      </c>
      <c r="AAL68" s="133">
        <v>34.931684322721253</v>
      </c>
      <c r="AAM68" s="133">
        <v>38.538226838558643</v>
      </c>
      <c r="AAN68" s="81"/>
      <c r="AAO68" s="81">
        <v>66</v>
      </c>
      <c r="AAP68" s="133">
        <v>11.210852243094056</v>
      </c>
      <c r="AAQ68" s="133">
        <v>12.402986797587896</v>
      </c>
      <c r="AAR68" s="133">
        <v>13.529197283341928</v>
      </c>
      <c r="AAS68" s="133">
        <v>14.95514066176538</v>
      </c>
      <c r="AAT68" s="133">
        <v>17.67612288576446</v>
      </c>
      <c r="AAU68" s="134">
        <v>21.296214685877576</v>
      </c>
      <c r="AAV68" s="133">
        <v>25.657705758101471</v>
      </c>
      <c r="AAW68" s="133">
        <v>30.325944115423059</v>
      </c>
      <c r="AAX68" s="133">
        <v>33.522222379401882</v>
      </c>
      <c r="AAY68" s="133">
        <v>36.566092292800711</v>
      </c>
      <c r="AAZ68" s="133">
        <v>40.454440939257232</v>
      </c>
      <c r="ABA68" s="81"/>
      <c r="ABB68" s="81">
        <v>69</v>
      </c>
      <c r="ABC68" s="133">
        <v>10.2575676699919</v>
      </c>
      <c r="ABD68" s="133">
        <v>11.380500647963251</v>
      </c>
      <c r="ABE68" s="133">
        <v>12.444126047003639</v>
      </c>
      <c r="ABF68" s="133">
        <v>13.794369574405257</v>
      </c>
      <c r="ABG68" s="133">
        <v>16.380677013503199</v>
      </c>
      <c r="ABH68" s="134">
        <v>19.838724634251545</v>
      </c>
      <c r="ABI68" s="133">
        <v>24.02678441124386</v>
      </c>
      <c r="ABJ68" s="133">
        <v>28.53156811485734</v>
      </c>
      <c r="ABK68" s="133">
        <v>31.627371309729405</v>
      </c>
      <c r="ABL68" s="133">
        <v>34.583276016428741</v>
      </c>
      <c r="ABM68" s="133">
        <v>38.369232139218248</v>
      </c>
      <c r="ABN68" s="81"/>
      <c r="ABO68" s="81">
        <v>66</v>
      </c>
      <c r="ABP68" s="133">
        <f t="shared" si="273"/>
        <v>0.31888818122869816</v>
      </c>
      <c r="ABQ68" s="133">
        <f t="shared" si="274"/>
        <v>0.35818807370404265</v>
      </c>
      <c r="ABR68" s="133">
        <f t="shared" si="275"/>
        <v>0.39471541409972782</v>
      </c>
      <c r="ABS68" s="133">
        <f t="shared" si="471"/>
        <v>0.44011703842272426</v>
      </c>
      <c r="ABT68" s="133">
        <f t="shared" si="472"/>
        <v>0.52416501758612399</v>
      </c>
      <c r="ABU68" s="134">
        <f t="shared" si="473"/>
        <v>0.63100634913923248</v>
      </c>
      <c r="ABV68" s="133">
        <f t="shared" si="474"/>
        <v>0.75290863801287511</v>
      </c>
      <c r="ABW68" s="133">
        <f t="shared" si="276"/>
        <v>0.8761379435342046</v>
      </c>
      <c r="ABX68" s="133">
        <f t="shared" si="277"/>
        <v>0.95670117583872905</v>
      </c>
      <c r="ABY68" s="133">
        <f t="shared" si="278"/>
        <v>1.0308382097627613</v>
      </c>
      <c r="ABZ68" s="133">
        <f t="shared" si="279"/>
        <v>1.1222065233229794</v>
      </c>
      <c r="ACA68" s="81"/>
      <c r="ACB68" s="81">
        <v>66</v>
      </c>
      <c r="ACC68" s="133">
        <f t="shared" si="280"/>
        <v>0.39918590671400234</v>
      </c>
      <c r="ACD68" s="133">
        <f t="shared" si="281"/>
        <v>0.4380360941885294</v>
      </c>
      <c r="ACE68" s="133">
        <f t="shared" si="282"/>
        <v>0.47400440675798899</v>
      </c>
      <c r="ACF68" s="133">
        <f t="shared" si="475"/>
        <v>0.5185955960316222</v>
      </c>
      <c r="ACG68" s="133">
        <f t="shared" si="476"/>
        <v>0.60101233547906496</v>
      </c>
      <c r="ACH68" s="134">
        <f t="shared" si="477"/>
        <v>0.70589890583816139</v>
      </c>
      <c r="ACI68" s="133">
        <f t="shared" si="478"/>
        <v>0.82613733386834209</v>
      </c>
      <c r="ACJ68" s="133">
        <f t="shared" si="283"/>
        <v>0.94858401463703756</v>
      </c>
      <c r="ACK68" s="133">
        <f t="shared" si="284"/>
        <v>1.0292110948412359</v>
      </c>
      <c r="ACL68" s="133">
        <f t="shared" si="285"/>
        <v>1.1038419951925662</v>
      </c>
      <c r="ACM68" s="133">
        <f t="shared" si="286"/>
        <v>1.1964186026780235</v>
      </c>
      <c r="ACN68" s="81"/>
      <c r="ACO68" s="81">
        <v>69</v>
      </c>
      <c r="ACP68" s="133">
        <f t="shared" si="287"/>
        <v>0.29300965190285255</v>
      </c>
      <c r="ACQ68" s="133">
        <f t="shared" si="288"/>
        <v>0.33209278625537741</v>
      </c>
      <c r="ACR68" s="133">
        <f t="shared" si="289"/>
        <v>0.36772907833630653</v>
      </c>
      <c r="ACS68" s="133">
        <f t="shared" si="479"/>
        <v>0.41114535613025016</v>
      </c>
      <c r="ACT68" s="133">
        <f t="shared" si="480"/>
        <v>0.48921528163086841</v>
      </c>
      <c r="ACU68" s="134">
        <f t="shared" si="481"/>
        <v>0.58434770900334099</v>
      </c>
      <c r="ACV68" s="133">
        <f t="shared" si="482"/>
        <v>0.68822123385354861</v>
      </c>
      <c r="ACW68" s="133">
        <f t="shared" si="290"/>
        <v>0.78905590572242734</v>
      </c>
      <c r="ACX68" s="133">
        <f t="shared" si="291"/>
        <v>0.85286277188932524</v>
      </c>
      <c r="ACY68" s="133">
        <f t="shared" si="292"/>
        <v>0.91028107127517022</v>
      </c>
      <c r="ACZ68" s="133">
        <f t="shared" si="293"/>
        <v>0.97947202334255556</v>
      </c>
      <c r="ADA68" s="81"/>
      <c r="ADB68" s="81">
        <v>66</v>
      </c>
      <c r="ADC68" s="133">
        <f t="shared" si="294"/>
        <v>0.24441361517913804</v>
      </c>
      <c r="ADD68" s="133">
        <f t="shared" si="295"/>
        <v>0.26570253884461159</v>
      </c>
      <c r="ADE68" s="133">
        <f t="shared" si="296"/>
        <v>0.28432565492402184</v>
      </c>
      <c r="ADF68" s="133">
        <f t="shared" si="483"/>
        <v>0.30614220780107382</v>
      </c>
      <c r="ADG68" s="133">
        <f t="shared" si="484"/>
        <v>0.3433210317548816</v>
      </c>
      <c r="ADH68" s="134">
        <f t="shared" si="485"/>
        <v>0.38585353244481174</v>
      </c>
      <c r="ADI68" s="133">
        <f t="shared" si="486"/>
        <v>0.42946932821138928</v>
      </c>
      <c r="ADJ68" s="133">
        <f t="shared" si="297"/>
        <v>0.46947175261727414</v>
      </c>
      <c r="ADK68" s="133">
        <f t="shared" si="298"/>
        <v>0.49382898204020903</v>
      </c>
      <c r="ADL68" s="133">
        <f t="shared" si="299"/>
        <v>0.51517691190967618</v>
      </c>
      <c r="ADM68" s="133">
        <f t="shared" si="300"/>
        <v>0.54025088101203333</v>
      </c>
      <c r="ADN68" s="81"/>
      <c r="ADO68" s="81">
        <v>66</v>
      </c>
      <c r="ADP68" s="133">
        <f t="shared" si="301"/>
        <v>0.28698878120570354</v>
      </c>
      <c r="ADQ68" s="133">
        <f t="shared" si="302"/>
        <v>0.30560112563114883</v>
      </c>
      <c r="ADR68" s="133">
        <f t="shared" si="303"/>
        <v>0.32197320866521628</v>
      </c>
      <c r="ADS68" s="133">
        <f t="shared" si="487"/>
        <v>0.34126231161943643</v>
      </c>
      <c r="ADT68" s="133">
        <f t="shared" si="488"/>
        <v>0.37441028829371598</v>
      </c>
      <c r="ADU68" s="134">
        <f t="shared" si="489"/>
        <v>0.41276110185195602</v>
      </c>
      <c r="ADV68" s="133">
        <f t="shared" si="490"/>
        <v>0.45256261982670465</v>
      </c>
      <c r="ADW68" s="133">
        <f t="shared" si="304"/>
        <v>0.48948326883925086</v>
      </c>
      <c r="ADX68" s="133">
        <f t="shared" si="305"/>
        <v>0.51215633958411033</v>
      </c>
      <c r="ADY68" s="133">
        <f t="shared" si="306"/>
        <v>0.53214628184772728</v>
      </c>
      <c r="ADZ68" s="133">
        <f t="shared" si="307"/>
        <v>0.55576445664634466</v>
      </c>
      <c r="AEA68" s="81"/>
      <c r="AEB68" s="81">
        <v>69</v>
      </c>
      <c r="AEC68" s="133">
        <f t="shared" si="308"/>
        <v>0.22977316673307993</v>
      </c>
      <c r="AED68" s="133">
        <f t="shared" si="309"/>
        <v>0.25173102656836693</v>
      </c>
      <c r="AEE68" s="133">
        <f t="shared" si="310"/>
        <v>0.27055456233993397</v>
      </c>
      <c r="AEF68" s="133">
        <f t="shared" si="491"/>
        <v>0.29219226285606498</v>
      </c>
      <c r="AEG68" s="133">
        <f t="shared" si="492"/>
        <v>0.32814779911085423</v>
      </c>
      <c r="AEH68" s="134">
        <f t="shared" si="493"/>
        <v>0.3680390067725719</v>
      </c>
      <c r="AEI68" s="133">
        <f t="shared" si="494"/>
        <v>0.40775765469771535</v>
      </c>
      <c r="AEJ68" s="133">
        <f t="shared" si="311"/>
        <v>0.44326096875255594</v>
      </c>
      <c r="AEK68" s="133">
        <f t="shared" si="312"/>
        <v>0.46448864199901307</v>
      </c>
      <c r="AEL68" s="133">
        <f t="shared" si="313"/>
        <v>0.48286901841630947</v>
      </c>
      <c r="AEM68" s="133">
        <f t="shared" si="314"/>
        <v>0.50420514283409401</v>
      </c>
      <c r="AEN68" s="81"/>
    </row>
    <row r="69" spans="1:820">
      <c r="A69" s="81"/>
      <c r="B69" s="81">
        <v>68</v>
      </c>
      <c r="C69" s="133">
        <f t="shared" ref="C69:C85" si="495">POWER((0.773354184+0.088990524*LOG(B69)-0.033362978*B69^0.5)+2.326348*(0.039580158+0.040295897*LOG(B69)-0.004022959*B69^0.5),1/-0.184)</f>
        <v>2.4499563893699152</v>
      </c>
      <c r="D69" s="133">
        <f t="shared" ref="D69:D85" si="496">POWER((0.773354184+0.088990524*LOG(B69)-0.033362978*B69^0.5)+1.959964*(0.039580158+0.040295897*LOG(B69)-0.004022959*B69^0.5),1/-0.184)</f>
        <v>2.9678841211425024</v>
      </c>
      <c r="E69" s="133">
        <f t="shared" ref="E69:E85" si="497">POWER((0.773354184+0.088990524*LOG(B69)-0.033362978*B69^0.5)+1.644854*(0.039580158+0.040295897*LOG(B69)-0.004022959*B69^0.5),1/-0.184)</f>
        <v>3.5197220631940409</v>
      </c>
      <c r="F69" s="133">
        <f t="shared" ref="F69:F85" si="498">POWER((0.773354184+0.088990524*LOG(B69)-0.033362978*B69^0.5)+1.281552*(0.039580158+0.040295897*LOG(B69)-0.004022959*B69^0.5),1/-0.184)</f>
        <v>4.3140421147963135</v>
      </c>
      <c r="G69" s="133">
        <f t="shared" si="316"/>
        <v>6.1673626752925159</v>
      </c>
      <c r="H69" s="134">
        <f t="shared" si="317"/>
        <v>9.4635121016377592</v>
      </c>
      <c r="I69" s="133">
        <f t="shared" si="318"/>
        <v>15.063220644557187</v>
      </c>
      <c r="J69" s="133">
        <f t="shared" ref="J69:J85" si="499">POWER((0.773354184+0.088990524*LOG(B69)-0.033362978*B69^0.5)-1.281552*(0.039580158+0.040295897*LOG(B69)-0.004022959*B69^0.5),1/-0.184)</f>
        <v>23.713961681121653</v>
      </c>
      <c r="K69" s="133">
        <f t="shared" ref="K69:K85" si="500">POWER((0.773354184+0.088990524*LOG(B69)-0.033362978*B69^0.5)-1.644854*(0.039580158+0.040295897*LOG(B69)-0.004022959*B69^0.5),1/-0.184)</f>
        <v>31.736158597671494</v>
      </c>
      <c r="L69" s="133">
        <f t="shared" ref="L69:L85" si="501">POWER((0.773354184+0.088990524*LOG(B69)-0.033362978*B69^0.5)-1.959964*(0.039580158+0.040295897*LOG(B69)-0.004022959*B69^0.5),1/-0.184)</f>
        <v>41.409118788475659</v>
      </c>
      <c r="M69" s="133">
        <f t="shared" ref="M69:M85" si="502">POWER((0.773354184+0.088990524*LOG(B69)-0.033362978*B69^0.5)-2.326348*(0.039580158+0.040295897*LOG(B69)-0.004022959*B69^0.5),1/-0.184)</f>
        <v>57.406353440628443</v>
      </c>
      <c r="N69" s="81"/>
      <c r="O69" s="75">
        <v>68</v>
      </c>
      <c r="P69" s="151">
        <f t="shared" ref="P69:P85" si="503">POWER((0.505808068+0.226937134*LOG(O69)-0.064370273*O69^0.5)+2.326348*(0.071640457-0.007414736*LOG(O69)+0.005337774*O69^0.5),1/-0.403)</f>
        <v>3.1681709648798941</v>
      </c>
      <c r="Q69" s="151">
        <f t="shared" ref="Q69:Q85" si="504">POWER((0.505808068+0.226937134*LOG(O69)-0.064370273*O69^0.5)+1.959964*(0.071640457-0.007414736*LOG(O69)+0.005337774*O69^0.5),1/-0.403)</f>
        <v>3.6892481782767086</v>
      </c>
      <c r="R69" s="151">
        <f t="shared" ref="R69:R85" si="505">POWER((0.505808068+0.226937134*LOG(O69)-0.064370273*O69^0.5)+1.644854*(0.071640457-0.007414736*LOG(O69)+0.005337774*O69^0.5),1/-0.403)</f>
        <v>4.2388747725757829</v>
      </c>
      <c r="S69" s="151">
        <f t="shared" ref="S69:S85" si="506">POWER((0.505808068+0.226937134*LOG(O69)-0.064370273*O69^0.5)+1.281552*(0.071640457-0.007414736*LOG(O69)+0.005337774*O69^0.5),1/-0.403)</f>
        <v>5.0263622458093113</v>
      </c>
      <c r="T69" s="151">
        <f t="shared" si="320"/>
        <v>6.8750518826372042</v>
      </c>
      <c r="U69" s="134">
        <f t="shared" si="321"/>
        <v>10.288453167505722</v>
      </c>
      <c r="V69" s="151">
        <f t="shared" si="322"/>
        <v>16.65291053131573</v>
      </c>
      <c r="W69" s="151">
        <f t="shared" ref="W69:W85" si="507">POWER((0.505808068+0.226937134*LOG(O69)-0.064370273*O69^0.5)-1.281552*(0.071640457-0.007414736*LOG(O69)+0.005337774*O69^0.5),1/-0.403)</f>
        <v>28.278317295454986</v>
      </c>
      <c r="X69" s="151">
        <f t="shared" ref="X69:X85" si="508">POWER((0.505808068+0.226937134*LOG(O69)-0.064370273*O69^0.5)-1.644854*(0.071640457-0.007414736*LOG(O69)+0.005337774*O69^0.5),1/-0.403)</f>
        <v>41.423118414878743</v>
      </c>
      <c r="Y69" s="151">
        <f t="shared" ref="Y69:Y85" si="509">POWER((0.505808068+0.226937134*LOG(O69)-0.064370273*O69^0.5)-1.959964*(0.071640457-0.007414736*LOG(O69)+0.005337774*O69^0.5),1/-0.403)</f>
        <v>60.969471198385875</v>
      </c>
      <c r="Z69" s="151">
        <f t="shared" ref="Z69:Z85" si="510">POWER((0.505808068+0.226937134*LOG(O69)-0.064370273*O69^0.5)-2.326348*(0.071640457-0.007414736*LOG(O69)+0.005337774*O69^0.5),1/-0.403)</f>
        <v>104.75975773635054</v>
      </c>
      <c r="AA69" s="81"/>
      <c r="AB69" s="75">
        <v>70</v>
      </c>
      <c r="AC69" s="151">
        <f t="shared" ref="AC69:AC70" si="511">POWER((0.787318871+0.000048337*LOG(AB69)-0.019778508*AB69^0.5)+2.326348*(0.033225354+0.124933628*LOG(AB69)-0.02063485*AB69^0.5),1/-0.225)</f>
        <v>2.2424182217275144</v>
      </c>
      <c r="AD69" s="151">
        <f t="shared" ref="AD69:AD70" si="512">POWER((0.787318871+0.000048337*LOG(AB69)-0.019778508*AB69^0.5)+1.959964*(0.033225354+0.124933628*LOG(AB69)-0.02063485*AB69^0.5),1/-0.225)</f>
        <v>2.6888392825607923</v>
      </c>
      <c r="AE69" s="151">
        <f t="shared" ref="AE69:AE70" si="513">POWER((0.787318871+0.000048337*LOG(AB69)-0.019778508*AB69^0.5)+1.644854*(0.033225354+0.124933628*LOG(AB69)-0.02063485*AB69^0.5),1/-0.225)</f>
        <v>3.1626731053405299</v>
      </c>
      <c r="AF69" s="151">
        <f t="shared" ref="AF69:AF70" si="514">POWER((0.787318871+0.000048337*LOG(AB69)-0.019778508*AB69^0.5)+1.281552*(0.033225354+0.124933628*LOG(AB69)-0.02063485*AB69^0.5),1/-0.225)</f>
        <v>3.8428513190784193</v>
      </c>
      <c r="AG69" s="151">
        <f t="shared" si="324"/>
        <v>5.4274330235244062</v>
      </c>
      <c r="AH69" s="134">
        <f t="shared" si="325"/>
        <v>8.2548072837147988</v>
      </c>
      <c r="AI69" s="151">
        <f t="shared" si="326"/>
        <v>13.11622115007429</v>
      </c>
      <c r="AJ69" s="151">
        <f t="shared" ref="AJ69:AJ70" si="515">POWER((0.787318871+0.000048337*LOG(AB69)-0.019778508*AB69^0.5)-1.281552*(0.033225354+0.124933628*LOG(AB69)-0.02063485*AB69^0.5),1/-0.225)</f>
        <v>20.797027023282283</v>
      </c>
      <c r="AK69" s="151">
        <f t="shared" ref="AK69:AK70" si="516">POWER((0.787318871+0.000048337*LOG(AB69)-0.019778508*AB69^0.5)-1.644854*(0.033225354+0.124933628*LOG(AB69)-0.02063485*AB69^0.5),1/-0.225)</f>
        <v>28.105058756713472</v>
      </c>
      <c r="AL69" s="151">
        <f t="shared" ref="AL69:AL70" si="517">POWER((0.787318871+0.000048337*LOG(AB69)-0.019778508*AB69^0.5)-1.959964*(0.033225354+0.124933628*LOG(AB69)-0.02063485*AB69^0.5),1/-0.225)</f>
        <v>37.14243867785833</v>
      </c>
      <c r="AM69" s="151">
        <f t="shared" ref="AM69:AM70" si="518">POWER((0.787318871+0.000048337*LOG(AB69)-0.019778508*AB69^0.5)-2.326348*(0.033225354+0.124933628*LOG(AB69)-0.02063485*AB69^0.5),1/-0.225)</f>
        <v>52.593091905494127</v>
      </c>
      <c r="AN69" s="81"/>
      <c r="AO69" s="81">
        <v>68</v>
      </c>
      <c r="AP69" s="133">
        <f t="shared" ref="AP69:AP85" si="519">POWER((5.836498591-4.49569107*LOG(AO69)+0.955178651*AO69^0.5)-2.326348*(0.668523278-0.817930407*LOG(AO69)+0.235086956*AO69^0.5),1/0.475)-7.001</f>
        <v>2.3829794127508412</v>
      </c>
      <c r="AQ69" s="133">
        <f t="shared" ref="AQ69:AQ85" si="520">POWER((5.836498591-4.49569107*LOG(AO69)+0.955178651*AO69^0.5)-1.959964*(0.668523278-0.817930407*LOG(AO69)+0.235086956*AO69^0.5),1/0.475)-7.001</f>
        <v>5.367889482886711</v>
      </c>
      <c r="AR69" s="133">
        <f t="shared" ref="AR69:AR85" si="521">POWER((5.836498591-4.49569107*LOG(AO69)+0.955178651*AO69^0.5)-1.644854*(0.668523278-0.817930407*LOG(AO69)+0.235086956*AO69^0.5),1/0.475)-7.001</f>
        <v>8.2828001341075179</v>
      </c>
      <c r="AS69" s="133">
        <f t="shared" ref="AS69:AS85" si="522">POWER((5.836498591-4.49569107*LOG(AO69)+0.955178651*AO69^0.5)-1.281552*(0.668523278-0.817930407*LOG(AO69)+0.235086956*AO69^0.5),1/0.475)-7.001</f>
        <v>12.047307778714664</v>
      </c>
      <c r="AT69" s="133">
        <f t="shared" si="328"/>
        <v>19.302011690890673</v>
      </c>
      <c r="AU69" s="134">
        <f t="shared" si="329"/>
        <v>28.845304571385011</v>
      </c>
      <c r="AV69" s="133">
        <f t="shared" si="330"/>
        <v>39.947952275791195</v>
      </c>
      <c r="AW69" s="133">
        <f t="shared" ref="AW69:AW85" si="523">POWER((5.836498591-4.49569107*LOG(AO69)+0.955178651*AO69^0.5)+1.281552*(0.668523278-0.817930407*LOG(AO69)+0.235086956*AO69^0.5),1/0.475)-7.001</f>
        <v>51.253759359233371</v>
      </c>
      <c r="AX69" s="133">
        <f t="shared" ref="AX69:AX85" si="524">POWER((5.836498591-4.49569107*LOG(AO69)+0.955178651*AO69^0.5)+1.644854*(0.668523278-0.817930407*LOG(AO69)+0.235086956*AO69^0.5),1/0.475)-7.001</f>
        <v>58.646849676466765</v>
      </c>
      <c r="AY69" s="133">
        <f t="shared" ref="AY69:AY85" si="525">POWER((5.836498591-4.49569107*LOG(AO69)+0.955178651*AO69^0.5)+1.959964*(0.668523278-0.817930407*LOG(AO69)+0.235086956*AO69^0.5),1/0.475)-7.001</f>
        <v>65.43569212410182</v>
      </c>
      <c r="AZ69" s="133">
        <f t="shared" ref="AZ69:AZ85" si="526">POWER((5.836498591-4.49569107*LOG(AO69)+0.955178651*AO69^0.5)+2.326348*(0.668523278-0.817930407*LOG(AO69)+0.235086956*AO69^0.5),1/0.475)-7.001</f>
        <v>73.771286462241321</v>
      </c>
      <c r="BA69" s="81"/>
      <c r="BB69" s="81">
        <v>68</v>
      </c>
      <c r="BC69" s="133">
        <f t="shared" ref="BC69:BC85" si="527">POWER((9.129564718-8.28652525*LOG(BB69)+1.792855923*BB69^0.5)-2.326348*(1.324763978-2.174364147*LOG(BB69)+0.551355577*BB69^0.5),1/0.587)-7.001</f>
        <v>5.1859612006828675</v>
      </c>
      <c r="BD69" s="133">
        <f t="shared" ref="BD69:BD85" si="528">POWER((9.129564718-8.28652525*LOG(BB69)+1.792855923*BB69^0.5)-1.959964*(1.324763978-2.174364147*LOG(BB69)+0.551355577*BB69^0.5),1/0.587)-7.001</f>
        <v>8.6760737022648122</v>
      </c>
      <c r="BE69" s="133">
        <f t="shared" ref="BE69:BE85" si="529">POWER((9.129564718-8.28652525*LOG(BB69)+1.792855923*BB69^0.5)-1.644854*(1.324763978-2.174364147*LOG(BB69)+0.551355577*BB69^0.5),1/0.587)-7.001</f>
        <v>11.962277831695019</v>
      </c>
      <c r="BF69" s="133">
        <f t="shared" ref="BF69:BF85" si="530">POWER((9.129564718-8.28652525*LOG(BB69)+1.792855923*BB69^0.5)-1.281552*(1.324763978-2.174364147*LOG(BB69)+0.551355577*BB69^0.5),1/0.587)-7.001</f>
        <v>16.065835203028449</v>
      </c>
      <c r="BG69" s="133">
        <f t="shared" si="332"/>
        <v>23.632636236016392</v>
      </c>
      <c r="BH69" s="134">
        <f t="shared" si="333"/>
        <v>33.083889918683646</v>
      </c>
      <c r="BI69" s="133">
        <f t="shared" si="334"/>
        <v>43.560237034411514</v>
      </c>
      <c r="BJ69" s="133">
        <f t="shared" ref="BJ69:BJ85" si="531">POWER((9.129564718-8.28652525*LOG(BB69)+1.792855923*BB69^0.5)+1.281552*(1.324763978-2.174364147*LOG(BB69)+0.551355577*BB69^0.5),1/0.587)-7.001</f>
        <v>53.798306360636047</v>
      </c>
      <c r="BK69" s="133">
        <f t="shared" ref="BK69:BK85" si="532">POWER((9.129564718-8.28652525*LOG(BB69)+1.792855923*BB69^0.5)+1.644854*(1.324763978-2.174364147*LOG(BB69)+0.551355577*BB69^0.5),1/0.587)-7.001</f>
        <v>60.304844533565451</v>
      </c>
      <c r="BL69" s="133">
        <f t="shared" ref="BL69:BL85" si="533">POWER((9.129564718-8.28652525*LOG(BB69)+1.792855923*BB69^0.5)+1.959964*(1.324763978-2.174364147*LOG(BB69)+0.551355577*BB69^0.5),1/0.587)-7.001</f>
        <v>66.167747439340332</v>
      </c>
      <c r="BM69" s="133">
        <f t="shared" ref="BM69:BM85" si="534">POWER((9.129564718-8.28652525*LOG(BB69)+1.792855923*BB69^0.5)+2.326348*(1.324763978-2.174364147*LOG(BB69)+0.551355577*BB69^0.5),1/0.587)-7.001</f>
        <v>73.236888150475849</v>
      </c>
      <c r="BN69" s="81"/>
      <c r="BO69" s="75">
        <v>70</v>
      </c>
      <c r="BP69" s="151">
        <f t="shared" ref="BP69:BP70" si="535">POWER((1.701585669-0.715178046*LOG(BO69)+0.147015501*BO69^0.5)-2.326348*(0.063416169+0.043129977*LOG(BO69)-0.00118163*BO69^0.5),1/0.148)</f>
        <v>5.9599379905046161</v>
      </c>
      <c r="BQ69" s="151">
        <f t="shared" ref="BQ69:BQ70" si="536">POWER((1.701585669-0.715178046*LOG(BO69)+0.147015501*BO69^0.5)-1.959964*(0.063416169+0.043129977*LOG(BO69)-0.00118163*BO69^0.5),1/0.148)</f>
        <v>7.6404227529552839</v>
      </c>
      <c r="BR69" s="151">
        <f t="shared" ref="BR69:BR70" si="537">POWER((1.701585669-0.715178046*LOG(BO69)+0.147015501*BO69^0.5)-1.644854*(0.063416169+0.043129977*LOG(BO69)-0.00118163*BO69^0.5),1/0.148)</f>
        <v>9.3934744941746668</v>
      </c>
      <c r="BS69" s="151">
        <f t="shared" ref="BS69:BS70" si="538">POWER((1.701585669-0.715178046*LOG(BO69)+0.147015501*BO69^0.5)-1.281552*(0.063416169+0.043129977*LOG(BO69)-0.00118163*BO69^0.5),1/0.148)</f>
        <v>11.829375675390763</v>
      </c>
      <c r="BT69" s="151">
        <f t="shared" si="336"/>
        <v>17.090578247929589</v>
      </c>
      <c r="BU69" s="134">
        <f t="shared" si="337"/>
        <v>25.186820478001472</v>
      </c>
      <c r="BV69" s="151">
        <f t="shared" si="338"/>
        <v>36.345139311997045</v>
      </c>
      <c r="BW69" s="151">
        <f t="shared" ref="BW69:BW70" si="539">POWER((1.701585669-0.715178046*LOG(BO69)+0.147015501*BO69^0.5)+1.281552*(0.063416169+0.043129977*LOG(BO69)-0.00118163*BO69^0.5),1/0.148)</f>
        <v>49.698111875457833</v>
      </c>
      <c r="BX69" s="151">
        <f t="shared" ref="BX69:BX70" si="540">POWER((1.701585669-0.715178046*LOG(BO69)+0.147015501*BO69^0.5)+1.644854*(0.063416169+0.043129977*LOG(BO69)-0.00118163*BO69^0.5),1/0.148)</f>
        <v>59.550320510911021</v>
      </c>
      <c r="BY69" s="151">
        <f t="shared" ref="BY69:BY70" si="541">POWER((1.701585669-0.715178046*LOG(BO69)+0.147015501*BO69^0.5)+1.959964*(0.063416169+0.043129977*LOG(BO69)-0.00118163*BO69^0.5),1/0.148)</f>
        <v>69.39806732287812</v>
      </c>
      <c r="BZ69" s="151">
        <f t="shared" ref="BZ69:BZ70" si="542">POWER((1.701585669-0.715178046*LOG(BO69)+0.147015501*BO69^0.5)+2.326348*(0.063416169+0.043129977*LOG(BO69)-0.00118163*BO69^0.5),1/0.148)</f>
        <v>82.561760543331786</v>
      </c>
      <c r="CA69" s="81"/>
      <c r="CB69" s="81">
        <v>68</v>
      </c>
      <c r="CC69" s="133">
        <f t="shared" ref="CC69:CC85" si="543">POWER((21.898574356-26.903936553*LOG(CB69)+4.665112065*CB69^0.5)-2.326348*(1.88745203+0.51223873*LOG(CB69)+0.068486778*CB69^0.5),1/0.709)-7.001</f>
        <v>-1.8929808468763669</v>
      </c>
      <c r="CD69" s="133">
        <f t="shared" ref="CD69:CD85" si="544">POWER((21.898574356-26.903936553*LOG(CB69)+4.665112065*CB69^0.5)-1.959964*(1.88745203+0.51223873*LOG(CB69)+0.068486778*CB69^0.5),1/0.709)-7.001</f>
        <v>1.1343399211768448</v>
      </c>
      <c r="CE69" s="133">
        <f t="shared" ref="CE69:CE85" si="545">POWER((21.898574356-26.903936553*LOG(CB69)+4.665112065*CB69^0.5)-1.644854*(1.88745203+0.51223873*LOG(CB69)+0.068486778*CB69^0.5),1/0.709)-7.001</f>
        <v>4.0395858166979108</v>
      </c>
      <c r="CF69" s="133">
        <f t="shared" ref="CF69:CF85" si="546">POWER((21.898574356-26.903936553*LOG(CB69)+4.665112065*CB69^0.5)-1.281552*(1.88745203+0.51223873*LOG(CB69)+0.068486778*CB69^0.5),1/0.709)-7.001</f>
        <v>7.6890212619958573</v>
      </c>
      <c r="CG69" s="133">
        <f t="shared" si="340"/>
        <v>14.400705203650947</v>
      </c>
      <c r="CH69" s="134">
        <f t="shared" si="341"/>
        <v>22.681728062642023</v>
      </c>
      <c r="CI69" s="133">
        <f t="shared" si="342"/>
        <v>31.701407198471738</v>
      </c>
      <c r="CJ69" s="133">
        <f t="shared" ref="CJ69:CJ85" si="547">POWER((21.898574356-26.903936553*LOG(CB69)+4.665112065*CB69^0.5)+1.281552*(1.88745203+0.51223873*LOG(CB69)+0.068486778*CB69^0.5),1/0.709)-7.001</f>
        <v>40.357669133323597</v>
      </c>
      <c r="CK69" s="133">
        <f t="shared" ref="CK69:CK85" si="548">POWER((21.898574356-26.903936553*LOG(CB69)+4.665112065*CB69^0.5)+1.644854*(1.88745203+0.51223873*LOG(CB69)+0.068486778*CB69^0.5),1/0.709)-7.001</f>
        <v>45.783122386907365</v>
      </c>
      <c r="CL69" s="133">
        <f t="shared" ref="CL69:CL85" si="549">POWER((21.898574356-26.903936553*LOG(CB69)+4.665112065*CB69^0.5)+1.959964*(1.88745203+0.51223873*LOG(CB69)+0.068486778*CB69^0.5),1/0.709)-7.001</f>
        <v>50.624767853872065</v>
      </c>
      <c r="CM69" s="133">
        <f t="shared" ref="CM69:CM85" si="550">POWER((21.898574356-26.903936553*LOG(CB69)+4.665112065*CB69^0.5)+2.326348*(1.88745203+0.51223873*LOG(CB69)+0.068486778*CB69^0.5),1/0.709)-7.001</f>
        <v>56.406628463663985</v>
      </c>
      <c r="CN69" s="81"/>
      <c r="CO69" s="81">
        <v>68</v>
      </c>
      <c r="CP69" s="133">
        <f t="shared" ref="CP69:CP85" si="551">POWER((20.182143031-22.173706696*LOG(CO69)+3.844054992*CO69^0.5)-2.326348*(2.292087929-0.758787886*LOG(CO69)+0.216995794*CO69^0.5),1/0.697)-6.001</f>
        <v>4.0277061925062432</v>
      </c>
      <c r="CQ69" s="133">
        <f t="shared" ref="CQ69:CQ85" si="552">POWER((20.182143031-22.173706696*LOG(CO69)+3.844054992*CO69^0.5)-1.959964*(2.292087929-0.758787886*LOG(CO69)+0.216995794*CO69^0.5),1/0.697)-6.001</f>
        <v>6.990118495466862</v>
      </c>
      <c r="CR69" s="133">
        <f t="shared" ref="CR69:CR85" si="553">POWER((20.182143031-22.173706696*LOG(CO69)+3.844054992*CO69^0.5)-1.644854*(2.292087929-0.758787886*LOG(CO69)+0.216995794*CO69^0.5),1/0.697)-6.001</f>
        <v>9.7156146250475288</v>
      </c>
      <c r="CS69" s="133">
        <f t="shared" ref="CS69:CS85" si="554">POWER((20.182143031-22.173706696*LOG(CO69)+3.844054992*CO69^0.5)-1.281552*(2.292087929-0.758787886*LOG(CO69)+0.216995794*CO69^0.5),1/0.697)-6.001</f>
        <v>13.045519941226548</v>
      </c>
      <c r="CT69" s="133">
        <f t="shared" si="344"/>
        <v>19.010233802372515</v>
      </c>
      <c r="CU69" s="134">
        <f t="shared" si="345"/>
        <v>26.207631498043479</v>
      </c>
      <c r="CV69" s="133">
        <f t="shared" si="346"/>
        <v>33.930749790201922</v>
      </c>
      <c r="CW69" s="133">
        <f t="shared" ref="CW69:CW85" si="555">POWER((20.182143031-22.173706696*LOG(CO69)+3.844054992*CO69^0.5)+1.281552*(2.292087929-0.758787886*LOG(CO69)+0.216995794*CO69^0.5),1/0.697)-6.001</f>
        <v>41.271802555995713</v>
      </c>
      <c r="CX69" s="133">
        <f t="shared" ref="CX69:CX85" si="556">POWER((20.182143031-22.173706696*LOG(CO69)+3.844054992*CO69^0.5)+1.644854*(2.292087929-0.758787886*LOG(CO69)+0.216995794*CO69^0.5),1/0.697)-6.001</f>
        <v>45.848100986829223</v>
      </c>
      <c r="CY69" s="133">
        <f t="shared" ref="CY69:CY85" si="557">POWER((20.182143031-22.173706696*LOG(CO69)+3.844054992*CO69^0.5)+1.959964*(2.292087929-0.758787886*LOG(CO69)+0.216995794*CO69^0.5),1/0.697)-6.001</f>
        <v>49.919425966883551</v>
      </c>
      <c r="CZ69" s="133">
        <f t="shared" ref="CZ69:CZ85" si="558">POWER((20.182143031-22.173706696*LOG(CO69)+3.844054992*CO69^0.5)+2.326348*(2.292087929-0.758787886*LOG(CO69)+0.216995794*CO69^0.5),1/0.697)-6.001</f>
        <v>54.768585073536705</v>
      </c>
      <c r="DA69" s="81"/>
      <c r="DB69" s="81">
        <v>70</v>
      </c>
      <c r="DC69" s="133">
        <f t="shared" ref="DC69:DC70" si="559">POWER((15.057371662-19.456694991*LOG(DB69)+3.368955099*DB69^0.5)-2.326348*(1.038994015+0.341963836*LOG(DB69)+0.047821163*DB69^0.5),1/0.608)-7.001</f>
        <v>-2.4014294929096982</v>
      </c>
      <c r="DD69" s="133">
        <f t="shared" ref="DD69:DD70" si="560">POWER((15.057371662-19.456694991*LOG(DB69)+3.368955099*DB69^0.5)-1.959964*(1.038994015+0.341963836*LOG(DB69)+0.047821163*DB69^0.5),1/0.608)-7.001</f>
        <v>7.9641338789820715E-2</v>
      </c>
      <c r="DE69" s="133">
        <f t="shared" ref="DE69:DE70" si="561">POWER((15.057371662-19.456694991*LOG(DB69)+3.368955099*DB69^0.5)-1.644854*(1.038994015+0.341963836*LOG(DB69)+0.047821163*DB69^0.5),1/0.608)-7.001</f>
        <v>2.5350283104903282</v>
      </c>
      <c r="DF69" s="133">
        <f t="shared" ref="DF69:DF70" si="562">POWER((15.057371662-19.456694991*LOG(DB69)+3.368955099*DB69^0.5)-1.281552*(1.038994015+0.341963836*LOG(DB69)+0.047821163*DB69^0.5),1/0.608)-7.001</f>
        <v>5.7093976013458674</v>
      </c>
      <c r="DG69" s="133">
        <f t="shared" si="348"/>
        <v>11.76731964431583</v>
      </c>
      <c r="DH69" s="134">
        <f t="shared" si="349"/>
        <v>19.562547279695924</v>
      </c>
      <c r="DI69" s="133">
        <f t="shared" si="350"/>
        <v>28.380322083588549</v>
      </c>
      <c r="DJ69" s="133">
        <f t="shared" ref="DJ69:DJ70" si="563">POWER((15.057371662-19.456694991*LOG(DB69)+3.368955099*DB69^0.5)+1.281552*(1.038994015+0.341963836*LOG(DB69)+0.047821163*DB69^0.5),1/0.608)-7.001</f>
        <v>37.110723579202855</v>
      </c>
      <c r="DK69" s="133">
        <f t="shared" ref="DK69:DK70" si="564">POWER((15.057371662-19.456694991*LOG(DB69)+3.368955099*DB69^0.5)+1.644854*(1.038994015+0.341963836*LOG(DB69)+0.047821163*DB69^0.5),1/0.608)-7.001</f>
        <v>42.699634053766161</v>
      </c>
      <c r="DL69" s="133">
        <f t="shared" ref="DL69:DL70" si="565">POWER((15.057371662-19.456694991*LOG(DB69)+3.368955099*DB69^0.5)+1.959964*(1.038994015+0.341963836*LOG(DB69)+0.047821163*DB69^0.5),1/0.608)-7.001</f>
        <v>47.75634881906867</v>
      </c>
      <c r="DM69" s="133">
        <f t="shared" ref="DM69:DM70" si="566">POWER((15.057371662-19.456694991*LOG(DB69)+3.368955099*DB69^0.5)+2.326348*(1.038994015+0.341963836*LOG(DB69)+0.047821163*DB69^0.5),1/0.608)-7.001</f>
        <v>53.874604111440654</v>
      </c>
      <c r="DN69" s="81"/>
      <c r="DO69" s="81">
        <v>68</v>
      </c>
      <c r="DP69" s="133">
        <v>14.01702495491587</v>
      </c>
      <c r="DQ69" s="133">
        <v>15.209892793240513</v>
      </c>
      <c r="DR69" s="133">
        <v>16.316707545067889</v>
      </c>
      <c r="DS69" s="133">
        <v>17.693121579737486</v>
      </c>
      <c r="DT69" s="133">
        <v>20.252445235935973</v>
      </c>
      <c r="DU69" s="134">
        <v>23.543653598369861</v>
      </c>
      <c r="DV69" s="133">
        <v>27.369713548291767</v>
      </c>
      <c r="DW69" s="133">
        <v>31.328763681522066</v>
      </c>
      <c r="DX69" s="133">
        <v>33.971536428474231</v>
      </c>
      <c r="DY69" s="133">
        <v>36.443624704992928</v>
      </c>
      <c r="DZ69" s="133">
        <v>39.545026604638807</v>
      </c>
      <c r="EA69" s="81"/>
      <c r="EB69" s="81">
        <v>68</v>
      </c>
      <c r="EC69" s="133">
        <v>13.263504388310073</v>
      </c>
      <c r="ED69" s="133">
        <v>14.523543582404264</v>
      </c>
      <c r="EE69" s="133">
        <v>15.702580261847407</v>
      </c>
      <c r="EF69" s="133">
        <v>17.181211263996126</v>
      </c>
      <c r="EG69" s="133">
        <v>19.964145600306807</v>
      </c>
      <c r="EH69" s="134">
        <v>23.600361293301589</v>
      </c>
      <c r="EI69" s="133">
        <v>27.898867516063827</v>
      </c>
      <c r="EJ69" s="133">
        <v>32.417798990780966</v>
      </c>
      <c r="EK69" s="133">
        <v>35.470415937160119</v>
      </c>
      <c r="EL69" s="133">
        <v>38.349941941797432</v>
      </c>
      <c r="EM69" s="133">
        <v>41.993204576104759</v>
      </c>
      <c r="EN69" s="81"/>
      <c r="EO69" s="81">
        <v>70</v>
      </c>
      <c r="EP69" s="133">
        <v>10.837848497516797</v>
      </c>
      <c r="EQ69" s="133">
        <v>12.358777618797701</v>
      </c>
      <c r="ER69" s="133">
        <v>13.836507847062792</v>
      </c>
      <c r="ES69" s="133">
        <v>15.760833542608498</v>
      </c>
      <c r="ET69" s="133">
        <v>19.584796817135327</v>
      </c>
      <c r="EU69" s="134">
        <v>24.949936471941975</v>
      </c>
      <c r="EV69" s="133">
        <v>31.784824512925077</v>
      </c>
      <c r="EW69" s="133">
        <v>39.496599483209387</v>
      </c>
      <c r="EX69" s="133">
        <v>44.989627211904057</v>
      </c>
      <c r="EY69" s="133">
        <v>50.369004860733035</v>
      </c>
      <c r="EZ69" s="133">
        <v>57.437537542305471</v>
      </c>
      <c r="FA69" s="81"/>
      <c r="FB69" s="81">
        <v>68</v>
      </c>
      <c r="FC69" s="133">
        <v>10.012719349696967</v>
      </c>
      <c r="FD69" s="133">
        <v>10.792822985186168</v>
      </c>
      <c r="FE69" s="133">
        <v>11.51219668297208</v>
      </c>
      <c r="FF69" s="133">
        <v>12.40129747849616</v>
      </c>
      <c r="FG69" s="133">
        <v>14.039903622248213</v>
      </c>
      <c r="FH69" s="134">
        <v>16.122679831539195</v>
      </c>
      <c r="FI69" s="133">
        <v>18.514429439416361</v>
      </c>
      <c r="FJ69" s="133">
        <v>20.960774902872686</v>
      </c>
      <c r="FK69" s="133">
        <v>22.579600758107645</v>
      </c>
      <c r="FL69" s="133">
        <v>24.084598191511692</v>
      </c>
      <c r="FM69" s="133">
        <v>25.961059715329757</v>
      </c>
      <c r="FN69" s="81"/>
      <c r="FO69" s="81">
        <v>68</v>
      </c>
      <c r="FP69" s="133">
        <v>9.9527386699965312</v>
      </c>
      <c r="FQ69" s="133">
        <v>10.730028320318405</v>
      </c>
      <c r="FR69" s="133">
        <v>11.446922420011738</v>
      </c>
      <c r="FS69" s="133">
        <v>12.333100980281097</v>
      </c>
      <c r="FT69" s="133">
        <v>13.966699000568234</v>
      </c>
      <c r="FU69" s="134">
        <v>16.043740421484944</v>
      </c>
      <c r="FV69" s="133">
        <v>18.429666645033127</v>
      </c>
      <c r="FW69" s="133">
        <v>20.870793738212242</v>
      </c>
      <c r="FX69" s="133">
        <v>22.486533695903745</v>
      </c>
      <c r="FY69" s="133">
        <v>23.988902827457942</v>
      </c>
      <c r="FZ69" s="133">
        <v>25.862389764934903</v>
      </c>
      <c r="GA69" s="81"/>
      <c r="GB69" s="81">
        <v>70</v>
      </c>
      <c r="GC69" s="133">
        <v>7.6457423062105416</v>
      </c>
      <c r="GD69" s="133">
        <v>8.6512707737237164</v>
      </c>
      <c r="GE69" s="133">
        <v>9.6212303597294646</v>
      </c>
      <c r="GF69" s="133">
        <v>10.875255651550077</v>
      </c>
      <c r="GG69" s="133">
        <v>13.341395805426304</v>
      </c>
      <c r="GH69" s="134">
        <v>16.754611034098499</v>
      </c>
      <c r="GI69" s="133">
        <v>21.041051101246843</v>
      </c>
      <c r="GJ69" s="133">
        <v>25.812449830908005</v>
      </c>
      <c r="GK69" s="133">
        <v>29.176828784694887</v>
      </c>
      <c r="GL69" s="133">
        <v>32.448064364896503</v>
      </c>
      <c r="GM69" s="133">
        <v>36.715465897393926</v>
      </c>
      <c r="GN69" s="81"/>
      <c r="GO69" s="122">
        <v>68</v>
      </c>
      <c r="GP69" s="149">
        <f t="shared" ref="GP69:GP85" si="567">POWER((0.233620187-0.086725664*LOG(GO69)+0.04901957*GO69^0.5)-2.326348*(0.086429948-0.007000796*LOG(GO69)+0.002228381*GO69^0.5),1/2.06)</f>
        <v>0.5247869915376141</v>
      </c>
      <c r="GQ69" s="149">
        <f t="shared" ref="GQ69:GQ85" si="568">POWER((0.233620187-0.086725664*LOG(GO69)+0.04901957*GO69^0.5)-1.959964*(0.086429948-0.007000796*LOG(GO69)+0.002228381*GO69^0.5),1/2.06)</f>
        <v>0.55619126104691108</v>
      </c>
      <c r="GR69" s="149">
        <f t="shared" ref="GR69:GR85" si="569">POWER((0.233620187-0.086725664*LOG(GO69)+0.04901957*GO69^0.5)-1.644854*(0.086429948-0.007000796*LOG(GO69)+0.002228381*GO69^0.5),1/2.06)</f>
        <v>0.58176929010072131</v>
      </c>
      <c r="GS69" s="149">
        <f t="shared" ref="GS69:GS85" si="570">POWER((0.233620187-0.086725664*LOG(GO69)+0.04901957*GO69^0.5)-1.281552*(0.086429948-0.007000796*LOG(GO69)+0.002228381*GO69^0.5),1/2.06)</f>
        <v>0.60985337057237399</v>
      </c>
      <c r="GT69" s="149">
        <f t="shared" si="352"/>
        <v>0.65511932799520667</v>
      </c>
      <c r="GU69" s="150">
        <f t="shared" si="353"/>
        <v>0.69950047187114561</v>
      </c>
      <c r="GV69" s="149">
        <f t="shared" si="354"/>
        <v>0.74107969635226589</v>
      </c>
      <c r="GW69" s="149">
        <f t="shared" ref="GW69:GW85" si="571">POWER((0.233620187-0.086725664*LOG(GO69)+0.04901957*GO69^0.5)+1.281552*(0.086429948-0.007000796*LOG(GO69)+0.002228381*GO69^0.5),1/2.06)</f>
        <v>0.77835305137330446</v>
      </c>
      <c r="GX69" s="149">
        <f t="shared" ref="GX69:GX85" si="572">POWER((0.233620187-0.086725664*LOG(GO69)+0.04901957*GO69^0.5)+1.644854*(0.086429948-0.007000796*LOG(GO69)+0.002228381*GO69^0.5),1/2.06)</f>
        <v>0.79921247897035907</v>
      </c>
      <c r="GY69" s="149">
        <f t="shared" ref="GY69:GY85" si="573">POWER((0.233620187-0.086725664*LOG(GO69)+0.04901957*GO69^0.5)+1.959964*(0.086429948-0.007000796*LOG(GO69)+0.002228381*GO69^0.5),1/2.06)</f>
        <v>0.81684841476106118</v>
      </c>
      <c r="GZ69" s="149">
        <f t="shared" ref="GZ69:GZ85" si="574">POWER((0.233620187-0.086725664*LOG(GO69)+0.04901957*GO69^0.5)+2.326348*(0.086429948-0.007000796*LOG(GO69)+0.002228381*GO69^0.5),1/2.06)</f>
        <v>0.83685954123546691</v>
      </c>
      <c r="HA69" s="81"/>
      <c r="HB69" s="122">
        <v>68</v>
      </c>
      <c r="HC69" s="149">
        <f t="shared" ref="HC69:HC85" si="575">POWER((0.260159768-0.151356012*LOG(HB69)+0.060955623*HB69^0.5)-2.326348*(0.063209008+0.037954229*LOG(HB69)-0.004615882*HB69^0.5),1/2.04)</f>
        <v>0.52167572621116931</v>
      </c>
      <c r="HD69" s="149">
        <f t="shared" ref="HD69:HD85" si="576">POWER((0.260159768-0.151356012*LOG(HB69)+0.060955623*HB69^0.5)-1.959964*(0.063209008+0.037954229*LOG(HB69)-0.004615882*HB69^0.5),1/2.04)</f>
        <v>0.55408913150452754</v>
      </c>
      <c r="HE69" s="149">
        <f t="shared" ref="HE69:HE85" si="577">POWER((0.260159768-0.151356012*LOG(HB69)+0.060955623*HB69^0.5)-1.644854*(0.063209008+0.037954229*LOG(HB69)-0.004615882*HB69^0.5),1/2.04)</f>
        <v>0.58046574122462935</v>
      </c>
      <c r="HF69" s="149">
        <f t="shared" ref="HF69:HF85" si="578">POWER((0.260159768-0.151356012*LOG(HB69)+0.060955623*HB69^0.5)-1.281552*(0.063209008+0.037954229*LOG(HB69)-0.004615882*HB69^0.5),1/2.04)</f>
        <v>0.60940732468709036</v>
      </c>
      <c r="HG69" s="149">
        <f t="shared" si="356"/>
        <v>0.6547402022323584</v>
      </c>
      <c r="HH69" s="150">
        <f t="shared" si="357"/>
        <v>0.70169747305624575</v>
      </c>
      <c r="HI69" s="149">
        <f t="shared" si="358"/>
        <v>0.74559312989925164</v>
      </c>
      <c r="HJ69" s="149">
        <f t="shared" ref="HJ69:HJ85" si="579">POWER((0.260159768-0.151356012*LOG(HB69)+0.060955623*HB69^0.5)+1.281552*(0.063209008+0.037954229*LOG(HB69)-0.004615882*HB69^0.5),1/2.04)</f>
        <v>0.78280479866968899</v>
      </c>
      <c r="HK69" s="149">
        <f t="shared" ref="HK69:HK85" si="580">POWER((0.260159768-0.151356012*LOG(HB69)+0.060955623*HB69^0.5)+1.644854*(0.063209008+0.037954229*LOG(HB69)-0.004615882*HB69^0.5),1/2.04)</f>
        <v>0.80425479466562855</v>
      </c>
      <c r="HL69" s="149">
        <f t="shared" ref="HL69:HL85" si="581">POWER((0.260159768-0.151356012*LOG(HB69)+0.060955623*HB69^0.5)+1.959964*(0.063209008+0.037954229*LOG(HB69)-0.004615882*HB69^0.5),1/2.04)</f>
        <v>0.82238883753977943</v>
      </c>
      <c r="HM69" s="149">
        <f t="shared" ref="HM69:HM85" si="582">POWER((0.260159768-0.151356012*LOG(HB69)+0.060955623*HB69^0.5)+2.326348*(0.063209008+0.037954229*LOG(HB69)-0.004615882*HB69^0.5),1/2.04)</f>
        <v>0.84296414949615961</v>
      </c>
      <c r="HN69" s="81"/>
      <c r="HO69" s="81">
        <v>70</v>
      </c>
      <c r="HP69" s="83">
        <f t="shared" ref="HP69:HP70" si="583">POWER((0.207481579-0.01891618*LOG(HO69)+0.03605933*HO69^0.5)-2.326348*(0.110751963-0.054950947*LOG(HO69)+0.009715719*HO69^0.5),1/2.08)</f>
        <v>0.52655363235289332</v>
      </c>
      <c r="HQ69" s="83">
        <f t="shared" ref="HQ69:HQ70" si="584">POWER((0.207481579-0.01891618*LOG(HO69)+0.03605933*HO69^0.5)-1.959964*(0.110751963-0.054950947*LOG(HO69)+0.009715719*HO69^0.5),1/2.08)</f>
        <v>0.55749183880544606</v>
      </c>
      <c r="HR69" s="83">
        <f t="shared" ref="HR69:HR70" si="585">POWER((0.207481579-0.01891618*LOG(HO69)+0.03605933*HO69^0.5)-1.644854*(0.110751963-0.054950947*LOG(HO69)+0.009715719*HO69^0.5),1/2.08)</f>
        <v>0.58268848472952717</v>
      </c>
      <c r="HS69" s="83">
        <f t="shared" ref="HS69:HS70" si="586">POWER((0.207481579-0.01891618*LOG(HO69)+0.03605933*HO69^0.5)-1.281552*(0.110751963-0.054950947*LOG(HO69)+0.009715719*HO69^0.5),1/2.08)</f>
        <v>0.61035103628750531</v>
      </c>
      <c r="HT69" s="83">
        <f t="shared" si="360"/>
        <v>0.65370318228122559</v>
      </c>
      <c r="HU69" s="84">
        <f t="shared" si="361"/>
        <v>0.69862574799221622</v>
      </c>
      <c r="HV69" s="83">
        <f t="shared" si="362"/>
        <v>0.74062557353960334</v>
      </c>
      <c r="HW69" s="83">
        <f t="shared" ref="HW69:HW70" si="587">POWER((0.207481579-0.01891618*LOG(HO69)+0.03605933*HO69^0.5)+1.281552*(0.110751963-0.054950947*LOG(HO69)+0.009715719*HO69^0.5),1/2.08)</f>
        <v>0.77622981654414525</v>
      </c>
      <c r="HX69" s="83">
        <f t="shared" ref="HX69:HX70" si="588">POWER((0.207481579-0.01891618*LOG(HO69)+0.03605933*HO69^0.5)+1.644854*(0.110751963-0.054950947*LOG(HO69)+0.009715719*HO69^0.5),1/2.08)</f>
        <v>0.79675184096677365</v>
      </c>
      <c r="HY69" s="83">
        <f t="shared" ref="HY69:HY70" si="589">POWER((0.207481579-0.01891618*LOG(HO69)+0.03605933*HO69^0.5)+1.959964*(0.110751963-0.054950947*LOG(HO69)+0.009715719*HO69^0.5),1/2.08)</f>
        <v>0.81410012031427526</v>
      </c>
      <c r="HZ69" s="83">
        <f t="shared" ref="HZ69:HZ70" si="590">POWER((0.207481579-0.01891618*LOG(HO69)+0.03605933*HO69^0.5)+2.326348*(0.110751963-0.054950947*LOG(HO69)+0.009715719*HO69^0.5),1/2.08)</f>
        <v>0.83378217131538968</v>
      </c>
      <c r="IA69" s="81"/>
      <c r="IB69" s="122">
        <v>68</v>
      </c>
      <c r="IC69" s="126">
        <f t="shared" ref="IC69:IC85" si="591">POWER((0.018347209-0.007282911*LOG(IB69)+0.004299644*IB69^0.5)-2.326348*(0.007950591-0.000478586*LOG(IB69)+0.000131249*IB69^0.5),1/3.61)</f>
        <v>0.34512748584189495</v>
      </c>
      <c r="ID69" s="126">
        <f t="shared" ref="ID69:ID85" si="592">POWER((0.018347209-0.007282911*LOG(IB69)+0.004299644*IB69^0.5)-1.959964*(0.007950591-0.000478586*LOG(IB69)+0.000131249*IB69^0.5),1/3.61)</f>
        <v>0.35780530970507912</v>
      </c>
      <c r="IE69" s="126">
        <f t="shared" ref="IE69:IE85" si="593">POWER((0.018347209-0.007282911*LOG(IB69)+0.004299644*IB69^0.5)-1.644854*(0.007950591-0.000478586*LOG(IB69)+0.000131249*IB69^0.5),1/3.61)</f>
        <v>0.36784137259950317</v>
      </c>
      <c r="IF69" s="126">
        <f t="shared" ref="IF69:IF85" si="594">POWER((0.018347209-0.007282911*LOG(IB69)+0.004299644*IB69^0.5)-1.281552*(0.007950591-0.000478586*LOG(IB69)+0.000131249*IB69^0.5),1/3.61)</f>
        <v>0.37859000689704958</v>
      </c>
      <c r="IG69" s="126">
        <f t="shared" si="364"/>
        <v>0.39492514476837176</v>
      </c>
      <c r="IH69" s="127">
        <f t="shared" si="365"/>
        <v>0.41126866326364714</v>
      </c>
      <c r="II69" s="126">
        <f t="shared" si="366"/>
        <v>0.42607356861780726</v>
      </c>
      <c r="IJ69" s="126">
        <f t="shared" ref="IJ69:IJ85" si="595">POWER((0.018347209-0.007282911*LOG(IB69)+0.004299644*IB69^0.5)+1.281552*(0.007950591-0.000478586*LOG(IB69)+0.000131249*IB69^0.5),1/3.61)</f>
        <v>0.43830028876079552</v>
      </c>
      <c r="IK69" s="126">
        <f t="shared" ref="IK69:IK85" si="596">POWER((0.018347209-0.007282911*LOG(IB69)+0.004299644*IB69^0.5)+1.644854*(0.007950591-0.000478586*LOG(IB69)+0.000131249*IB69^0.5),1/3.61)</f>
        <v>0.44522293890781978</v>
      </c>
      <c r="IL69" s="126">
        <f t="shared" ref="IL69:IL85" si="597">POWER((0.018347209-0.007282911*LOG(IB69)+0.004299644*IB69^0.5)+1.959964*(0.007950591-0.000478586*LOG(IB69)+0.000131249*IB69^0.5),1/3.61)</f>
        <v>0.45100770807664742</v>
      </c>
      <c r="IM69" s="126">
        <f t="shared" ref="IM69:IM85" si="598">POWER((0.018347209-0.007282911*LOG(IB69)+0.004299644*IB69^0.5)+2.326348*(0.007950591-0.000478586*LOG(IB69)+0.000131249*IB69^0.5),1/3.61)</f>
        <v>0.45749908163989306</v>
      </c>
      <c r="IN69" s="81"/>
      <c r="IO69" s="122">
        <v>68</v>
      </c>
      <c r="IP69" s="149">
        <f t="shared" ref="IP69:IP85" si="599">POWER((0.021322342-0.013400605*LOG(IO69)+0.005506749*IO69^0.5)-2.326348*(0.006004732+0.003720707*LOG(IO69)-0.000504609*IO69^0.5),1/3.57)</f>
        <v>0.34342392360480212</v>
      </c>
      <c r="IQ69" s="149">
        <f t="shared" ref="IQ69:IQ85" si="600">POWER((0.021322342-0.013400605*LOG(IO69)+0.005506749*IO69^0.5)-1.959964*(0.006004732+0.003720707*LOG(IO69)-0.000504609*IO69^0.5),1/3.57)</f>
        <v>0.35662015541587605</v>
      </c>
      <c r="IR69" s="149">
        <f t="shared" ref="IR69:IR85" si="601">POWER((0.021322342-0.013400605*LOG(IO69)+0.005506749*IO69^0.5)-1.644854*(0.006004732+0.003720707*LOG(IO69)-0.000504609*IO69^0.5),1/3.57)</f>
        <v>0.36704290940541795</v>
      </c>
      <c r="IS69" s="149">
        <f t="shared" ref="IS69:IS85" si="602">POWER((0.021322342-0.013400605*LOG(IO69)+0.005506749*IO69^0.5)-1.281552*(0.006004732+0.003720707*LOG(IO69)-0.000504609*IO69^0.5),1/3.57)</f>
        <v>0.37818604368688574</v>
      </c>
      <c r="IT69" s="149">
        <f t="shared" si="368"/>
        <v>0.39508821842603753</v>
      </c>
      <c r="IU69" s="150">
        <f t="shared" si="369"/>
        <v>0.41196717068713384</v>
      </c>
      <c r="IV69" s="149">
        <f t="shared" si="370"/>
        <v>0.42723512383148188</v>
      </c>
      <c r="IW69" s="149">
        <f t="shared" ref="IW69:IW85" si="603">POWER((0.021322342-0.013400605*LOG(IO69)+0.005506749*IO69^0.5)+1.281552*(0.006004732+0.003720707*LOG(IO69)-0.000504609*IO69^0.5),1/3.57)</f>
        <v>0.43983142270770692</v>
      </c>
      <c r="IX69" s="149">
        <f t="shared" ref="IX69:IX85" si="604">POWER((0.021322342-0.013400605*LOG(IO69)+0.005506749*IO69^0.5)+1.644854*(0.006004732+0.003720707*LOG(IO69)-0.000504609*IO69^0.5),1/3.57)</f>
        <v>0.44695894338735936</v>
      </c>
      <c r="IY69" s="149">
        <f t="shared" ref="IY69:IY85" si="605">POWER((0.021322342-0.013400605*LOG(IO69)+0.005506749*IO69^0.5)+1.959964*(0.006004732+0.003720707*LOG(IO69)-0.000504609*IO69^0.5),1/3.57)</f>
        <v>0.45291275008409931</v>
      </c>
      <c r="IZ69" s="149">
        <f t="shared" ref="IZ69:IZ85" si="606">POWER((0.021322342-0.013400605*LOG(IO69)+0.005506749*IO69^0.5)+2.326348*(0.006004732+0.003720707*LOG(IO69)-0.000504609*IO69^0.5),1/3.57)</f>
        <v>0.45959167263907841</v>
      </c>
      <c r="JA69" s="81"/>
      <c r="JB69" s="122">
        <v>70</v>
      </c>
      <c r="JC69" s="149">
        <f t="shared" ref="JC69:JC70" si="607">POWER((0.015562404-0.001236024*LOG(JB69)+0.003069913*JB69^0.5)-2.326348*(0.009868481-0.004683869*LOG(JB69)+0.000784556*JB69^0.5),1/3.65)</f>
        <v>0.34629318682940113</v>
      </c>
      <c r="JD69" s="149">
        <f t="shared" ref="JD69:JD70" si="608">POWER((0.015562404-0.001236024*LOG(JB69)+0.003069913*JB69^0.5)-1.959964*(0.009868481-0.004683869*LOG(JB69)+0.000784556*JB69^0.5),1/3.65)</f>
        <v>0.3586858695333362</v>
      </c>
      <c r="JE69" s="149">
        <f t="shared" ref="JE69:JE70" si="609">POWER((0.015562404-0.001236024*LOG(JB69)+0.003069913*JB69^0.5)-1.644854*(0.009868481-0.004683869*LOG(JB69)+0.000784556*JB69^0.5),1/3.65)</f>
        <v>0.36850405594933056</v>
      </c>
      <c r="JF69" s="149">
        <f t="shared" ref="JF69:JF70" si="610">POWER((0.015562404-0.001236024*LOG(JB69)+0.003069913*JB69^0.5)-1.281552*(0.009868481-0.004683869*LOG(JB69)+0.000784556*JB69^0.5),1/3.65)</f>
        <v>0.37902569048073853</v>
      </c>
      <c r="JG69" s="149">
        <f t="shared" si="372"/>
        <v>0.39502598188353211</v>
      </c>
      <c r="JH69" s="150">
        <f t="shared" si="373"/>
        <v>0.41104390964356163</v>
      </c>
      <c r="JI69" s="149">
        <f t="shared" si="374"/>
        <v>0.42555988176812864</v>
      </c>
      <c r="JJ69" s="149">
        <f t="shared" ref="JJ69:JJ70" si="611">POWER((0.015562404-0.001236024*LOG(JB69)+0.003069913*JB69^0.5)+1.281552*(0.009868481-0.004683869*LOG(JB69)+0.000784556*JB69^0.5),1/3.65)</f>
        <v>0.43755116617745582</v>
      </c>
      <c r="JK69" s="149">
        <f t="shared" ref="JK69:JK70" si="612">POWER((0.015562404-0.001236024*LOG(JB69)+0.003069913*JB69^0.5)+1.644854*(0.009868481-0.004683869*LOG(JB69)+0.000784556*JB69^0.5),1/3.65)</f>
        <v>0.44434149697889458</v>
      </c>
      <c r="JL69" s="149">
        <f t="shared" ref="JL69:JL70" si="613">POWER((0.015562404-0.001236024*LOG(JB69)+0.003069913*JB69^0.5)+1.959964*(0.009868481-0.004683869*LOG(JB69)+0.000784556*JB69^0.5),1/3.65)</f>
        <v>0.45001613685834224</v>
      </c>
      <c r="JM69" s="149">
        <f t="shared" ref="JM69:JM70" si="614">POWER((0.015562404-0.001236024*LOG(JB69)+0.003069913*JB69^0.5)+2.326348*(0.009868481-0.004683869*LOG(JB69)+0.000784556*JB69^0.5),1/3.65)</f>
        <v>0.45638432886284125</v>
      </c>
      <c r="JN69" s="81"/>
      <c r="JO69" s="122">
        <v>67</v>
      </c>
      <c r="JP69" s="149">
        <f t="shared" ref="JP69:JP86" si="615">POWER((16.097260769-14.149592527*LOG(JO69)+3.314143516*JO69^0.5)-2.326348*(0.064536512+2.84968079*LOG(JO69)-0.41863164*JO69^0.5),1/0.824)-21.001</f>
        <v>1.6977325401603842</v>
      </c>
      <c r="JQ69" s="149">
        <f t="shared" ref="JQ69:JQ86" si="616">POWER((16.097260769-14.149592527*LOG(JO69)+3.314143516*JO69^0.5)-1.959964*(0.064536512+2.84968079*LOG(JO69)-0.41863164*JO69^0.5),1/0.824)-21.001</f>
        <v>3.1240494340657605</v>
      </c>
      <c r="JR69" s="149">
        <f t="shared" ref="JR69:JR86" si="617">POWER((16.097260769-14.149592527*LOG(JO69)+3.314143516*JO69^0.5)-1.644854*(0.064536512+2.84968079*LOG(JO69)-0.41863164*JO69^0.5),1/0.824)-21.001</f>
        <v>4.3627815391468481</v>
      </c>
      <c r="JS69" s="149">
        <f t="shared" ref="JS69:JS86" si="618">POWER((16.097260769-14.149592527*LOG(JO69)+3.314143516*JO69^0.5)-1.281552*(0.064536512+2.84968079*LOG(JO69)-0.41863164*JO69^0.5),1/0.824)-21.001</f>
        <v>5.8042739525457776</v>
      </c>
      <c r="JT69" s="149">
        <f t="shared" si="376"/>
        <v>8.2393710837121645</v>
      </c>
      <c r="JU69" s="150">
        <f t="shared" si="377"/>
        <v>10.996146550902864</v>
      </c>
      <c r="JV69" s="149">
        <f t="shared" si="378"/>
        <v>13.795409127452348</v>
      </c>
      <c r="JW69" s="149">
        <f t="shared" ref="JW69:JW86" si="619">POWER((16.097260769-14.149592527*LOG(JO69)+3.314143516*JO69^0.5)+1.281552*(0.064536512+2.84968079*LOG(JO69)-0.41863164*JO69^0.5),1/0.824)-21.001</f>
        <v>16.341184397087137</v>
      </c>
      <c r="JX69" s="149">
        <f t="shared" ref="JX69:JX86" si="620">POWER((16.097260769-14.149592527*LOG(JO69)+3.314143516*JO69^0.5)+1.644854*(0.064536512+2.84968079*LOG(JO69)-0.41863164*JO69^0.5),1/0.824)-21.001</f>
        <v>17.882183948701243</v>
      </c>
      <c r="JY69" s="149">
        <f t="shared" ref="JY69:JY86" si="621">POWER((16.097260769-14.149592527*LOG(JO69)+3.314143516*JO69^0.5)+1.959964*(0.064536512+2.84968079*LOG(JO69)-0.41863164*JO69^0.5),1/0.824)-21.001</f>
        <v>19.227547256160999</v>
      </c>
      <c r="JZ69" s="149">
        <f t="shared" ref="JZ69:JZ86" si="622">POWER((16.097260769-14.149592527*LOG(JO69)+3.314143516*JO69^0.5)+2.326348*(0.064536512+2.84968079*LOG(JO69)-0.41863164*JO69^0.5),1/0.824)-21.001</f>
        <v>20.801830206302572</v>
      </c>
      <c r="KA69" s="81"/>
      <c r="KB69" s="122">
        <v>67</v>
      </c>
      <c r="KC69" s="149">
        <f t="shared" ref="KC69:KC86" si="623">POWER((7.752880982-8.781963673*LOG(KB69)+2.106015174*KB69^0.5)-2.326348*(0.191693137+1.304116932*LOG(KB69)-0.179398555*KB69^0.5),1/0.682)-12.001</f>
        <v>3.1550918229759883</v>
      </c>
      <c r="KD69" s="149">
        <f t="shared" ref="KD69:KD86" si="624">POWER((7.752880982-8.781963673*LOG(KB69)+2.106015174*KB69^0.5)-1.959964*(0.191693137+1.304116932*LOG(KB69)-0.179398555*KB69^0.5),1/0.682)-12.001</f>
        <v>4.5843543271522638</v>
      </c>
      <c r="KE69" s="149">
        <f t="shared" ref="KE69:KE86" si="625">POWER((7.752880982-8.781963673*LOG(KB69)+2.106015174*KB69^0.5)-1.644854*(0.191693137+1.304116932*LOG(KB69)-0.179398555*KB69^0.5),1/0.682)-12.001</f>
        <v>5.8458801372775273</v>
      </c>
      <c r="KF69" s="149">
        <f t="shared" ref="KF69:KF86" si="626">POWER((7.752880982-8.781963673*LOG(KB69)+2.106015174*KB69^0.5)-1.281552*(0.191693137+1.304116932*LOG(KB69)-0.179398555*KB69^0.5),1/0.682)-12.001</f>
        <v>7.3363141246643995</v>
      </c>
      <c r="KG69" s="149">
        <f t="shared" si="380"/>
        <v>9.9055021061969608</v>
      </c>
      <c r="KH69" s="150">
        <f t="shared" si="381"/>
        <v>12.886364394579784</v>
      </c>
      <c r="KI69" s="149">
        <f t="shared" si="382"/>
        <v>15.985433411290453</v>
      </c>
      <c r="KJ69" s="149">
        <f t="shared" ref="KJ69:KJ86" si="627">POWER((7.752880982-8.781963673*LOG(KB69)+2.106015174*KB69^0.5)+1.281552*(0.191693137+1.304116932*LOG(KB69)-0.179398555*KB69^0.5),1/0.682)-12.001</f>
        <v>18.862408431457595</v>
      </c>
      <c r="KK69" s="149">
        <f t="shared" ref="KK69:KK86" si="628">POWER((7.752880982-8.781963673*LOG(KB69)+2.106015174*KB69^0.5)+1.644854*(0.191693137+1.304116932*LOG(KB69)-0.179398555*KB69^0.5),1/0.682)-12.001</f>
        <v>20.629392400540439</v>
      </c>
      <c r="KL69" s="149">
        <f t="shared" ref="KL69:KL86" si="629">POWER((7.752880982-8.781963673*LOG(KB69)+2.106015174*KB69^0.5)+1.959964*(0.191693137+1.304116932*LOG(KB69)-0.179398555*KB69^0.5),1/0.682)-12.001</f>
        <v>22.187087928388081</v>
      </c>
      <c r="KM69" s="149">
        <f t="shared" ref="KM69:KM86" si="630">POWER((7.752880982-8.781963673*LOG(KB69)+2.106015174*KB69^0.5)+2.326348*(0.191693137+1.304116932*LOG(KB69)-0.179398555*KB69^0.5),1/0.682)-12.001</f>
        <v>24.027022232213916</v>
      </c>
      <c r="KN69" s="81"/>
      <c r="KO69" s="122">
        <v>69</v>
      </c>
      <c r="KP69" s="149">
        <f t="shared" ref="KP69:KP82" si="631">POWER((36.417866766-39.889386591*LOG(KO69)+9.012473251*KO69^0.5)-2.326348*(-0.523248174+11.074385215*LOG(KO69)-1.898763058*KO69^0.5),1/1.06)-21.001</f>
        <v>2.5495361315102016</v>
      </c>
      <c r="KQ69" s="149">
        <f t="shared" ref="KQ69:KQ82" si="632">POWER((36.417866766-39.889386591*LOG(KO69)+9.012473251*KO69^0.5)-1.959964*(-0.523248174+11.074385215*LOG(KO69)-1.898763058*KO69^0.5),1/1.06)-21.001</f>
        <v>3.7113036532032169</v>
      </c>
      <c r="KR69" s="149">
        <f t="shared" ref="KR69:KR82" si="633">POWER((36.417866766-39.889386591*LOG(KO69)+9.012473251*KO69^0.5)-1.644854*(-0.523248174+11.074385215*LOG(KO69)-1.898763058*KO69^0.5),1/1.06)-21.001</f>
        <v>4.7078652422508185</v>
      </c>
      <c r="KS69" s="149">
        <f t="shared" ref="KS69:KS82" si="634">POWER((36.417866766-39.889386591*LOG(KO69)+9.012473251*KO69^0.5)-1.281552*(-0.523248174+11.074385215*LOG(KO69)-1.898763058*KO69^0.5),1/1.06)-21.001</f>
        <v>5.8539735040951726</v>
      </c>
      <c r="KT69" s="149">
        <f t="shared" si="384"/>
        <v>7.7594347159016621</v>
      </c>
      <c r="KU69" s="150">
        <f t="shared" si="385"/>
        <v>9.8743705819688756</v>
      </c>
      <c r="KV69" s="149">
        <f t="shared" si="386"/>
        <v>11.98064240557807</v>
      </c>
      <c r="KW69" s="149">
        <f t="shared" ref="KW69:KW82" si="635">POWER((36.417866766-39.889386591*LOG(KO69)+9.012473251*KO69^0.5)+1.281552*(-0.523248174+11.074385215*LOG(KO69)-1.898763058*KO69^0.5),1/1.06)-21.001</f>
        <v>13.86350513966239</v>
      </c>
      <c r="KX69" s="149">
        <f t="shared" ref="KX69:KX82" si="636">POWER((36.417866766-39.889386591*LOG(KO69)+9.012473251*KO69^0.5)+1.644854*(-0.523248174+11.074385215*LOG(KO69)-1.898763058*KO69^0.5),1/1.06)-21.001</f>
        <v>14.989259955268782</v>
      </c>
      <c r="KY69" s="149">
        <f t="shared" ref="KY69:KY82" si="637">POWER((36.417866766-39.889386591*LOG(KO69)+9.012473251*KO69^0.5)+1.959964*(-0.523248174+11.074385215*LOG(KO69)-1.898763058*KO69^0.5),1/1.06)-21.001</f>
        <v>15.963972746748379</v>
      </c>
      <c r="KZ69" s="149">
        <f t="shared" ref="KZ69:KZ82" si="638">POWER((36.417866766-39.889386591*LOG(KO69)+9.012473251*KO69^0.5)+2.326348*(-0.523248174+11.074385215*LOG(KO69)-1.898763058*KO69^0.5),1/1.06)-21.001</f>
        <v>17.09535559461084</v>
      </c>
      <c r="LA69" s="81"/>
      <c r="LB69" s="122">
        <v>67</v>
      </c>
      <c r="LC69" s="149">
        <f t="shared" ref="LC69:LC86" si="639">POWER((28.797128085-34.675255936*LOG(LB69)+7.672285014*LB69^0.5)-2.326348*(2.788835808+3.337133322*LOG(LB69)-0.636861667*LB69^0.5),1/0.795)-36.001</f>
        <v>6.5969120022515852</v>
      </c>
      <c r="LD69" s="149">
        <f t="shared" ref="LD69:LD86" si="640">POWER((28.797128085-34.675255936*LOG(LB69)+7.672285014*LB69^0.5)-1.959964*(2.788835808+3.337133322*LOG(LB69)-0.636861667*LB69^0.5),1/0.795)-36.001</f>
        <v>10.277914170588346</v>
      </c>
      <c r="LE69" s="149">
        <f t="shared" ref="LE69:LE86" si="641">POWER((28.797128085-34.675255936*LOG(LB69)+7.672285014*LB69^0.5)-1.644854*(2.788835808+3.337133322*LOG(LB69)-0.636861667*LB69^0.5),1/0.795)-36.001</f>
        <v>13.492722907229791</v>
      </c>
      <c r="LF69" s="149">
        <f t="shared" ref="LF69:LF86" si="642">POWER((28.797128085-34.675255936*LOG(LB69)+7.672285014*LB69^0.5)-1.281552*(2.788835808+3.337133322*LOG(LB69)-0.636861667*LB69^0.5),1/0.795)-36.001</f>
        <v>17.25296419386477</v>
      </c>
      <c r="LG69" s="149">
        <f t="shared" si="388"/>
        <v>23.647593236321001</v>
      </c>
      <c r="LH69" s="150">
        <f t="shared" si="389"/>
        <v>30.944167741821708</v>
      </c>
      <c r="LI69" s="149">
        <f t="shared" si="390"/>
        <v>38.40774749809119</v>
      </c>
      <c r="LJ69" s="149">
        <f t="shared" ref="LJ69:LJ86" si="643">POWER((28.797128085-34.675255936*LOG(LB69)+7.672285014*LB69^0.5)+1.281552*(2.788835808+3.337133322*LOG(LB69)-0.636861667*LB69^0.5),1/0.795)-36.001</f>
        <v>45.237786899052004</v>
      </c>
      <c r="LK69" s="149">
        <f t="shared" ref="LK69:LK86" si="644">POWER((28.797128085-34.675255936*LOG(LB69)+7.672285014*LB69^0.5)+1.644854*(2.788835808+3.337133322*LOG(LB69)-0.636861667*LB69^0.5),1/0.795)-36.001</f>
        <v>49.389951494296035</v>
      </c>
      <c r="LL69" s="149">
        <f t="shared" ref="LL69:LL86" si="645">POWER((28.797128085-34.675255936*LOG(LB69)+7.672285014*LB69^0.5)+1.959964*(2.788835808+3.337133322*LOG(LB69)-0.636861667*LB69^0.5),1/0.795)-36.001</f>
        <v>53.025239581158765</v>
      </c>
      <c r="LM69" s="149">
        <f t="shared" ref="LM69:LM86" si="646">POWER((28.797128085-34.675255936*LOG(LB69)+7.672285014*LB69^0.5)+2.326348*(2.788835808+3.337133322*LOG(LB69)-0.636861667*LB69^0.5),1/0.795)-36.001</f>
        <v>57.2905957362346</v>
      </c>
      <c r="LN69" s="81"/>
      <c r="LO69" s="122">
        <v>67</v>
      </c>
      <c r="LP69" s="149">
        <f t="shared" ref="LP69:LP86" si="647">POWER((24.915203177-32.956211783*LOG(LO69)+7.466978987*LO69^0.5)-2.326348*(2.872407826+2.073965202*LOG(LO69)-0.404771925*LO69^0.5),1/0.771)-31.001</f>
        <v>11.68483073446232</v>
      </c>
      <c r="LQ69" s="149">
        <f t="shared" ref="LQ69:LQ86" si="648">POWER((24.915203177-32.956211783*LOG(LO69)+7.466978987*LO69^0.5)-1.959964*(2.872407826+2.073965202*LOG(LO69)-0.404771925*LO69^0.5),1/0.771)-31.001</f>
        <v>15.478725256867801</v>
      </c>
      <c r="LR69" s="149">
        <f t="shared" ref="LR69:LR86" si="649">POWER((24.915203177-32.956211783*LOG(LO69)+7.466978987*LO69^0.5)-1.644854*(2.872407826+2.073965202*LOG(LO69)-0.404771925*LO69^0.5),1/0.771)-31.001</f>
        <v>18.799646693826912</v>
      </c>
      <c r="LS69" s="149">
        <f t="shared" ref="LS69:LS86" si="650">POWER((24.915203177-32.956211783*LOG(LO69)+7.466978987*LO69^0.5)-1.281552*(2.872407826+2.073965202*LOG(LO69)-0.404771925*LO69^0.5),1/0.771)-31.001</f>
        <v>22.6922933849572</v>
      </c>
      <c r="LT69" s="149">
        <f t="shared" si="392"/>
        <v>29.331016563526848</v>
      </c>
      <c r="LU69" s="150">
        <f t="shared" si="393"/>
        <v>36.932554144351727</v>
      </c>
      <c r="LV69" s="149">
        <f t="shared" si="394"/>
        <v>44.73429960745716</v>
      </c>
      <c r="LW69" s="149">
        <f t="shared" ref="LW69:LW86" si="651">POWER((24.915203177-32.956211783*LOG(LO69)+7.466978987*LO69^0.5)+1.281552*(2.872407826+2.073965202*LOG(LO69)-0.404771925*LO69^0.5),1/0.771)-31.001</f>
        <v>51.894873672569304</v>
      </c>
      <c r="LX69" s="149">
        <f t="shared" ref="LX69:LX86" si="652">POWER((24.915203177-32.956211783*LOG(LO69)+7.466978987*LO69^0.5)+1.644854*(2.872407826+2.073965202*LOG(LO69)-0.404771925*LO69^0.5),1/0.771)-31.001</f>
        <v>56.257095522084938</v>
      </c>
      <c r="LY69" s="149">
        <f t="shared" ref="LY69:LY86" si="653">POWER((24.915203177-32.956211783*LOG(LO69)+7.466978987*LO69^0.5)+1.959964*(2.872407826+2.073965202*LOG(LO69)-0.404771925*LO69^0.5),1/0.771)-31.001</f>
        <v>60.081639921543513</v>
      </c>
      <c r="LZ69" s="149">
        <f t="shared" ref="LZ69:LZ86" si="654">POWER((24.915203177-32.956211783*LOG(LO69)+7.466978987*LO69^0.5)+2.326348*(2.872407826+2.073965202*LOG(LO69)-0.404771925*LO69^0.5),1/0.771)-31.001</f>
        <v>64.57514563564024</v>
      </c>
      <c r="MA69" s="81"/>
      <c r="MB69" s="122">
        <v>69</v>
      </c>
      <c r="MC69" s="149">
        <f t="shared" ref="MC69:MC82" si="655">POWER((40.468060889-51.352291932*LOG(MB69)+11.03516964*MB69^0.5)-2.326348*(3.984757467+6.833305805*LOG(MB69)-1.479905038*MB69^0.5),1/0.877)-36.001</f>
        <v>8.316866895714945</v>
      </c>
      <c r="MD69" s="149">
        <f t="shared" ref="MD69:MD82" si="656">POWER((40.468060889-51.352291932*LOG(MB69)+11.03516964*MB69^0.5)-1.959964*(3.984757467+6.833305805*LOG(MB69)-1.479905038*MB69^0.5),1/0.877)-36.001</f>
        <v>11.163063318963573</v>
      </c>
      <c r="ME69" s="149">
        <f t="shared" ref="ME69:ME82" si="657">POWER((40.468060889-51.352291932*LOG(MB69)+11.03516964*MB69^0.5)-1.644854*(3.984757467+6.833305805*LOG(MB69)-1.479905038*MB69^0.5),1/0.877)-36.001</f>
        <v>13.628014682808285</v>
      </c>
      <c r="MF69" s="149">
        <f t="shared" ref="MF69:MF82" si="658">POWER((40.468060889-51.352291932*LOG(MB69)+11.03516964*MB69^0.5)-1.281552*(3.984757467+6.833305805*LOG(MB69)-1.479905038*MB69^0.5),1/0.877)-36.001</f>
        <v>16.488723899727731</v>
      </c>
      <c r="MG69" s="149">
        <f t="shared" si="396"/>
        <v>21.303495952055563</v>
      </c>
      <c r="MH69" s="150">
        <f t="shared" si="397"/>
        <v>26.729166746647124</v>
      </c>
      <c r="MI69" s="149">
        <f t="shared" si="398"/>
        <v>32.213240760570677</v>
      </c>
      <c r="MJ69" s="149">
        <f t="shared" ref="MJ69:MJ82" si="659">POWER((40.468060889-51.352291932*LOG(MB69)+11.03516964*MB69^0.5)+1.281552*(3.984757467+6.833305805*LOG(MB69)-1.479905038*MB69^0.5),1/0.877)-36.001</f>
        <v>37.180249510775447</v>
      </c>
      <c r="MK69" s="149">
        <f t="shared" ref="MK69:MK82" si="660">POWER((40.468060889-51.352291932*LOG(MB69)+11.03516964*MB69^0.5)+1.644854*(3.984757467+6.833305805*LOG(MB69)-1.479905038*MB69^0.5),1/0.877)-36.001</f>
        <v>40.177951509481666</v>
      </c>
      <c r="ML69" s="149">
        <f t="shared" ref="ML69:ML82" si="661">POWER((40.468060889-51.352291932*LOG(MB69)+11.03516964*MB69^0.5)+1.959964*(3.984757467+6.833305805*LOG(MB69)-1.479905038*MB69^0.5),1/0.877)-36.001</f>
        <v>42.789833407119993</v>
      </c>
      <c r="MM69" s="149">
        <f t="shared" ref="MM69:MM82" si="662">POWER((40.468060889-51.352291932*LOG(MB69)+11.03516964*MB69^0.5)+2.326348*(3.984757467+6.833305805*LOG(MB69)-1.479905038*MB69^0.5),1/0.877)-36.001</f>
        <v>45.840143810767195</v>
      </c>
      <c r="MN69" s="81"/>
      <c r="MO69" s="122">
        <v>67</v>
      </c>
      <c r="MP69" s="149">
        <f t="shared" ref="MP69:MP86" si="663">POWER((77.659264896-105.885619813*LOG(MO69)+20.90178855*MO69^0.5)-2.326348*(6.576928972+7.878443533*LOG(MO69)-1.403803582*MO69^0.5),1/0.968)-37.001</f>
        <v>0.45475674058461379</v>
      </c>
      <c r="MQ69" s="149">
        <f t="shared" ref="MQ69:MQ86" si="664">POWER((77.659264896-105.885619813*LOG(MO69)+20.90178855*MO69^0.5)-1.959964*(6.576928972+7.878443533*LOG(MO69)-1.403803582*MO69^0.5),1/0.968)-37.001</f>
        <v>4.4876849904282281</v>
      </c>
      <c r="MR69" s="149">
        <f t="shared" ref="MR69:MR86" si="665">POWER((77.659264896-105.885619813*LOG(MO69)+20.90178855*MO69^0.5)-1.644854*(6.576928972+7.878443533*LOG(MO69)-1.403803582*MO69^0.5),1/0.968)-37.001</f>
        <v>7.9663428158630083</v>
      </c>
      <c r="MS69" s="149">
        <f t="shared" ref="MS69:MS86" si="666">POWER((77.659264896-105.885619813*LOG(MO69)+20.90178855*MO69^0.5)-1.281552*(6.576928972+7.878443533*LOG(MO69)-1.403803582*MO69^0.5),1/0.968)-37.001</f>
        <v>11.987702761342739</v>
      </c>
      <c r="MT69" s="149">
        <f t="shared" si="400"/>
        <v>18.719258237840883</v>
      </c>
      <c r="MU69" s="150">
        <f t="shared" si="401"/>
        <v>26.252921306966975</v>
      </c>
      <c r="MV69" s="149">
        <f t="shared" si="402"/>
        <v>33.815472748390313</v>
      </c>
      <c r="MW69" s="149">
        <f t="shared" ref="MW69:MW86" si="667">POWER((77.659264896-105.885619813*LOG(MO69)+20.90178855*MO69^0.5)+1.281552*(6.576928972+7.878443533*LOG(MO69)-1.403803582*MO69^0.5),1/0.968)-37.001</f>
        <v>40.622703215962765</v>
      </c>
      <c r="MX69" s="149">
        <f t="shared" ref="MX69:MX86" si="668">POWER((77.659264896-105.885619813*LOG(MO69)+20.90178855*MO69^0.5)+1.644854*(6.576928972+7.878443533*LOG(MO69)-1.403803582*MO69^0.5),1/0.968)-37.001</f>
        <v>44.712637449764962</v>
      </c>
      <c r="MY69" s="149">
        <f t="shared" ref="MY69:MY86" si="669">POWER((77.659264896-105.885619813*LOG(MO69)+20.90178855*MO69^0.5)+1.959964*(6.576928972+7.878443533*LOG(MO69)-1.403803582*MO69^0.5),1/0.968)-37.001</f>
        <v>48.265368369203351</v>
      </c>
      <c r="MZ69" s="149">
        <f t="shared" ref="MZ69:MZ86" si="670">POWER((77.659264896-105.885619813*LOG(MO69)+20.90178855*MO69^0.5)+2.326348*(6.576928972+7.878443533*LOG(MO69)-1.403803582*MO69^0.5),1/0.968)-37.001</f>
        <v>52.402144847500317</v>
      </c>
      <c r="NA69" s="81"/>
      <c r="NB69" s="122">
        <v>67</v>
      </c>
      <c r="NC69" s="149">
        <f t="shared" ref="NC69:NC86" si="671">POWER((67.537332483-103.170173987*LOG(NB69)+20.93504946*NB69^0.5)-2.326348*(6.1706867+10.232980765*LOG(NB69)-2.119072457*NB69^0.5),1/0.956)-28.001</f>
        <v>10.794241516164856</v>
      </c>
      <c r="ND69" s="149">
        <f t="shared" ref="ND69:ND86" si="672">POWER((67.537332483-103.170173987*LOG(NB69)+20.93504946*NB69^0.5)-1.959964*(6.1706867+10.232980765*LOG(NB69)-2.119072457*NB69^0.5),1/0.956)-28.001</f>
        <v>14.18208616047713</v>
      </c>
      <c r="NE69" s="149">
        <f t="shared" ref="NE69:NE86" si="673">POWER((67.537332483-103.170173987*LOG(NB69)+20.93504946*NB69^0.5)-1.644854*(6.1706867+10.232980765*LOG(NB69)-2.119072457*NB69^0.5),1/0.956)-28.001</f>
        <v>17.105466873296674</v>
      </c>
      <c r="NF69" s="149">
        <f t="shared" ref="NF69:NF86" si="674">POWER((67.537332483-103.170173987*LOG(NB69)+20.93504946*NB69^0.5)-1.281552*(6.1706867+10.232980765*LOG(NB69)-2.119072457*NB69^0.5),1/0.956)-28.001</f>
        <v>20.486293454626601</v>
      </c>
      <c r="NG69" s="149">
        <f t="shared" si="404"/>
        <v>26.148970109337437</v>
      </c>
      <c r="NH69" s="150">
        <f t="shared" si="405"/>
        <v>32.491330628070372</v>
      </c>
      <c r="NI69" s="149">
        <f t="shared" si="406"/>
        <v>38.863136425066401</v>
      </c>
      <c r="NJ69" s="149">
        <f t="shared" ref="NJ69:NJ86" si="675">POWER((67.537332483-103.170173987*LOG(NB69)+20.93504946*NB69^0.5)+1.281552*(6.1706867+10.232980765*LOG(NB69)-2.119072457*NB69^0.5),1/0.956)-28.001</f>
        <v>44.602790362091127</v>
      </c>
      <c r="NK69" s="149">
        <f t="shared" ref="NK69:NK86" si="676">POWER((67.537332483-103.170173987*LOG(NB69)+20.93504946*NB69^0.5)+1.644854*(6.1706867+10.232980765*LOG(NB69)-2.119072457*NB69^0.5),1/0.956)-28.001</f>
        <v>48.053169816108323</v>
      </c>
      <c r="NL69" s="149">
        <f t="shared" ref="NL69:NL86" si="677">POWER((67.537332483-103.170173987*LOG(NB69)+20.93504946*NB69^0.5)+1.959964*(6.1706867+10.232980765*LOG(NB69)-2.119072457*NB69^0.5),1/0.956)-28.001</f>
        <v>51.05145722593933</v>
      </c>
      <c r="NM69" s="149">
        <f t="shared" ref="NM69:NM86" si="678">POWER((67.537332483-103.170173987*LOG(NB69)+20.93504946*NB69^0.5)+2.326348*(6.1706867+10.232980765*LOG(NB69)-2.119072457*NB69^0.5),1/0.956)-28.001</f>
        <v>54.54391076551849</v>
      </c>
      <c r="NN69" s="81"/>
      <c r="NO69" s="122">
        <v>69</v>
      </c>
      <c r="NP69" s="149">
        <f t="shared" ref="NP69:NP82" si="679">POWER((87.23276439-120.066112028*LOG(NO69)+22.93525021*NO69^0.5)-2.326348*(8.646422283+5.271086215*LOG(NO69)-1.050536633*NO69^0.5),1/0.995)-37.001</f>
        <v>-1.7780675031773114</v>
      </c>
      <c r="NQ69" s="149">
        <f t="shared" ref="NQ69:NQ82" si="680">POWER((87.23276439-120.066112028*LOG(NO69)+22.93525021*NO69^0.5)-1.959964*(8.646422283+5.271086215*LOG(NO69)-1.050536633*NO69^0.5),1/0.995)-37.001</f>
        <v>1.8260779176872504</v>
      </c>
      <c r="NR69" s="149">
        <f t="shared" ref="NR69:NR82" si="681">POWER((87.23276439-120.066112028*LOG(NO69)+22.93525021*NO69^0.5)-1.644854*(8.646422283+5.271086215*LOG(NO69)-1.050536633*NO69^0.5),1/0.995)-37.001</f>
        <v>4.9271834501140646</v>
      </c>
      <c r="NS69" s="149">
        <f t="shared" ref="NS69:NS82" si="682">POWER((87.23276439-120.066112028*LOG(NO69)+22.93525021*NO69^0.5)-1.281552*(8.646422283+5.271086215*LOG(NO69)-1.050536633*NO69^0.5),1/0.995)-37.001</f>
        <v>8.5039830086406027</v>
      </c>
      <c r="NT69" s="149">
        <f t="shared" si="408"/>
        <v>14.473799171783277</v>
      </c>
      <c r="NU69" s="150">
        <f t="shared" si="409"/>
        <v>21.131775629688228</v>
      </c>
      <c r="NV69" s="149">
        <f t="shared" si="410"/>
        <v>27.793575310113233</v>
      </c>
      <c r="NW69" s="149">
        <f t="shared" ref="NW69:NW82" si="683">POWER((87.23276439-120.066112028*LOG(NO69)+22.93525021*NO69^0.5)+1.281552*(8.646422283+5.271086215*LOG(NO69)-1.050536633*NO69^0.5),1/0.995)-37.001</f>
        <v>33.773407888682691</v>
      </c>
      <c r="NX69" s="149">
        <f t="shared" ref="NX69:NX82" si="684">POWER((87.23276439-120.066112028*LOG(NO69)+22.93525021*NO69^0.5)+1.644854*(8.646422283+5.271086215*LOG(NO69)-1.050536633*NO69^0.5),1/0.995)-37.001</f>
        <v>37.359285522072845</v>
      </c>
      <c r="NY69" s="149">
        <f t="shared" ref="NY69:NY82" si="685">POWER((87.23276439-120.066112028*LOG(NO69)+22.93525021*NO69^0.5)+1.959964*(8.646422283+5.271086215*LOG(NO69)-1.050536633*NO69^0.5),1/0.995)-37.001</f>
        <v>40.470198657845508</v>
      </c>
      <c r="NZ69" s="149">
        <f t="shared" ref="NZ69:NZ82" si="686">POWER((87.23276439-120.066112028*LOG(NO69)+22.93525021*NO69^0.5)+2.326348*(8.646422283+5.271086215*LOG(NO69)-1.050536633*NO69^0.5),1/0.995)-37.001</f>
        <v>44.088096712668253</v>
      </c>
      <c r="OA69" s="81"/>
      <c r="OB69" s="122">
        <v>67</v>
      </c>
      <c r="OC69" s="149">
        <v>14.858705746721597</v>
      </c>
      <c r="OD69" s="149">
        <v>16.162185324246408</v>
      </c>
      <c r="OE69" s="149">
        <v>17.374346477177109</v>
      </c>
      <c r="OF69" s="149">
        <v>18.885147513975557</v>
      </c>
      <c r="OG69" s="149">
        <v>21.703423362677253</v>
      </c>
      <c r="OH69" s="150">
        <v>25.343015519355866</v>
      </c>
      <c r="OI69" s="149">
        <v>29.592955216401606</v>
      </c>
      <c r="OJ69" s="149">
        <v>34.009182885069627</v>
      </c>
      <c r="OK69" s="149">
        <v>36.96648023325622</v>
      </c>
      <c r="OL69" s="149">
        <v>39.738959969156248</v>
      </c>
      <c r="OM69" s="149">
        <v>43.225059205174823</v>
      </c>
      <c r="ON69" s="81"/>
      <c r="OO69" s="122">
        <v>67</v>
      </c>
      <c r="OP69" s="149">
        <v>16.013791995214032</v>
      </c>
      <c r="OQ69" s="149">
        <v>17.049575391009277</v>
      </c>
      <c r="OR69" s="149">
        <v>17.993833863180761</v>
      </c>
      <c r="OS69" s="149">
        <v>19.147590154521314</v>
      </c>
      <c r="OT69" s="149">
        <v>25.264241364200391</v>
      </c>
      <c r="OU69" s="150">
        <v>23.840926542929807</v>
      </c>
      <c r="OV69" s="149">
        <v>26.761308641925392</v>
      </c>
      <c r="OW69" s="149">
        <v>29.684663910103644</v>
      </c>
      <c r="OX69" s="149">
        <v>31.588030808065977</v>
      </c>
      <c r="OY69" s="149">
        <v>33.337474124141686</v>
      </c>
      <c r="OZ69" s="149">
        <v>35.493765536310626</v>
      </c>
      <c r="PA69" s="81"/>
      <c r="PB69" s="122">
        <v>69</v>
      </c>
      <c r="PC69" s="149">
        <v>14.107281361324581</v>
      </c>
      <c r="PD69" s="149">
        <v>15.480797554870962</v>
      </c>
      <c r="PE69" s="149">
        <v>16.768588612771282</v>
      </c>
      <c r="PF69" s="149">
        <v>18.386839775044322</v>
      </c>
      <c r="PG69" s="149">
        <v>21.441334824658714</v>
      </c>
      <c r="PH69" s="150">
        <v>25.447485724040543</v>
      </c>
      <c r="PI69" s="149">
        <v>30.202155554723252</v>
      </c>
      <c r="PJ69" s="149">
        <v>35.219457916535092</v>
      </c>
      <c r="PK69" s="149">
        <v>38.618308590506061</v>
      </c>
      <c r="PL69" s="149">
        <v>41.8308247608012</v>
      </c>
      <c r="PM69" s="149">
        <v>45.903566611394524</v>
      </c>
      <c r="PN69" s="81"/>
      <c r="PO69" s="122">
        <v>67</v>
      </c>
      <c r="PP69" s="149">
        <v>10.523721604452772</v>
      </c>
      <c r="PQ69" s="149">
        <v>11.413734914939333</v>
      </c>
      <c r="PR69" s="149">
        <v>12.239169070559464</v>
      </c>
      <c r="PS69" s="149">
        <v>13.265199120203389</v>
      </c>
      <c r="PT69" s="149">
        <v>15.171771938249158</v>
      </c>
      <c r="PU69" s="150">
        <v>17.621467179273488</v>
      </c>
      <c r="PV69" s="149">
        <v>20.466700054156394</v>
      </c>
      <c r="PW69" s="149">
        <v>23.408326006752887</v>
      </c>
      <c r="PX69" s="149">
        <v>25.370685196035005</v>
      </c>
      <c r="PY69" s="149">
        <v>27.205477248624447</v>
      </c>
      <c r="PZ69" s="149">
        <v>29.50630178385067</v>
      </c>
      <c r="QA69" s="81"/>
      <c r="QB69" s="122">
        <v>67</v>
      </c>
      <c r="QC69" s="149">
        <v>10.762526965667016</v>
      </c>
      <c r="QD69" s="149">
        <v>11.655855776577924</v>
      </c>
      <c r="QE69" s="149">
        <v>12.483252567424538</v>
      </c>
      <c r="QF69" s="149">
        <v>13.510342695100826</v>
      </c>
      <c r="QG69" s="149">
        <v>15.415202602245166</v>
      </c>
      <c r="QH69" s="150">
        <v>17.856494343391613</v>
      </c>
      <c r="QI69" s="149">
        <v>20.684411257049366</v>
      </c>
      <c r="QJ69" s="149">
        <v>23.60076257363929</v>
      </c>
      <c r="QK69" s="149">
        <v>25.542573020403179</v>
      </c>
      <c r="QL69" s="149">
        <v>27.355725426553789</v>
      </c>
      <c r="QM69" s="149">
        <v>29.626349950410134</v>
      </c>
      <c r="QN69" s="81"/>
      <c r="QO69" s="122">
        <v>69</v>
      </c>
      <c r="QP69" s="149">
        <v>9.313331689542883</v>
      </c>
      <c r="QQ69" s="149">
        <v>10.223146704937793</v>
      </c>
      <c r="QR69" s="149">
        <v>11.076413639565828</v>
      </c>
      <c r="QS69" s="149">
        <v>12.148934123158028</v>
      </c>
      <c r="QT69" s="149">
        <v>14.174154041337799</v>
      </c>
      <c r="QU69" s="150">
        <v>16.831739585356871</v>
      </c>
      <c r="QV69" s="149">
        <v>19.987609605696804</v>
      </c>
      <c r="QW69" s="149">
        <v>23.319531952126994</v>
      </c>
      <c r="QX69" s="149">
        <v>25.577544021764666</v>
      </c>
      <c r="QY69" s="149">
        <v>27.712353705384253</v>
      </c>
      <c r="QZ69" s="149">
        <v>30.419560573298433</v>
      </c>
      <c r="RA69" s="81"/>
      <c r="RB69" s="122">
        <v>67</v>
      </c>
      <c r="RC69" s="149">
        <f t="shared" ref="RC69:RC86" si="687">POWER((1.036025856+0.321880899*LOG(RB69)-0.070188389*RB69^0.5)+2.326348*(0.017885138+0.031961819*LOG(RB69)-0.004222301*RB69^0.5),1/-0.154)</f>
        <v>0.41211562467706819</v>
      </c>
      <c r="RD69" s="149">
        <f t="shared" ref="RD69:RD86" si="688">POWER((1.036025856+0.321880899*LOG(RB69)-0.070188389*RB69^0.5)+1.959964*(0.017885138+0.031961819*LOG(RB69)-0.004222301*RB69^0.5),1/-0.154)</f>
        <v>0.44962408972307011</v>
      </c>
      <c r="RE69" s="149">
        <f t="shared" ref="RE69:RE86" si="689">POWER((1.036025856+0.321880899*LOG(RB69)-0.070188389*RB69^0.5)+1.644854*(0.017885138+0.031961819*LOG(RB69)-0.004222301*RB69^0.5),1/-0.154)</f>
        <v>0.48506144707115662</v>
      </c>
      <c r="RF69" s="149">
        <f t="shared" ref="RF69:RF86" si="690">POWER((1.036025856+0.321880899*LOG(RB69)-0.070188389*RB69^0.5)+1.281552*(0.017885138+0.031961819*LOG(RB69)-0.004222301*RB69^0.5),1/-0.154)</f>
        <v>0.52998887808966555</v>
      </c>
      <c r="RG69" s="149">
        <f t="shared" si="412"/>
        <v>0.61607411894514341</v>
      </c>
      <c r="RH69" s="150">
        <f t="shared" si="413"/>
        <v>0.73167937610300471</v>
      </c>
      <c r="RI69" s="149">
        <f t="shared" si="414"/>
        <v>0.87305307409892374</v>
      </c>
      <c r="RJ69" s="149">
        <f t="shared" ref="RJ69:RJ86" si="691">POWER((1.036025856+0.321880899*LOG(RB69)-0.070188389*RB69^0.5)-1.281552*(0.017885138+0.031961819*LOG(RB69)-0.004222301*RB69^0.5),1/-0.154)</f>
        <v>1.0272957936468055</v>
      </c>
      <c r="RK69" s="149">
        <f t="shared" ref="RK69:RK86" si="692">POWER((1.036025856+0.321880899*LOG(RB69)-0.070188389*RB69^0.5)-1.644854*(0.017885138+0.031961819*LOG(RB69)-0.004222301*RB69^0.5),1/-0.154)</f>
        <v>1.1347875821814057</v>
      </c>
      <c r="RL69" s="149">
        <f t="shared" ref="RL69:RL86" si="693">POWER((1.036025856+0.321880899*LOG(RB69)-0.070188389*RB69^0.5)-1.959964*(0.017885138+0.031961819*LOG(RB69)-0.004222301*RB69^0.5),1/-0.154)</f>
        <v>1.238638644155085</v>
      </c>
      <c r="RM69" s="149">
        <f t="shared" ref="RM69:RM86" si="694">POWER((1.036025856+0.321880899*LOG(RB69)-0.070188389*RB69^0.5)-2.326348*(0.017885138+0.031961819*LOG(RB69)-0.004222301*RB69^0.5),1/-0.154)</f>
        <v>1.3734645492525697</v>
      </c>
      <c r="RN69" s="81"/>
      <c r="RO69" s="122">
        <v>67</v>
      </c>
      <c r="RP69" s="149">
        <f t="shared" ref="RP69:RP86" si="695">POWER((1.049872003+0.485309559*LOG(RO69)-0.109297796*RO69^0.5)+2.326348*(0.036472468+0.013628555*LOG(RO69)+0.000040422*RO69^0.5),1/-0.215)</f>
        <v>0.45415108852237857</v>
      </c>
      <c r="RQ69" s="149">
        <f t="shared" ref="RQ69:RQ86" si="696">POWER((1.049872003+0.485309559*LOG(RO69)-0.109297796*RO69^0.5)+1.959964*(0.036472468+0.013628555*LOG(RO69)+0.000040422*RO69^0.5),1/-0.215)</f>
        <v>0.4967092957282892</v>
      </c>
      <c r="RR69" s="149">
        <f t="shared" ref="RR69:RR86" si="697">POWER((1.049872003+0.485309559*LOG(RO69)-0.109297796*RO69^0.5)+1.644854*(0.036472468+0.013628555*LOG(RO69)+0.000040422*RO69^0.5),1/-0.215)</f>
        <v>0.5372420182055152</v>
      </c>
      <c r="RS69" s="149">
        <f t="shared" ref="RS69:RS86" si="698">POWER((1.049872003+0.485309559*LOG(RO69)-0.109297796*RO69^0.5)+1.281552*(0.036472468+0.013628555*LOG(RO69)+0.000040422*RO69^0.5),1/-0.215)</f>
        <v>0.58908028531745615</v>
      </c>
      <c r="RT69" s="149">
        <f t="shared" si="416"/>
        <v>0.68980194404220008</v>
      </c>
      <c r="RU69" s="150">
        <f t="shared" si="417"/>
        <v>0.82789504081011478</v>
      </c>
      <c r="RV69" s="149">
        <f t="shared" si="418"/>
        <v>1.0010663549755796</v>
      </c>
      <c r="RW69" s="149">
        <f t="shared" ref="RW69:RW86" si="699">POWER((1.049872003+0.485309559*LOG(RO69)-0.109297796*RO69^0.5)-1.281552*(0.036472468+0.013628555*LOG(RO69)+0.000040422*RO69^0.5),1/-0.215)</f>
        <v>1.1952270989596643</v>
      </c>
      <c r="RX69" s="149">
        <f t="shared" ref="RX69:RX86" si="700">POWER((1.049872003+0.485309559*LOG(RO69)-0.109297796*RO69^0.5)-1.644854*(0.036472468+0.013628555*LOG(RO69)+0.000040422*RO69^0.5),1/-0.215)</f>
        <v>1.3336697999800728</v>
      </c>
      <c r="RY69" s="149">
        <f t="shared" ref="RY69:RY86" si="701">POWER((1.049872003+0.485309559*LOG(RO69)-0.109297796*RO69^0.5)-1.959964*(0.036472468+0.013628555*LOG(RO69)+0.000040422*RO69^0.5),1/-0.215)</f>
        <v>1.4698079623735205</v>
      </c>
      <c r="RZ69" s="149">
        <f t="shared" ref="RZ69:RZ86" si="702">POWER((1.049872003+0.485309559*LOG(RO69)-0.109297796*RO69^0.5)-2.326348*(0.036472468+0.013628555*LOG(RO69)+0.000040422*RO69^0.5),1/-0.215)</f>
        <v>1.6499737517085835</v>
      </c>
      <c r="SA69" s="81"/>
      <c r="SB69" s="122">
        <v>69</v>
      </c>
      <c r="SC69" s="149">
        <f t="shared" ref="SC69:SC82" si="703">POWER((1.002674562+0.025284351*LOG(SB69)-0.005312801*SB69^0.5)+2.326348*(0.001148719+0.003738786*LOG(SB69)-0.000644551*SB69^0.5),1/-0.013)</f>
        <v>0.42299339058183721</v>
      </c>
      <c r="SD69" s="149">
        <f t="shared" ref="SD69:SD82" si="704">POWER((1.002674562+0.025284351*LOG(SB69)-0.005312801*SB69^0.5)+1.959964*(0.001148719+0.003738786*LOG(SB69)-0.000644551*SB69^0.5),1/-0.013)</f>
        <v>0.45568325326605091</v>
      </c>
      <c r="SE69" s="149">
        <f t="shared" ref="SE69:SE82" si="705">POWER((1.002674562+0.025284351*LOG(SB69)-0.005312801*SB69^0.5)+1.644854*(0.001148719+0.003738786*LOG(SB69)-0.000644551*SB69^0.5),1/-0.013)</f>
        <v>0.48583994352017129</v>
      </c>
      <c r="SF69" s="149">
        <f t="shared" ref="SF69:SF82" si="706">POWER((1.002674562+0.025284351*LOG(SB69)-0.005312801*SB69^0.5)+1.281552*(0.001148719+0.003738786*LOG(SB69)-0.000644551*SB69^0.5),1/-0.013)</f>
        <v>0.52312855756038423</v>
      </c>
      <c r="SG69" s="149">
        <f t="shared" si="420"/>
        <v>0.59190374181415373</v>
      </c>
      <c r="SH69" s="150">
        <f t="shared" si="421"/>
        <v>0.67942634095273069</v>
      </c>
      <c r="SI69" s="149">
        <f t="shared" si="422"/>
        <v>0.78008376349993191</v>
      </c>
      <c r="SJ69" s="149">
        <f t="shared" ref="SJ69:SJ82" si="707">POWER((1.002674562+0.025284351*LOG(SB69)-0.005312801*SB69^0.5)-1.281552*(0.001148719+0.003738786*LOG(SB69)-0.000644551*SB69^0.5),1/-0.013)</f>
        <v>0.88320900965376814</v>
      </c>
      <c r="SK69" s="149">
        <f t="shared" ref="SK69:SK82" si="708">POWER((1.002674562+0.025284351*LOG(SB69)-0.005312801*SB69^0.5)-1.644854*(0.001148719+0.003738786*LOG(SB69)-0.000644551*SB69^0.5),1/-0.013)</f>
        <v>0.95154498848441171</v>
      </c>
      <c r="SL69" s="149">
        <f t="shared" ref="SL69:SL82" si="709">POWER((1.002674562+0.025284351*LOG(SB69)-0.005312801*SB69^0.5)-1.959964*(0.001148719+0.003738786*LOG(SB69)-0.000644551*SB69^0.5),1/-0.013)</f>
        <v>1.0151430618330504</v>
      </c>
      <c r="SM69" s="149">
        <f t="shared" ref="SM69:SM82" si="710">POWER((1.002674562+0.025284351*LOG(SB69)-0.005312801*SB69^0.5)-2.326348*(0.001148719+0.003738786*LOG(SB69)-0.000644551*SB69^0.5),1/-0.013)</f>
        <v>1.0945281815581611</v>
      </c>
      <c r="SN69" s="81"/>
      <c r="SO69" s="122">
        <v>67</v>
      </c>
      <c r="SP69" s="149">
        <f t="shared" ref="SP69:SP86" si="711">POWER((0.813888038-0.237514159*LOG(SO69)+0.051772614*SO69^0.5)-2.326348*(0.01328571+0.024229934*LOG(SO69)-0.00329877*SO69^0.5),1/0.253)</f>
        <v>0.29284327138949517</v>
      </c>
      <c r="SQ69" s="149">
        <f t="shared" ref="SQ69:SQ86" si="712">POWER((0.813888038-0.237514159*LOG(SO69)+0.051772614*SO69^0.5)-1.959964*(0.01328571+0.024229934*LOG(SO69)-0.00329877*SO69^0.5),1/0.253)</f>
        <v>0.31091035039724135</v>
      </c>
      <c r="SR69" s="149">
        <f t="shared" ref="SR69:SR86" si="713">POWER((0.813888038-0.237514159*LOG(SO69)+0.051772614*SO69^0.5)-1.644854*(0.01328571+0.024229934*LOG(SO69)-0.00329877*SO69^0.5),1/0.253)</f>
        <v>0.32710395261896758</v>
      </c>
      <c r="SS69" s="149">
        <f t="shared" ref="SS69:SS86" si="714">POWER((0.813888038-0.237514159*LOG(SO69)+0.051772614*SO69^0.5)-1.281552*(0.01328571+0.024229934*LOG(SO69)-0.00329877*SO69^0.5),1/0.253)</f>
        <v>0.34654697533016932</v>
      </c>
      <c r="ST69" s="149">
        <f t="shared" si="424"/>
        <v>0.38088636340549148</v>
      </c>
      <c r="SU69" s="150">
        <f t="shared" si="425"/>
        <v>0.42208877905530262</v>
      </c>
      <c r="SV69" s="149">
        <f t="shared" si="426"/>
        <v>0.46653288524163622</v>
      </c>
      <c r="SW69" s="149">
        <f t="shared" ref="SW69:SW86" si="715">POWER((0.813888038-0.237514159*LOG(SO69)+0.051772614*SO69^0.5)+1.281552*(0.01328571+0.024229934*LOG(SO69)-0.00329877*SO69^0.5),1/0.253)</f>
        <v>0.50930159225360694</v>
      </c>
      <c r="SX69" s="149">
        <f t="shared" ref="SX69:SX86" si="716">POWER((0.813888038-0.237514159*LOG(SO69)+0.051772614*SO69^0.5)+1.644854*(0.01328571+0.024229934*LOG(SO69)-0.00329877*SO69^0.5),1/0.253)</f>
        <v>0.5363042492531539</v>
      </c>
      <c r="SY69" s="149">
        <f t="shared" ref="SY69:SY86" si="717">POWER((0.813888038-0.237514159*LOG(SO69)+0.051772614*SO69^0.5)+1.959964*(0.01328571+0.024229934*LOG(SO69)-0.00329877*SO69^0.5),1/0.253)</f>
        <v>0.56057870368648011</v>
      </c>
      <c r="SZ69" s="149">
        <f t="shared" ref="SZ69:SZ86" si="718">POWER((0.813888038-0.237514159*LOG(SO69)+0.051772614*SO69^0.5)+2.326348*(0.01328571+0.024229934*LOG(SO69)-0.00329877*SO69^0.5),1/0.253)</f>
        <v>0.589824556631935</v>
      </c>
      <c r="TA69" s="81"/>
      <c r="TB69" s="122">
        <v>67</v>
      </c>
      <c r="TC69" s="149">
        <f t="shared" ref="TC69:TC86" si="719">POWER((0.868068478-0.184215521*LOG(TB69)+0.041481198*TB69^0.5)-2.326348*(0.013978394+0.00563513*LOG(TB69)-0.000125613*TB69^0.5),1/0.174)</f>
        <v>0.31331981432347422</v>
      </c>
      <c r="TD69" s="149">
        <f t="shared" ref="TD69:TD86" si="720">POWER((0.868068478-0.184215521*LOG(TB69)+0.041481198*TB69^0.5)-1.959964*(0.013978394+0.00563513*LOG(TB69)-0.000125613*TB69^0.5),1/0.174)</f>
        <v>0.33255358926987155</v>
      </c>
      <c r="TE69" s="149">
        <f t="shared" ref="TE69:TE86" si="721">POWER((0.868068478-0.184215521*LOG(TB69)+0.041481198*TB69^0.5)-1.644854*(0.013978394+0.00563513*LOG(TB69)-0.000125613*TB69^0.5),1/0.174)</f>
        <v>0.34986616332461945</v>
      </c>
      <c r="TF69" s="149">
        <f t="shared" ref="TF69:TF86" si="722">POWER((0.868068478-0.184215521*LOG(TB69)+0.041481198*TB69^0.5)-1.281552*(0.013978394+0.00563513*LOG(TB69)-0.000125613*TB69^0.5),1/0.174)</f>
        <v>0.37074371773007586</v>
      </c>
      <c r="TG69" s="149">
        <f t="shared" si="428"/>
        <v>0.4078571236164617</v>
      </c>
      <c r="TH69" s="150">
        <f t="shared" si="429"/>
        <v>0.45278696622630682</v>
      </c>
      <c r="TI69" s="149">
        <f t="shared" si="430"/>
        <v>0.50172900677104981</v>
      </c>
      <c r="TJ69" s="149">
        <f t="shared" ref="TJ69:TJ86" si="723">POWER((0.868068478-0.184215521*LOG(TB69)+0.041481198*TB69^0.5)+1.281552*(0.013978394+0.00563513*LOG(TB69)-0.000125613*TB69^0.5),1/0.174)</f>
        <v>0.54928189552058304</v>
      </c>
      <c r="TK69" s="149">
        <f t="shared" ref="TK69:TK86" si="724">POWER((0.868068478-0.184215521*LOG(TB69)+0.041481198*TB69^0.5)+1.644854*(0.013978394+0.00563513*LOG(TB69)-0.000125613*TB69^0.5),1/0.174)</f>
        <v>0.57952998302110026</v>
      </c>
      <c r="TL69" s="149">
        <f t="shared" ref="TL69:TL86" si="725">POWER((0.868068478-0.184215521*LOG(TB69)+0.041481198*TB69^0.5)+1.959964*(0.013978394+0.00563513*LOG(TB69)-0.000125613*TB69^0.5),1/0.174)</f>
        <v>0.6068676558374857</v>
      </c>
      <c r="TM69" s="149">
        <f t="shared" ref="TM69:TM86" si="726">POWER((0.868068478-0.184215521*LOG(TB69)+0.041481198*TB69^0.5)+2.326348*(0.013978394+0.00563513*LOG(TB69)-0.000125613*TB69^0.5),1/0.174)</f>
        <v>0.6399842508277056</v>
      </c>
      <c r="TN69" s="81"/>
      <c r="TO69" s="122">
        <v>69</v>
      </c>
      <c r="TP69" s="149">
        <f t="shared" ref="TP69:TP82" si="727">POWER((0.705534664-0.344299489*LOG(TO69)+0.072311009*TO69^0.5)-2.326348*(0.015512097+0.052366074*LOG(TO69)-0.009130225*TO69^0.5),1/0.437)</f>
        <v>0.29829674736534068</v>
      </c>
      <c r="TQ69" s="149">
        <f t="shared" ref="TQ69:TQ82" si="728">POWER((0.705534664-0.344299489*LOG(TO69)+0.072311009*TO69^0.5)-1.959964*(0.015512097+0.052366074*LOG(TO69)-0.009130225*TO69^0.5),1/0.437)</f>
        <v>0.31377684097095837</v>
      </c>
      <c r="TR69" s="149">
        <f t="shared" ref="TR69:TR82" si="729">POWER((0.705534664-0.344299489*LOG(TO69)+0.072311009*TO69^0.5)-1.644854*(0.015512097+0.052366074*LOG(TO69)-0.009130225*TO69^0.5),1/0.437)</f>
        <v>0.32744424450925058</v>
      </c>
      <c r="TS69" s="149">
        <f t="shared" ref="TS69:TS82" si="730">POWER((0.705534664-0.344299489*LOG(TO69)+0.072311009*TO69^0.5)-1.281552*(0.015512097+0.052366074*LOG(TO69)-0.009130225*TO69^0.5),1/0.437)</f>
        <v>0.34361025431658121</v>
      </c>
      <c r="TT69" s="149">
        <f t="shared" si="432"/>
        <v>0.37155832868263611</v>
      </c>
      <c r="TU69" s="150">
        <f t="shared" si="433"/>
        <v>0.4041664309055345</v>
      </c>
      <c r="TV69" s="149">
        <f t="shared" si="434"/>
        <v>0.43832674342912231</v>
      </c>
      <c r="TW69" s="149">
        <f t="shared" ref="TW69:TW82" si="731">POWER((0.705534664-0.344299489*LOG(TO69)+0.072311009*TO69^0.5)+1.281552*(0.015512097+0.052366074*LOG(TO69)-0.009130225*TO69^0.5),1/0.437)</f>
        <v>0.47030920197801551</v>
      </c>
      <c r="TX69" s="149">
        <f t="shared" ref="TX69:TX82" si="732">POWER((0.705534664-0.344299489*LOG(TO69)+0.072311009*TO69^0.5)+1.644854*(0.015512097+0.052366074*LOG(TO69)-0.009130225*TO69^0.5),1/0.437)</f>
        <v>0.49009113807118176</v>
      </c>
      <c r="TY69" s="149">
        <f t="shared" ref="TY69:TY82" si="733">POWER((0.705534664-0.344299489*LOG(TO69)+0.072311009*TO69^0.5)+1.959964*(0.015512097+0.052366074*LOG(TO69)-0.009130225*TO69^0.5),1/0.437)</f>
        <v>0.50762146346786685</v>
      </c>
      <c r="TZ69" s="149">
        <f t="shared" ref="TZ69:TZ82" si="734">POWER((0.705534664-0.344299489*LOG(TO69)+0.072311009*TO69^0.5)+2.326348*(0.015512097+0.052366074*LOG(TO69)-0.009130225*TO69^0.5),1/0.437)</f>
        <v>0.52844145513960772</v>
      </c>
      <c r="UA69" s="81"/>
      <c r="UB69" s="122">
        <v>67</v>
      </c>
      <c r="UC69" s="149">
        <f t="shared" ref="UC69:UC86" si="735">POWER((393.280932419-388.023615051*LOG(UB69)+92.619116582*UB69^0.5)-2.326348*(-2.592294254+102.927221003*LOG(UB69)-15.104818027*UB69^0.5),1/1.42)-64.001</f>
        <v>-8.5780537462688002</v>
      </c>
      <c r="UD69" s="149">
        <f t="shared" ref="UD69:UD86" si="736">POWER((393.280932419-388.023615051*LOG(UB69)+92.619116582*UB69^0.5)-1.959964*(-2.592294254+102.927221003*LOG(UB69)-15.104818027*UB69^0.5),1/1.42)-64.001</f>
        <v>-5.6605394782713461</v>
      </c>
      <c r="UE69" s="149">
        <f t="shared" ref="UE69:UE86" si="737">POWER((393.280932419-388.023615051*LOG(UB69)+92.619116582*UB69^0.5)-1.644854*(-2.592294254+102.927221003*LOG(UB69)-15.104818027*UB69^0.5),1/1.42)-64.001</f>
        <v>-3.1995566552015546</v>
      </c>
      <c r="UF69" s="149">
        <f t="shared" ref="UF69:UF86" si="738">POWER((393.280932419-388.023615051*LOG(UB69)+92.619116582*UB69^0.5)-1.281552*(-2.592294254+102.927221003*LOG(UB69)-15.104818027*UB69^0.5),1/1.42)-64.001</f>
        <v>-0.41309116221870568</v>
      </c>
      <c r="UG69" s="149">
        <f t="shared" si="436"/>
        <v>4.1249824825013093</v>
      </c>
      <c r="UH69" s="150">
        <f t="shared" si="437"/>
        <v>9.0379894190141385</v>
      </c>
      <c r="UI69" s="149">
        <f t="shared" si="438"/>
        <v>13.815844099961467</v>
      </c>
      <c r="UJ69" s="149">
        <f t="shared" ref="UJ69:UJ86" si="739">POWER((393.280932419-388.023615051*LOG(UB69)+92.619116582*UB69^0.5)+1.281552*(-2.592294254+102.927221003*LOG(UB69)-15.104818027*UB69^0.5),1/1.42)-64.001</f>
        <v>17.999785426223482</v>
      </c>
      <c r="UK69" s="149">
        <f t="shared" ref="UK69:UK86" si="740">POWER((393.280932419-388.023615051*LOG(UB69)+92.619116582*UB69^0.5)+1.644854*(-2.592294254+102.927221003*LOG(UB69)-15.104818027*UB69^0.5),1/1.42)-64.001</f>
        <v>20.465255669666192</v>
      </c>
      <c r="UL69" s="149">
        <f t="shared" ref="UL69:UL86" si="741">POWER((393.280932419-388.023615051*LOG(UB69)+92.619116582*UB69^0.5)+1.959964*(-2.592294254+102.927221003*LOG(UB69)-15.104818027*UB69^0.5),1/1.42)-64.001</f>
        <v>22.579439218377033</v>
      </c>
      <c r="UM69" s="149">
        <f t="shared" ref="UM69:UM86" si="742">POWER((393.280932419-388.023615051*LOG(UB69)+92.619116582*UB69^0.5)+2.326348*(-2.592294254+102.927221003*LOG(UB69)-15.104818027*UB69^0.5),1/1.42)-64.001</f>
        <v>25.010712157553357</v>
      </c>
      <c r="UN69" s="81"/>
      <c r="UO69" s="122">
        <v>67</v>
      </c>
      <c r="UP69" s="149">
        <f t="shared" ref="UP69:UP86" si="743">POWER((40.011256922-52.660905785*LOG(UO69)+12.876141776*UO69^0.5)-2.326348*(0.561474595+13.203470309*LOG(UO69)-2.086768211*UO69^0.5),1/1.02)-34.001</f>
        <v>-4.4836951664977178</v>
      </c>
      <c r="UQ69" s="149">
        <f t="shared" ref="UQ69:UQ86" si="744">POWER((40.011256922-52.660905785*LOG(UO69)+12.876141776*UO69^0.5)-1.959964*(0.561474595+13.203470309*LOG(UO69)-2.086768211*UO69^0.5),1/1.02)-34.001</f>
        <v>-1.9376085334673974</v>
      </c>
      <c r="UR69" s="149">
        <f t="shared" ref="UR69:UR86" si="745">POWER((40.011256922-52.660905785*LOG(UO69)+12.876141776*UO69^0.5)-1.644854*(0.561474595+13.203470309*LOG(UO69)-2.086768211*UO69^0.5),1/1.02)-34.001</f>
        <v>0.24891852960374905</v>
      </c>
      <c r="US69" s="149">
        <f t="shared" ref="US69:US86" si="746">POWER((40.011256922-52.660905785*LOG(UO69)+12.876141776*UO69^0.5)-1.281552*(0.561474595+13.203470309*LOG(UO69)-2.086768211*UO69^0.5),1/1.02)-34.001</f>
        <v>2.7663950566619917</v>
      </c>
      <c r="UT69" s="149">
        <f t="shared" si="440"/>
        <v>6.9584381850146073</v>
      </c>
      <c r="UU69" s="150">
        <f t="shared" si="441"/>
        <v>11.62078031400921</v>
      </c>
      <c r="UV69" s="149">
        <f t="shared" si="442"/>
        <v>16.273595412707593</v>
      </c>
      <c r="UW69" s="149">
        <f t="shared" ref="UW69:UW86" si="747">POWER((40.011256922-52.660905785*LOG(UO69)+12.876141776*UO69^0.5)+1.281552*(0.561474595+13.203470309*LOG(UO69)-2.086768211*UO69^0.5),1/1.02)-34.001</f>
        <v>20.440705685128179</v>
      </c>
      <c r="UX69" s="149">
        <f t="shared" ref="UX69:UX86" si="748">POWER((40.011256922-52.660905785*LOG(UO69)+12.876141776*UO69^0.5)+1.644854*(0.561474595+13.203470309*LOG(UO69)-2.086768211*UO69^0.5),1/1.02)-34.001</f>
        <v>22.935619969540596</v>
      </c>
      <c r="UY69" s="149">
        <f t="shared" ref="UY69:UY86" si="749">POWER((40.011256922-52.660905785*LOG(UO69)+12.876141776*UO69^0.5)+1.959964*(0.561474595+13.203470309*LOG(UO69)-2.086768211*UO69^0.5),1/1.02)-34.001</f>
        <v>25.0978107369098</v>
      </c>
      <c r="UZ69" s="149">
        <f t="shared" ref="UZ69:UZ86" si="750">POWER((40.011256922-52.660905785*LOG(UO69)+12.876141776*UO69^0.5)+2.326348*(0.561474595+13.203470309*LOG(UO69)-2.086768211*UO69^0.5),1/1.02)-34.001</f>
        <v>27.609844178376179</v>
      </c>
      <c r="VA69" s="81"/>
      <c r="VB69" s="122">
        <v>70</v>
      </c>
      <c r="VC69" s="149">
        <f t="shared" ref="VC69:VC81" si="751">POWER((976.440515069-1061.792000139*LOG(VB69)+249.187708508*VB69^0.5)-2.326348*(-14.996736867+318.908323561*LOG(VB69)-49.251736285*VB69^0.5),1/1.64)-64.001</f>
        <v>-8.4394086651659279</v>
      </c>
      <c r="VD69" s="149">
        <f t="shared" ref="VD69:VD81" si="752">POWER((976.440515069-1061.792000139*LOG(VB69)+249.187708508*VB69^0.5)-1.959964*(-14.996736867+318.908323561*LOG(VB69)-49.251736285*VB69^0.5),1/1.64)-64.001</f>
        <v>-5.7260195421562585</v>
      </c>
      <c r="VE69" s="149">
        <f t="shared" ref="VE69:VE81" si="753">POWER((976.440515069-1061.792000139*LOG(VB69)+249.187708508*VB69^0.5)-1.644854*(-14.996736867+318.908323561*LOG(VB69)-49.251736285*VB69^0.5),1/1.64)-64.001</f>
        <v>-3.4555048640770991</v>
      </c>
      <c r="VF69" s="149">
        <f t="shared" ref="VF69:VF81" si="754">POWER((976.440515069-1061.792000139*LOG(VB69)+249.187708508*VB69^0.5)-1.281552*(-14.996736867+318.908323561*LOG(VB69)-49.251736285*VB69^0.5),1/1.64)-64.001</f>
        <v>-0.90355007087290318</v>
      </c>
      <c r="VG69" s="149">
        <f t="shared" si="444"/>
        <v>3.2129139994257372</v>
      </c>
      <c r="VH69" s="150">
        <f t="shared" si="445"/>
        <v>7.618786026220647</v>
      </c>
      <c r="VI69" s="149">
        <f t="shared" si="446"/>
        <v>11.857552801850673</v>
      </c>
      <c r="VJ69" s="149">
        <f t="shared" ref="VJ69:VJ81" si="755">POWER((976.440515069-1061.792000139*LOG(VB69)+249.187708508*VB69^0.5)+1.281552*(-14.996736867+318.908323561*LOG(VB69)-49.251736285*VB69^0.5),1/1.64)-64.001</f>
        <v>15.535336508899405</v>
      </c>
      <c r="VK69" s="149">
        <f t="shared" ref="VK69:VK81" si="756">POWER((976.440515069-1061.792000139*LOG(VB69)+249.187708508*VB69^0.5)+1.644854*(-14.996736867+318.908323561*LOG(VB69)-49.251736285*VB69^0.5),1/1.64)-64.001</f>
        <v>17.688608390326323</v>
      </c>
      <c r="VL69" s="149">
        <f t="shared" ref="VL69:VL81" si="757">POWER((976.440515069-1061.792000139*LOG(VB69)+249.187708508*VB69^0.5)+1.959964*(-14.996736867+318.908323561*LOG(VB69)-49.251736285*VB69^0.5),1/1.64)-64.001</f>
        <v>19.527238043595773</v>
      </c>
      <c r="VM69" s="149">
        <f t="shared" ref="VM69:VM81" si="758">POWER((976.440515069-1061.792000139*LOG(VB69)+249.187708508*VB69^0.5)+2.326348*(-14.996736867+318.908323561*LOG(VB69)-49.251736285*VB69^0.5),1/1.64)-64.001</f>
        <v>21.633010005555704</v>
      </c>
      <c r="VN69" s="81"/>
      <c r="VO69" s="122">
        <v>67</v>
      </c>
      <c r="VP69" s="149">
        <f t="shared" ref="VP69:VP86" si="759">POWER((9.722274426-9.910874656*LOG(VO69)+2.548855962*VO69^0.5)-2.326348*(0.511298926+3.210935833*LOG(VO69)-0.578840114*VO69^0.5),1/0.585)-55.001</f>
        <v>-14.79322141500711</v>
      </c>
      <c r="VQ69" s="149">
        <f t="shared" ref="VQ69:VQ86" si="760">POWER((9.722274426-9.910874656*LOG(VO69)+2.548855962*VO69^0.5)-1.959964*(0.511298926+3.210935833*LOG(VO69)-0.578840114*VO69^0.5),1/0.585)-55.001</f>
        <v>-9.929333446266277</v>
      </c>
      <c r="VR69" s="149">
        <f t="shared" ref="VR69:VR86" si="761">POWER((9.722274426-9.910874656*LOG(VO69)+2.548855962*VO69^0.5)-1.644854*(0.511298926+3.210935833*LOG(VO69)-0.578840114*VO69^0.5),1/0.585)-55.001</f>
        <v>-5.5633871813721711</v>
      </c>
      <c r="VS69" s="149">
        <f t="shared" ref="VS69:VS86" si="762">POWER((9.722274426-9.910874656*LOG(VO69)+2.548855962*VO69^0.5)-1.281552*(0.511298926+3.210935833*LOG(VO69)-0.578840114*VO69^0.5),1/0.585)-55.001</f>
        <v>-0.3236060356058843</v>
      </c>
      <c r="VT69" s="149">
        <f t="shared" si="448"/>
        <v>8.8988775130291771</v>
      </c>
      <c r="VU69" s="150">
        <f t="shared" si="449"/>
        <v>19.871223719026894</v>
      </c>
      <c r="VV69" s="149">
        <f t="shared" si="450"/>
        <v>31.555432120986502</v>
      </c>
      <c r="VW69" s="149">
        <f t="shared" ref="VW69:VW86" si="763">POWER((9.722274426-9.910874656*LOG(VO69)+2.548855962*VO69^0.5)+1.281552*(0.511298926+3.210935833*LOG(VO69)-0.578840114*VO69^0.5),1/0.585)-55.001</f>
        <v>42.629927136586041</v>
      </c>
      <c r="VX69" s="149">
        <f t="shared" ref="VX69:VX86" si="764">POWER((9.722274426-9.910874656*LOG(VO69)+2.548855962*VO69^0.5)+1.644854*(0.511298926+3.210935833*LOG(VO69)-0.578840114*VO69^0.5),1/0.585)-55.001</f>
        <v>49.531851507817187</v>
      </c>
      <c r="VY69" s="149">
        <f t="shared" ref="VY69:VY86" si="765">POWER((9.722274426-9.910874656*LOG(VO69)+2.548855962*VO69^0.5)+1.959964*(0.511298926+3.210935833*LOG(VO69)-0.578840114*VO69^0.5),1/0.585)-55.001</f>
        <v>55.67583824966686</v>
      </c>
      <c r="VZ69" s="149">
        <f t="shared" ref="VZ69:VZ86" si="766">POWER((9.722274426-9.910874656*LOG(VO69)+2.548855962*VO69^0.5)+2.326348*(0.511298926+3.210935833*LOG(VO69)-0.578840114*VO69^0.5),1/0.585)-55.001</f>
        <v>63.001675336657676</v>
      </c>
      <c r="WA69" s="81"/>
      <c r="WB69" s="122">
        <v>67</v>
      </c>
      <c r="WC69" s="149">
        <f t="shared" ref="WC69:WC86" si="767">POWER((9.30040261-10.980219851*LOG(WB69)+2.831460991*WB69^0.5)-2.326348*(0.614635641+3.423352285*LOG(WB69)-0.64630167*WB69^0.5),1/0.583)-49.001</f>
        <v>-7.6306340135465049</v>
      </c>
      <c r="WD69" s="149">
        <f t="shared" ref="WD69:WD86" si="768">POWER((9.30040261-10.980219851*LOG(WB69)+2.831460991*WB69^0.5)-1.959964*(0.614635641+3.423352285*LOG(WB69)-0.64630167*WB69^0.5),1/0.583)-49.001</f>
        <v>-2.8447348529641872</v>
      </c>
      <c r="WE69" s="149">
        <f t="shared" ref="WE69:WE86" si="769">POWER((9.30040261-10.980219851*LOG(WB69)+2.831460991*WB69^0.5)-1.644854*(0.614635641+3.423352285*LOG(WB69)-0.64630167*WB69^0.5),1/0.583)-49.001</f>
        <v>1.4446945389618122</v>
      </c>
      <c r="WF69" s="149">
        <f t="shared" ref="WF69:WF86" si="770">POWER((9.30040261-10.980219851*LOG(WB69)+2.831460991*WB69^0.5)-1.281552*(0.614635641+3.423352285*LOG(WB69)-0.64630167*WB69^0.5),1/0.583)-49.001</f>
        <v>6.5858155223602068</v>
      </c>
      <c r="WG69" s="149">
        <f t="shared" si="452"/>
        <v>15.619858183555884</v>
      </c>
      <c r="WH69" s="150">
        <f t="shared" si="453"/>
        <v>26.348714678303473</v>
      </c>
      <c r="WI69" s="149">
        <f t="shared" si="454"/>
        <v>37.756013157252106</v>
      </c>
      <c r="WJ69" s="149">
        <f t="shared" ref="WJ69:WJ86" si="771">POWER((9.30040261-10.980219851*LOG(WB69)+2.831460991*WB69^0.5)+1.281552*(0.614635641+3.423352285*LOG(WB69)-0.64630167*WB69^0.5),1/0.583)-49.001</f>
        <v>48.554982462593195</v>
      </c>
      <c r="WK69" s="149">
        <f t="shared" ref="WK69:WK86" si="772">POWER((9.30040261-10.980219851*LOG(WB69)+2.831460991*WB69^0.5)+1.644854*(0.614635641+3.423352285*LOG(WB69)-0.64630167*WB69^0.5),1/0.583)-49.001</f>
        <v>55.279917840408295</v>
      </c>
      <c r="WL69" s="149">
        <f t="shared" ref="WL69:WL86" si="773">POWER((9.30040261-10.980219851*LOG(WB69)+2.831460991*WB69^0.5)+1.959964*(0.614635641+3.423352285*LOG(WB69)-0.64630167*WB69^0.5),1/0.583)-49.001</f>
        <v>61.263413084129347</v>
      </c>
      <c r="WM69" s="149">
        <f t="shared" ref="WM69:WM86" si="774">POWER((9.30040261-10.980219851*LOG(WB69)+2.831460991*WB69^0.5)+2.326348*(0.614635641+3.423352285*LOG(WB69)-0.64630167*WB69^0.5),1/0.583)-49.001</f>
        <v>68.394664318360583</v>
      </c>
      <c r="WN69" s="81"/>
      <c r="WO69" s="122">
        <v>70</v>
      </c>
      <c r="WP69" s="149">
        <f t="shared" ref="WP69:WP81" si="775">POWER((12.412739128-13.399209991*LOG(WO69)+3.506121515*WO69^0.5)-2.326348*(0.677349889+4.866554189*LOG(WO69)-0.859879165*WO69^0.5),1/0.665)-55.001</f>
        <v>-16.688540349876924</v>
      </c>
      <c r="WQ69" s="149">
        <f t="shared" ref="WQ69:WQ81" si="776">POWER((12.412739128-13.399209991*LOG(WO69)+3.506121515*WO69^0.5)-1.959964*(0.677349889+4.866554189*LOG(WO69)-0.859879165*WO69^0.5),1/0.665)-55.001</f>
        <v>-11.995824111561994</v>
      </c>
      <c r="WR69" s="149">
        <f t="shared" ref="WR69:WR81" si="777">POWER((12.412739128-13.399209991*LOG(WO69)+3.506121515*WO69^0.5)-1.644854*(0.677349889+4.866554189*LOG(WO69)-0.859879165*WO69^0.5),1/0.665)-55.001</f>
        <v>-7.8170086709464215</v>
      </c>
      <c r="WS69" s="149">
        <f t="shared" ref="WS69:WS81" si="778">POWER((12.412739128-13.399209991*LOG(WO69)+3.506121515*WO69^0.5)-1.281552*(0.677349889+4.866554189*LOG(WO69)-0.859879165*WO69^0.5),1/0.665)-55.001</f>
        <v>-2.8406313244893795</v>
      </c>
      <c r="WT69" s="149">
        <f t="shared" si="456"/>
        <v>5.8243131258468139</v>
      </c>
      <c r="WU69" s="150">
        <f t="shared" si="457"/>
        <v>15.994062916931846</v>
      </c>
      <c r="WV69" s="149">
        <f t="shared" si="458"/>
        <v>26.677507486531475</v>
      </c>
      <c r="WW69" s="149">
        <f t="shared" ref="WW69:WW81" si="779">POWER((12.412739128-13.399209991*LOG(WO69)+3.506121515*WO69^0.5)+1.281552*(0.677349889+4.866554189*LOG(WO69)-0.859879165*WO69^0.5),1/0.665)-55.001</f>
        <v>36.680588427515467</v>
      </c>
      <c r="WX69" s="149">
        <f t="shared" ref="WX69:WX81" si="780">POWER((12.412739128-13.399209991*LOG(WO69)+3.506121515*WO69^0.5)+1.644854*(0.677349889+4.866554189*LOG(WO69)-0.859879165*WO69^0.5),1/0.665)-55.001</f>
        <v>42.860026822624611</v>
      </c>
      <c r="WY69" s="149">
        <f t="shared" ref="WY69:WY81" si="781">POWER((12.412739128-13.399209991*LOG(WO69)+3.506121515*WO69^0.5)+1.959964*(0.677349889+4.866554189*LOG(WO69)-0.859879165*WO69^0.5),1/0.665)-55.001</f>
        <v>48.328049422879168</v>
      </c>
      <c r="WZ69" s="149">
        <f t="shared" ref="WZ69:WZ81" si="782">POWER((12.412739128-13.399209991*LOG(WO69)+3.506121515*WO69^0.5)+2.326348*(0.677349889+4.866554189*LOG(WO69)-0.859879165*WO69^0.5),1/0.665)-55.001</f>
        <v>54.809811062610571</v>
      </c>
      <c r="XA69" s="81"/>
      <c r="XB69" s="122">
        <v>67</v>
      </c>
      <c r="XC69" s="149">
        <f t="shared" ref="XC69:XC86" si="783">POWER((26.793158755-35.742038196*LOG(XB69)+7.850198164*XB69^0.5)-2.326348*(0.43477349+8.667512998*LOG(XB69)-1.437705021*XB69^0.5),1/0.763)-56.001</f>
        <v>-20.217367710605494</v>
      </c>
      <c r="XD69" s="149">
        <f t="shared" ref="XD69:XD86" si="784">POWER((26.793158755-35.742038196*LOG(XB69)+7.850198164*XB69^0.5)-1.959964*(0.43477349+8.667512998*LOG(XB69)-1.437705021*XB69^0.5),1/0.763)-56.001</f>
        <v>-15.096974728620708</v>
      </c>
      <c r="XE69" s="149">
        <f t="shared" ref="XE69:XE86" si="785">POWER((26.793158755-35.742038196*LOG(XB69)+7.850198164*XB69^0.5)-1.644854*(0.43477349+8.667512998*LOG(XB69)-1.437705021*XB69^0.5),1/0.763)-56.001</f>
        <v>-10.567322693432878</v>
      </c>
      <c r="XF69" s="149">
        <f t="shared" ref="XF69:XF86" si="786">POWER((26.793158755-35.742038196*LOG(XB69)+7.850198164*XB69^0.5)-1.281552*(0.43477349+8.667512998*LOG(XB69)-1.437705021*XB69^0.5),1/0.763)-56.001</f>
        <v>-5.2090672514106515</v>
      </c>
      <c r="XG69" s="149">
        <f t="shared" si="460"/>
        <v>4.0320119687700569</v>
      </c>
      <c r="XH69" s="150">
        <f t="shared" si="461"/>
        <v>14.744324644146126</v>
      </c>
      <c r="XI69" s="149">
        <f t="shared" si="462"/>
        <v>25.856486451790467</v>
      </c>
      <c r="XJ69" s="149">
        <f t="shared" ref="XJ69:XJ86" si="787">POWER((26.793158755-35.742038196*LOG(XB69)+7.850198164*XB69^0.5)+1.281552*(0.43477349+8.667512998*LOG(XB69)-1.437705021*XB69^0.5),1/0.763)-56.001</f>
        <v>36.14204165514618</v>
      </c>
      <c r="XK69" s="149">
        <f t="shared" ref="XK69:XK86" si="788">POWER((26.793158755-35.742038196*LOG(XB69)+7.850198164*XB69^0.5)+1.644854*(0.43477349+8.667512998*LOG(XB69)-1.437705021*XB69^0.5),1/0.763)-56.001</f>
        <v>42.443024988071421</v>
      </c>
      <c r="XL69" s="149">
        <f t="shared" ref="XL69:XL86" si="789">POWER((26.793158755-35.742038196*LOG(XB69)+7.850198164*XB69^0.5)+1.959964*(0.43477349+8.667512998*LOG(XB69)-1.437705021*XB69^0.5),1/0.763)-56.001</f>
        <v>47.986932928949351</v>
      </c>
      <c r="XM69" s="149">
        <f t="shared" ref="XM69:XM86" si="790">POWER((26.793158755-35.742038196*LOG(XB69)+7.850198164*XB69^0.5)+2.326348*(0.43477349+8.667512998*LOG(XB69)-1.437705021*XB69^0.5),1/0.763)-56.001</f>
        <v>54.522028309620318</v>
      </c>
      <c r="XN69" s="81"/>
      <c r="XO69" s="122">
        <v>67</v>
      </c>
      <c r="XP69" s="149">
        <f t="shared" ref="XP69:XP86" si="791">POWER((28.801648634-41.785320688*LOG(XO69)+9.349000216*XO69^0.5)-2.326348*(0.989290395+10.389877577*LOG(XO69)-1.933748291*XO69^0.5),1/0.783)-52.001</f>
        <v>-7.8531301917737864</v>
      </c>
      <c r="XQ69" s="149">
        <f t="shared" ref="XQ69:XQ86" si="792">POWER((28.801648634-41.785320688*LOG(XO69)+9.349000216*XO69^0.5)-1.959964*(0.989290395+10.389877577*LOG(XO69)-1.933748291*XO69^0.5),1/0.783)-52.001</f>
        <v>-3.4064883678307325</v>
      </c>
      <c r="XR69" s="149">
        <f t="shared" ref="XR69:XR86" si="793">POWER((28.801648634-41.785320688*LOG(XO69)+9.349000216*XO69^0.5)-1.644854*(0.989290395+10.389877577*LOG(XO69)-1.933748291*XO69^0.5),1/0.783)-52.001</f>
        <v>0.49016398476521772</v>
      </c>
      <c r="XS69" s="149">
        <f t="shared" ref="XS69:XS86" si="794">POWER((28.801648634-41.785320688*LOG(XO69)+9.349000216*XO69^0.5)-1.281552*(0.989290395+10.389877577*LOG(XO69)-1.933748291*XO69^0.5),1/0.783)-52.001</f>
        <v>5.0618252889095814</v>
      </c>
      <c r="XT69" s="149">
        <f t="shared" si="464"/>
        <v>12.86655734356787</v>
      </c>
      <c r="XU69" s="150">
        <f t="shared" si="465"/>
        <v>21.812031307256341</v>
      </c>
      <c r="XV69" s="149">
        <f t="shared" si="466"/>
        <v>30.999548495781376</v>
      </c>
      <c r="XW69" s="149">
        <f t="shared" ref="XW69:XW86" si="795">POWER((28.801648634-41.785320688*LOG(XO69)+9.349000216*XO69^0.5)+1.281552*(0.989290395+10.389877577*LOG(XO69)-1.933748291*XO69^0.5),1/0.783)-52.001</f>
        <v>39.435635890041631</v>
      </c>
      <c r="XX69" s="149">
        <f t="shared" ref="XX69:XX86" si="796">POWER((28.801648634-41.785320688*LOG(XO69)+9.349000216*XO69^0.5)+1.644854*(0.989290395+10.389877577*LOG(XO69)-1.933748291*XO69^0.5),1/0.783)-52.001</f>
        <v>44.575987489077029</v>
      </c>
      <c r="XY69" s="149">
        <f t="shared" ref="XY69:XY86" si="797">POWER((28.801648634-41.785320688*LOG(XO69)+9.349000216*XO69^0.5)+1.959964*(0.989290395+10.389877577*LOG(XO69)-1.933748291*XO69^0.5),1/0.783)-52.001</f>
        <v>49.083193745168437</v>
      </c>
      <c r="XZ69" s="149">
        <f t="shared" ref="XZ69:XZ86" si="798">POWER((28.801648634-41.785320688*LOG(XO69)+9.349000216*XO69^0.5)+2.326348*(0.989290395+10.389877577*LOG(XO69)-1.933748291*XO69^0.5),1/0.783)-52.001</f>
        <v>54.37910868946468</v>
      </c>
      <c r="YA69" s="81"/>
      <c r="YB69" s="122">
        <v>70</v>
      </c>
      <c r="YC69" s="149">
        <f t="shared" ref="YC69:YC81" si="799">POWER((30.610323495-40.543468317*LOG(YB69)+8.823628947*YB69^0.5)-2.326348*(-0.168060802+11.404693559*LOG(YB69)-1.833111617*YB69^0.5),1/0.809)-56.001</f>
        <v>-23.430601680834961</v>
      </c>
      <c r="YD69" s="149">
        <f t="shared" ref="YD69:YD81" si="800">POWER((30.610323495-40.543468317*LOG(YB69)+8.823628947*YB69^0.5)-1.959964*(-0.168060802+11.404693559*LOG(YB69)-1.833111617*YB69^0.5),1/0.809)-56.001</f>
        <v>-18.48449596820501</v>
      </c>
      <c r="YE69" s="149">
        <f t="shared" ref="YE69:YE81" si="801">POWER((30.610323495-40.543468317*LOG(YB69)+8.823628947*YB69^0.5)-1.644854*(-0.168060802+11.404693559*LOG(YB69)-1.833111617*YB69^0.5),1/0.809)-56.001</f>
        <v>-14.127773174745307</v>
      </c>
      <c r="YF69" s="149">
        <f t="shared" ref="YF69:YF81" si="802">POWER((30.610323495-40.543468317*LOG(YB69)+8.823628947*YB69^0.5)-1.281552*(-0.168060802+11.404693559*LOG(YB69)-1.833111617*YB69^0.5),1/0.809)-56.001</f>
        <v>-8.9953108111846305</v>
      </c>
      <c r="YG69" s="149">
        <f t="shared" si="468"/>
        <v>-0.19328156096403148</v>
      </c>
      <c r="YH69" s="150">
        <f t="shared" si="469"/>
        <v>9.9394551687646882</v>
      </c>
      <c r="YI69" s="149">
        <f t="shared" si="470"/>
        <v>20.37952367548656</v>
      </c>
      <c r="YJ69" s="149">
        <f t="shared" ref="YJ69:YJ81" si="803">POWER((30.610323495-40.543468317*LOG(YB69)+8.823628947*YB69^0.5)+1.281552*(-0.168060802+11.404693559*LOG(YB69)-1.833111617*YB69^0.5),1/0.809)-56.001</f>
        <v>29.985682395473198</v>
      </c>
      <c r="YK69" s="149">
        <f t="shared" ref="YK69:YK81" si="804">POWER((30.610323495-40.543468317*LOG(YB69)+8.823628947*YB69^0.5)+1.644854*(-0.168060802+11.404693559*LOG(YB69)-1.833111617*YB69^0.5),1/0.809)-56.001</f>
        <v>35.845644498589742</v>
      </c>
      <c r="YL69" s="149">
        <f t="shared" ref="YL69:YL81" si="805">POWER((30.610323495-40.543468317*LOG(YB69)+8.823628947*YB69^0.5)+1.959964*(-0.168060802+11.404693559*LOG(YB69)-1.833111617*YB69^0.5),1/0.809)-56.001</f>
        <v>40.986956377513785</v>
      </c>
      <c r="YM69" s="149">
        <f t="shared" ref="YM69:YM81" si="806">POWER((30.610323495-40.543468317*LOG(YB69)+8.823628947*YB69^0.5)+2.326348*(-0.168060802+11.404693559*LOG(YB69)-1.833111617*YB69^0.5),1/0.809)-56.001</f>
        <v>47.030877782928833</v>
      </c>
      <c r="YN69" s="81"/>
      <c r="YO69" s="122">
        <v>67</v>
      </c>
      <c r="YP69" s="149">
        <v>18.684263388187983</v>
      </c>
      <c r="YQ69" s="149">
        <v>20.531965293227437</v>
      </c>
      <c r="YR69" s="149">
        <v>22.266586040799211</v>
      </c>
      <c r="YS69" s="149">
        <v>24.449144579656931</v>
      </c>
      <c r="YT69" s="149">
        <v>28.576457365363577</v>
      </c>
      <c r="YU69" s="150">
        <v>34.002905694539542</v>
      </c>
      <c r="YV69" s="149">
        <v>40.459794609570189</v>
      </c>
      <c r="YW69" s="149">
        <v>47.289899730633962</v>
      </c>
      <c r="YX69" s="149">
        <v>51.925229739001779</v>
      </c>
      <c r="YY69" s="149">
        <v>56.312076275188659</v>
      </c>
      <c r="YZ69" s="149">
        <v>61.88082300331336</v>
      </c>
      <c r="ZA69" s="81"/>
      <c r="ZB69" s="122">
        <v>67</v>
      </c>
      <c r="ZC69" s="149">
        <v>18.062818082161975</v>
      </c>
      <c r="ZD69" s="149">
        <v>19.678425012891505</v>
      </c>
      <c r="ZE69" s="149">
        <v>21.183050179029376</v>
      </c>
      <c r="ZF69" s="149">
        <v>23.061118021778206</v>
      </c>
      <c r="ZG69" s="149">
        <v>26.571894066310179</v>
      </c>
      <c r="ZH69" s="150">
        <v>31.118369453699614</v>
      </c>
      <c r="ZI69" s="149">
        <v>36.442750939786968</v>
      </c>
      <c r="ZJ69" s="149">
        <v>41.990718600133029</v>
      </c>
      <c r="ZK69" s="149">
        <v>45.713573317953397</v>
      </c>
      <c r="ZL69" s="149">
        <v>49.208862844590911</v>
      </c>
      <c r="ZM69" s="149">
        <v>53.610290102697036</v>
      </c>
      <c r="ZN69" s="81"/>
      <c r="ZO69" s="122">
        <v>70</v>
      </c>
      <c r="ZP69" s="149">
        <v>19.55301197768447</v>
      </c>
      <c r="ZQ69" s="149">
        <v>21.502010952120944</v>
      </c>
      <c r="ZR69" s="149">
        <v>23.332945087457311</v>
      </c>
      <c r="ZS69" s="149">
        <v>25.638218781721463</v>
      </c>
      <c r="ZT69" s="149">
        <v>30.00176433896177</v>
      </c>
      <c r="ZU69" s="150">
        <v>35.746011492054656</v>
      </c>
      <c r="ZV69" s="149">
        <v>42.590073142155809</v>
      </c>
      <c r="ZW69" s="149">
        <v>49.838771892417249</v>
      </c>
      <c r="ZX69" s="149">
        <v>54.762797100867324</v>
      </c>
      <c r="ZY69" s="149">
        <v>59.425945807364776</v>
      </c>
      <c r="ZZ69" s="149">
        <v>65.349386531773746</v>
      </c>
      <c r="AAA69" s="81"/>
      <c r="AAB69" s="122">
        <v>67</v>
      </c>
      <c r="AAC69" s="149">
        <v>11.166889470448096</v>
      </c>
      <c r="AAD69" s="149">
        <v>12.314639369979997</v>
      </c>
      <c r="AAE69" s="149">
        <v>13.395685511933957</v>
      </c>
      <c r="AAF69" s="149">
        <v>14.760361868038718</v>
      </c>
      <c r="AAG69" s="149">
        <v>17.353246524721872</v>
      </c>
      <c r="AAH69" s="150">
        <v>20.783483410112499</v>
      </c>
      <c r="AAI69" s="149">
        <v>24.891779301530136</v>
      </c>
      <c r="AAJ69" s="149">
        <v>29.264403306652628</v>
      </c>
      <c r="AAK69" s="149">
        <v>32.245694501681371</v>
      </c>
      <c r="AAL69" s="149">
        <v>35.076397260273424</v>
      </c>
      <c r="AAM69" s="149">
        <v>38.681602768751013</v>
      </c>
      <c r="AAN69" s="81"/>
      <c r="AAO69" s="122">
        <v>67</v>
      </c>
      <c r="AAP69" s="149">
        <v>11.406046827513693</v>
      </c>
      <c r="AAQ69" s="149">
        <v>12.604896745451455</v>
      </c>
      <c r="AAR69" s="149">
        <v>13.736281921363776</v>
      </c>
      <c r="AAS69" s="149">
        <v>15.167298180276674</v>
      </c>
      <c r="AAT69" s="149">
        <v>17.893897225857724</v>
      </c>
      <c r="AAU69" s="150">
        <v>21.514383077821378</v>
      </c>
      <c r="AAV69" s="149">
        <v>25.867404589223568</v>
      </c>
      <c r="AAW69" s="149">
        <v>30.517543317052631</v>
      </c>
      <c r="AAX69" s="149">
        <v>33.69679523680685</v>
      </c>
      <c r="AAY69" s="149">
        <v>36.721338426375894</v>
      </c>
      <c r="AAZ69" s="149">
        <v>40.580990611288222</v>
      </c>
      <c r="ABA69" s="81"/>
      <c r="ABB69" s="122">
        <v>70</v>
      </c>
      <c r="ABC69" s="149">
        <v>10.241349540877488</v>
      </c>
      <c r="ABD69" s="149">
        <v>11.370246418357562</v>
      </c>
      <c r="ABE69" s="149">
        <v>12.440196424963306</v>
      </c>
      <c r="ABF69" s="149">
        <v>13.799327339137049</v>
      </c>
      <c r="ABG69" s="149">
        <v>16.405030985737575</v>
      </c>
      <c r="ABH69" s="150">
        <v>19.893177484877338</v>
      </c>
      <c r="ABI69" s="149">
        <v>24.122996828770585</v>
      </c>
      <c r="ABJ69" s="149">
        <v>28.678101527634208</v>
      </c>
      <c r="ABK69" s="149">
        <v>31.811275073656873</v>
      </c>
      <c r="ABL69" s="149">
        <v>34.804743528328508</v>
      </c>
      <c r="ABM69" s="149">
        <v>38.641246338216817</v>
      </c>
      <c r="ABN69" s="81"/>
      <c r="ABO69" s="122">
        <v>67</v>
      </c>
      <c r="ABP69" s="149">
        <f t="shared" ref="ABP69:ABP86" si="807">POWER((0.795277361-0.258772706*LOG(ABO69)+0.068717406*ABO69^0.5)-2.326348*(0.044677223+0.01641939*LOG(ABO69)-0.001290493*ABO69^0.5),1/0.271)</f>
        <v>0.32284836685118118</v>
      </c>
      <c r="ABQ69" s="149">
        <f t="shared" ref="ABQ69:ABQ86" si="808">POWER((0.795277361-0.258772706*LOG(ABO69)+0.068717406*ABO69^0.5)-1.959964*(0.044677223+0.01641939*LOG(ABO69)-0.001290493*ABO69^0.5),1/0.271)</f>
        <v>0.36251593347897282</v>
      </c>
      <c r="ABR69" s="149">
        <f t="shared" ref="ABR69:ABR86" si="809">POWER((0.795277361-0.258772706*LOG(ABO69)+0.068717406*ABO69^0.5)-1.644854*(0.044677223+0.01641939*LOG(ABO69)-0.001290493*ABO69^0.5),1/0.271)</f>
        <v>0.39937696122342797</v>
      </c>
      <c r="ABS69" s="149">
        <f t="shared" ref="ABS69:ABS86" si="810">POWER((0.795277361-0.258772706*LOG(ABO69)+0.068717406*ABO69^0.5)-1.281552*(0.044677223+0.01641939*LOG(ABO69)-0.001290493*ABO69^0.5),1/0.271)</f>
        <v>0.44518391287814335</v>
      </c>
      <c r="ABT69" s="149">
        <f t="shared" si="472"/>
        <v>0.52995881345308204</v>
      </c>
      <c r="ABU69" s="150">
        <f t="shared" si="473"/>
        <v>0.63768829327821364</v>
      </c>
      <c r="ABV69" s="149">
        <f t="shared" si="474"/>
        <v>0.76056483063779445</v>
      </c>
      <c r="ABW69" s="149">
        <f t="shared" ref="ABW69:ABW86" si="811">POWER((0.795277361-0.258772706*LOG(ABO69)+0.068717406*ABO69^0.5)+1.281552*(0.044677223+0.01641939*LOG(ABO69)-0.001290493*ABO69^0.5),1/0.271)</f>
        <v>0.88474488911823979</v>
      </c>
      <c r="ABX69" s="149">
        <f t="shared" ref="ABX69:ABX86" si="812">POWER((0.795277361-0.258772706*LOG(ABO69)+0.068717406*ABO69^0.5)+1.644854*(0.044677223+0.01641939*LOG(ABO69)-0.001290493*ABO69^0.5),1/0.271)</f>
        <v>0.96591412102590535</v>
      </c>
      <c r="ABY69" s="149">
        <f t="shared" ref="ABY69:ABY86" si="813">POWER((0.795277361-0.258772706*LOG(ABO69)+0.068717406*ABO69^0.5)+1.959964*(0.044677223+0.01641939*LOG(ABO69)-0.001290493*ABO69^0.5),1/0.271)</f>
        <v>1.0405992817534511</v>
      </c>
      <c r="ABZ69" s="149">
        <f t="shared" ref="ABZ69:ABZ86" si="814">POWER((0.795277361-0.258772706*LOG(ABO69)+0.068717406*ABO69^0.5)+2.326348*(0.044677223+0.01641939*LOG(ABO69)-0.001290493*ABO69^0.5),1/0.271)</f>
        <v>1.1326318007980203</v>
      </c>
      <c r="ACA69" s="81"/>
      <c r="ACB69" s="122">
        <v>67</v>
      </c>
      <c r="ACC69" s="149">
        <f t="shared" ref="ACC69:ACC86" si="815">POWER((0.896736818-0.180537368*LOG(ACB69)+0.047247095*ACB69^0.5)-2.326348*(0.021397984+0.028348619*LOG(ACB69)-0.005092552*ACB69^0.5),1/0.141)</f>
        <v>0.40572001592052442</v>
      </c>
      <c r="ACD69" s="149">
        <f t="shared" ref="ACD69:ACD86" si="816">POWER((0.896736818-0.180537368*LOG(ACB69)+0.047247095*ACB69^0.5)-1.959964*(0.021397984+0.028348619*LOG(ACB69)-0.005092552*ACB69^0.5),1/0.141)</f>
        <v>0.44494744300593009</v>
      </c>
      <c r="ACE69" s="149">
        <f t="shared" ref="ACE69:ACE86" si="817">POWER((0.896736818-0.180537368*LOG(ACB69)+0.047247095*ACB69^0.5)-1.644854*(0.021397984+0.028348619*LOG(ACB69)-0.005092552*ACB69^0.5),1/0.141)</f>
        <v>0.48124838428835948</v>
      </c>
      <c r="ACF69" s="149">
        <f t="shared" ref="ACF69:ACF86" si="818">POWER((0.896736818-0.180537368*LOG(ACB69)+0.047247095*ACB69^0.5)-1.281552*(0.021397984+0.028348619*LOG(ACB69)-0.005092552*ACB69^0.5),1/0.141)</f>
        <v>0.52623185926721205</v>
      </c>
      <c r="ACG69" s="149">
        <f t="shared" si="476"/>
        <v>0.60932184586230298</v>
      </c>
      <c r="ACH69" s="150">
        <f t="shared" si="477"/>
        <v>0.71498184093300565</v>
      </c>
      <c r="ACI69" s="149">
        <f t="shared" si="478"/>
        <v>0.83601075317311824</v>
      </c>
      <c r="ACJ69" s="149">
        <f t="shared" ref="ACJ69:ACJ86" si="819">POWER((0.896736818-0.180537368*LOG(ACB69)+0.047247095*ACB69^0.5)+1.281552*(0.021397984+0.028348619*LOG(ACB69)-0.005092552*ACB69^0.5),1/0.141)</f>
        <v>0.95917370857850237</v>
      </c>
      <c r="ACK69" s="149">
        <f t="shared" ref="ACK69:ACK86" si="820">POWER((0.896736818-0.180537368*LOG(ACB69)+0.047247095*ACB69^0.5)+1.644854*(0.021397984+0.028348619*LOG(ACB69)-0.005092552*ACB69^0.5),1/0.141)</f>
        <v>1.0402300258601318</v>
      </c>
      <c r="ACL69" s="149">
        <f t="shared" ref="ACL69:ACL86" si="821">POWER((0.896736818-0.180537368*LOG(ACB69)+0.047247095*ACB69^0.5)+1.959964*(0.021397984+0.028348619*LOG(ACB69)-0.005092552*ACB69^0.5),1/0.141)</f>
        <v>1.1152313422174289</v>
      </c>
      <c r="ACM69" s="149">
        <f t="shared" ref="ACM69:ACM86" si="822">POWER((0.896736818-0.180537368*LOG(ACB69)+0.047247095*ACB69^0.5)+2.326348*(0.021397984+0.028348619*LOG(ACB69)-0.005092552*ACB69^0.5),1/0.141)</f>
        <v>1.2082345465072453</v>
      </c>
      <c r="ACN69" s="81"/>
      <c r="ACO69" s="122">
        <v>70</v>
      </c>
      <c r="ACP69" s="149">
        <f t="shared" ref="ACP69:ACP81" si="823">POWER((0.634309641-0.284809327*LOG(ACO69)+0.07950734*ACO69^0.5)-2.326348*(0.066594553+0.01428763*LOG(ACO69)+0.000152332*ACO69^0.5),1/0.484)</f>
        <v>0.29604428988213405</v>
      </c>
      <c r="ACQ69" s="149">
        <f t="shared" ref="ACQ69:ACQ81" si="824">POWER((0.634309641-0.284809327*LOG(ACO69)+0.07950734*ACO69^0.5)-1.959964*(0.066594553+0.01428763*LOG(ACO69)+0.000152332*ACO69^0.5),1/0.484)</f>
        <v>0.33537184783299773</v>
      </c>
      <c r="ACR69" s="149">
        <f t="shared" ref="ACR69:ACR81" si="825">POWER((0.634309641-0.284809327*LOG(ACO69)+0.07950734*ACO69^0.5)-1.644854*(0.066594553+0.01428763*LOG(ACO69)+0.000152332*ACO69^0.5),1/0.484)</f>
        <v>0.37122322817954945</v>
      </c>
      <c r="ACS69" s="149">
        <f t="shared" ref="ACS69:ACS81" si="826">POWER((0.634309641-0.284809327*LOG(ACO69)+0.07950734*ACO69^0.5)-1.281552*(0.066594553+0.01428763*LOG(ACO69)+0.000152332*ACO69^0.5),1/0.484)</f>
        <v>0.41489306924517622</v>
      </c>
      <c r="ACT69" s="149">
        <f t="shared" si="480"/>
        <v>0.49339962670759979</v>
      </c>
      <c r="ACU69" s="150">
        <f t="shared" si="481"/>
        <v>0.58903747543068397</v>
      </c>
      <c r="ACV69" s="149">
        <f t="shared" si="482"/>
        <v>0.6934369520516922</v>
      </c>
      <c r="ACW69" s="149">
        <f t="shared" ref="ACW69:ACW81" si="827">POWER((0.634309641-0.284809327*LOG(ACO69)+0.07950734*ACO69^0.5)+1.281552*(0.066594553+0.01428763*LOG(ACO69)+0.000152332*ACO69^0.5),1/0.484)</f>
        <v>0.79476174035876856</v>
      </c>
      <c r="ACX69" s="149">
        <f t="shared" ref="ACX69:ACX81" si="828">POWER((0.634309641-0.284809327*LOG(ACO69)+0.07950734*ACO69^0.5)+1.644854*(0.066594553+0.01428763*LOG(ACO69)+0.000152332*ACO69^0.5),1/0.484)</f>
        <v>0.85887009674833714</v>
      </c>
      <c r="ACY69" s="149">
        <f t="shared" ref="ACY69:ACY81" si="829">POWER((0.634309641-0.284809327*LOG(ACO69)+0.07950734*ACO69^0.5)+1.959964*(0.066594553+0.01428763*LOG(ACO69)+0.000152332*ACO69^0.5),1/0.484)</f>
        <v>0.9165547035588274</v>
      </c>
      <c r="ACZ69" s="149">
        <f t="shared" ref="ACZ69:ACZ81" si="830">POWER((0.634309641-0.284809327*LOG(ACO69)+0.07950734*ACO69^0.5)+2.326348*(0.066594553+0.01428763*LOG(ACO69)+0.000152332*ACO69^0.5),1/0.484)</f>
        <v>0.98606091391073813</v>
      </c>
      <c r="ADA69" s="81"/>
      <c r="ADB69" s="122">
        <v>67</v>
      </c>
      <c r="ADC69" s="149">
        <f t="shared" ref="ADC69:ADC86" si="831">POWER((0.39286799-0.249383226*LOG(ADB69)+0.066340191*ADB69^0.5)-2.326348*(0.0430367+0.019716206*LOG(ADB69)-0.002174746*ADB69^0.5),1/0.775)</f>
        <v>0.24671810979089712</v>
      </c>
      <c r="ADD69" s="149">
        <f t="shared" ref="ADD69:ADD86" si="832">POWER((0.39286799-0.249383226*LOG(ADB69)+0.066340191*ADB69^0.5)-1.959964*(0.0430367+0.019716206*LOG(ADB69)-0.002174746*ADB69^0.5),1/0.775)</f>
        <v>0.26804898150931722</v>
      </c>
      <c r="ADE69" s="149">
        <f t="shared" ref="ADE69:ADE86" si="833">POWER((0.39286799-0.249383226*LOG(ADB69)+0.066340191*ADB69^0.5)-1.644854*(0.0430367+0.019716206*LOG(ADB69)-0.002174746*ADB69^0.5),1/0.775)</f>
        <v>0.28670661025382838</v>
      </c>
      <c r="ADF69" s="149">
        <f t="shared" ref="ADF69:ADF86" si="834">POWER((0.39286799-0.249383226*LOG(ADB69)+0.066340191*ADB69^0.5)-1.281552*(0.0430367+0.019716206*LOG(ADB69)-0.002174746*ADB69^0.5),1/0.775)</f>
        <v>0.30856132546072929</v>
      </c>
      <c r="ADG69" s="149">
        <f t="shared" si="484"/>
        <v>0.3458003399369679</v>
      </c>
      <c r="ADH69" s="150">
        <f t="shared" si="485"/>
        <v>0.38839545138644471</v>
      </c>
      <c r="ADI69" s="149">
        <f t="shared" si="486"/>
        <v>0.43206978291896009</v>
      </c>
      <c r="ADJ69" s="149">
        <f t="shared" ref="ADJ69:ADJ86" si="835">POWER((0.39286799-0.249383226*LOG(ADB69)+0.066340191*ADB69^0.5)+1.281552*(0.0430367+0.019716206*LOG(ADB69)-0.002174746*ADB69^0.5),1/0.775)</f>
        <v>0.47212169613721811</v>
      </c>
      <c r="ADK69" s="149">
        <f t="shared" ref="ADK69:ADK86" si="836">POWER((0.39286799-0.249383226*LOG(ADB69)+0.066340191*ADB69^0.5)+1.644854*(0.0430367+0.019716206*LOG(ADB69)-0.002174746*ADB69^0.5),1/0.775)</f>
        <v>0.49650735720439093</v>
      </c>
      <c r="ADL69" s="149">
        <f t="shared" ref="ADL69:ADL86" si="837">POWER((0.39286799-0.249383226*LOG(ADB69)+0.066340191*ADB69^0.5)+1.959964*(0.0430367+0.019716206*LOG(ADB69)-0.002174746*ADB69^0.5),1/0.775)</f>
        <v>0.51787925429610759</v>
      </c>
      <c r="ADM69" s="149">
        <f t="shared" ref="ADM69:ADM86" si="838">POWER((0.39286799-0.249383226*LOG(ADB69)+0.066340191*ADB69^0.5)+2.326348*(0.0430367+0.019716206*LOG(ADB69)-0.002174746*ADB69^0.5),1/0.775)</f>
        <v>0.54298032882939107</v>
      </c>
      <c r="ADN69" s="81"/>
      <c r="ADO69" s="122">
        <v>67</v>
      </c>
      <c r="ADP69" s="149">
        <f t="shared" ref="ADP69:ADP86" si="839">POWER((0.494777077-0.286339292*LOG(ADO69)+0.075102847*ADO69^0.5)-2.326348*(0.034277543+0.048480902*LOG(ADO69)-0.008952374*ADO69^0.5),1/0.608)</f>
        <v>0.2902985485521879</v>
      </c>
      <c r="ADQ69" s="149">
        <f t="shared" ref="ADQ69:ADQ86" si="840">POWER((0.494777077-0.286339292*LOG(ADO69)+0.075102847*ADO69^0.5)-1.959964*(0.034277543+0.048480902*LOG(ADO69)-0.008952374*ADO69^0.5),1/0.608)</f>
        <v>0.30890482010937126</v>
      </c>
      <c r="ADR69" s="149">
        <f t="shared" ref="ADR69:ADR86" si="841">POWER((0.494777077-0.286339292*LOG(ADO69)+0.075102847*ADO69^0.5)-1.644854*(0.034277543+0.048480902*LOG(ADO69)-0.008952374*ADO69^0.5),1/0.608)</f>
        <v>0.32526744493165483</v>
      </c>
      <c r="ADS69" s="149">
        <f t="shared" ref="ADS69:ADS86" si="842">POWER((0.494777077-0.286339292*LOG(ADO69)+0.075102847*ADO69^0.5)-1.281552*(0.034277543+0.048480902*LOG(ADO69)-0.008952374*ADO69^0.5),1/0.608)</f>
        <v>0.34454089843362035</v>
      </c>
      <c r="ADT69" s="149">
        <f t="shared" si="488"/>
        <v>0.3776517733730762</v>
      </c>
      <c r="ADU69" s="150">
        <f t="shared" si="489"/>
        <v>0.4159455712273894</v>
      </c>
      <c r="ADV69" s="149">
        <f t="shared" si="490"/>
        <v>0.45567417387818276</v>
      </c>
      <c r="ADW69" s="149">
        <f t="shared" ref="ADW69:ADW86" si="843">POWER((0.494777077-0.286339292*LOG(ADO69)+0.075102847*ADO69^0.5)+1.281552*(0.034277543+0.048480902*LOG(ADO69)-0.008952374*ADO69^0.5),1/0.608)</f>
        <v>0.4925163395983887</v>
      </c>
      <c r="ADX69" s="149">
        <f t="shared" ref="ADX69:ADX86" si="844">POWER((0.494777077-0.286339292*LOG(ADO69)+0.075102847*ADO69^0.5)+1.644854*(0.034277543+0.048480902*LOG(ADO69)-0.008952374*ADO69^0.5),1/0.608)</f>
        <v>0.5151366016213943</v>
      </c>
      <c r="ADY69" s="149">
        <f t="shared" ref="ADY69:ADY86" si="845">POWER((0.494777077-0.286339292*LOG(ADO69)+0.075102847*ADO69^0.5)+1.959964*(0.034277543+0.048480902*LOG(ADO69)-0.008952374*ADO69^0.5),1/0.608)</f>
        <v>0.53507731434647721</v>
      </c>
      <c r="ADZ69" s="149">
        <f t="shared" ref="ADZ69:ADZ86" si="846">POWER((0.494777077-0.286339292*LOG(ADO69)+0.075102847*ADO69^0.5)+2.326348*(0.034277543+0.048480902*LOG(ADO69)-0.008952374*ADO69^0.5),1/0.608)</f>
        <v>0.55863431150452503</v>
      </c>
      <c r="AEA69" s="81"/>
      <c r="AEB69" s="122">
        <v>70</v>
      </c>
      <c r="AEC69" s="149">
        <f t="shared" ref="AEC69:AEC81" si="847">POWER((0.266376663-0.179934033*LOG(AEB69)+0.050334408*AEB69^0.5)-2.326348*(0.042052117+0.012920455*LOG(AEB69)-0.000834771*AEB69^0.5),1/1.04)</f>
        <v>0.23163208586382533</v>
      </c>
      <c r="AED69" s="149">
        <f t="shared" ref="AED69:AED81" si="848">POWER((0.266376663-0.179934033*LOG(AEB69)+0.050334408*AEB69^0.5)-1.959964*(0.042052117+0.012920455*LOG(AEB69)-0.000834771*AEB69^0.5),1/1.04)</f>
        <v>0.25359461400388339</v>
      </c>
      <c r="AEE69" s="149">
        <f t="shared" ref="AEE69:AEE81" si="849">POWER((0.266376663-0.179934033*LOG(AEB69)+0.050334408*AEB69^0.5)-1.644854*(0.042052117+0.012920455*LOG(AEB69)-0.000834771*AEB69^0.5),1/1.04)</f>
        <v>0.27242259152564996</v>
      </c>
      <c r="AEF69" s="149">
        <f t="shared" ref="AEF69:AEF81" si="850">POWER((0.266376663-0.179934033*LOG(AEB69)+0.050334408*AEB69^0.5)-1.281552*(0.042052117+0.012920455*LOG(AEB69)-0.000834771*AEB69^0.5),1/1.04)</f>
        <v>0.29406582415298937</v>
      </c>
      <c r="AEG69" s="149">
        <f t="shared" si="492"/>
        <v>0.33003139514912183</v>
      </c>
      <c r="AEH69" s="150">
        <f t="shared" si="493"/>
        <v>0.36993473389491693</v>
      </c>
      <c r="AEI69" s="149">
        <f t="shared" si="494"/>
        <v>0.4096662925938494</v>
      </c>
      <c r="AEJ69" s="149">
        <f t="shared" ref="AEJ69:AEJ81" si="851">POWER((0.266376663-0.179934033*LOG(AEB69)+0.050334408*AEB69^0.5)+1.281552*(0.042052117+0.012920455*LOG(AEB69)-0.000834771*AEB69^0.5),1/1.04)</f>
        <v>0.44518172065994915</v>
      </c>
      <c r="AEK69" s="149">
        <f t="shared" ref="AEK69:AEK81" si="852">POWER((0.266376663-0.179934033*LOG(AEB69)+0.050334408*AEB69^0.5)+1.644854*(0.042052117+0.012920455*LOG(AEB69)-0.000834771*AEB69^0.5),1/1.04)</f>
        <v>0.46641685792662679</v>
      </c>
      <c r="AEL69" s="149">
        <f t="shared" ref="AEL69:AEL81" si="853">POWER((0.266376663-0.179934033*LOG(AEB69)+0.050334408*AEB69^0.5)+1.959964*(0.042052117+0.012920455*LOG(AEB69)-0.000834771*AEB69^0.5),1/1.04)</f>
        <v>0.4848038163569659</v>
      </c>
      <c r="AEM69" s="149">
        <f t="shared" ref="AEM69:AEM81" si="854">POWER((0.266376663-0.179934033*LOG(AEB69)+0.050334408*AEB69^0.5)+2.326348*(0.042052117+0.012920455*LOG(AEB69)-0.000834771*AEB69^0.5),1/1.04)</f>
        <v>0.50614770832531275</v>
      </c>
      <c r="AEN69" s="81"/>
    </row>
    <row r="70" spans="1:820">
      <c r="A70" s="81"/>
      <c r="B70" s="81">
        <v>69</v>
      </c>
      <c r="C70" s="133">
        <f t="shared" si="495"/>
        <v>2.472411085779914</v>
      </c>
      <c r="D70" s="133">
        <f t="shared" si="496"/>
        <v>2.9961591569009438</v>
      </c>
      <c r="E70" s="133">
        <f t="shared" si="497"/>
        <v>3.5544251953581627</v>
      </c>
      <c r="F70" s="133">
        <f t="shared" si="498"/>
        <v>4.3583499819627676</v>
      </c>
      <c r="G70" s="133">
        <f t="shared" ref="G70:G85" si="855">POWER((0.773354184+0.088990524*LOG(B70)-0.033362978*B70^0.5)+0.6755*(0.039580158+0.040295897*LOG(B70)-0.004022959*B70^0.5),1/-0.184)</f>
        <v>6.2353965974688963</v>
      </c>
      <c r="H70" s="134">
        <f t="shared" ref="H70:H85" si="856">POWER((0.773354184+0.088990524*LOG(B70)-0.033362978*B70^0.5)+0*(0.039580158+0.040295897*LOG(B70)-0.004022959*B70^0.5),1/-0.184)</f>
        <v>9.5771874724236614</v>
      </c>
      <c r="I70" s="133">
        <f t="shared" ref="I70:I85" si="857">POWER((0.773354184+0.088990524*LOG(B70)-0.033362978*B70^0.5)-0.6755*(0.039580158+0.040295897*LOG(B70)-0.004022959*B70^0.5),1/-0.184)</f>
        <v>15.261591527873497</v>
      </c>
      <c r="J70" s="133">
        <f t="shared" si="499"/>
        <v>24.055452636632236</v>
      </c>
      <c r="K70" s="133">
        <f t="shared" si="500"/>
        <v>32.220070278279188</v>
      </c>
      <c r="L70" s="133">
        <f t="shared" si="501"/>
        <v>42.074284574389999</v>
      </c>
      <c r="M70" s="133">
        <f t="shared" si="502"/>
        <v>58.389243602967319</v>
      </c>
      <c r="N70" s="81"/>
      <c r="O70" s="75">
        <v>69</v>
      </c>
      <c r="P70" s="151">
        <f t="shared" si="503"/>
        <v>3.1909210479450527</v>
      </c>
      <c r="Q70" s="151">
        <f t="shared" si="504"/>
        <v>3.719006320323595</v>
      </c>
      <c r="R70" s="151">
        <f t="shared" si="505"/>
        <v>4.276700231612736</v>
      </c>
      <c r="S70" s="151">
        <f t="shared" si="506"/>
        <v>5.0768500574594952</v>
      </c>
      <c r="T70" s="151">
        <f t="shared" ref="T70:T85" si="858">POWER((0.505808068+0.226937134*LOG(O70)-0.064370273*O70^0.5)+0.6755*(0.071640457-0.007414736*LOG(O70)+0.005337774*O70^0.5),1/-0.403)</f>
        <v>6.9597708322324952</v>
      </c>
      <c r="U70" s="134">
        <f t="shared" ref="U70:U85" si="859">POWER((0.505808068+0.226937134*LOG(O70)-0.064370273*O70^0.5)+0*(0.071640457-0.007414736*LOG(O70)+0.005337774*O70^0.5),1/-0.403)</f>
        <v>10.450237794876282</v>
      </c>
      <c r="V70" s="151">
        <f t="shared" ref="V70:V85" si="860">POWER((0.505808068+0.226937134*LOG(O70)-0.064370273*O70^0.5)-0.6755*(0.071640457-0.007414736*LOG(O70)+0.005337774*O70^0.5),1/-0.403)</f>
        <v>16.996166080389607</v>
      </c>
      <c r="W70" s="151">
        <f t="shared" si="507"/>
        <v>29.049053708897134</v>
      </c>
      <c r="X70" s="151">
        <f t="shared" si="508"/>
        <v>42.792307056450412</v>
      </c>
      <c r="Y70" s="151">
        <f t="shared" si="509"/>
        <v>63.406264103019737</v>
      </c>
      <c r="Z70" s="151">
        <f t="shared" si="510"/>
        <v>110.18624148406802</v>
      </c>
      <c r="AA70" s="81"/>
      <c r="AB70" s="138">
        <v>71</v>
      </c>
      <c r="AC70" s="152">
        <f t="shared" si="511"/>
        <v>2.2694568197688136</v>
      </c>
      <c r="AD70" s="152">
        <f t="shared" si="512"/>
        <v>2.7200741456683035</v>
      </c>
      <c r="AE70" s="152">
        <f t="shared" si="513"/>
        <v>3.1981159958187697</v>
      </c>
      <c r="AF70" s="152">
        <f t="shared" si="514"/>
        <v>3.8839499653088096</v>
      </c>
      <c r="AG70" s="152">
        <f t="shared" ref="AG70" si="861">POWER((0.787318871+0.000048337*LOG(AB70)-0.019778508*AB70^0.5)+0.6755*(0.033225354+0.124933628*LOG(AB70)-0.02063485*AB70^0.5),1/-0.225)</f>
        <v>5.4802507565533869</v>
      </c>
      <c r="AH70" s="136">
        <f t="shared" ref="AH70" si="862">POWER((0.787318871+0.000048337*LOG(AB70)-0.019778508*AB70^0.5)+0*(0.033225354+0.124933628*LOG(AB70)-0.02063485*AB70^0.5),1/-0.225)</f>
        <v>8.3246284450773054</v>
      </c>
      <c r="AI70" s="152">
        <f t="shared" ref="AI70" si="863">POWER((0.787318871+0.000048337*LOG(AB70)-0.019778508*AB70^0.5)-0.6755*(0.033225354+0.124933628*LOG(AB70)-0.02063485*AB70^0.5),1/-0.225)</f>
        <v>13.20682627642911</v>
      </c>
      <c r="AJ70" s="152">
        <f t="shared" si="515"/>
        <v>20.905147278236786</v>
      </c>
      <c r="AK70" s="152">
        <f t="shared" si="516"/>
        <v>28.217053754315625</v>
      </c>
      <c r="AL70" s="152">
        <f t="shared" si="517"/>
        <v>37.245952438424858</v>
      </c>
      <c r="AM70" s="152">
        <f t="shared" si="518"/>
        <v>52.65546338934525</v>
      </c>
      <c r="AN70" s="81"/>
      <c r="AO70" s="81">
        <v>69</v>
      </c>
      <c r="AP70" s="133">
        <f t="shared" si="519"/>
        <v>2.4391726549810917</v>
      </c>
      <c r="AQ70" s="133">
        <f t="shared" si="520"/>
        <v>5.4589708505535759</v>
      </c>
      <c r="AR70" s="133">
        <f t="shared" si="521"/>
        <v>8.4096965982391367</v>
      </c>
      <c r="AS70" s="133">
        <f t="shared" si="522"/>
        <v>12.222264285160925</v>
      </c>
      <c r="AT70" s="133">
        <f t="shared" ref="AT70:AT85" si="864">POWER((5.836498591-4.49569107*LOG(AO70)+0.955178651*AO70^0.5)-0.6755*(0.668523278-0.817930407*LOG(AO70)+0.235086956*AO70^0.5),1/0.475)-7.001</f>
        <v>19.573528147230629</v>
      </c>
      <c r="AU70" s="134">
        <f t="shared" ref="AU70:AU85" si="865">POWER((5.836498591-4.49569107*LOG(AO70)+0.955178651*AO70^0.5)-0*(0.668523278-0.817930407*LOG(AO70)+0.235086956*AO70^0.5),1/0.475)-7.001</f>
        <v>29.249016155011386</v>
      </c>
      <c r="AV70" s="133">
        <f t="shared" ref="AV70:AV85" si="866">POWER((5.836498591-4.49569107*LOG(AO70)+0.955178651*AO70^0.5)+0.6755*(0.668523278-0.817930407*LOG(AO70)+0.235086956*AO70^0.5),1/0.475)-7.001</f>
        <v>40.510221829766643</v>
      </c>
      <c r="AW70" s="133">
        <f t="shared" si="523"/>
        <v>51.981065273262871</v>
      </c>
      <c r="AX70" s="133">
        <f t="shared" si="524"/>
        <v>59.483534021515389</v>
      </c>
      <c r="AY70" s="133">
        <f t="shared" si="525"/>
        <v>66.373638254785234</v>
      </c>
      <c r="AZ70" s="133">
        <f t="shared" si="526"/>
        <v>74.834483517496423</v>
      </c>
      <c r="BA70" s="81"/>
      <c r="BB70" s="81">
        <v>69</v>
      </c>
      <c r="BC70" s="133">
        <f t="shared" si="527"/>
        <v>5.2355502766796702</v>
      </c>
      <c r="BD70" s="133">
        <f t="shared" si="528"/>
        <v>8.7691399858895984</v>
      </c>
      <c r="BE70" s="133">
        <f t="shared" si="529"/>
        <v>12.098362171089487</v>
      </c>
      <c r="BF70" s="133">
        <f t="shared" si="530"/>
        <v>16.257663206425381</v>
      </c>
      <c r="BG70" s="133">
        <f t="shared" ref="BG70:BG85" si="867">POWER((9.129564718-8.28652525*LOG(BB70)+1.792855923*BB70^0.5)-0.6755*(1.324763978-2.174364147*LOG(BB70)+0.551355577*BB70^0.5),1/0.587)-7.001</f>
        <v>23.931375983069799</v>
      </c>
      <c r="BH70" s="134">
        <f t="shared" ref="BH70:BH85" si="868">POWER((9.129564718-8.28652525*LOG(BB70)+1.792855923*BB70^0.5)-0*(1.324763978-2.174364147*LOG(BB70)+0.551355577*BB70^0.5),1/0.587)-7.001</f>
        <v>33.521202448279112</v>
      </c>
      <c r="BI70" s="133">
        <f t="shared" ref="BI70:BI85" si="869">POWER((9.129564718-8.28652525*LOG(BB70)+1.792855923*BB70^0.5)+0.6755*(1.324763978-2.174364147*LOG(BB70)+0.551355577*BB70^0.5),1/0.587)-7.001</f>
        <v>44.155477371081489</v>
      </c>
      <c r="BJ70" s="133">
        <f t="shared" si="531"/>
        <v>54.550950521247785</v>
      </c>
      <c r="BK70" s="133">
        <f t="shared" si="532"/>
        <v>61.158725707381187</v>
      </c>
      <c r="BL70" s="133">
        <f t="shared" si="533"/>
        <v>67.113511238335676</v>
      </c>
      <c r="BM70" s="133">
        <f t="shared" si="534"/>
        <v>74.294157198791694</v>
      </c>
      <c r="BN70" s="81"/>
      <c r="BO70" s="138">
        <v>71</v>
      </c>
      <c r="BP70" s="152">
        <f t="shared" si="535"/>
        <v>6.0814012092036736</v>
      </c>
      <c r="BQ70" s="152">
        <f t="shared" si="536"/>
        <v>7.7932476262304782</v>
      </c>
      <c r="BR70" s="152">
        <f t="shared" si="537"/>
        <v>9.5785115401369847</v>
      </c>
      <c r="BS70" s="152">
        <f t="shared" si="538"/>
        <v>12.058514960831017</v>
      </c>
      <c r="BT70" s="152">
        <f t="shared" ref="BT70" si="870">POWER((1.701585669-0.715178046*LOG(BO70)+0.147015501*BO70^0.5)-0.6755*(0.063416169+0.043129977*LOG(BO70)-0.00118163*BO70^0.5),1/0.148)</f>
        <v>17.413070546338769</v>
      </c>
      <c r="BU70" s="136">
        <f t="shared" ref="BU70" si="871">POWER((1.701585669-0.715178046*LOG(BO70)+0.147015501*BO70^0.5)-0*(0.063416169+0.043129977*LOG(BO70)-0.00118163*BO70^0.5),1/0.148)</f>
        <v>25.649520462272545</v>
      </c>
      <c r="BV70" s="152">
        <f t="shared" ref="BV70" si="872">POWER((1.701585669-0.715178046*LOG(BO70)+0.147015501*BO70^0.5)+0.6755*(0.063416169+0.043129977*LOG(BO70)-0.00118163*BO70^0.5),1/0.148)</f>
        <v>36.996616104117287</v>
      </c>
      <c r="BW70" s="152">
        <f t="shared" si="539"/>
        <v>50.57096010200538</v>
      </c>
      <c r="BX70" s="152">
        <f t="shared" si="540"/>
        <v>60.584203173682333</v>
      </c>
      <c r="BY70" s="152">
        <f t="shared" si="541"/>
        <v>70.591378848621474</v>
      </c>
      <c r="BZ70" s="152">
        <f t="shared" si="542"/>
        <v>83.966213234543105</v>
      </c>
      <c r="CA70" s="81"/>
      <c r="CB70" s="81">
        <v>69</v>
      </c>
      <c r="CC70" s="133">
        <f t="shared" si="543"/>
        <v>-1.6784218649236848</v>
      </c>
      <c r="CD70" s="133">
        <f t="shared" si="544"/>
        <v>1.3866896948984797</v>
      </c>
      <c r="CE70" s="133">
        <f t="shared" si="545"/>
        <v>4.3217977825724487</v>
      </c>
      <c r="CF70" s="133">
        <f t="shared" si="546"/>
        <v>8.0038049272930749</v>
      </c>
      <c r="CG70" s="133">
        <f t="shared" ref="CG70:CG85" si="873">POWER((21.898574356-26.903936553*LOG(CB70)+4.665112065*CB70^0.5)-0.6755*(1.88745203+0.51223873*LOG(CB70)+0.068486778*CB70^0.5),1/0.709)-7.001</f>
        <v>14.767133300112448</v>
      </c>
      <c r="CH70" s="134">
        <f t="shared" ref="CH70:CH85" si="874">POWER((21.898574356-26.903936553*LOG(CB70)+4.665112065*CB70^0.5)-0*(1.88745203+0.51223873*LOG(CB70)+0.068486778*CB70^0.5),1/0.709)-7.001</f>
        <v>23.103491175669124</v>
      </c>
      <c r="CI70" s="133">
        <f t="shared" ref="CI70:CI85" si="875">POWER((21.898574356-26.903936553*LOG(CB70)+4.665112065*CB70^0.5)+0.6755*(1.88745203+0.51223873*LOG(CB70)+0.068486778*CB70^0.5),1/0.709)-7.001</f>
        <v>32.177324687400407</v>
      </c>
      <c r="CJ70" s="133">
        <f t="shared" si="547"/>
        <v>40.881718060381147</v>
      </c>
      <c r="CK70" s="133">
        <f t="shared" si="548"/>
        <v>46.335948460834516</v>
      </c>
      <c r="CL70" s="133">
        <f t="shared" si="549"/>
        <v>51.202551348776247</v>
      </c>
      <c r="CM70" s="133">
        <f t="shared" si="550"/>
        <v>57.013458914910835</v>
      </c>
      <c r="CN70" s="81"/>
      <c r="CO70" s="81">
        <v>69</v>
      </c>
      <c r="CP70" s="133">
        <f t="shared" si="551"/>
        <v>4.2370600403579433</v>
      </c>
      <c r="CQ70" s="133">
        <f t="shared" si="552"/>
        <v>7.2259720014093221</v>
      </c>
      <c r="CR70" s="133">
        <f t="shared" si="553"/>
        <v>9.9740805974350408</v>
      </c>
      <c r="CS70" s="133">
        <f t="shared" si="554"/>
        <v>13.330007755702812</v>
      </c>
      <c r="CT70" s="133">
        <f t="shared" ref="CT70:CT85" si="876">POWER((20.182143031-22.173706696*LOG(CO70)+3.844054992*CO70^0.5)-0.6755*(2.292087929-0.758787886*LOG(CO70)+0.216995794*CO70^0.5),1/0.697)-6.001</f>
        <v>19.338294562678126</v>
      </c>
      <c r="CU70" s="134">
        <f t="shared" ref="CU70:CU85" si="877">POWER((20.182143031-22.173706696*LOG(CO70)+3.844054992*CO70^0.5)-0*(2.292087929-0.758787886*LOG(CO70)+0.216995794*CO70^0.5),1/0.697)-6.001</f>
        <v>26.584816904440149</v>
      </c>
      <c r="CV70" s="133">
        <f t="shared" ref="CV70:CV85" si="878">POWER((20.182143031-22.173706696*LOG(CO70)+3.844054992*CO70^0.5)+0.6755*(2.292087929-0.758787886*LOG(CO70)+0.216995794*CO70^0.5),1/0.697)-6.001</f>
        <v>34.35787601872785</v>
      </c>
      <c r="CW70" s="133">
        <f t="shared" si="555"/>
        <v>41.74453636369136</v>
      </c>
      <c r="CX70" s="133">
        <f t="shared" si="556"/>
        <v>46.348561438319472</v>
      </c>
      <c r="CY70" s="133">
        <f t="shared" si="557"/>
        <v>50.444176897025315</v>
      </c>
      <c r="CZ70" s="133">
        <f t="shared" si="558"/>
        <v>55.321865634043419</v>
      </c>
      <c r="DA70" s="81"/>
      <c r="DB70" s="113">
        <v>71</v>
      </c>
      <c r="DC70" s="135">
        <f t="shared" si="559"/>
        <v>-2.1924948708784653</v>
      </c>
      <c r="DD70" s="135">
        <f t="shared" si="560"/>
        <v>0.33309416351316123</v>
      </c>
      <c r="DE70" s="135">
        <f t="shared" si="561"/>
        <v>2.8258182831493697</v>
      </c>
      <c r="DF70" s="135">
        <f t="shared" si="562"/>
        <v>6.0426516616046539</v>
      </c>
      <c r="DG70" s="135">
        <f t="shared" ref="DG70" si="879">POWER((15.057371662-19.456694991*LOG(DB70)+3.368955099*DB70^0.5)-0.6755*(1.038994015+0.341963836*LOG(DB70)+0.047821163*DB70^0.5),1/0.608)-7.001</f>
        <v>12.170884374418971</v>
      </c>
      <c r="DH70" s="136">
        <f t="shared" ref="DH70" si="880">POWER((15.057371662-19.456694991*LOG(DB70)+3.368955099*DB70^0.5)-0*(1.038994015+0.341963836*LOG(DB70)+0.047821163*DB70^0.5),1/0.608)-7.001</f>
        <v>20.044661135983446</v>
      </c>
      <c r="DI70" s="135">
        <f t="shared" ref="DI70" si="881">POWER((15.057371662-19.456694991*LOG(DB70)+3.368955099*DB70^0.5)+0.6755*(1.038994015+0.341963836*LOG(DB70)+0.047821163*DB70^0.5),1/0.608)-7.001</f>
        <v>28.941875823385889</v>
      </c>
      <c r="DJ70" s="135">
        <f t="shared" si="563"/>
        <v>37.744658295606023</v>
      </c>
      <c r="DK70" s="135">
        <f t="shared" si="564"/>
        <v>43.377546892929224</v>
      </c>
      <c r="DL70" s="135">
        <f t="shared" si="565"/>
        <v>48.472792615450963</v>
      </c>
      <c r="DM70" s="135">
        <f t="shared" si="566"/>
        <v>54.636321082637622</v>
      </c>
      <c r="DN70" s="81"/>
      <c r="DO70" s="122">
        <v>69</v>
      </c>
      <c r="DP70" s="149">
        <v>14.09989809050351</v>
      </c>
      <c r="DQ70" s="149">
        <v>15.296928255065456</v>
      </c>
      <c r="DR70" s="149">
        <v>16.407410297773193</v>
      </c>
      <c r="DS70" s="149">
        <v>17.788142944759535</v>
      </c>
      <c r="DT70" s="149">
        <v>20.35484934392111</v>
      </c>
      <c r="DU70" s="150">
        <v>23.654458432914474</v>
      </c>
      <c r="DV70" s="149">
        <v>27.488948422090928</v>
      </c>
      <c r="DW70" s="149">
        <v>31.455414176290954</v>
      </c>
      <c r="DX70" s="149">
        <v>34.102481354441331</v>
      </c>
      <c r="DY70" s="149">
        <v>36.578154412745839</v>
      </c>
      <c r="DZ70" s="149">
        <v>39.683506941892936</v>
      </c>
      <c r="EA70" s="81"/>
      <c r="EB70" s="122">
        <v>69</v>
      </c>
      <c r="EC70" s="149">
        <v>13.32431965049463</v>
      </c>
      <c r="ED70" s="149">
        <v>14.607127558456368</v>
      </c>
      <c r="EE70" s="149">
        <v>15.808766493428552</v>
      </c>
      <c r="EF70" s="149">
        <v>17.31737098642115</v>
      </c>
      <c r="EG70" s="149">
        <v>20.161137663587628</v>
      </c>
      <c r="EH70" s="150">
        <v>23.884430690020569</v>
      </c>
      <c r="EI70" s="149">
        <v>28.295329306574622</v>
      </c>
      <c r="EJ70" s="149">
        <v>32.941837986476628</v>
      </c>
      <c r="EK70" s="149">
        <v>36.085423212717444</v>
      </c>
      <c r="EL70" s="149">
        <v>39.053950005122111</v>
      </c>
      <c r="EM70" s="149">
        <v>42.813895519627479</v>
      </c>
      <c r="EN70" s="81"/>
      <c r="EO70" s="113">
        <v>71</v>
      </c>
      <c r="EP70" s="135">
        <v>10.64069230149593</v>
      </c>
      <c r="EQ70" s="135">
        <v>12.193207208465385</v>
      </c>
      <c r="ER70" s="135">
        <v>13.708454149401181</v>
      </c>
      <c r="ES70" s="135">
        <v>15.690580204464462</v>
      </c>
      <c r="ET70" s="135">
        <v>19.655244207436937</v>
      </c>
      <c r="EU70" s="136">
        <v>25.265586695063952</v>
      </c>
      <c r="EV70" s="135">
        <v>32.477330950905227</v>
      </c>
      <c r="EW70" s="135">
        <v>40.683637107578832</v>
      </c>
      <c r="EX70" s="135">
        <v>46.566145539734464</v>
      </c>
      <c r="EY70" s="135">
        <v>52.352909298761446</v>
      </c>
      <c r="EZ70" s="135">
        <v>59.991385236846789</v>
      </c>
      <c r="FA70" s="81"/>
      <c r="FB70" s="122">
        <v>69</v>
      </c>
      <c r="FC70" s="149">
        <v>10.10445115644173</v>
      </c>
      <c r="FD70" s="149">
        <v>10.885064449620529</v>
      </c>
      <c r="FE70" s="149">
        <v>11.60450086086821</v>
      </c>
      <c r="FF70" s="149">
        <v>12.493176672363322</v>
      </c>
      <c r="FG70" s="149">
        <v>14.129668504117168</v>
      </c>
      <c r="FH70" s="150">
        <v>16.207535662891733</v>
      </c>
      <c r="FI70" s="149">
        <v>18.590967805604581</v>
      </c>
      <c r="FJ70" s="149">
        <v>21.026214481141707</v>
      </c>
      <c r="FK70" s="149">
        <v>22.636407667451738</v>
      </c>
      <c r="FL70" s="149">
        <v>24.13253623620621</v>
      </c>
      <c r="FM70" s="149">
        <v>25.996880800046466</v>
      </c>
      <c r="FN70" s="81"/>
      <c r="FO70" s="122">
        <v>69</v>
      </c>
      <c r="FP70" s="149">
        <v>10.042404543211591</v>
      </c>
      <c r="FQ70" s="149">
        <v>10.828148620282308</v>
      </c>
      <c r="FR70" s="149">
        <v>11.55293044797147</v>
      </c>
      <c r="FS70" s="149">
        <v>12.448970714501424</v>
      </c>
      <c r="FT70" s="149">
        <v>14.101043414181099</v>
      </c>
      <c r="FU70" s="150">
        <v>16.202068279902697</v>
      </c>
      <c r="FV70" s="149">
        <v>18.616141290837508</v>
      </c>
      <c r="FW70" s="149">
        <v>21.08664423483965</v>
      </c>
      <c r="FX70" s="149">
        <v>22.722115200885813</v>
      </c>
      <c r="FY70" s="149">
        <v>24.243019351888542</v>
      </c>
      <c r="FZ70" s="149">
        <v>26.139856786000244</v>
      </c>
      <c r="GA70" s="81"/>
      <c r="GB70" s="113">
        <v>71</v>
      </c>
      <c r="GC70" s="135">
        <v>7.5220127451262027</v>
      </c>
      <c r="GD70" s="135">
        <v>8.5473657482449195</v>
      </c>
      <c r="GE70" s="135">
        <v>9.5403378214222609</v>
      </c>
      <c r="GF70" s="135">
        <v>10.829168935188894</v>
      </c>
      <c r="GG70" s="135">
        <v>13.378185007777786</v>
      </c>
      <c r="GH70" s="136">
        <v>16.932416449470661</v>
      </c>
      <c r="GI70" s="135">
        <v>21.430913584437612</v>
      </c>
      <c r="GJ70" s="135">
        <v>26.475413629079515</v>
      </c>
      <c r="GK70" s="135">
        <v>30.052051843963181</v>
      </c>
      <c r="GL70" s="135">
        <v>33.543285178497911</v>
      </c>
      <c r="GM70" s="135">
        <v>38.115692771734892</v>
      </c>
      <c r="GN70" s="81"/>
      <c r="GO70" s="122">
        <v>69</v>
      </c>
      <c r="GP70" s="149">
        <f t="shared" si="567"/>
        <v>0.52689935302230306</v>
      </c>
      <c r="GQ70" s="149">
        <f t="shared" si="568"/>
        <v>0.55820766572907132</v>
      </c>
      <c r="GR70" s="149">
        <f t="shared" si="569"/>
        <v>0.58371659750564719</v>
      </c>
      <c r="GS70" s="149">
        <f t="shared" si="570"/>
        <v>0.61173285324199234</v>
      </c>
      <c r="GT70" s="149">
        <f t="shared" ref="GT70:GT85" si="882">POWER((0.233620187-0.086725664*LOG(GO70)+0.04901957*GO70^0.5)-0.6577*(0.086429948-0.007000796*LOG(GO70)+0.002228381*GO70^0.5),1/2.06)</f>
        <v>0.65690449899590753</v>
      </c>
      <c r="GU70" s="150">
        <f t="shared" ref="GU70:GU85" si="883">POWER((0.233620187-0.086725664*LOG(GO70)+0.04901957*GO70^0.5)-0*(0.086429948-0.007000796*LOG(GO70)+0.002228381*GO70^0.5),1/2.06)</f>
        <v>0.70120809144877949</v>
      </c>
      <c r="GV70" s="149">
        <f t="shared" ref="GV70:GV85" si="884">POWER((0.233620187-0.086725664*LOG(GO70)+0.04901957*GO70^0.5)+0.6577*(0.086429948-0.007000796*LOG(GO70)+0.002228381*GO70^0.5),1/2.06)</f>
        <v>0.74272565470330987</v>
      </c>
      <c r="GW70" s="149">
        <f t="shared" si="571"/>
        <v>0.77995132227898056</v>
      </c>
      <c r="GX70" s="149">
        <f t="shared" si="572"/>
        <v>0.8007867965114065</v>
      </c>
      <c r="GY70" s="149">
        <f t="shared" si="573"/>
        <v>0.81840386704144796</v>
      </c>
      <c r="GZ70" s="149">
        <f t="shared" si="574"/>
        <v>0.83839501674358186</v>
      </c>
      <c r="HA70" s="81"/>
      <c r="HB70" s="122">
        <v>69</v>
      </c>
      <c r="HC70" s="149">
        <f t="shared" si="575"/>
        <v>0.52438021482724595</v>
      </c>
      <c r="HD70" s="149">
        <f t="shared" si="576"/>
        <v>0.55661744328164908</v>
      </c>
      <c r="HE70" s="149">
        <f t="shared" si="577"/>
        <v>0.58286484535771421</v>
      </c>
      <c r="HF70" s="149">
        <f t="shared" si="578"/>
        <v>0.61167716151521756</v>
      </c>
      <c r="HG70" s="149">
        <f t="shared" ref="HG70:HG85" si="885">POWER((0.260159768-0.151356012*LOG(HB70)+0.060955623*HB70^0.5)-0.6755*(0.063209008+0.037954229*LOG(HB70)-0.004615882*HB70^0.5),1/2.04)</f>
        <v>0.65682979892430171</v>
      </c>
      <c r="HH70" s="150">
        <f t="shared" ref="HH70:HH85" si="886">POWER((0.260159768-0.151356012*LOG(HB70)+0.060955623*HB70^0.5)-0*(0.063209008+0.037954229*LOG(HB70)-0.004615882*HB70^0.5),1/2.04)</f>
        <v>0.70362402315237615</v>
      </c>
      <c r="HI70" s="149">
        <f t="shared" ref="HI70:HI85" si="887">POWER((0.260159768-0.151356012*LOG(HB70)+0.060955623*HB70^0.5)+0.6755*(0.063209008+0.037954229*LOG(HB70)-0.004615882*HB70^0.5),1/2.04)</f>
        <v>0.74738503002133849</v>
      </c>
      <c r="HJ70" s="149">
        <f t="shared" si="579"/>
        <v>0.78449378248875268</v>
      </c>
      <c r="HK70" s="149">
        <f t="shared" si="580"/>
        <v>0.80588853476948785</v>
      </c>
      <c r="HL70" s="149">
        <f t="shared" si="581"/>
        <v>0.82397798273296818</v>
      </c>
      <c r="HM70" s="149">
        <f t="shared" si="582"/>
        <v>0.84450486755956689</v>
      </c>
      <c r="HN70" s="81"/>
      <c r="HO70" s="113">
        <v>71</v>
      </c>
      <c r="HP70" s="114">
        <f t="shared" si="583"/>
        <v>0.52796668571785355</v>
      </c>
      <c r="HQ70" s="114">
        <f t="shared" si="584"/>
        <v>0.55889987376414463</v>
      </c>
      <c r="HR70" s="114">
        <f t="shared" si="585"/>
        <v>0.58409604013730321</v>
      </c>
      <c r="HS70" s="114">
        <f t="shared" si="586"/>
        <v>0.61176127122374602</v>
      </c>
      <c r="HT70" s="114">
        <f t="shared" ref="HT70" si="888">POWER((0.207481579-0.01891618*LOG(HO70)+0.03605933*HO70^0.5)-0.6755*(0.110751963-0.054950947*LOG(HO70)+0.009715719*HO70^0.5),1/2.08)</f>
        <v>0.65512335105668074</v>
      </c>
      <c r="HU70" s="115">
        <f t="shared" ref="HU70" si="889">POWER((0.207481579-0.01891618*LOG(HO70)+0.03605933*HO70^0.5)-0*(0.110751963-0.054950947*LOG(HO70)+0.009715719*HO70^0.5),1/2.08)</f>
        <v>0.70006234392976896</v>
      </c>
      <c r="HV70" s="114">
        <f t="shared" ref="HV70" si="890">POWER((0.207481579-0.01891618*LOG(HO70)+0.03605933*HO70^0.5)+0.6755*(0.110751963-0.054950947*LOG(HO70)+0.009715719*HO70^0.5),1/2.08)</f>
        <v>0.74208215886731244</v>
      </c>
      <c r="HW70" s="114">
        <f t="shared" si="587"/>
        <v>0.77770628632487471</v>
      </c>
      <c r="HX70" s="114">
        <f t="shared" si="588"/>
        <v>0.79824084270000906</v>
      </c>
      <c r="HY70" s="114">
        <f t="shared" si="589"/>
        <v>0.81560027018177161</v>
      </c>
      <c r="HZ70" s="114">
        <f t="shared" si="590"/>
        <v>0.8352955404059379</v>
      </c>
      <c r="IA70" s="81"/>
      <c r="IB70" s="122">
        <v>69</v>
      </c>
      <c r="IC70" s="126">
        <f t="shared" si="591"/>
        <v>0.3460242030587839</v>
      </c>
      <c r="ID70" s="126">
        <f t="shared" si="592"/>
        <v>0.35862900548707749</v>
      </c>
      <c r="IE70" s="126">
        <f t="shared" si="593"/>
        <v>0.36861369215318701</v>
      </c>
      <c r="IF70" s="126">
        <f t="shared" si="594"/>
        <v>0.3793127751396968</v>
      </c>
      <c r="IG70" s="126">
        <f t="shared" ref="IG70:IG85" si="891">POWER((0.018347209-0.007282911*LOG(IB70)+0.004299644*IB70^0.5)-0.6755*(0.007950591-0.000478586*LOG(IB70)+0.000131249*IB70^0.5),1/3.61)</f>
        <v>0.3955819353820218</v>
      </c>
      <c r="IH70" s="127">
        <f t="shared" ref="IH70:IH85" si="892">POWER((0.018347209-0.007282911*LOG(IB70)+0.004299644*IB70^0.5)-0*(0.007950591-0.000478586*LOG(IB70)+0.000131249*IB70^0.5),1/3.61)</f>
        <v>0.41186894329526147</v>
      </c>
      <c r="II70" s="126">
        <f t="shared" ref="II70:II85" si="893">POWER((0.018347209-0.007282911*LOG(IB70)+0.004299644*IB70^0.5)+0.6755*(0.007950591-0.000478586*LOG(IB70)+0.000131249*IB70^0.5),1/3.61)</f>
        <v>0.42662950682215078</v>
      </c>
      <c r="IJ70" s="126">
        <f t="shared" si="595"/>
        <v>0.43882379214038869</v>
      </c>
      <c r="IK70" s="126">
        <f t="shared" si="596"/>
        <v>0.44572956448984102</v>
      </c>
      <c r="IL70" s="126">
        <f t="shared" si="597"/>
        <v>0.45150098557312929</v>
      </c>
      <c r="IM70" s="126">
        <f t="shared" si="598"/>
        <v>0.45797814760952188</v>
      </c>
      <c r="IN70" s="81"/>
      <c r="IO70" s="122">
        <v>69</v>
      </c>
      <c r="IP70" s="149">
        <f t="shared" si="599"/>
        <v>0.34457097810317233</v>
      </c>
      <c r="IQ70" s="149">
        <f t="shared" si="600"/>
        <v>0.35765189267595254</v>
      </c>
      <c r="IR70" s="149">
        <f t="shared" si="601"/>
        <v>0.36799342247278088</v>
      </c>
      <c r="IS70" s="149">
        <f t="shared" si="602"/>
        <v>0.37905804234559148</v>
      </c>
      <c r="IT70" s="149">
        <f t="shared" ref="IT70:IT85" si="894">POWER((0.021322342-0.013400605*LOG(IO70)+0.005506749*IO70^0.5)-0.6755*(0.006004732+0.003720707*LOG(IO70)-0.000504609*IO70^0.5),1/3.57)</f>
        <v>0.39585520289693638</v>
      </c>
      <c r="IU70" s="150">
        <f t="shared" ref="IU70:IU85" si="895">POWER((0.021322342-0.013400605*LOG(IO70)+0.005506749*IO70^0.5)-0*(0.006004732+0.003720707*LOG(IO70)-0.000504609*IO70^0.5),1/3.57)</f>
        <v>0.41264351979291924</v>
      </c>
      <c r="IV70" s="149">
        <f t="shared" ref="IV70:IV85" si="896">POWER((0.021322342-0.013400605*LOG(IO70)+0.005506749*IO70^0.5)+0.6755*(0.006004732+0.003720707*LOG(IO70)-0.000504609*IO70^0.5),1/3.57)</f>
        <v>0.4278396805657243</v>
      </c>
      <c r="IW70" s="149">
        <f t="shared" si="603"/>
        <v>0.44038294627523511</v>
      </c>
      <c r="IX70" s="149">
        <f t="shared" si="604"/>
        <v>0.44748265201514736</v>
      </c>
      <c r="IY70" s="149">
        <f t="shared" si="605"/>
        <v>0.45341433647302343</v>
      </c>
      <c r="IZ70" s="149">
        <f t="shared" si="606"/>
        <v>0.46006956996109782</v>
      </c>
      <c r="JA70" s="81"/>
      <c r="JB70" s="113">
        <v>71</v>
      </c>
      <c r="JC70" s="135">
        <f t="shared" si="607"/>
        <v>0.34690005418932768</v>
      </c>
      <c r="JD70" s="135">
        <f t="shared" si="608"/>
        <v>0.35926593015857733</v>
      </c>
      <c r="JE70" s="135">
        <f t="shared" si="609"/>
        <v>0.36906581202844291</v>
      </c>
      <c r="JF70" s="135">
        <f t="shared" si="610"/>
        <v>0.37957033442430271</v>
      </c>
      <c r="JG70" s="135">
        <f t="shared" ref="JG70" si="897">POWER((0.015562404-0.001236024*LOG(JB70)+0.003069913*JB70^0.5)-0.6755*(0.009868481-0.004683869*LOG(JB70)+0.000784556*JB70^0.5),1/3.65)</f>
        <v>0.39554888240925112</v>
      </c>
      <c r="JH70" s="136">
        <f t="shared" ref="JH70" si="898">POWER((0.015562404-0.001236024*LOG(JB70)+0.003069913*JB70^0.5)-0*(0.009868481-0.004683869*LOG(JB70)+0.000784556*JB70^0.5),1/3.65)</f>
        <v>0.41154941263487937</v>
      </c>
      <c r="JI70" s="135">
        <f t="shared" ref="JI70" si="899">POWER((0.015562404-0.001236024*LOG(JB70)+0.003069913*JB70^0.5)+0.6755*(0.009868481-0.004683869*LOG(JB70)+0.000784556*JB70^0.5),1/3.65)</f>
        <v>0.42605277587695561</v>
      </c>
      <c r="JJ70" s="135">
        <f t="shared" si="611"/>
        <v>0.43803557717346409</v>
      </c>
      <c r="JK70" s="135">
        <f t="shared" si="612"/>
        <v>0.44482179150599305</v>
      </c>
      <c r="JL70" s="135">
        <f t="shared" si="613"/>
        <v>0.45049334084807835</v>
      </c>
      <c r="JM70" s="135">
        <f t="shared" si="614"/>
        <v>0.45685841968266816</v>
      </c>
      <c r="JN70" s="81"/>
      <c r="JO70" s="122">
        <v>68</v>
      </c>
      <c r="JP70" s="149">
        <f t="shared" si="615"/>
        <v>1.965587727968547</v>
      </c>
      <c r="JQ70" s="149">
        <f t="shared" si="616"/>
        <v>3.3892075528990055</v>
      </c>
      <c r="JR70" s="149">
        <f t="shared" si="617"/>
        <v>4.6254424124420659</v>
      </c>
      <c r="JS70" s="149">
        <f t="shared" si="618"/>
        <v>6.0638649037271648</v>
      </c>
      <c r="JT70" s="149">
        <f t="shared" ref="JT70:JT86" si="900">POWER((16.097260769-14.149592527*LOG(JO70)+3.314143516*JO70^0.5)-0.6755*(0.064536512+2.84968079*LOG(JO70)-0.41863164*JO70^0.5),1/0.824)-21.001</f>
        <v>8.4934197098098885</v>
      </c>
      <c r="JU70" s="150">
        <f t="shared" ref="JU70:JU86" si="901">POWER((16.097260769-14.149592527*LOG(JO70)+3.314143516*JO70^0.5)-0*(0.064536512+2.84968079*LOG(JO70)-0.41863164*JO70^0.5),1/0.824)-21.001</f>
        <v>11.243451553867406</v>
      </c>
      <c r="JV70" s="149">
        <f t="shared" ref="JV70:JV86" si="902">POWER((16.097260769-14.149592527*LOG(JO70)+3.314143516*JO70^0.5)+0.6755*(0.064536512+2.84968079*LOG(JO70)-0.41863164*JO70^0.5),1/0.824)-21.001</f>
        <v>14.035431282141868</v>
      </c>
      <c r="JW70" s="149">
        <f t="shared" si="619"/>
        <v>16.574254718033945</v>
      </c>
      <c r="JX70" s="149">
        <f t="shared" si="620"/>
        <v>18.110911050376902</v>
      </c>
      <c r="JY70" s="149">
        <f t="shared" si="621"/>
        <v>19.452406177815337</v>
      </c>
      <c r="JZ70" s="149">
        <f t="shared" si="622"/>
        <v>21.022078361170639</v>
      </c>
      <c r="KA70" s="81"/>
      <c r="KB70" s="122">
        <v>68</v>
      </c>
      <c r="KC70" s="149">
        <f t="shared" si="623"/>
        <v>3.425745486153053</v>
      </c>
      <c r="KD70" s="149">
        <f t="shared" si="624"/>
        <v>4.8594959965732425</v>
      </c>
      <c r="KE70" s="149">
        <f t="shared" si="625"/>
        <v>6.1245414954258539</v>
      </c>
      <c r="KF70" s="149">
        <f t="shared" si="626"/>
        <v>7.618668108096001</v>
      </c>
      <c r="KG70" s="149">
        <f t="shared" ref="KG70:KG86" si="903">POWER((7.752880982-8.781963673*LOG(KB70)+2.106015174*KB70^0.5)-0.6755*(0.191693137+1.304116932*LOG(KB70)-0.179398555*KB70^0.5),1/0.682)-12.001</f>
        <v>10.193208644205855</v>
      </c>
      <c r="KH70" s="150">
        <f t="shared" ref="KH70:KH86" si="904">POWER((7.752880982-8.781963673*LOG(KB70)+2.106015174*KB70^0.5)-0*(0.191693137+1.304116932*LOG(KB70)-0.179398555*KB70^0.5),1/0.682)-12.001</f>
        <v>13.178948660792349</v>
      </c>
      <c r="KI70" s="149">
        <f t="shared" ref="KI70:KI86" si="905">POWER((7.752880982-8.781963673*LOG(KB70)+2.106015174*KB70^0.5)+0.6755*(0.191693137+1.304116932*LOG(KB70)-0.179398555*KB70^0.5),1/0.682)-12.001</f>
        <v>16.28185453099276</v>
      </c>
      <c r="KJ70" s="149">
        <f t="shared" si="627"/>
        <v>19.161461132912208</v>
      </c>
      <c r="KK70" s="149">
        <f t="shared" si="628"/>
        <v>20.929679411599786</v>
      </c>
      <c r="KL70" s="149">
        <f t="shared" si="629"/>
        <v>22.48824739893432</v>
      </c>
      <c r="KM70" s="149">
        <f t="shared" si="630"/>
        <v>24.328973511570432</v>
      </c>
      <c r="KN70" s="81"/>
      <c r="KO70" s="122">
        <v>70</v>
      </c>
      <c r="KP70" s="149">
        <f t="shared" si="631"/>
        <v>2.8578737483691405</v>
      </c>
      <c r="KQ70" s="149">
        <f t="shared" si="632"/>
        <v>4.0060275959174554</v>
      </c>
      <c r="KR70" s="149">
        <f t="shared" si="633"/>
        <v>4.9909719513506516</v>
      </c>
      <c r="KS70" s="149">
        <f t="shared" si="634"/>
        <v>6.1237829061011091</v>
      </c>
      <c r="KT70" s="149">
        <f t="shared" ref="KT70:KT82" si="906">POWER((36.417866766-39.889386591*LOG(KO70)+9.012473251*KO70^0.5)-0.6755*(-0.523248174+11.074385215*LOG(KO70)-1.898763058*KO70^0.5),1/1.06)-21.001</f>
        <v>8.0072717509580436</v>
      </c>
      <c r="KU70" s="150">
        <f t="shared" ref="KU70:KU82" si="907">POWER((36.417866766-39.889386591*LOG(KO70)+9.012473251*KO70^0.5)-0*(-0.523248174+11.074385215*LOG(KO70)-1.898763058*KO70^0.5),1/1.06)-21.001</f>
        <v>10.097994102948022</v>
      </c>
      <c r="KV70" s="149">
        <f t="shared" ref="KV70:KV82" si="908">POWER((36.417866766-39.889386591*LOG(KO70)+9.012473251*KO70^0.5)+0.6755*(-0.523248174+11.074385215*LOG(KO70)-1.898763058*KO70^0.5),1/1.06)-21.001</f>
        <v>12.180310168074978</v>
      </c>
      <c r="KW70" s="149">
        <f t="shared" si="635"/>
        <v>14.041875633742553</v>
      </c>
      <c r="KX70" s="149">
        <f t="shared" si="636"/>
        <v>15.154944679073207</v>
      </c>
      <c r="KY70" s="149">
        <f t="shared" si="637"/>
        <v>16.118700467273118</v>
      </c>
      <c r="KZ70" s="149">
        <f t="shared" si="638"/>
        <v>17.23739442227723</v>
      </c>
      <c r="LA70" s="81"/>
      <c r="LB70" s="122">
        <v>68</v>
      </c>
      <c r="LC70" s="149">
        <f t="shared" si="639"/>
        <v>7.3692917197794543</v>
      </c>
      <c r="LD70" s="149">
        <f t="shared" si="640"/>
        <v>11.045891311140473</v>
      </c>
      <c r="LE70" s="149">
        <f t="shared" si="641"/>
        <v>14.255982436651323</v>
      </c>
      <c r="LF70" s="149">
        <f t="shared" si="642"/>
        <v>18.009801616850027</v>
      </c>
      <c r="LG70" s="149">
        <f t="shared" ref="LG70:LG86" si="909">POWER((28.797128085-34.675255936*LOG(LB70)+7.672285014*LB70^0.5)-0.6755*(2.788835808+3.337133322*LOG(LB70)-0.636861667*LB70^0.5),1/0.795)-36.001</f>
        <v>24.391586033205847</v>
      </c>
      <c r="LH70" s="150">
        <f t="shared" ref="LH70:LH86" si="910">POWER((28.797128085-34.675255936*LOG(LB70)+7.672285014*LB70^0.5)-0*(2.788835808+3.337133322*LOG(LB70)-0.636861667*LB70^0.5),1/0.795)-36.001</f>
        <v>31.671034313585515</v>
      </c>
      <c r="LI70" s="149">
        <f t="shared" ref="LI70:LI86" si="911">POWER((28.797128085-34.675255936*LOG(LB70)+7.672285014*LB70^0.5)+0.6755*(2.788835808+3.337133322*LOG(LB70)-0.636861667*LB70^0.5),1/0.795)-36.001</f>
        <v>39.1148638329718</v>
      </c>
      <c r="LJ70" s="149">
        <f t="shared" si="643"/>
        <v>45.925183172449401</v>
      </c>
      <c r="LK70" s="149">
        <f t="shared" si="644"/>
        <v>50.064693720819953</v>
      </c>
      <c r="LL70" s="149">
        <f t="shared" si="645"/>
        <v>53.688531425738738</v>
      </c>
      <c r="LM70" s="149">
        <f t="shared" si="646"/>
        <v>57.940045332914586</v>
      </c>
      <c r="LN70" s="81"/>
      <c r="LO70" s="122">
        <v>68</v>
      </c>
      <c r="LP70" s="149">
        <f t="shared" si="647"/>
        <v>12.509766387971052</v>
      </c>
      <c r="LQ70" s="149">
        <f t="shared" si="648"/>
        <v>16.306811456679373</v>
      </c>
      <c r="LR70" s="149">
        <f t="shared" si="649"/>
        <v>19.629500927021265</v>
      </c>
      <c r="LS70" s="149">
        <f t="shared" si="650"/>
        <v>23.523191938791772</v>
      </c>
      <c r="LT70" s="149">
        <f t="shared" ref="LT70:LT86" si="912">POWER((24.915203177-32.956211783*LOG(LO70)+7.466978987*LO70^0.5)-0.6755*(2.872407826+2.073965202*LOG(LO70)-0.404771925*LO70^0.5),1/0.771)-31.001</f>
        <v>30.161501726572755</v>
      </c>
      <c r="LU70" s="150">
        <f t="shared" ref="LU70:LU86" si="913">POWER((24.915203177-32.956211783*LOG(LO70)+7.466978987*LO70^0.5)-0*(2.872407826+2.073965202*LOG(LO70)-0.404771925*LO70^0.5),1/0.771)-31.001</f>
        <v>37.759737435421485</v>
      </c>
      <c r="LV70" s="149">
        <f t="shared" ref="LV70:LV86" si="914">POWER((24.915203177-32.956211783*LOG(LO70)+7.466978987*LO70^0.5)+0.6755*(2.872407826+2.073965202*LOG(LO70)-0.404771925*LO70^0.5),1/0.771)-31.001</f>
        <v>45.555528447338546</v>
      </c>
      <c r="LW70" s="149">
        <f t="shared" si="651"/>
        <v>52.708738890315033</v>
      </c>
      <c r="LX70" s="149">
        <f t="shared" si="652"/>
        <v>57.065705416701888</v>
      </c>
      <c r="LY70" s="149">
        <f t="shared" si="653"/>
        <v>60.885212063016581</v>
      </c>
      <c r="LZ70" s="149">
        <f t="shared" si="654"/>
        <v>65.372326567633095</v>
      </c>
      <c r="MA70" s="81"/>
      <c r="MB70" s="122">
        <v>70</v>
      </c>
      <c r="MC70" s="149">
        <f t="shared" si="655"/>
        <v>9.1323081754265729</v>
      </c>
      <c r="MD70" s="149">
        <f t="shared" si="656"/>
        <v>11.953748201096907</v>
      </c>
      <c r="ME70" s="149">
        <f t="shared" si="657"/>
        <v>14.396831172219251</v>
      </c>
      <c r="MF70" s="149">
        <f t="shared" si="658"/>
        <v>17.231712313633437</v>
      </c>
      <c r="MG70" s="149">
        <f t="shared" ref="MG70:MG82" si="915">POWER((40.468060889-51.352291932*LOG(MB70)+11.03516964*MB70^0.5)-0.6755*(3.984757467+6.833305805*LOG(MB70)-1.479905038*MB70^0.5),1/0.877)-36.001</f>
        <v>22.002049844753749</v>
      </c>
      <c r="MH70" s="150">
        <f t="shared" ref="MH70:MH82" si="916">POWER((40.468060889-51.352291932*LOG(MB70)+11.03516964*MB70^0.5)-0*(3.984757467+6.833305805*LOG(MB70)-1.479905038*MB70^0.5),1/0.877)-36.001</f>
        <v>27.37639540272631</v>
      </c>
      <c r="MI70" s="149">
        <f t="shared" ref="MI70:MI82" si="917">POWER((40.468060889-51.352291932*LOG(MB70)+11.03516964*MB70^0.5)+0.6755*(3.984757467+6.833305805*LOG(MB70)-1.479905038*MB70^0.5),1/0.877)-36.001</f>
        <v>32.807444977649588</v>
      </c>
      <c r="MJ70" s="149">
        <f t="shared" si="659"/>
        <v>37.725573663486976</v>
      </c>
      <c r="MK70" s="149">
        <f t="shared" si="660"/>
        <v>40.693426700801034</v>
      </c>
      <c r="ML70" s="149">
        <f t="shared" si="661"/>
        <v>43.279105624302893</v>
      </c>
      <c r="MM70" s="149">
        <f t="shared" si="662"/>
        <v>46.29859940250045</v>
      </c>
      <c r="MN70" s="81"/>
      <c r="MO70" s="122">
        <v>68</v>
      </c>
      <c r="MP70" s="149">
        <f t="shared" si="663"/>
        <v>1.2340987009769719</v>
      </c>
      <c r="MQ70" s="149">
        <f t="shared" si="664"/>
        <v>5.2547335651979452</v>
      </c>
      <c r="MR70" s="149">
        <f t="shared" si="665"/>
        <v>8.7225720749255373</v>
      </c>
      <c r="MS70" s="149">
        <f t="shared" si="666"/>
        <v>12.731215818915892</v>
      </c>
      <c r="MT70" s="149">
        <f t="shared" ref="MT70:MT86" si="918">POWER((77.659264896-105.885619813*LOG(MO70)+20.90178855*MO70^0.5)-0.6755*(6.576928972+7.878443533*LOG(MO70)-1.403803582*MO70^0.5),1/0.968)-37.001</f>
        <v>19.441071322195619</v>
      </c>
      <c r="MU70" s="150">
        <f t="shared" ref="MU70:MU86" si="919">POWER((77.659264896-105.885619813*LOG(MO70)+20.90178855*MO70^0.5)-0*(6.576928972+7.878443533*LOG(MO70)-1.403803582*MO70^0.5),1/0.968)-37.001</f>
        <v>26.949957213922126</v>
      </c>
      <c r="MV70" s="149">
        <f t="shared" ref="MV70:MV86" si="920">POWER((77.659264896-105.885619813*LOG(MO70)+20.90178855*MO70^0.5)+0.6755*(6.576928972+7.878443533*LOG(MO70)-1.403803582*MO70^0.5),1/0.968)-37.001</f>
        <v>34.487225599027674</v>
      </c>
      <c r="MW70" s="149">
        <f t="shared" si="667"/>
        <v>41.271414380003982</v>
      </c>
      <c r="MX70" s="149">
        <f t="shared" si="668"/>
        <v>45.347395136710681</v>
      </c>
      <c r="MY70" s="149">
        <f t="shared" si="669"/>
        <v>48.887946193461879</v>
      </c>
      <c r="MZ70" s="149">
        <f t="shared" si="670"/>
        <v>53.010477333651359</v>
      </c>
      <c r="NA70" s="81"/>
      <c r="NB70" s="122">
        <v>68</v>
      </c>
      <c r="NC70" s="149">
        <f t="shared" si="671"/>
        <v>11.725000099523353</v>
      </c>
      <c r="ND70" s="149">
        <f t="shared" si="672"/>
        <v>15.087693624869427</v>
      </c>
      <c r="NE70" s="149">
        <f t="shared" si="673"/>
        <v>17.989098084956456</v>
      </c>
      <c r="NF70" s="149">
        <f t="shared" si="674"/>
        <v>21.344236082401377</v>
      </c>
      <c r="NG70" s="149">
        <f t="shared" ref="NG70:NG86" si="921">POWER((67.537332483-103.170173987*LOG(NB70)+20.93504946*NB70^0.5)-0.6755*(6.1706867+10.232980765*LOG(NB70)-2.119072457*NB70^0.5),1/0.956)-28.001</f>
        <v>26.963326754496034</v>
      </c>
      <c r="NH70" s="150">
        <f t="shared" ref="NH70:NH86" si="922">POWER((67.537332483-103.170173987*LOG(NB70)+20.93504946*NB70^0.5)-0*(6.1706867+10.232980765*LOG(NB70)-2.119072457*NB70^0.5),1/0.956)-28.001</f>
        <v>33.25618212362599</v>
      </c>
      <c r="NI70" s="149">
        <f t="shared" ref="NI70:NI86" si="923">POWER((67.537332483-103.170173987*LOG(NB70)+20.93504946*NB70^0.5)+0.6755*(6.1706867+10.232980765*LOG(NB70)-2.119072457*NB70^0.5),1/0.956)-28.001</f>
        <v>39.577658283077866</v>
      </c>
      <c r="NJ70" s="149">
        <f t="shared" si="675"/>
        <v>45.271553432112512</v>
      </c>
      <c r="NK70" s="149">
        <f t="shared" si="676"/>
        <v>48.694258817117003</v>
      </c>
      <c r="NL70" s="149">
        <f t="shared" si="677"/>
        <v>51.668407180362777</v>
      </c>
      <c r="NM70" s="149">
        <f t="shared" si="678"/>
        <v>55.132644955906727</v>
      </c>
      <c r="NN70" s="81"/>
      <c r="NO70" s="122">
        <v>70</v>
      </c>
      <c r="NP70" s="149">
        <f t="shared" si="679"/>
        <v>-1.0667464716811779</v>
      </c>
      <c r="NQ70" s="149">
        <f t="shared" si="680"/>
        <v>2.5264647574319241</v>
      </c>
      <c r="NR70" s="149">
        <f t="shared" si="681"/>
        <v>5.6181342353664334</v>
      </c>
      <c r="NS70" s="149">
        <f t="shared" si="682"/>
        <v>9.1840231407165973</v>
      </c>
      <c r="NT70" s="149">
        <f t="shared" ref="NT70:NT82" si="924">POWER((87.23276439-120.066112028*LOG(NO70)+22.93525021*NO70^0.5)-0.6755*(8.646422283+5.271086215*LOG(NO70)-1.050536633*NO70^0.5),1/0.995)-37.001</f>
        <v>15.135575236849832</v>
      </c>
      <c r="NU70" s="150">
        <f t="shared" ref="NU70:NU82" si="925">POWER((87.23276439-120.066112028*LOG(NO70)+22.93525021*NO70^0.5)-0*(8.646422283+5.271086215*LOG(NO70)-1.050536633*NO70^0.5),1/0.995)-37.001</f>
        <v>21.773118375025206</v>
      </c>
      <c r="NV70" s="149">
        <f t="shared" ref="NV70:NV82" si="926">POWER((87.23276439-120.066112028*LOG(NO70)+22.93525021*NO70^0.5)+0.6755*(8.646422283+5.271086215*LOG(NO70)-1.050536633*NO70^0.5),1/0.995)-37.001</f>
        <v>28.414419583335565</v>
      </c>
      <c r="NW70" s="149">
        <f t="shared" si="683"/>
        <v>34.37581521568584</v>
      </c>
      <c r="NX70" s="149">
        <f t="shared" si="684"/>
        <v>37.950622675192612</v>
      </c>
      <c r="NY70" s="149">
        <f t="shared" si="685"/>
        <v>41.051924239349852</v>
      </c>
      <c r="NZ70" s="149">
        <f t="shared" si="686"/>
        <v>44.658636115184656</v>
      </c>
      <c r="OA70" s="81"/>
      <c r="OB70" s="122">
        <v>68</v>
      </c>
      <c r="OC70" s="149">
        <v>14.95888589035278</v>
      </c>
      <c r="OD70" s="149">
        <v>16.260596673216401</v>
      </c>
      <c r="OE70" s="149">
        <v>17.470383905553621</v>
      </c>
      <c r="OF70" s="149">
        <v>18.977318723794713</v>
      </c>
      <c r="OG70" s="149">
        <v>21.785947662951628</v>
      </c>
      <c r="OH70" s="150">
        <v>25.408955834919038</v>
      </c>
      <c r="OI70" s="149">
        <v>29.634471109961176</v>
      </c>
      <c r="OJ70" s="149">
        <v>34.020350609981676</v>
      </c>
      <c r="OK70" s="149">
        <v>36.954828245968507</v>
      </c>
      <c r="OL70" s="149">
        <v>39.704264830840408</v>
      </c>
      <c r="OM70" s="149">
        <v>43.159299519574077</v>
      </c>
      <c r="ON70" s="81"/>
      <c r="OO70" s="122">
        <v>68</v>
      </c>
      <c r="OP70" s="149">
        <v>16.317625248691304</v>
      </c>
      <c r="OQ70" s="149">
        <v>17.352145334810444</v>
      </c>
      <c r="OR70" s="149">
        <v>18.294197650457477</v>
      </c>
      <c r="OS70" s="149">
        <v>19.443973545066225</v>
      </c>
      <c r="OT70" s="149">
        <v>25.226835788780981</v>
      </c>
      <c r="OU70" s="150">
        <v>24.108161318347804</v>
      </c>
      <c r="OV70" s="149">
        <v>27.001242778225809</v>
      </c>
      <c r="OW70" s="149">
        <v>29.891186634480771</v>
      </c>
      <c r="OX70" s="149">
        <v>31.769824140767799</v>
      </c>
      <c r="OY70" s="149">
        <v>33.494615849345102</v>
      </c>
      <c r="OZ70" s="149">
        <v>35.618138870917782</v>
      </c>
      <c r="PA70" s="81"/>
      <c r="PB70" s="122">
        <v>70</v>
      </c>
      <c r="PC70" s="149">
        <v>13.904550497575027</v>
      </c>
      <c r="PD70" s="149">
        <v>15.288119670806745</v>
      </c>
      <c r="PE70" s="149">
        <v>16.587686491553015</v>
      </c>
      <c r="PF70" s="149">
        <v>18.223693009388718</v>
      </c>
      <c r="PG70" s="149">
        <v>21.319762937584859</v>
      </c>
      <c r="PH70" s="150">
        <v>25.394359067019732</v>
      </c>
      <c r="PI70" s="149">
        <v>30.247684944370185</v>
      </c>
      <c r="PJ70" s="149">
        <v>35.386541690122463</v>
      </c>
      <c r="PK70" s="149">
        <v>38.876637363089642</v>
      </c>
      <c r="PL70" s="149">
        <v>42.18134645139768</v>
      </c>
      <c r="PM70" s="149">
        <v>46.378591852875346</v>
      </c>
      <c r="PN70" s="81"/>
      <c r="PO70" s="122">
        <v>68</v>
      </c>
      <c r="PP70" s="149">
        <v>10.629658301388892</v>
      </c>
      <c r="PQ70" s="149">
        <v>11.526929411305607</v>
      </c>
      <c r="PR70" s="149">
        <v>12.358980733727481</v>
      </c>
      <c r="PS70" s="149">
        <v>13.393094472174269</v>
      </c>
      <c r="PT70" s="149">
        <v>15.31430990989961</v>
      </c>
      <c r="PU70" s="150">
        <v>17.782180223425364</v>
      </c>
      <c r="PV70" s="149">
        <v>20.647742886147</v>
      </c>
      <c r="PW70" s="149">
        <v>23.609624658090411</v>
      </c>
      <c r="PX70" s="149">
        <v>25.585114202456726</v>
      </c>
      <c r="PY70" s="149">
        <v>27.431931108057743</v>
      </c>
      <c r="PZ70" s="149">
        <v>29.747516291945523</v>
      </c>
      <c r="QA70" s="81"/>
      <c r="QB70" s="122">
        <v>68</v>
      </c>
      <c r="QC70" s="149">
        <v>10.905394057637553</v>
      </c>
      <c r="QD70" s="149">
        <v>11.807937716693859</v>
      </c>
      <c r="QE70" s="149">
        <v>12.643695557529284</v>
      </c>
      <c r="QF70" s="149">
        <v>13.680949311609933</v>
      </c>
      <c r="QG70" s="149">
        <v>15.604084257385376</v>
      </c>
      <c r="QH70" s="150">
        <v>18.067830301327561</v>
      </c>
      <c r="QI70" s="149">
        <v>20.920579920802719</v>
      </c>
      <c r="QJ70" s="149">
        <v>23.86139180565058</v>
      </c>
      <c r="QK70" s="149">
        <v>25.818914281210478</v>
      </c>
      <c r="QL70" s="149">
        <v>27.646359561674004</v>
      </c>
      <c r="QM70" s="149">
        <v>29.934405861193504</v>
      </c>
      <c r="QN70" s="81"/>
      <c r="QO70" s="122">
        <v>70</v>
      </c>
      <c r="QP70" s="149">
        <v>9.2990608415708813</v>
      </c>
      <c r="QQ70" s="149">
        <v>10.216057598635345</v>
      </c>
      <c r="QR70" s="149">
        <v>11.07673039429295</v>
      </c>
      <c r="QS70" s="149">
        <v>12.159402914883088</v>
      </c>
      <c r="QT70" s="149">
        <v>14.206088691018097</v>
      </c>
      <c r="QU70" s="150">
        <v>16.895801966781221</v>
      </c>
      <c r="QV70" s="149">
        <v>20.094772763257311</v>
      </c>
      <c r="QW70" s="149">
        <v>23.477149832026345</v>
      </c>
      <c r="QX70" s="149">
        <v>25.771876170947479</v>
      </c>
      <c r="QY70" s="149">
        <v>27.943080913993764</v>
      </c>
      <c r="QZ70" s="149">
        <v>30.698597306140897</v>
      </c>
      <c r="RA70" s="81"/>
      <c r="RB70" s="122">
        <v>68</v>
      </c>
      <c r="RC70" s="149">
        <f t="shared" si="687"/>
        <v>0.41757300787763085</v>
      </c>
      <c r="RD70" s="149">
        <f t="shared" si="688"/>
        <v>0.45560991820271274</v>
      </c>
      <c r="RE70" s="149">
        <f t="shared" si="689"/>
        <v>0.49154925660536392</v>
      </c>
      <c r="RF70" s="149">
        <f t="shared" si="690"/>
        <v>0.53711663116567743</v>
      </c>
      <c r="RG70" s="149">
        <f t="shared" ref="RG70:RG86" si="927">POWER((1.036025856+0.321880899*LOG(RB70)-0.070188389*RB70^0.5)+0.6755*(0.017885138+0.031961819*LOG(RB70)-0.004222301*RB70^0.5),1/-0.154)</f>
        <v>0.62443815102886113</v>
      </c>
      <c r="RH70" s="150">
        <f t="shared" ref="RH70:RH86" si="928">POWER((1.036025856+0.321880899*LOG(RB70)-0.070188389*RB70^0.5)+0*(0.017885138+0.031961819*LOG(RB70)-0.004222301*RB70^0.5),1/-0.154)</f>
        <v>0.74172216753916631</v>
      </c>
      <c r="RI70" s="149">
        <f t="shared" ref="RI70:RI86" si="929">POWER((1.036025856+0.321880899*LOG(RB70)-0.070188389*RB70^0.5)-0.6755*(0.017885138+0.031961819*LOG(RB70)-0.004222301*RB70^0.5),1/-0.154)</f>
        <v>0.88517390420802111</v>
      </c>
      <c r="RJ70" s="149">
        <f t="shared" si="691"/>
        <v>1.0417110890856107</v>
      </c>
      <c r="RK70" s="149">
        <f t="shared" si="692"/>
        <v>1.1508167846108313</v>
      </c>
      <c r="RL70" s="149">
        <f t="shared" si="693"/>
        <v>1.2562376337033472</v>
      </c>
      <c r="RM70" s="149">
        <f t="shared" si="694"/>
        <v>1.3931157771009872</v>
      </c>
      <c r="RN70" s="81"/>
      <c r="RO70" s="122">
        <v>68</v>
      </c>
      <c r="RP70" s="149">
        <f t="shared" si="695"/>
        <v>0.46011554928504594</v>
      </c>
      <c r="RQ70" s="149">
        <f t="shared" si="696"/>
        <v>0.5034272818582689</v>
      </c>
      <c r="RR70" s="149">
        <f t="shared" si="697"/>
        <v>0.54469597471446973</v>
      </c>
      <c r="RS70" s="149">
        <f t="shared" si="698"/>
        <v>0.59749982083944542</v>
      </c>
      <c r="RT70" s="149">
        <f t="shared" ref="RT70:RT86" si="930">POWER((1.049872003+0.485309559*LOG(RO70)-0.109297796*RO70^0.5)+0.6755*(0.036472468+0.013628555*LOG(RO70)+0.000040422*RO70^0.5),1/-0.215)</f>
        <v>0.70016920226811752</v>
      </c>
      <c r="RU70" s="150">
        <f t="shared" ref="RU70:RU86" si="931">POWER((1.049872003+0.485309559*LOG(RO70)-0.109297796*RO70^0.5)+0*(0.036472468+0.013628555*LOG(RO70)+0.000040422*RO70^0.5),1/-0.215)</f>
        <v>0.84106980821872335</v>
      </c>
      <c r="RV70" s="149">
        <f t="shared" ref="RV70:RV86" si="932">POWER((1.049872003+0.485309559*LOG(RO70)-0.109297796*RO70^0.5)-0.6755*(0.036472468+0.013628555*LOG(RO70)+0.000040422*RO70^0.5),1/-0.215)</f>
        <v>1.0179569347572295</v>
      </c>
      <c r="RW70" s="149">
        <f t="shared" si="699"/>
        <v>1.2165078095179462</v>
      </c>
      <c r="RX70" s="149">
        <f t="shared" si="700"/>
        <v>1.3582088175670708</v>
      </c>
      <c r="RY70" s="149">
        <f t="shared" si="701"/>
        <v>1.4976452587733795</v>
      </c>
      <c r="RZ70" s="149">
        <f t="shared" si="702"/>
        <v>1.6823081045981336</v>
      </c>
      <c r="SA70" s="81"/>
      <c r="SB70" s="122">
        <v>70</v>
      </c>
      <c r="SC70" s="149">
        <f t="shared" si="703"/>
        <v>0.42935501602528814</v>
      </c>
      <c r="SD70" s="149">
        <f t="shared" si="704"/>
        <v>0.46234585810482748</v>
      </c>
      <c r="SE70" s="149">
        <f t="shared" si="705"/>
        <v>0.49276839549947465</v>
      </c>
      <c r="SF70" s="149">
        <f t="shared" si="706"/>
        <v>0.53037112184731028</v>
      </c>
      <c r="SG70" s="149">
        <f t="shared" ref="SG70:SG82" si="933">POWER((1.002674562+0.025284351*LOG(SB70)-0.005312801*SB70^0.5)+0.6755*(0.001148719+0.003738786*LOG(SB70)-0.000644551*SB70^0.5),1/-0.013)</f>
        <v>0.59968683528046673</v>
      </c>
      <c r="SH70" s="150">
        <f t="shared" ref="SH70:SH82" si="934">POWER((1.002674562+0.025284351*LOG(SB70)-0.005312801*SB70^0.5)+0*(0.001148719+0.003738786*LOG(SB70)-0.000644551*SB70^0.5),1/-0.013)</f>
        <v>0.68783223034953078</v>
      </c>
      <c r="SI70" s="149">
        <f t="shared" ref="SI70:SI82" si="935">POWER((1.002674562+0.025284351*LOG(SB70)-0.005312801*SB70^0.5)-0.6755*(0.001148719+0.003738786*LOG(SB70)-0.000644551*SB70^0.5),1/-0.013)</f>
        <v>0.78912699078826187</v>
      </c>
      <c r="SJ70" s="149">
        <f t="shared" si="707"/>
        <v>0.89282847587659064</v>
      </c>
      <c r="SK70" s="149">
        <f t="shared" si="708"/>
        <v>0.96150798846396401</v>
      </c>
      <c r="SL70" s="149">
        <f t="shared" si="709"/>
        <v>1.0254006103365931</v>
      </c>
      <c r="SM70" s="149">
        <f t="shared" si="710"/>
        <v>1.1051216827602819</v>
      </c>
      <c r="SN70" s="81"/>
      <c r="SO70" s="122">
        <v>68</v>
      </c>
      <c r="SP70" s="149">
        <f t="shared" si="711"/>
        <v>0.29558012340571888</v>
      </c>
      <c r="SQ70" s="149">
        <f t="shared" si="712"/>
        <v>0.31374489518627235</v>
      </c>
      <c r="SR70" s="149">
        <f t="shared" si="713"/>
        <v>0.33002353266069434</v>
      </c>
      <c r="SS70" s="149">
        <f t="shared" si="714"/>
        <v>0.34956571226224886</v>
      </c>
      <c r="ST70" s="149">
        <f t="shared" ref="ST70:ST86" si="936">POWER((0.813888038-0.237514159*LOG(SO70)+0.051772614*SO70^0.5)-0.6755*(0.01328571+0.024229934*LOG(SO70)-0.00329877*SO70^0.5),1/0.253)</f>
        <v>0.38407302817956662</v>
      </c>
      <c r="SU70" s="150">
        <f t="shared" ref="SU70:SU86" si="937">POWER((0.813888038-0.237514159*LOG(SO70)+0.051772614*SO70^0.5)-0*(0.01328571+0.024229934*LOG(SO70)-0.00329877*SO70^0.5),1/0.253)</f>
        <v>0.42546603638675695</v>
      </c>
      <c r="SV70" s="149">
        <f t="shared" ref="SV70:SV86" si="938">POWER((0.813888038-0.237514159*LOG(SO70)+0.051772614*SO70^0.5)+0.6755*(0.01328571+0.024229934*LOG(SO70)-0.00329877*SO70^0.5),1/0.253)</f>
        <v>0.47010396308565505</v>
      </c>
      <c r="SW70" s="149">
        <f t="shared" si="715"/>
        <v>0.51304897002953831</v>
      </c>
      <c r="SX70" s="149">
        <f t="shared" si="716"/>
        <v>0.54015826582915105</v>
      </c>
      <c r="SY70" s="149">
        <f t="shared" si="717"/>
        <v>0.56452572571988158</v>
      </c>
      <c r="SZ70" s="149">
        <f t="shared" si="718"/>
        <v>0.59388025026973357</v>
      </c>
      <c r="TA70" s="81"/>
      <c r="TB70" s="122">
        <v>68</v>
      </c>
      <c r="TC70" s="149">
        <f t="shared" si="719"/>
        <v>0.3161346547040268</v>
      </c>
      <c r="TD70" s="149">
        <f t="shared" si="720"/>
        <v>0.33553474568734759</v>
      </c>
      <c r="TE70" s="149">
        <f t="shared" si="721"/>
        <v>0.35299676671917224</v>
      </c>
      <c r="TF70" s="149">
        <f t="shared" si="722"/>
        <v>0.37405423963994144</v>
      </c>
      <c r="TG70" s="149">
        <f t="shared" ref="TG70:TG86" si="939">POWER((0.868068478-0.184215521*LOG(TB70)+0.041481198*TB70^0.5)-0.6755*(0.013978394+0.00563513*LOG(TB70)-0.000125613*TB70^0.5),1/0.174)</f>
        <v>0.41148672818554938</v>
      </c>
      <c r="TH70" s="150">
        <f t="shared" ref="TH70:TH86" si="940">POWER((0.868068478-0.184215521*LOG(TB70)+0.041481198*TB70^0.5)-0*(0.013978394+0.00563513*LOG(TB70)-0.000125613*TB70^0.5),1/0.174)</f>
        <v>0.45680169008371785</v>
      </c>
      <c r="TI70" s="149">
        <f t="shared" ref="TI70:TI86" si="941">POWER((0.868068478-0.184215521*LOG(TB70)+0.041481198*TB70^0.5)+0.6755*(0.013978394+0.00563513*LOG(TB70)-0.000125613*TB70^0.5),1/0.174)</f>
        <v>0.50616195083328253</v>
      </c>
      <c r="TJ70" s="149">
        <f t="shared" si="723"/>
        <v>0.55412004227473011</v>
      </c>
      <c r="TK70" s="149">
        <f t="shared" si="724"/>
        <v>0.58462534217393991</v>
      </c>
      <c r="TL70" s="149">
        <f t="shared" si="725"/>
        <v>0.61219514686831566</v>
      </c>
      <c r="TM70" s="149">
        <f t="shared" si="726"/>
        <v>0.64559254646359077</v>
      </c>
      <c r="TN70" s="81"/>
      <c r="TO70" s="122">
        <v>70</v>
      </c>
      <c r="TP70" s="149">
        <f t="shared" si="727"/>
        <v>0.30143062046172719</v>
      </c>
      <c r="TQ70" s="149">
        <f t="shared" si="728"/>
        <v>0.3169043037922234</v>
      </c>
      <c r="TR70" s="149">
        <f t="shared" si="729"/>
        <v>0.33056231105348594</v>
      </c>
      <c r="TS70" s="149">
        <f t="shared" si="730"/>
        <v>0.34671297950926544</v>
      </c>
      <c r="TT70" s="149">
        <f t="shared" ref="TT70:TT82" si="942">POWER((0.705534664-0.344299489*LOG(TO70)+0.072311009*TO70^0.5)-0.6755*(0.015512097+0.052366074*LOG(TO70)-0.009130225*TO70^0.5),1/0.437)</f>
        <v>0.37462456985608444</v>
      </c>
      <c r="TU70" s="150">
        <f t="shared" ref="TU70:TU82" si="943">POWER((0.705534664-0.344299489*LOG(TO70)+0.072311009*TO70^0.5)-0*(0.015512097+0.052366074*LOG(TO70)-0.009130225*TO70^0.5),1/0.437)</f>
        <v>0.40717568855154318</v>
      </c>
      <c r="TV70" s="149">
        <f t="shared" ref="TV70:TV82" si="944">POWER((0.705534664-0.344299489*LOG(TO70)+0.072311009*TO70^0.5)+0.6755*(0.015512097+0.052366074*LOG(TO70)-0.009130225*TO70^0.5),1/0.437)</f>
        <v>0.44126148827490541</v>
      </c>
      <c r="TW70" s="149">
        <f t="shared" si="731"/>
        <v>0.4731619080438636</v>
      </c>
      <c r="TX70" s="149">
        <f t="shared" si="732"/>
        <v>0.49288768043034609</v>
      </c>
      <c r="TY70" s="149">
        <f t="shared" si="733"/>
        <v>0.51036500640005444</v>
      </c>
      <c r="TZ70" s="149">
        <f t="shared" si="734"/>
        <v>0.53111832623965904</v>
      </c>
      <c r="UA70" s="81"/>
      <c r="UB70" s="122">
        <v>68</v>
      </c>
      <c r="UC70" s="149">
        <f t="shared" si="735"/>
        <v>-8.0914235244335586</v>
      </c>
      <c r="UD70" s="149">
        <f t="shared" si="736"/>
        <v>-5.1962004002590092</v>
      </c>
      <c r="UE70" s="149">
        <f t="shared" si="737"/>
        <v>-2.7532909554646423</v>
      </c>
      <c r="UF70" s="149">
        <f t="shared" si="738"/>
        <v>1.34332070171439E-2</v>
      </c>
      <c r="UG70" s="149">
        <f t="shared" ref="UG70:UG86" si="945">POWER((393.280932419-388.023615051*LOG(UB70)+92.619116582*UB70^0.5)-0.6755*(-2.592294254+102.927221003*LOG(UB70)-15.104818027*UB70^0.5),1/1.42)-64.001</f>
        <v>4.520806616076527</v>
      </c>
      <c r="UH70" s="150">
        <f t="shared" ref="UH70:UH86" si="946">POWER((393.280932419-388.023615051*LOG(UB70)+92.619116582*UB70^0.5)-0*(-2.592294254+102.927221003*LOG(UB70)-15.104818027*UB70^0.5),1/1.42)-64.001</f>
        <v>9.4023270226099527</v>
      </c>
      <c r="UI70" s="149">
        <f t="shared" ref="UI70:UI86" si="947">POWER((393.280932419-388.023615051*LOG(UB70)+92.619116582*UB70^0.5)+0.6755*(-2.592294254+102.927221003*LOG(UB70)-15.104818027*UB70^0.5),1/1.42)-64.001</f>
        <v>14.151046417261313</v>
      </c>
      <c r="UJ70" s="149">
        <f t="shared" si="739"/>
        <v>18.310511138052362</v>
      </c>
      <c r="UK70" s="149">
        <f t="shared" si="740"/>
        <v>20.761961731931592</v>
      </c>
      <c r="UL70" s="149">
        <f t="shared" si="741"/>
        <v>22.864342093000417</v>
      </c>
      <c r="UM70" s="149">
        <f t="shared" si="742"/>
        <v>25.282275543828433</v>
      </c>
      <c r="UN70" s="81"/>
      <c r="UO70" s="122">
        <v>68</v>
      </c>
      <c r="UP70" s="149">
        <f t="shared" si="743"/>
        <v>-3.9866322059125068</v>
      </c>
      <c r="UQ70" s="149">
        <f t="shared" si="744"/>
        <v>-1.455447077178178</v>
      </c>
      <c r="UR70" s="149">
        <f t="shared" si="745"/>
        <v>0.71834953816852476</v>
      </c>
      <c r="US70" s="149">
        <f t="shared" si="746"/>
        <v>3.2212346631898043</v>
      </c>
      <c r="UT70" s="149">
        <f t="shared" ref="UT70:UT86" si="948">POWER((40.011256922-52.660905785*LOG(UO70)+12.876141776*UO70^0.5)-0.6755*(0.561474595+13.203470309*LOG(UO70)-2.086768211*UO70^0.5),1/1.02)-34.001</f>
        <v>7.389113404541753</v>
      </c>
      <c r="UU70" s="150">
        <f t="shared" ref="UU70:UU86" si="949">POWER((40.011256922-52.660905785*LOG(UO70)+12.876141776*UO70^0.5)-0*(0.561474595+13.203470309*LOG(UO70)-2.086768211*UO70^0.5),1/1.02)-34.001</f>
        <v>12.024741142091372</v>
      </c>
      <c r="UV70" s="149">
        <f t="shared" ref="UV70:UV86" si="950">POWER((40.011256922-52.660905785*LOG(UO70)+12.876141776*UO70^0.5)+0.6755*(0.561474595+13.203470309*LOG(UO70)-2.086768211*UO70^0.5),1/1.02)-34.001</f>
        <v>16.651033580275048</v>
      </c>
      <c r="UW70" s="149">
        <f t="shared" si="747"/>
        <v>20.794486071543012</v>
      </c>
      <c r="UX70" s="149">
        <f t="shared" si="748"/>
        <v>23.275273605165495</v>
      </c>
      <c r="UY70" s="149">
        <f t="shared" si="749"/>
        <v>25.425241989648548</v>
      </c>
      <c r="UZ70" s="149">
        <f t="shared" si="750"/>
        <v>27.92309737890875</v>
      </c>
      <c r="VA70" s="81"/>
      <c r="VB70" s="122">
        <v>71</v>
      </c>
      <c r="VC70" s="149">
        <f t="shared" si="751"/>
        <v>-7.9489982121237261</v>
      </c>
      <c r="VD70" s="149">
        <f t="shared" si="752"/>
        <v>-5.2662063815733475</v>
      </c>
      <c r="VE70" s="149">
        <f t="shared" si="753"/>
        <v>-3.020134544148938</v>
      </c>
      <c r="VF70" s="149">
        <f t="shared" si="754"/>
        <v>-0.49452199396819907</v>
      </c>
      <c r="VG70" s="149">
        <f t="shared" ref="VG70:VG81" si="951">POWER((976.440515069-1061.792000139*LOG(VB70)+249.187708508*VB70^0.5)-0.6755*(-14.996736867+318.908323561*LOG(VB70)-49.251736285*VB70^0.5),1/1.64)-64.001</f>
        <v>3.5816780200220251</v>
      </c>
      <c r="VH70" s="150">
        <f t="shared" ref="VH70:VH81" si="952">POWER((976.440515069-1061.792000139*LOG(VB70)+249.187708508*VB70^0.5)-0*(-14.996736867+318.908323561*LOG(VB70)-49.251736285*VB70^0.5),1/1.64)-64.001</f>
        <v>7.9470885711270682</v>
      </c>
      <c r="VI70" s="149">
        <f t="shared" ref="VI70:VI81" si="953">POWER((976.440515069-1061.792000139*LOG(VB70)+249.187708508*VB70^0.5)+0.6755*(-14.996736867+318.908323561*LOG(VB70)-49.251736285*VB70^0.5),1/1.64)-64.001</f>
        <v>12.149118196081531</v>
      </c>
      <c r="VJ70" s="149">
        <f t="shared" si="755"/>
        <v>15.796529695267552</v>
      </c>
      <c r="VK70" s="149">
        <f t="shared" si="756"/>
        <v>17.932597265793945</v>
      </c>
      <c r="VL70" s="149">
        <f t="shared" si="757"/>
        <v>19.756847263454361</v>
      </c>
      <c r="VM70" s="149">
        <f t="shared" si="758"/>
        <v>21.846479979977573</v>
      </c>
      <c r="VN70" s="81"/>
      <c r="VO70" s="122">
        <v>68</v>
      </c>
      <c r="VP70" s="149">
        <f t="shared" si="759"/>
        <v>-13.796450156734942</v>
      </c>
      <c r="VQ70" s="149">
        <f t="shared" si="760"/>
        <v>-8.9292596123353363</v>
      </c>
      <c r="VR70" s="149">
        <f t="shared" si="761"/>
        <v>-4.564384221125934</v>
      </c>
      <c r="VS70" s="149">
        <f t="shared" si="762"/>
        <v>0.66982433922145646</v>
      </c>
      <c r="VT70" s="149">
        <f t="shared" ref="VT70:VT86" si="954">POWER((9.722274426-9.910874656*LOG(VO70)+2.548855962*VO70^0.5)-0.6755*(0.511298926+3.210935833*LOG(VO70)-0.578840114*VO70^0.5),1/0.585)-55.001</f>
        <v>9.8730609836109906</v>
      </c>
      <c r="VU70" s="150">
        <f t="shared" ref="VU70:VU86" si="955">POWER((9.722274426-9.910874656*LOG(VO70)+2.548855962*VO70^0.5)-0*(0.511298926+3.210935833*LOG(VO70)-0.578840114*VO70^0.5),1/0.585)-55.001</f>
        <v>20.809928837330496</v>
      </c>
      <c r="VV70" s="149">
        <f t="shared" ref="VV70:VV86" si="956">POWER((9.722274426-9.910874656*LOG(VO70)+2.548855962*VO70^0.5)+0.6755*(0.511298926+3.210935833*LOG(VO70)-0.578840114*VO70^0.5),1/0.585)-55.001</f>
        <v>32.444558090804442</v>
      </c>
      <c r="VW70" s="149">
        <f t="shared" si="763"/>
        <v>43.463068981627934</v>
      </c>
      <c r="VX70" s="149">
        <f t="shared" si="764"/>
        <v>50.326384580518599</v>
      </c>
      <c r="VY70" s="149">
        <f t="shared" si="765"/>
        <v>56.433890574782829</v>
      </c>
      <c r="VZ70" s="149">
        <f t="shared" si="766"/>
        <v>63.713876916937231</v>
      </c>
      <c r="WA70" s="81"/>
      <c r="WB70" s="122">
        <v>68</v>
      </c>
      <c r="WC70" s="149">
        <f t="shared" si="767"/>
        <v>-6.474318910848055</v>
      </c>
      <c r="WD70" s="149">
        <f t="shared" si="768"/>
        <v>-1.6891738180460152</v>
      </c>
      <c r="WE70" s="149">
        <f t="shared" si="769"/>
        <v>2.5951224282127399</v>
      </c>
      <c r="WF70" s="149">
        <f t="shared" si="770"/>
        <v>7.7253378242282693</v>
      </c>
      <c r="WG70" s="149">
        <f t="shared" ref="WG70:WG86" si="957">POWER((9.30040261-10.980219851*LOG(WB70)+2.831460991*WB70^0.5)-0.6755*(0.614635641+3.423352285*LOG(WB70)-0.64630167*WB70^0.5),1/0.583)-49.001</f>
        <v>16.729714023732889</v>
      </c>
      <c r="WH70" s="150">
        <f t="shared" ref="WH70:WH86" si="958">POWER((9.30040261-10.980219851*LOG(WB70)+2.831460991*WB70^0.5)-0*(0.614635641+3.423352285*LOG(WB70)-0.64630167*WB70^0.5),1/0.583)-49.001</f>
        <v>27.409279615706716</v>
      </c>
      <c r="WI70" s="149">
        <f t="shared" ref="WI70:WI86" si="959">POWER((9.30040261-10.980219851*LOG(WB70)+2.831460991*WB70^0.5)+0.6755*(0.614635641+3.423352285*LOG(WB70)-0.64630167*WB70^0.5),1/0.583)-49.001</f>
        <v>38.750922392158309</v>
      </c>
      <c r="WJ70" s="149">
        <f t="shared" si="771"/>
        <v>49.477600148418453</v>
      </c>
      <c r="WK70" s="149">
        <f t="shared" si="772"/>
        <v>56.153312450107641</v>
      </c>
      <c r="WL70" s="149">
        <f t="shared" si="773"/>
        <v>62.090618419133357</v>
      </c>
      <c r="WM70" s="149">
        <f t="shared" si="774"/>
        <v>69.16415030654565</v>
      </c>
      <c r="WN70" s="81"/>
      <c r="WO70" s="122">
        <v>71</v>
      </c>
      <c r="WP70" s="149">
        <f t="shared" si="775"/>
        <v>-15.789306404810759</v>
      </c>
      <c r="WQ70" s="149">
        <f t="shared" si="776"/>
        <v>-11.102889958344051</v>
      </c>
      <c r="WR70" s="149">
        <f t="shared" si="777"/>
        <v>-6.9329003071983166</v>
      </c>
      <c r="WS70" s="149">
        <f t="shared" si="778"/>
        <v>-1.9703667476453006</v>
      </c>
      <c r="WT70" s="149">
        <f t="shared" ref="WT70:WT81" si="960">POWER((12.412739128-13.399209991*LOG(WO70)+3.506121515*WO70^0.5)-0.6755*(0.677349889+4.866554189*LOG(WO70)-0.859879165*WO70^0.5),1/0.665)-55.001</f>
        <v>6.6633417608465066</v>
      </c>
      <c r="WU70" s="150">
        <f t="shared" ref="WU70:WU81" si="961">POWER((12.412739128-13.399209991*LOG(WO70)+3.506121515*WO70^0.5)-0*(0.677349889+4.866554189*LOG(WO70)-0.859879165*WO70^0.5),1/0.665)-55.001</f>
        <v>16.787224800338144</v>
      </c>
      <c r="WV70" s="149">
        <f t="shared" ref="WV70:WV81" si="962">POWER((12.412739128-13.399209991*LOG(WO70)+3.506121515*WO70^0.5)+0.6755*(0.677349889+4.866554189*LOG(WO70)-0.859879165*WO70^0.5),1/0.665)-55.001</f>
        <v>27.414127429490755</v>
      </c>
      <c r="WW70" s="149">
        <f t="shared" si="779"/>
        <v>37.358074414392583</v>
      </c>
      <c r="WX70" s="149">
        <f t="shared" si="780"/>
        <v>43.498473210092904</v>
      </c>
      <c r="WY70" s="149">
        <f t="shared" si="781"/>
        <v>48.930546276307389</v>
      </c>
      <c r="WZ70" s="149">
        <f t="shared" si="782"/>
        <v>55.368147843543376</v>
      </c>
      <c r="XA70" s="81"/>
      <c r="XB70" s="122">
        <v>68</v>
      </c>
      <c r="XC70" s="149">
        <f t="shared" si="783"/>
        <v>-19.230146740228157</v>
      </c>
      <c r="XD70" s="149">
        <f t="shared" si="784"/>
        <v>-14.115206660016973</v>
      </c>
      <c r="XE70" s="149">
        <f t="shared" si="785"/>
        <v>-9.5935676068071842</v>
      </c>
      <c r="XF70" s="149">
        <f t="shared" si="786"/>
        <v>-4.2479435616319492</v>
      </c>
      <c r="XG70" s="149">
        <f t="shared" ref="XG70:XG86" si="963">POWER((26.793158755-35.742038196*LOG(XB70)+7.850198164*XB70^0.5)-0.6755*(0.43477349+8.667512998*LOG(XB70)-1.437705021*XB70^0.5),1/0.763)-56.001</f>
        <v>4.9649434842407913</v>
      </c>
      <c r="XH70" s="150">
        <f t="shared" ref="XH70:XH86" si="964">POWER((26.793158755-35.742038196*LOG(XB70)+7.850198164*XB70^0.5)-0*(0.43477349+8.667512998*LOG(XB70)-1.437705021*XB70^0.5),1/0.763)-56.001</f>
        <v>15.636749204201031</v>
      </c>
      <c r="XI70" s="149">
        <f t="shared" ref="XI70:XI86" si="965">POWER((26.793158755-35.742038196*LOG(XB70)+7.850198164*XB70^0.5)+0.6755*(0.43477349+8.667512998*LOG(XB70)-1.437705021*XB70^0.5),1/0.763)-56.001</f>
        <v>26.700169868008381</v>
      </c>
      <c r="XJ70" s="149">
        <f t="shared" si="787"/>
        <v>36.935855769528182</v>
      </c>
      <c r="XK70" s="149">
        <f t="shared" si="788"/>
        <v>43.204425331181348</v>
      </c>
      <c r="XL70" s="149">
        <f t="shared" si="789"/>
        <v>48.718795243300171</v>
      </c>
      <c r="XM70" s="149">
        <f t="shared" si="790"/>
        <v>55.217970450400735</v>
      </c>
      <c r="XN70" s="81"/>
      <c r="XO70" s="122">
        <v>68</v>
      </c>
      <c r="XP70" s="149">
        <f t="shared" si="791"/>
        <v>-6.6340325840641654</v>
      </c>
      <c r="XQ70" s="149">
        <f t="shared" si="792"/>
        <v>-2.217550075136657</v>
      </c>
      <c r="XR70" s="149">
        <f t="shared" si="793"/>
        <v>1.6504305571495408</v>
      </c>
      <c r="XS70" s="149">
        <f t="shared" si="794"/>
        <v>6.18615674916866</v>
      </c>
      <c r="XT70" s="149">
        <f t="shared" ref="XT70:XT86" si="966">POWER((28.801648634-41.785320688*LOG(XO70)+9.349000216*XO70^0.5)-0.6755*(0.989290395+10.389877577*LOG(XO70)-1.933748291*XO70^0.5),1/0.783)-52.001</f>
        <v>13.924711010266485</v>
      </c>
      <c r="XU70" s="150">
        <f t="shared" ref="XU70:XU86" si="967">POWER((28.801648634-41.785320688*LOG(XO70)+9.349000216*XO70^0.5)-0*(0.989290395+10.389877577*LOG(XO70)-1.933748291*XO70^0.5),1/0.783)-52.001</f>
        <v>22.788212672963489</v>
      </c>
      <c r="XV70" s="149">
        <f t="shared" ref="XV70:XV86" si="968">POWER((28.801648634-41.785320688*LOG(XO70)+9.349000216*XO70^0.5)+0.6755*(0.989290395+10.389877577*LOG(XO70)-1.933748291*XO70^0.5),1/0.783)-52.001</f>
        <v>31.886081365531091</v>
      </c>
      <c r="XW70" s="149">
        <f t="shared" si="795"/>
        <v>40.235872224170798</v>
      </c>
      <c r="XX70" s="149">
        <f t="shared" si="796"/>
        <v>45.322045159932351</v>
      </c>
      <c r="XY70" s="149">
        <f t="shared" si="797"/>
        <v>49.780860526721234</v>
      </c>
      <c r="XZ70" s="149">
        <f t="shared" si="798"/>
        <v>55.018949945032112</v>
      </c>
      <c r="YA70" s="81"/>
      <c r="YB70" s="122">
        <v>71</v>
      </c>
      <c r="YC70" s="149">
        <f t="shared" si="799"/>
        <v>-22.547891565504649</v>
      </c>
      <c r="YD70" s="149">
        <f t="shared" si="800"/>
        <v>-17.61324269036416</v>
      </c>
      <c r="YE70" s="149">
        <f t="shared" si="801"/>
        <v>-13.269256391437594</v>
      </c>
      <c r="YF70" s="149">
        <f t="shared" si="802"/>
        <v>-8.1543519508481168</v>
      </c>
      <c r="YG70" s="149">
        <f t="shared" ref="YG70:YG81" si="969">POWER((30.610323495-40.543468317*LOG(YB70)+8.823628947*YB70^0.5)-0.6755*(-0.168060802+11.404693559*LOG(YB70)-1.833111617*YB70^0.5),1/0.809)-56.001</f>
        <v>0.61250284862546067</v>
      </c>
      <c r="YH70" s="150">
        <f t="shared" ref="YH70:YH81" si="970">POWER((30.610323495-40.543468317*LOG(YB70)+8.823628947*YB70^0.5)-0*(-0.168060802+11.404693559*LOG(YB70)-1.833111617*YB70^0.5),1/0.809)-56.001</f>
        <v>10.698721810890966</v>
      </c>
      <c r="YI70" s="149">
        <f t="shared" ref="YI70:YI81" si="971">POWER((30.610323495-40.543468317*LOG(YB70)+8.823628947*YB70^0.5)+0.6755*(-0.168060802+11.404693559*LOG(YB70)-1.833111617*YB70^0.5),1/0.809)-56.001</f>
        <v>21.085815665236147</v>
      </c>
      <c r="YJ70" s="149">
        <f t="shared" si="803"/>
        <v>30.639735972752099</v>
      </c>
      <c r="YK70" s="149">
        <f t="shared" si="804"/>
        <v>36.466481025065896</v>
      </c>
      <c r="YL70" s="149">
        <f t="shared" si="805"/>
        <v>41.577918602758167</v>
      </c>
      <c r="YM70" s="149">
        <f t="shared" si="806"/>
        <v>47.58593723576886</v>
      </c>
      <c r="YN70" s="81"/>
      <c r="YO70" s="122">
        <v>68</v>
      </c>
      <c r="YP70" s="149">
        <v>18.817745978471773</v>
      </c>
      <c r="YQ70" s="149">
        <v>20.656209009218681</v>
      </c>
      <c r="YR70" s="149">
        <v>22.380418220344101</v>
      </c>
      <c r="YS70" s="149">
        <v>24.547692525724699</v>
      </c>
      <c r="YT70" s="149">
        <v>28.640159164822002</v>
      </c>
      <c r="YU70" s="150">
        <v>34.010555539012628</v>
      </c>
      <c r="YV70" s="149">
        <v>40.387969962577259</v>
      </c>
      <c r="YW70" s="149">
        <v>47.121247215398476</v>
      </c>
      <c r="YX70" s="149">
        <v>51.684373217869108</v>
      </c>
      <c r="YY70" s="149">
        <v>55.998556538425305</v>
      </c>
      <c r="YZ70" s="149">
        <v>61.469524001205684</v>
      </c>
      <c r="ZA70" s="81"/>
      <c r="ZB70" s="122">
        <v>68</v>
      </c>
      <c r="ZC70" s="149">
        <v>18.430004037424631</v>
      </c>
      <c r="ZD70" s="149">
        <v>20.027951691992087</v>
      </c>
      <c r="ZE70" s="149">
        <v>21.512656013188195</v>
      </c>
      <c r="ZF70" s="149">
        <v>23.3615348962566</v>
      </c>
      <c r="ZG70" s="149">
        <v>26.806144296566291</v>
      </c>
      <c r="ZH70" s="150">
        <v>31.247277198159541</v>
      </c>
      <c r="ZI70" s="149">
        <v>36.424198926053371</v>
      </c>
      <c r="ZJ70" s="149">
        <v>41.794870783729046</v>
      </c>
      <c r="ZK70" s="149">
        <v>45.386879783698049</v>
      </c>
      <c r="ZL70" s="149">
        <v>48.751482294069</v>
      </c>
      <c r="ZM70" s="149">
        <v>52.978411199255518</v>
      </c>
      <c r="ZN70" s="81"/>
      <c r="ZO70" s="122">
        <v>71</v>
      </c>
      <c r="ZP70" s="149">
        <v>19.511673064625427</v>
      </c>
      <c r="ZQ70" s="149">
        <v>21.459459491091344</v>
      </c>
      <c r="ZR70" s="149">
        <v>23.289484659051841</v>
      </c>
      <c r="ZS70" s="149">
        <v>25.593903616503695</v>
      </c>
      <c r="ZT70" s="149">
        <v>29.956621551849363</v>
      </c>
      <c r="ZU70" s="150">
        <v>35.701144676804638</v>
      </c>
      <c r="ZV70" s="149">
        <v>42.547245490553372</v>
      </c>
      <c r="ZW70" s="149">
        <v>49.799817578911842</v>
      </c>
      <c r="ZX70" s="149">
        <v>54.727347981001955</v>
      </c>
      <c r="ZY70" s="149">
        <v>59.394400486333801</v>
      </c>
      <c r="ZZ70" s="149">
        <v>65.323548985910875</v>
      </c>
      <c r="AAA70" s="81"/>
      <c r="AAB70" s="122">
        <v>68</v>
      </c>
      <c r="AAC70" s="149">
        <v>11.270013654436783</v>
      </c>
      <c r="AAD70" s="149">
        <v>12.42300608225969</v>
      </c>
      <c r="AAE70" s="149">
        <v>13.508555740397018</v>
      </c>
      <c r="AAF70" s="149">
        <v>14.878369180919867</v>
      </c>
      <c r="AAG70" s="149">
        <v>17.479514476377663</v>
      </c>
      <c r="AAH70" s="150">
        <v>20.918078193489531</v>
      </c>
      <c r="AAI70" s="149">
        <v>25.033074911793573</v>
      </c>
      <c r="AAJ70" s="149">
        <v>29.409540117480109</v>
      </c>
      <c r="AAK70" s="149">
        <v>32.391767389345077</v>
      </c>
      <c r="AAL70" s="149">
        <v>35.222231431875066</v>
      </c>
      <c r="AAM70" s="149">
        <v>38.825684575517919</v>
      </c>
      <c r="AAN70" s="81"/>
      <c r="AAO70" s="122">
        <v>68</v>
      </c>
      <c r="AAP70" s="149">
        <v>11.60865979827785</v>
      </c>
      <c r="AAQ70" s="149">
        <v>12.814116126958867</v>
      </c>
      <c r="AAR70" s="149">
        <v>13.950527222854626</v>
      </c>
      <c r="AAS70" s="149">
        <v>15.386373296469943</v>
      </c>
      <c r="AAT70" s="149">
        <v>18.117986211578849</v>
      </c>
      <c r="AAU70" s="150">
        <v>21.737846372874731</v>
      </c>
      <c r="AAV70" s="149">
        <v>26.080931921049579</v>
      </c>
      <c r="AAW70" s="149">
        <v>30.711198527798309</v>
      </c>
      <c r="AAX70" s="149">
        <v>33.872122349366713</v>
      </c>
      <c r="AAY70" s="149">
        <v>36.876048277459141</v>
      </c>
      <c r="AAZ70" s="149">
        <v>40.705298728868229</v>
      </c>
      <c r="ABA70" s="81"/>
      <c r="ABB70" s="122">
        <v>71</v>
      </c>
      <c r="ABC70" s="149">
        <v>10.22430637591215</v>
      </c>
      <c r="ABD70" s="149">
        <v>11.359247186533892</v>
      </c>
      <c r="ABE70" s="149">
        <v>12.435622038646843</v>
      </c>
      <c r="ABF70" s="149">
        <v>13.803799788556168</v>
      </c>
      <c r="ABG70" s="149">
        <v>16.429298034070694</v>
      </c>
      <c r="ABH70" s="150">
        <v>19.948248215053091</v>
      </c>
      <c r="ABI70" s="149">
        <v>24.220913518285798</v>
      </c>
      <c r="ABJ70" s="149">
        <v>28.827758511773631</v>
      </c>
      <c r="ABK70" s="149">
        <v>31.999413106372387</v>
      </c>
      <c r="ABL70" s="149">
        <v>35.031600273749511</v>
      </c>
      <c r="ABM70" s="149">
        <v>38.920254559944937</v>
      </c>
      <c r="ABN70" s="81"/>
      <c r="ABO70" s="122">
        <v>68</v>
      </c>
      <c r="ABP70" s="149">
        <f t="shared" si="807"/>
        <v>0.32683781487946223</v>
      </c>
      <c r="ABQ70" s="149">
        <f t="shared" si="808"/>
        <v>0.36687410002864052</v>
      </c>
      <c r="ABR70" s="149">
        <f t="shared" si="809"/>
        <v>0.404069662103616</v>
      </c>
      <c r="ABS70" s="149">
        <f t="shared" si="810"/>
        <v>0.45028285149373776</v>
      </c>
      <c r="ABT70" s="149">
        <f t="shared" ref="ABT70:ABT86" si="972">POWER((0.795277361-0.258772706*LOG(ABO70)+0.068717406*ABO70^0.5)-0.6755*(0.044677223+0.01641939*LOG(ABO70)-0.001290493*ABO70^0.5),1/0.271)</f>
        <v>0.53578601254827818</v>
      </c>
      <c r="ABU70" s="150">
        <f t="shared" ref="ABU70:ABU86" si="973">POWER((0.795277361-0.258772706*LOG(ABO70)+0.068717406*ABO70^0.5)-0*(0.044677223+0.01641939*LOG(ABO70)-0.001290493*ABO70^0.5),1/0.271)</f>
        <v>0.64440482541229338</v>
      </c>
      <c r="ABV70" s="149">
        <f t="shared" ref="ABV70:ABV86" si="974">POWER((0.795277361-0.258772706*LOG(ABO70)+0.068717406*ABO70^0.5)+0.6755*(0.044677223+0.01641939*LOG(ABO70)-0.001290493*ABO70^0.5),1/0.271)</f>
        <v>0.76825641558527569</v>
      </c>
      <c r="ABW70" s="149">
        <f t="shared" si="811"/>
        <v>0.89338757530258017</v>
      </c>
      <c r="ABX70" s="149">
        <f t="shared" si="812"/>
        <v>0.97516282676080657</v>
      </c>
      <c r="ABY70" s="149">
        <f t="shared" si="813"/>
        <v>1.0503960074493737</v>
      </c>
      <c r="ABZ70" s="149">
        <f t="shared" si="814"/>
        <v>1.1430924535029487</v>
      </c>
      <c r="ACA70" s="81"/>
      <c r="ACB70" s="122">
        <v>68</v>
      </c>
      <c r="ACC70" s="149">
        <f t="shared" si="815"/>
        <v>0.41233554547306994</v>
      </c>
      <c r="ACD70" s="149">
        <f t="shared" si="816"/>
        <v>0.45194062107011529</v>
      </c>
      <c r="ACE70" s="149">
        <f t="shared" si="817"/>
        <v>0.48857430475284391</v>
      </c>
      <c r="ACF70" s="149">
        <f t="shared" si="818"/>
        <v>0.5339499020384787</v>
      </c>
      <c r="ACG70" s="149">
        <f t="shared" ref="ACG70:ACG86" si="975">POWER((0.896736818-0.180537368*LOG(ACB70)+0.047247095*ACB70^0.5)-0.6755*(0.021397984+0.028348619*LOG(ACB70)-0.005092552*ACB70^0.5),1/0.141)</f>
        <v>0.61771209706391128</v>
      </c>
      <c r="ACH70" s="150">
        <f t="shared" ref="ACH70:ACH86" si="976">POWER((0.896736818-0.180537368*LOG(ACB70)+0.047247095*ACB70^0.5)-0*(0.021397984+0.028348619*LOG(ACB70)-0.005092552*ACB70^0.5),1/0.141)</f>
        <v>0.72414310535711257</v>
      </c>
      <c r="ACI70" s="149">
        <f t="shared" ref="ACI70:ACI86" si="977">POWER((0.896736818-0.180537368*LOG(ACB70)+0.047247095*ACB70^0.5)+0.6755*(0.021397984+0.028348619*LOG(ACB70)-0.005092552*ACB70^0.5),1/0.141)</f>
        <v>0.84595860745015428</v>
      </c>
      <c r="ACJ70" s="149">
        <f t="shared" si="819"/>
        <v>0.96983294067226078</v>
      </c>
      <c r="ACK70" s="149">
        <f t="shared" si="820"/>
        <v>1.0513148688865499</v>
      </c>
      <c r="ACL70" s="149">
        <f t="shared" si="821"/>
        <v>1.1266830106647725</v>
      </c>
      <c r="ACM70" s="149">
        <f t="shared" si="822"/>
        <v>1.2201080916459492</v>
      </c>
      <c r="ACN70" s="81"/>
      <c r="ACO70" s="122">
        <v>71</v>
      </c>
      <c r="ACP70" s="149">
        <f t="shared" si="823"/>
        <v>0.29908885996366558</v>
      </c>
      <c r="ACQ70" s="149">
        <f t="shared" si="824"/>
        <v>0.33866034483880036</v>
      </c>
      <c r="ACR70" s="149">
        <f t="shared" si="825"/>
        <v>0.37472633178287479</v>
      </c>
      <c r="ACS70" s="149">
        <f t="shared" si="826"/>
        <v>0.41864911811603883</v>
      </c>
      <c r="ACT70" s="149">
        <f t="shared" ref="ACT70:ACT81" si="978">POWER((0.634309641-0.284809327*LOG(ACO70)+0.07950734*ACO70^0.5)-0.675*(0.066594553+0.01428763*LOG(ACO70)+0.000152332*ACO70^0.5),1/0.484)</f>
        <v>0.49759112579059256</v>
      </c>
      <c r="ACU70" s="150">
        <f t="shared" ref="ACU70:ACU81" si="979">POWER((0.634309641-0.284809327*LOG(ACO70)+0.07950734*ACO70^0.5)-0*(0.066594553+0.01428763*LOG(ACO70)+0.000152332*ACO70^0.5),1/0.484)</f>
        <v>0.59373285949634358</v>
      </c>
      <c r="ACV70" s="149">
        <f t="shared" ref="ACV70:ACV81" si="980">POWER((0.634309641-0.284809327*LOG(ACO70)+0.07950734*ACO70^0.5)+0.675*(0.066594553+0.01428763*LOG(ACO70)+0.000152332*ACO70^0.5),1/0.484)</f>
        <v>0.6986565174829954</v>
      </c>
      <c r="ACW70" s="149">
        <f t="shared" si="827"/>
        <v>0.80046963088677514</v>
      </c>
      <c r="ACX70" s="149">
        <f t="shared" si="828"/>
        <v>0.86487831337582921</v>
      </c>
      <c r="ACY70" s="149">
        <f t="shared" si="829"/>
        <v>0.92282816244632337</v>
      </c>
      <c r="ACZ70" s="149">
        <f t="shared" si="830"/>
        <v>0.99264832768172984</v>
      </c>
      <c r="ADA70" s="81"/>
      <c r="ADB70" s="122">
        <v>68</v>
      </c>
      <c r="ADC70" s="149">
        <f t="shared" si="831"/>
        <v>0.24902369933345989</v>
      </c>
      <c r="ADD70" s="149">
        <f t="shared" si="832"/>
        <v>0.27039590335237662</v>
      </c>
      <c r="ADE70" s="149">
        <f t="shared" si="833"/>
        <v>0.28908752656821268</v>
      </c>
      <c r="ADF70" s="149">
        <f t="shared" si="834"/>
        <v>0.31097981707637351</v>
      </c>
      <c r="ADG70" s="149">
        <f t="shared" ref="ADG70:ADG86" si="981">POWER((0.39286799-0.249383226*LOG(ADB70)+0.066340191*ADB70^0.5)-0.6755*(0.0430367+0.019716206*LOG(ADB70)-0.002174746*ADB70^0.5),1/0.775)</f>
        <v>0.34827806163726982</v>
      </c>
      <c r="ADH70" s="150">
        <f t="shared" ref="ADH70:ADH86" si="982">POWER((0.39286799-0.249383226*LOG(ADB70)+0.066340191*ADB70^0.5)-0*(0.0430367+0.019716206*LOG(ADB70)-0.002174746*ADB70^0.5),1/0.775)</f>
        <v>0.39093473260812872</v>
      </c>
      <c r="ADI70" s="149">
        <f t="shared" ref="ADI70:ADI86" si="983">POWER((0.39286799-0.249383226*LOG(ADB70)+0.066340191*ADB70^0.5)+0.6755*(0.0430367+0.019716206*LOG(ADB70)-0.002174746*ADB70^0.5),1/0.775)</f>
        <v>0.43466656125310438</v>
      </c>
      <c r="ADJ70" s="149">
        <f t="shared" si="835"/>
        <v>0.47476703744911214</v>
      </c>
      <c r="ADK70" s="149">
        <f t="shared" si="836"/>
        <v>0.49918057657210185</v>
      </c>
      <c r="ADL70" s="149">
        <f t="shared" si="837"/>
        <v>0.52057596109140247</v>
      </c>
      <c r="ADM70" s="149">
        <f t="shared" si="838"/>
        <v>0.54570358322277146</v>
      </c>
      <c r="ADN70" s="81"/>
      <c r="ADO70" s="122">
        <v>68</v>
      </c>
      <c r="ADP70" s="149">
        <f t="shared" si="839"/>
        <v>0.29361797108380694</v>
      </c>
      <c r="ADQ70" s="149">
        <f t="shared" si="840"/>
        <v>0.31221686013291317</v>
      </c>
      <c r="ADR70" s="149">
        <f t="shared" si="841"/>
        <v>0.32856893191197395</v>
      </c>
      <c r="ADS70" s="149">
        <f t="shared" si="842"/>
        <v>0.34782550744063845</v>
      </c>
      <c r="ADT70" s="149">
        <f t="shared" ref="ADT70:ADT86" si="984">POWER((0.494777077-0.286339292*LOG(ADO70)+0.075102847*ADO70^0.5)-0.6755*(0.034277543+0.048480902*LOG(ADO70)-0.008952374*ADO70^0.5),1/0.608)</f>
        <v>0.38089730541012179</v>
      </c>
      <c r="ADU70" s="150">
        <f t="shared" ref="ADU70:ADU86" si="985">POWER((0.494777077-0.286339292*LOG(ADO70)+0.075102847*ADO70^0.5)-0*(0.034277543+0.048480902*LOG(ADO70)-0.008952374*ADO70^0.5),1/0.608)</f>
        <v>0.41913198495826098</v>
      </c>
      <c r="ADV70" s="149">
        <f t="shared" ref="ADV70:ADV86" si="986">POWER((0.494777077-0.286339292*LOG(ADO70)+0.075102847*ADO70^0.5)+0.6755*(0.034277543+0.048480902*LOG(ADO70)-0.008952374*ADO70^0.5),1/0.608)</f>
        <v>0.45878566302987861</v>
      </c>
      <c r="ADW70" s="149">
        <f t="shared" si="843"/>
        <v>0.4955476143234534</v>
      </c>
      <c r="ADX70" s="149">
        <f t="shared" si="844"/>
        <v>0.51811405972891011</v>
      </c>
      <c r="ADY70" s="149">
        <f t="shared" si="845"/>
        <v>0.53800468573988214</v>
      </c>
      <c r="ADZ70" s="149">
        <f t="shared" si="846"/>
        <v>0.56149952754276211</v>
      </c>
      <c r="AEA70" s="81"/>
      <c r="AEB70" s="122">
        <v>71</v>
      </c>
      <c r="AEC70" s="149">
        <f t="shared" si="847"/>
        <v>0.23348663481936902</v>
      </c>
      <c r="AED70" s="149">
        <f t="shared" si="848"/>
        <v>0.25545360019948649</v>
      </c>
      <c r="AEE70" s="149">
        <f t="shared" si="849"/>
        <v>0.27428581466675411</v>
      </c>
      <c r="AEF70" s="149">
        <f t="shared" si="850"/>
        <v>0.2959343379635454</v>
      </c>
      <c r="AEG70" s="149">
        <f t="shared" ref="AEG70:AEG81" si="987">POWER((0.266376663-0.179934033*LOG(AEB70)+0.050334408*AEB70^0.5)-0.6755*(0.042052117+0.012920455*LOG(AEB70)-0.000834771*AEB70^0.5),1/1.04)</f>
        <v>0.33190953159573189</v>
      </c>
      <c r="AEH70" s="150">
        <f t="shared" ref="AEH70:AEH81" si="988">POWER((0.266376663-0.179934033*LOG(AEB70)+0.050334408*AEB70^0.5)-0*(0.042052117+0.012920455*LOG(AEB70)-0.000834771*AEB70^0.5),1/1.04)</f>
        <v>0.3718245325274816</v>
      </c>
      <c r="AEI70" s="149">
        <f t="shared" ref="AEI70:AEI81" si="989">POWER((0.266376663-0.179934033*LOG(AEB70)+0.050334408*AEB70^0.5)+0.6755*(0.042052117+0.012920455*LOG(AEB70)-0.000834771*AEB70^0.5),1/1.04)</f>
        <v>0.41156852639669678</v>
      </c>
      <c r="AEJ70" s="149">
        <f t="shared" si="851"/>
        <v>0.44709563789269618</v>
      </c>
      <c r="AEK70" s="149">
        <f t="shared" si="852"/>
        <v>0.46833797978502911</v>
      </c>
      <c r="AEL70" s="149">
        <f t="shared" si="853"/>
        <v>0.48673129463323289</v>
      </c>
      <c r="AEM70" s="149">
        <f t="shared" si="854"/>
        <v>0.50808269126248617</v>
      </c>
      <c r="AEN70" s="81"/>
    </row>
    <row r="71" spans="1:820">
      <c r="A71" s="81"/>
      <c r="B71" s="81">
        <v>70</v>
      </c>
      <c r="C71" s="133">
        <f t="shared" si="495"/>
        <v>2.4950783363823592</v>
      </c>
      <c r="D71" s="133">
        <f t="shared" si="496"/>
        <v>3.0246999070305134</v>
      </c>
      <c r="E71" s="133">
        <f t="shared" si="497"/>
        <v>3.5894533665427142</v>
      </c>
      <c r="F71" s="133">
        <f t="shared" si="498"/>
        <v>4.4030727994137973</v>
      </c>
      <c r="G71" s="133">
        <f t="shared" si="855"/>
        <v>6.3040739482555157</v>
      </c>
      <c r="H71" s="134">
        <f t="shared" si="856"/>
        <v>9.6919683308894093</v>
      </c>
      <c r="I71" s="133">
        <f t="shared" si="857"/>
        <v>15.461987477167501</v>
      </c>
      <c r="J71" s="133">
        <f t="shared" si="499"/>
        <v>24.400657615294012</v>
      </c>
      <c r="K71" s="133">
        <f t="shared" si="500"/>
        <v>32.709502248213433</v>
      </c>
      <c r="L71" s="133">
        <f t="shared" si="501"/>
        <v>42.74740893793193</v>
      </c>
      <c r="M71" s="133">
        <f t="shared" si="502"/>
        <v>59.38466000661986</v>
      </c>
      <c r="N71" s="81"/>
      <c r="O71" s="75">
        <v>70</v>
      </c>
      <c r="P71" s="151">
        <f t="shared" si="503"/>
        <v>3.213855897390165</v>
      </c>
      <c r="Q71" s="151">
        <f t="shared" si="504"/>
        <v>3.7490367601551351</v>
      </c>
      <c r="R71" s="151">
        <f t="shared" si="505"/>
        <v>4.3149110485117808</v>
      </c>
      <c r="S71" s="151">
        <f t="shared" si="506"/>
        <v>5.12792295487818</v>
      </c>
      <c r="T71" s="151">
        <f t="shared" si="858"/>
        <v>7.0457213826753105</v>
      </c>
      <c r="U71" s="134">
        <f t="shared" si="859"/>
        <v>10.615111091405971</v>
      </c>
      <c r="V71" s="151">
        <f t="shared" si="860"/>
        <v>17.348276872781074</v>
      </c>
      <c r="W71" s="151">
        <f t="shared" si="507"/>
        <v>29.846826299012942</v>
      </c>
      <c r="X71" s="151">
        <f t="shared" si="508"/>
        <v>44.220746859519281</v>
      </c>
      <c r="Y71" s="151">
        <f t="shared" si="509"/>
        <v>65.972530017051483</v>
      </c>
      <c r="Z71" s="151">
        <f t="shared" si="510"/>
        <v>115.99354435160068</v>
      </c>
      <c r="AA71" s="81"/>
      <c r="AB71" s="75"/>
      <c r="AC71" s="137"/>
      <c r="AD71" s="137"/>
      <c r="AE71" s="137"/>
      <c r="AF71" s="137"/>
      <c r="AG71" s="137"/>
      <c r="AH71" s="84"/>
      <c r="AI71" s="137"/>
      <c r="AJ71" s="137"/>
      <c r="AK71" s="137"/>
      <c r="AL71" s="137"/>
      <c r="AM71" s="137"/>
      <c r="AN71" s="81"/>
      <c r="AO71" s="81">
        <v>70</v>
      </c>
      <c r="AP71" s="133">
        <f t="shared" si="519"/>
        <v>2.4959432142988947</v>
      </c>
      <c r="AQ71" s="133">
        <f t="shared" si="520"/>
        <v>5.5507862199839701</v>
      </c>
      <c r="AR71" s="133">
        <f t="shared" si="521"/>
        <v>8.5374943472966152</v>
      </c>
      <c r="AS71" s="133">
        <f t="shared" si="522"/>
        <v>12.398353075061419</v>
      </c>
      <c r="AT71" s="133">
        <f t="shared" si="864"/>
        <v>19.846655083045391</v>
      </c>
      <c r="AU71" s="134">
        <f t="shared" si="865"/>
        <v>29.655011125893811</v>
      </c>
      <c r="AV71" s="133">
        <f t="shared" si="866"/>
        <v>41.075598426725172</v>
      </c>
      <c r="AW71" s="133">
        <f t="shared" si="523"/>
        <v>52.712347846584422</v>
      </c>
      <c r="AX71" s="133">
        <f t="shared" si="524"/>
        <v>60.324776343227278</v>
      </c>
      <c r="AY71" s="133">
        <f t="shared" si="525"/>
        <v>67.316683338850169</v>
      </c>
      <c r="AZ71" s="133">
        <f t="shared" si="526"/>
        <v>75.903451775914036</v>
      </c>
      <c r="BA71" s="81"/>
      <c r="BB71" s="81">
        <v>70</v>
      </c>
      <c r="BC71" s="133">
        <f t="shared" si="527"/>
        <v>5.2855678704858233</v>
      </c>
      <c r="BD71" s="133">
        <f t="shared" si="528"/>
        <v>8.862735106237654</v>
      </c>
      <c r="BE71" s="133">
        <f t="shared" si="529"/>
        <v>12.235097860487791</v>
      </c>
      <c r="BF71" s="133">
        <f t="shared" si="530"/>
        <v>16.450321884445241</v>
      </c>
      <c r="BG71" s="133">
        <f t="shared" si="867"/>
        <v>24.231328856508394</v>
      </c>
      <c r="BH71" s="134">
        <f t="shared" si="868"/>
        <v>33.960266901669414</v>
      </c>
      <c r="BI71" s="133">
        <f t="shared" si="869"/>
        <v>44.753117670851076</v>
      </c>
      <c r="BJ71" s="133">
        <f t="shared" si="531"/>
        <v>55.306663081024425</v>
      </c>
      <c r="BK71" s="133">
        <f t="shared" si="532"/>
        <v>62.016113628927947</v>
      </c>
      <c r="BL71" s="133">
        <f t="shared" si="533"/>
        <v>68.063184116594925</v>
      </c>
      <c r="BM71" s="133">
        <f t="shared" si="534"/>
        <v>75.355828365395794</v>
      </c>
      <c r="BN71" s="81"/>
      <c r="BO71" s="75"/>
      <c r="BP71" s="137"/>
      <c r="BQ71" s="137"/>
      <c r="BR71" s="137"/>
      <c r="BS71" s="137"/>
      <c r="BT71" s="137"/>
      <c r="BU71" s="84"/>
      <c r="BV71" s="137"/>
      <c r="BW71" s="137"/>
      <c r="BX71" s="137"/>
      <c r="BY71" s="137"/>
      <c r="BZ71" s="137"/>
      <c r="CA71" s="81"/>
      <c r="CB71" s="81">
        <v>70</v>
      </c>
      <c r="CC71" s="133">
        <f t="shared" si="543"/>
        <v>-1.4599283688233955</v>
      </c>
      <c r="CD71" s="133">
        <f t="shared" si="544"/>
        <v>1.6427733265084035</v>
      </c>
      <c r="CE71" s="133">
        <f t="shared" si="545"/>
        <v>4.6076418975440108</v>
      </c>
      <c r="CF71" s="133">
        <f t="shared" si="546"/>
        <v>8.3221376471021422</v>
      </c>
      <c r="CG71" s="133">
        <f t="shared" si="873"/>
        <v>15.137001980441759</v>
      </c>
      <c r="CH71" s="134">
        <f t="shared" si="874"/>
        <v>23.528580708576623</v>
      </c>
      <c r="CI71" s="133">
        <f t="shared" si="875"/>
        <v>32.656443912058471</v>
      </c>
      <c r="CJ71" s="133">
        <f t="shared" si="547"/>
        <v>41.408842683613628</v>
      </c>
      <c r="CK71" s="133">
        <f t="shared" si="548"/>
        <v>46.891767543371515</v>
      </c>
      <c r="CL71" s="133">
        <f t="shared" si="549"/>
        <v>51.783251700952626</v>
      </c>
      <c r="CM71" s="133">
        <f t="shared" si="550"/>
        <v>57.623112502222831</v>
      </c>
      <c r="CN71" s="81"/>
      <c r="CO71" s="81">
        <v>70</v>
      </c>
      <c r="CP71" s="133">
        <f t="shared" si="551"/>
        <v>4.4489029037663448</v>
      </c>
      <c r="CQ71" s="133">
        <f t="shared" si="552"/>
        <v>7.4643556184169411</v>
      </c>
      <c r="CR71" s="133">
        <f t="shared" si="553"/>
        <v>10.235114895279153</v>
      </c>
      <c r="CS71" s="133">
        <f t="shared" si="554"/>
        <v>13.617108565338672</v>
      </c>
      <c r="CT71" s="133">
        <f t="shared" si="876"/>
        <v>19.669040574331365</v>
      </c>
      <c r="CU71" s="134">
        <f t="shared" si="877"/>
        <v>26.964761726224818</v>
      </c>
      <c r="CV71" s="133">
        <f t="shared" si="878"/>
        <v>34.787827804035395</v>
      </c>
      <c r="CW71" s="133">
        <f t="shared" si="555"/>
        <v>42.220148091323487</v>
      </c>
      <c r="CX71" s="133">
        <f t="shared" si="556"/>
        <v>46.851928110766494</v>
      </c>
      <c r="CY71" s="133">
        <f t="shared" si="557"/>
        <v>50.971856778506627</v>
      </c>
      <c r="CZ71" s="133">
        <f t="shared" si="558"/>
        <v>55.878099515983592</v>
      </c>
      <c r="DA71" s="81"/>
      <c r="DB71" s="81"/>
      <c r="DC71" s="83"/>
      <c r="DD71" s="83"/>
      <c r="DE71" s="83"/>
      <c r="DF71" s="83"/>
      <c r="DG71" s="83"/>
      <c r="DH71" s="84"/>
      <c r="DI71" s="83"/>
      <c r="DJ71" s="83"/>
      <c r="DK71" s="83"/>
      <c r="DL71" s="83"/>
      <c r="DM71" s="83"/>
      <c r="DN71" s="81"/>
      <c r="DO71" s="122">
        <v>70</v>
      </c>
      <c r="DP71" s="149">
        <v>14.185871743508249</v>
      </c>
      <c r="DQ71" s="149">
        <v>15.387478499672701</v>
      </c>
      <c r="DR71" s="149">
        <v>16.50202320347643</v>
      </c>
      <c r="DS71" s="149">
        <v>17.887579869648601</v>
      </c>
      <c r="DT71" s="149">
        <v>20.462645772214799</v>
      </c>
      <c r="DU71" s="150">
        <v>23.771974721564867</v>
      </c>
      <c r="DV71" s="149">
        <v>27.616506118189733</v>
      </c>
      <c r="DW71" s="149">
        <v>31.592131874786748</v>
      </c>
      <c r="DX71" s="149">
        <v>34.244696858968773</v>
      </c>
      <c r="DY71" s="149">
        <v>36.72510620728012</v>
      </c>
      <c r="DZ71" s="149">
        <v>39.835886886635905</v>
      </c>
      <c r="EA71" s="81"/>
      <c r="EB71" s="122">
        <v>70</v>
      </c>
      <c r="EC71" s="149">
        <v>13.388290280143123</v>
      </c>
      <c r="ED71" s="149">
        <v>14.694733421114364</v>
      </c>
      <c r="EE71" s="149">
        <v>15.919864308978084</v>
      </c>
      <c r="EF71" s="149">
        <v>17.459660854409407</v>
      </c>
      <c r="EG71" s="149">
        <v>20.36684512406072</v>
      </c>
      <c r="EH71" s="150">
        <v>24.181122917836287</v>
      </c>
      <c r="EI71" s="149">
        <v>28.70973398215369</v>
      </c>
      <c r="EJ71" s="149">
        <v>33.490152554700714</v>
      </c>
      <c r="EK71" s="149">
        <v>36.729377475770804</v>
      </c>
      <c r="EL71" s="149">
        <v>39.79158306657903</v>
      </c>
      <c r="EM71" s="149">
        <v>43.674486684438428</v>
      </c>
      <c r="EN71" s="81"/>
      <c r="EO71" s="122"/>
      <c r="EP71" s="126"/>
      <c r="EQ71" s="126"/>
      <c r="ER71" s="126"/>
      <c r="ES71" s="126"/>
      <c r="ET71" s="126"/>
      <c r="EU71" s="127"/>
      <c r="EV71" s="126"/>
      <c r="EW71" s="126"/>
      <c r="EX71" s="126"/>
      <c r="EY71" s="126"/>
      <c r="EZ71" s="126"/>
      <c r="FA71" s="81"/>
      <c r="FB71" s="122">
        <v>70</v>
      </c>
      <c r="FC71" s="149">
        <v>10.197771200760434</v>
      </c>
      <c r="FD71" s="149">
        <v>10.979070399839015</v>
      </c>
      <c r="FE71" s="149">
        <v>11.698741969248569</v>
      </c>
      <c r="FF71" s="149">
        <v>12.587218723839216</v>
      </c>
      <c r="FG71" s="149">
        <v>14.222048354518959</v>
      </c>
      <c r="FH71" s="150">
        <v>16.295644674002105</v>
      </c>
      <c r="FI71" s="149">
        <v>18.671574496296593</v>
      </c>
      <c r="FJ71" s="149">
        <v>21.096641058473526</v>
      </c>
      <c r="FK71" s="149">
        <v>22.698853948514742</v>
      </c>
      <c r="FL71" s="149">
        <v>24.186750396028685</v>
      </c>
      <c r="FM71" s="149">
        <v>26.039811063963807</v>
      </c>
      <c r="FN71" s="81"/>
      <c r="FO71" s="122">
        <v>70</v>
      </c>
      <c r="FP71" s="149">
        <v>10.133326833707198</v>
      </c>
      <c r="FQ71" s="149">
        <v>10.927914185978659</v>
      </c>
      <c r="FR71" s="149">
        <v>11.660960874262367</v>
      </c>
      <c r="FS71" s="149">
        <v>12.567351913965007</v>
      </c>
      <c r="FT71" s="149">
        <v>14.238861643851219</v>
      </c>
      <c r="FU71" s="150">
        <v>16.365195410821233</v>
      </c>
      <c r="FV71" s="149">
        <v>18.809061253152713</v>
      </c>
      <c r="FW71" s="149">
        <v>21.310744114419172</v>
      </c>
      <c r="FX71" s="149">
        <v>22.96720002083925</v>
      </c>
      <c r="FY71" s="149">
        <v>24.50784443183101</v>
      </c>
      <c r="FZ71" s="149">
        <v>26.429584797708973</v>
      </c>
      <c r="GA71" s="81"/>
      <c r="GB71" s="122"/>
      <c r="GC71" s="126"/>
      <c r="GD71" s="126"/>
      <c r="GE71" s="126"/>
      <c r="GF71" s="126"/>
      <c r="GG71" s="126"/>
      <c r="GH71" s="127"/>
      <c r="GI71" s="126"/>
      <c r="GJ71" s="126"/>
      <c r="GK71" s="126"/>
      <c r="GL71" s="126"/>
      <c r="GM71" s="126"/>
      <c r="GN71" s="81"/>
      <c r="GO71" s="122">
        <v>70</v>
      </c>
      <c r="GP71" s="149">
        <f t="shared" si="567"/>
        <v>0.52899067204589523</v>
      </c>
      <c r="GQ71" s="149">
        <f t="shared" si="568"/>
        <v>0.56020487930158047</v>
      </c>
      <c r="GR71" s="149">
        <f t="shared" si="569"/>
        <v>0.58564598230072962</v>
      </c>
      <c r="GS71" s="149">
        <f t="shared" si="570"/>
        <v>0.61359560867056662</v>
      </c>
      <c r="GT71" s="149">
        <f t="shared" si="882"/>
        <v>0.65867452835750584</v>
      </c>
      <c r="GU71" s="150">
        <f t="shared" si="883"/>
        <v>0.70290181229105397</v>
      </c>
      <c r="GV71" s="149">
        <f t="shared" si="884"/>
        <v>0.74435866802184858</v>
      </c>
      <c r="GW71" s="149">
        <f t="shared" si="571"/>
        <v>0.78153736789380157</v>
      </c>
      <c r="GX71" s="149">
        <f t="shared" si="572"/>
        <v>0.80234924542891628</v>
      </c>
      <c r="GY71" s="149">
        <f t="shared" si="573"/>
        <v>0.81994772974312458</v>
      </c>
      <c r="GZ71" s="149">
        <f t="shared" si="574"/>
        <v>0.83991919673402426</v>
      </c>
      <c r="HA71" s="81"/>
      <c r="HB71" s="122">
        <v>70</v>
      </c>
      <c r="HC71" s="149">
        <f t="shared" si="575"/>
        <v>0.52706129505510224</v>
      </c>
      <c r="HD71" s="149">
        <f t="shared" si="576"/>
        <v>0.55912494665201251</v>
      </c>
      <c r="HE71" s="149">
        <f t="shared" si="577"/>
        <v>0.58524482552887602</v>
      </c>
      <c r="HF71" s="149">
        <f t="shared" si="578"/>
        <v>0.61392937755854093</v>
      </c>
      <c r="HG71" s="149">
        <f t="shared" si="885"/>
        <v>0.65890357646413023</v>
      </c>
      <c r="HH71" s="150">
        <f t="shared" si="886"/>
        <v>0.70553609781145465</v>
      </c>
      <c r="HI71" s="149">
        <f t="shared" si="887"/>
        <v>0.74916336501251735</v>
      </c>
      <c r="HJ71" s="149">
        <f t="shared" si="579"/>
        <v>0.78616977738283622</v>
      </c>
      <c r="HK71" s="149">
        <f t="shared" si="580"/>
        <v>0.80750955286042547</v>
      </c>
      <c r="HL71" s="149">
        <f t="shared" si="581"/>
        <v>0.82555459983748181</v>
      </c>
      <c r="HM71" s="149">
        <f t="shared" si="582"/>
        <v>0.84603324633855981</v>
      </c>
      <c r="HN71" s="81"/>
      <c r="HO71" s="122"/>
      <c r="HP71" s="126"/>
      <c r="HQ71" s="126"/>
      <c r="HR71" s="126"/>
      <c r="HS71" s="126"/>
      <c r="HT71" s="126"/>
      <c r="HU71" s="127"/>
      <c r="HV71" s="126"/>
      <c r="HW71" s="126"/>
      <c r="HX71" s="126"/>
      <c r="HY71" s="126"/>
      <c r="HZ71" s="126"/>
      <c r="IA71" s="81"/>
      <c r="IB71" s="122">
        <v>70</v>
      </c>
      <c r="IC71" s="126">
        <f t="shared" si="591"/>
        <v>0.34690971704156109</v>
      </c>
      <c r="ID71" s="126">
        <f t="shared" si="592"/>
        <v>0.35944305241100499</v>
      </c>
      <c r="IE71" s="126">
        <f t="shared" si="593"/>
        <v>0.36937738036990558</v>
      </c>
      <c r="IF71" s="126">
        <f t="shared" si="594"/>
        <v>0.38002783549577163</v>
      </c>
      <c r="IG71" s="126">
        <f t="shared" si="891"/>
        <v>0.39623216196617245</v>
      </c>
      <c r="IH71" s="127">
        <f t="shared" si="892"/>
        <v>0.41246356380686927</v>
      </c>
      <c r="II71" s="126">
        <f t="shared" si="893"/>
        <v>0.42718044846330511</v>
      </c>
      <c r="IJ71" s="126">
        <f t="shared" si="595"/>
        <v>0.43934275874439005</v>
      </c>
      <c r="IK71" s="126">
        <f t="shared" si="596"/>
        <v>0.44623188438135847</v>
      </c>
      <c r="IL71" s="126">
        <f t="shared" si="597"/>
        <v>0.45199013625893769</v>
      </c>
      <c r="IM71" s="126">
        <f t="shared" si="598"/>
        <v>0.45845327351647397</v>
      </c>
      <c r="IN71" s="81"/>
      <c r="IO71" s="122">
        <v>70</v>
      </c>
      <c r="IP71" s="149">
        <f t="shared" si="599"/>
        <v>0.34570442914655286</v>
      </c>
      <c r="IQ71" s="149">
        <f t="shared" si="600"/>
        <v>0.35867234291605293</v>
      </c>
      <c r="IR71" s="149">
        <f t="shared" si="601"/>
        <v>0.36893409499916208</v>
      </c>
      <c r="IS71" s="149">
        <f t="shared" si="602"/>
        <v>0.37992145699240953</v>
      </c>
      <c r="IT71" s="149">
        <f t="shared" si="894"/>
        <v>0.39661507192640494</v>
      </c>
      <c r="IU71" s="150">
        <f t="shared" si="895"/>
        <v>0.41331383132324256</v>
      </c>
      <c r="IV71" s="149">
        <f t="shared" si="896"/>
        <v>0.4284389322914301</v>
      </c>
      <c r="IW71" s="149">
        <f t="shared" si="603"/>
        <v>0.44092963870136609</v>
      </c>
      <c r="IX71" s="149">
        <f t="shared" si="604"/>
        <v>0.44800175552433019</v>
      </c>
      <c r="IY71" s="149">
        <f t="shared" si="605"/>
        <v>0.45391148655307467</v>
      </c>
      <c r="IZ71" s="149">
        <f t="shared" si="606"/>
        <v>0.46054320104589802</v>
      </c>
      <c r="JA71" s="81"/>
      <c r="JB71" s="122"/>
      <c r="JC71" s="126"/>
      <c r="JD71" s="126"/>
      <c r="JE71" s="126"/>
      <c r="JF71" s="126"/>
      <c r="JG71" s="126"/>
      <c r="JH71" s="127"/>
      <c r="JI71" s="126"/>
      <c r="JJ71" s="126"/>
      <c r="JK71" s="126"/>
      <c r="JL71" s="126"/>
      <c r="JM71" s="126"/>
      <c r="JN71" s="81"/>
      <c r="JO71" s="122">
        <v>69</v>
      </c>
      <c r="JP71" s="149">
        <f t="shared" si="615"/>
        <v>2.2340781355786632</v>
      </c>
      <c r="JQ71" s="149">
        <f t="shared" si="616"/>
        <v>3.6548958237848694</v>
      </c>
      <c r="JR71" s="149">
        <f t="shared" si="617"/>
        <v>4.8885450464101652</v>
      </c>
      <c r="JS71" s="149">
        <f t="shared" si="618"/>
        <v>6.3237976361129924</v>
      </c>
      <c r="JT71" s="149">
        <f t="shared" si="900"/>
        <v>8.7476471386532779</v>
      </c>
      <c r="JU71" s="150">
        <f t="shared" si="901"/>
        <v>11.490758120303024</v>
      </c>
      <c r="JV71" s="149">
        <f t="shared" si="902"/>
        <v>14.275281263647347</v>
      </c>
      <c r="JW71" s="149">
        <f t="shared" si="619"/>
        <v>16.806999228310271</v>
      </c>
      <c r="JX71" s="149">
        <f t="shared" si="620"/>
        <v>18.339221033870505</v>
      </c>
      <c r="JY71" s="149">
        <f t="shared" si="621"/>
        <v>19.676769179209668</v>
      </c>
      <c r="JZ71" s="149">
        <f t="shared" si="622"/>
        <v>21.241739360207884</v>
      </c>
      <c r="KA71" s="81"/>
      <c r="KB71" s="122">
        <v>69</v>
      </c>
      <c r="KC71" s="149">
        <f t="shared" si="623"/>
        <v>3.6978641686939575</v>
      </c>
      <c r="KD71" s="149">
        <f t="shared" si="624"/>
        <v>5.1359615664522078</v>
      </c>
      <c r="KE71" s="149">
        <f t="shared" si="625"/>
        <v>6.4044083874771633</v>
      </c>
      <c r="KF71" s="149">
        <f t="shared" si="626"/>
        <v>7.9020939575759446</v>
      </c>
      <c r="KG71" s="149">
        <f t="shared" si="903"/>
        <v>10.481769243013529</v>
      </c>
      <c r="KH71" s="150">
        <f t="shared" si="904"/>
        <v>13.472149662707769</v>
      </c>
      <c r="KI71" s="149">
        <f t="shared" si="905"/>
        <v>16.578658736998761</v>
      </c>
      <c r="KJ71" s="149">
        <f t="shared" si="627"/>
        <v>19.460689128294597</v>
      </c>
      <c r="KK71" s="149">
        <f t="shared" si="628"/>
        <v>21.230017607459921</v>
      </c>
      <c r="KL71" s="149">
        <f t="shared" si="629"/>
        <v>22.789350538245664</v>
      </c>
      <c r="KM71" s="149">
        <f t="shared" si="630"/>
        <v>24.63074348451363</v>
      </c>
      <c r="KN71" s="81"/>
      <c r="KO71" s="122">
        <v>71</v>
      </c>
      <c r="KP71" s="149">
        <f t="shared" si="631"/>
        <v>3.1660397927870072</v>
      </c>
      <c r="KQ71" s="149">
        <f t="shared" si="632"/>
        <v>4.3005617113143728</v>
      </c>
      <c r="KR71" s="149">
        <f t="shared" si="633"/>
        <v>5.2738703618782523</v>
      </c>
      <c r="KS71" s="149">
        <f t="shared" si="634"/>
        <v>6.3933599647815633</v>
      </c>
      <c r="KT71" s="149">
        <f t="shared" si="906"/>
        <v>8.2548308019167322</v>
      </c>
      <c r="KU71" s="150">
        <f t="shared" si="907"/>
        <v>10.321282137917606</v>
      </c>
      <c r="KV71" s="149">
        <f t="shared" si="908"/>
        <v>12.37957940728116</v>
      </c>
      <c r="KW71" s="149">
        <f t="shared" si="635"/>
        <v>14.219787270796889</v>
      </c>
      <c r="KX71" s="149">
        <f t="shared" si="636"/>
        <v>15.32013294456527</v>
      </c>
      <c r="KY71" s="149">
        <f t="shared" si="637"/>
        <v>16.27289835430209</v>
      </c>
      <c r="KZ71" s="149">
        <f t="shared" si="638"/>
        <v>17.378863809037643</v>
      </c>
      <c r="LA71" s="81"/>
      <c r="LB71" s="122">
        <v>69</v>
      </c>
      <c r="LC71" s="149">
        <f t="shared" si="639"/>
        <v>8.1442417829736939</v>
      </c>
      <c r="LD71" s="149">
        <f t="shared" si="640"/>
        <v>11.816152815224974</v>
      </c>
      <c r="LE71" s="149">
        <f t="shared" si="641"/>
        <v>15.021301361036926</v>
      </c>
      <c r="LF71" s="149">
        <f t="shared" si="642"/>
        <v>18.768459669676957</v>
      </c>
      <c r="LG71" s="149">
        <f t="shared" si="909"/>
        <v>25.13704228223979</v>
      </c>
      <c r="LH71" s="150">
        <f t="shared" si="910"/>
        <v>32.39901527692259</v>
      </c>
      <c r="LI71" s="149">
        <f t="shared" si="911"/>
        <v>39.82278641624233</v>
      </c>
      <c r="LJ71" s="149">
        <f t="shared" si="643"/>
        <v>46.61313729071508</v>
      </c>
      <c r="LK71" s="149">
        <f t="shared" si="644"/>
        <v>50.739855618867047</v>
      </c>
      <c r="LL71" s="149">
        <f t="shared" si="645"/>
        <v>54.352128845540925</v>
      </c>
      <c r="LM71" s="149">
        <f t="shared" si="646"/>
        <v>58.589673938043582</v>
      </c>
      <c r="LN71" s="81"/>
      <c r="LO71" s="122">
        <v>69</v>
      </c>
      <c r="LP71" s="149">
        <f t="shared" si="647"/>
        <v>13.337680383171115</v>
      </c>
      <c r="LQ71" s="149">
        <f t="shared" si="648"/>
        <v>17.137583137602515</v>
      </c>
      <c r="LR71" s="149">
        <f t="shared" si="649"/>
        <v>20.461809995141667</v>
      </c>
      <c r="LS71" s="149">
        <f t="shared" si="650"/>
        <v>24.356300325104716</v>
      </c>
      <c r="LT71" s="149">
        <f t="shared" si="912"/>
        <v>30.993829926852332</v>
      </c>
      <c r="LU71" s="150">
        <f t="shared" si="913"/>
        <v>38.588405172672353</v>
      </c>
      <c r="LV71" s="149">
        <f t="shared" si="914"/>
        <v>46.377925292267065</v>
      </c>
      <c r="LW71" s="149">
        <f t="shared" si="651"/>
        <v>53.523517268605161</v>
      </c>
      <c r="LX71" s="149">
        <f t="shared" si="652"/>
        <v>57.875086871207927</v>
      </c>
      <c r="LY71" s="149">
        <f t="shared" si="653"/>
        <v>61.689438947934931</v>
      </c>
      <c r="LZ71" s="149">
        <f t="shared" si="654"/>
        <v>66.170032798180856</v>
      </c>
      <c r="MA71" s="81"/>
      <c r="MB71" s="122">
        <v>71</v>
      </c>
      <c r="MC71" s="149">
        <f t="shared" si="655"/>
        <v>9.9491648180352072</v>
      </c>
      <c r="MD71" s="149">
        <f t="shared" si="656"/>
        <v>12.745653675852616</v>
      </c>
      <c r="ME71" s="149">
        <f t="shared" si="657"/>
        <v>15.166719607758566</v>
      </c>
      <c r="MF71" s="149">
        <f t="shared" si="658"/>
        <v>17.975620263686594</v>
      </c>
      <c r="MG71" s="149">
        <f t="shared" si="915"/>
        <v>22.701307862597183</v>
      </c>
      <c r="MH71" s="150">
        <f t="shared" si="916"/>
        <v>28.024135767488652</v>
      </c>
      <c r="MI71" s="149">
        <f t="shared" si="917"/>
        <v>33.402009501570795</v>
      </c>
      <c r="MJ71" s="149">
        <f t="shared" si="659"/>
        <v>38.271151183722743</v>
      </c>
      <c r="MK71" s="149">
        <f t="shared" si="660"/>
        <v>41.209102438689577</v>
      </c>
      <c r="ML71" s="149">
        <f t="shared" si="661"/>
        <v>43.76853870735308</v>
      </c>
      <c r="MM71" s="149">
        <f t="shared" si="662"/>
        <v>46.757176299360204</v>
      </c>
      <c r="MN71" s="81"/>
      <c r="MO71" s="122">
        <v>69</v>
      </c>
      <c r="MP71" s="149">
        <f t="shared" si="663"/>
        <v>2.0149856031683129</v>
      </c>
      <c r="MQ71" s="149">
        <f t="shared" si="664"/>
        <v>6.0232187603781142</v>
      </c>
      <c r="MR71" s="149">
        <f t="shared" si="665"/>
        <v>9.4801530197219321</v>
      </c>
      <c r="MS71" s="149">
        <f t="shared" si="666"/>
        <v>13.475989937216696</v>
      </c>
      <c r="MT71" s="149">
        <f t="shared" si="918"/>
        <v>20.164007380129632</v>
      </c>
      <c r="MU71" s="150">
        <f t="shared" si="919"/>
        <v>27.647976037301227</v>
      </c>
      <c r="MV71" s="149">
        <f t="shared" si="920"/>
        <v>35.159831495116954</v>
      </c>
      <c r="MW71" s="149">
        <f t="shared" si="667"/>
        <v>41.920868321592714</v>
      </c>
      <c r="MX71" s="149">
        <f t="shared" si="668"/>
        <v>45.982831697243761</v>
      </c>
      <c r="MY71" s="149">
        <f t="shared" si="669"/>
        <v>49.511148571265203</v>
      </c>
      <c r="MZ71" s="149">
        <f t="shared" si="670"/>
        <v>53.619372335783872</v>
      </c>
      <c r="NA71" s="81"/>
      <c r="NB71" s="122">
        <v>69</v>
      </c>
      <c r="NC71" s="149">
        <f t="shared" si="671"/>
        <v>12.657205387920978</v>
      </c>
      <c r="ND71" s="149">
        <f t="shared" si="672"/>
        <v>15.994619785840097</v>
      </c>
      <c r="NE71" s="149">
        <f t="shared" si="673"/>
        <v>18.873952329689832</v>
      </c>
      <c r="NF71" s="149">
        <f t="shared" si="674"/>
        <v>22.203304960034782</v>
      </c>
      <c r="NG71" s="149">
        <f t="shared" si="921"/>
        <v>27.778673821133619</v>
      </c>
      <c r="NH71" s="150">
        <f t="shared" si="922"/>
        <v>34.021901496867898</v>
      </c>
      <c r="NI71" s="149">
        <f t="shared" si="923"/>
        <v>40.292948118133978</v>
      </c>
      <c r="NJ71" s="149">
        <f t="shared" si="675"/>
        <v>45.941009566729022</v>
      </c>
      <c r="NK71" s="149">
        <f t="shared" si="676"/>
        <v>49.336001381832006</v>
      </c>
      <c r="NL71" s="149">
        <f t="shared" si="677"/>
        <v>52.285979250024354</v>
      </c>
      <c r="NM71" s="149">
        <f t="shared" si="678"/>
        <v>55.72196761458234</v>
      </c>
      <c r="NN71" s="81"/>
      <c r="NO71" s="122">
        <v>71</v>
      </c>
      <c r="NP71" s="149">
        <f t="shared" si="679"/>
        <v>-0.35443872841666035</v>
      </c>
      <c r="NQ71" s="149">
        <f t="shared" si="680"/>
        <v>3.2278233429412921</v>
      </c>
      <c r="NR71" s="149">
        <f t="shared" si="681"/>
        <v>6.3100450036068665</v>
      </c>
      <c r="NS71" s="149">
        <f t="shared" si="682"/>
        <v>9.8650106828923967</v>
      </c>
      <c r="NT71" s="149">
        <f t="shared" si="924"/>
        <v>15.798279522078396</v>
      </c>
      <c r="NU71" s="150">
        <f t="shared" si="925"/>
        <v>22.415369852887494</v>
      </c>
      <c r="NV71" s="149">
        <f t="shared" si="926"/>
        <v>29.036154511607585</v>
      </c>
      <c r="NW71" s="149">
        <f t="shared" si="683"/>
        <v>34.979097852001878</v>
      </c>
      <c r="NX71" s="149">
        <f t="shared" si="684"/>
        <v>38.542826247863765</v>
      </c>
      <c r="NY71" s="149">
        <f t="shared" si="685"/>
        <v>41.634508686777629</v>
      </c>
      <c r="NZ71" s="149">
        <f t="shared" si="686"/>
        <v>45.230025760679503</v>
      </c>
      <c r="OA71" s="81"/>
      <c r="OB71" s="122">
        <v>69</v>
      </c>
      <c r="OC71" s="149">
        <v>15.065143741926629</v>
      </c>
      <c r="OD71" s="149">
        <v>16.365418624092374</v>
      </c>
      <c r="OE71" s="149">
        <v>17.573139626487791</v>
      </c>
      <c r="OF71" s="149">
        <v>19.076590507176618</v>
      </c>
      <c r="OG71" s="149">
        <v>21.876286124151552</v>
      </c>
      <c r="OH71" s="150">
        <v>25.483640758054367</v>
      </c>
      <c r="OI71" s="149">
        <v>29.685840759259879</v>
      </c>
      <c r="OJ71" s="149">
        <v>34.042558393296694</v>
      </c>
      <c r="OK71" s="149">
        <v>36.955032514890654</v>
      </c>
      <c r="OL71" s="149">
        <v>39.682208026718662</v>
      </c>
      <c r="OM71" s="149">
        <v>43.107185527757728</v>
      </c>
      <c r="ON71" s="81"/>
      <c r="OO71" s="122">
        <v>69</v>
      </c>
      <c r="OP71" s="149">
        <v>16.638671253855385</v>
      </c>
      <c r="OQ71" s="149">
        <v>17.671999304135742</v>
      </c>
      <c r="OR71" s="149">
        <v>18.61190192935306</v>
      </c>
      <c r="OS71" s="149">
        <v>19.757759039106809</v>
      </c>
      <c r="OT71" s="149">
        <v>25.179704603310537</v>
      </c>
      <c r="OU71" s="150">
        <v>24.393031500860531</v>
      </c>
      <c r="OV71" s="149">
        <v>27.258992565968235</v>
      </c>
      <c r="OW71" s="149">
        <v>30.11576285672087</v>
      </c>
      <c r="OX71" s="149">
        <v>31.969864662974647</v>
      </c>
      <c r="OY71" s="149">
        <v>33.670213288358525</v>
      </c>
      <c r="OZ71" s="149">
        <v>35.761268236133958</v>
      </c>
      <c r="PA71" s="81"/>
      <c r="PB71" s="122">
        <v>71</v>
      </c>
      <c r="PC71" s="149">
        <v>13.702897031332439</v>
      </c>
      <c r="PD71" s="149">
        <v>15.097214569956595</v>
      </c>
      <c r="PE71" s="149">
        <v>16.40936252603467</v>
      </c>
      <c r="PF71" s="149">
        <v>18.064341355307189</v>
      </c>
      <c r="PG71" s="149">
        <v>21.204881807805485</v>
      </c>
      <c r="PH71" s="150">
        <v>25.352843476643699</v>
      </c>
      <c r="PI71" s="149">
        <v>30.312202547367836</v>
      </c>
      <c r="PJ71" s="149">
        <v>35.582070760767287</v>
      </c>
      <c r="PK71" s="149">
        <v>39.170727767845847</v>
      </c>
      <c r="PL71" s="149">
        <v>42.575182949992559</v>
      </c>
      <c r="PM71" s="149">
        <v>46.907356224123518</v>
      </c>
      <c r="PN71" s="81"/>
      <c r="PO71" s="122">
        <v>69</v>
      </c>
      <c r="PP71" s="149">
        <v>10.738248799194116</v>
      </c>
      <c r="PQ71" s="149">
        <v>11.642979770484752</v>
      </c>
      <c r="PR71" s="149">
        <v>12.481834591305439</v>
      </c>
      <c r="PS71" s="149">
        <v>13.524262344644027</v>
      </c>
      <c r="PT71" s="149">
        <v>15.460545083232869</v>
      </c>
      <c r="PU71" s="150">
        <v>17.947130823259332</v>
      </c>
      <c r="PV71" s="149">
        <v>20.833644807032442</v>
      </c>
      <c r="PW71" s="149">
        <v>23.816419452610319</v>
      </c>
      <c r="PX71" s="149">
        <v>25.805461723675812</v>
      </c>
      <c r="PY71" s="149">
        <v>27.664696764630285</v>
      </c>
      <c r="PZ71" s="149">
        <v>29.995533797965113</v>
      </c>
      <c r="QA71" s="81"/>
      <c r="QB71" s="122">
        <v>69</v>
      </c>
      <c r="QC71" s="149">
        <v>11.052341580123434</v>
      </c>
      <c r="QD71" s="149">
        <v>11.964367616436059</v>
      </c>
      <c r="QE71" s="149">
        <v>12.808730643315645</v>
      </c>
      <c r="QF71" s="149">
        <v>13.8564466516201</v>
      </c>
      <c r="QG71" s="149">
        <v>15.79839896076604</v>
      </c>
      <c r="QH71" s="150">
        <v>18.285275631691878</v>
      </c>
      <c r="QI71" s="149">
        <v>21.163619538744232</v>
      </c>
      <c r="QJ71" s="149">
        <v>24.129656998885221</v>
      </c>
      <c r="QK71" s="149">
        <v>26.103391057054441</v>
      </c>
      <c r="QL71" s="149">
        <v>27.945589407302183</v>
      </c>
      <c r="QM71" s="149">
        <v>30.251626092360667</v>
      </c>
      <c r="QN71" s="81"/>
      <c r="QO71" s="122">
        <v>71</v>
      </c>
      <c r="QP71" s="149">
        <v>9.2842923265890942</v>
      </c>
      <c r="QQ71" s="149">
        <v>10.208603339399135</v>
      </c>
      <c r="QR71" s="149">
        <v>11.076833361121126</v>
      </c>
      <c r="QS71" s="149">
        <v>12.169883648042891</v>
      </c>
      <c r="QT71" s="149">
        <v>14.238562847065923</v>
      </c>
      <c r="QU71" s="150">
        <v>16.961281365447586</v>
      </c>
      <c r="QV71" s="149">
        <v>20.204642044836824</v>
      </c>
      <c r="QW71" s="149">
        <v>23.639097453831766</v>
      </c>
      <c r="QX71" s="149">
        <v>25.9717787727703</v>
      </c>
      <c r="QY71" s="149">
        <v>28.180648810948163</v>
      </c>
      <c r="QZ71" s="149">
        <v>30.986213643228812</v>
      </c>
      <c r="RA71" s="81"/>
      <c r="RB71" s="122">
        <v>69</v>
      </c>
      <c r="RC71" s="149">
        <f t="shared" si="687"/>
        <v>0.42311767729909516</v>
      </c>
      <c r="RD71" s="149">
        <f t="shared" si="688"/>
        <v>0.46169091660956468</v>
      </c>
      <c r="RE71" s="149">
        <f t="shared" si="689"/>
        <v>0.49813968371307171</v>
      </c>
      <c r="RF71" s="149">
        <f t="shared" si="690"/>
        <v>0.54435644357153745</v>
      </c>
      <c r="RG71" s="149">
        <f t="shared" si="927"/>
        <v>0.6329323349560857</v>
      </c>
      <c r="RH71" s="150">
        <f t="shared" si="928"/>
        <v>0.75191941523500427</v>
      </c>
      <c r="RI71" s="149">
        <f t="shared" si="929"/>
        <v>0.89747893198751327</v>
      </c>
      <c r="RJ71" s="149">
        <f t="shared" si="691"/>
        <v>1.0563430625474142</v>
      </c>
      <c r="RK71" s="149">
        <f t="shared" si="692"/>
        <v>1.1670853228583207</v>
      </c>
      <c r="RL71" s="149">
        <f t="shared" si="693"/>
        <v>1.2740978680373978</v>
      </c>
      <c r="RM71" s="149">
        <f t="shared" si="694"/>
        <v>1.4130567217149184</v>
      </c>
      <c r="RN71" s="81"/>
      <c r="RO71" s="122">
        <v>69</v>
      </c>
      <c r="RP71" s="149">
        <f t="shared" si="695"/>
        <v>0.46617522098673908</v>
      </c>
      <c r="RQ71" s="149">
        <f t="shared" si="696"/>
        <v>0.51025474931423298</v>
      </c>
      <c r="RR71" s="149">
        <f t="shared" si="697"/>
        <v>0.55227367624428592</v>
      </c>
      <c r="RS71" s="149">
        <f t="shared" si="698"/>
        <v>0.6060622642693696</v>
      </c>
      <c r="RT71" s="149">
        <f t="shared" si="930"/>
        <v>0.7107194155359946</v>
      </c>
      <c r="RU71" s="150">
        <f t="shared" si="931"/>
        <v>0.85448809442830753</v>
      </c>
      <c r="RV71" s="149">
        <f t="shared" si="932"/>
        <v>1.0351755184945584</v>
      </c>
      <c r="RW71" s="149">
        <f t="shared" si="699"/>
        <v>1.2382216435296183</v>
      </c>
      <c r="RX71" s="149">
        <f t="shared" si="700"/>
        <v>1.3832621581336608</v>
      </c>
      <c r="RY71" s="149">
        <f t="shared" si="701"/>
        <v>1.5260815094177727</v>
      </c>
      <c r="RZ71" s="149">
        <f t="shared" si="702"/>
        <v>1.7153603484416973</v>
      </c>
      <c r="SA71" s="81"/>
      <c r="SB71" s="122">
        <v>71</v>
      </c>
      <c r="SC71" s="149">
        <f t="shared" si="703"/>
        <v>0.43581703172915925</v>
      </c>
      <c r="SD71" s="149">
        <f t="shared" si="704"/>
        <v>0.46911014532795525</v>
      </c>
      <c r="SE71" s="149">
        <f t="shared" si="705"/>
        <v>0.49979946033951606</v>
      </c>
      <c r="SF71" s="149">
        <f t="shared" si="706"/>
        <v>0.53771713799784382</v>
      </c>
      <c r="SG71" s="149">
        <f t="shared" si="933"/>
        <v>0.6075741394116928</v>
      </c>
      <c r="SH71" s="150">
        <f t="shared" si="934"/>
        <v>0.69634205855641051</v>
      </c>
      <c r="SI71" s="149">
        <f t="shared" si="935"/>
        <v>0.79827246520473805</v>
      </c>
      <c r="SJ71" s="149">
        <f t="shared" si="707"/>
        <v>0.90254723387109126</v>
      </c>
      <c r="SK71" s="149">
        <f t="shared" si="708"/>
        <v>0.9715677611574709</v>
      </c>
      <c r="SL71" s="149">
        <f t="shared" si="709"/>
        <v>1.0357522443241278</v>
      </c>
      <c r="SM71" s="149">
        <f t="shared" si="710"/>
        <v>1.1158055095034738</v>
      </c>
      <c r="SN71" s="81"/>
      <c r="SO71" s="122">
        <v>69</v>
      </c>
      <c r="SP71" s="149">
        <f t="shared" si="711"/>
        <v>0.29833779787589965</v>
      </c>
      <c r="SQ71" s="149">
        <f t="shared" si="712"/>
        <v>0.3166000465614035</v>
      </c>
      <c r="SR71" s="149">
        <f t="shared" si="713"/>
        <v>0.3329634922447523</v>
      </c>
      <c r="SS71" s="149">
        <f t="shared" si="714"/>
        <v>0.35260451768572654</v>
      </c>
      <c r="ST71" s="149">
        <f t="shared" si="936"/>
        <v>0.38727911977952473</v>
      </c>
      <c r="SU71" s="150">
        <f t="shared" si="937"/>
        <v>0.428861814245938</v>
      </c>
      <c r="SV71" s="149">
        <f t="shared" si="938"/>
        <v>0.47369244067264932</v>
      </c>
      <c r="SW71" s="149">
        <f t="shared" si="715"/>
        <v>0.51681254812209776</v>
      </c>
      <c r="SX71" s="149">
        <f t="shared" si="716"/>
        <v>0.54402767141386965</v>
      </c>
      <c r="SY71" s="149">
        <f t="shared" si="717"/>
        <v>0.56848737492549306</v>
      </c>
      <c r="SZ71" s="149">
        <f t="shared" si="718"/>
        <v>0.59794961532260815</v>
      </c>
      <c r="TA71" s="81"/>
      <c r="TB71" s="122">
        <v>69</v>
      </c>
      <c r="TC71" s="149">
        <f t="shared" si="719"/>
        <v>0.31897014868283657</v>
      </c>
      <c r="TD71" s="149">
        <f t="shared" si="720"/>
        <v>0.33853732258842256</v>
      </c>
      <c r="TE71" s="149">
        <f t="shared" si="721"/>
        <v>0.35614946124966368</v>
      </c>
      <c r="TF71" s="149">
        <f t="shared" si="722"/>
        <v>0.37738763828376426</v>
      </c>
      <c r="TG71" s="149">
        <f t="shared" si="939"/>
        <v>0.41514054837538616</v>
      </c>
      <c r="TH71" s="150">
        <f t="shared" si="940"/>
        <v>0.46084216128478539</v>
      </c>
      <c r="TI71" s="149">
        <f t="shared" si="941"/>
        <v>0.51062221211460412</v>
      </c>
      <c r="TJ71" s="149">
        <f t="shared" si="723"/>
        <v>0.55898694391937365</v>
      </c>
      <c r="TK71" s="149">
        <f t="shared" si="724"/>
        <v>0.58975032988897991</v>
      </c>
      <c r="TL71" s="149">
        <f t="shared" si="725"/>
        <v>0.6175530307178968</v>
      </c>
      <c r="TM71" s="149">
        <f t="shared" si="726"/>
        <v>0.65123213037058558</v>
      </c>
      <c r="TN71" s="81"/>
      <c r="TO71" s="122">
        <v>71</v>
      </c>
      <c r="TP71" s="149">
        <f t="shared" si="727"/>
        <v>0.30458456322274613</v>
      </c>
      <c r="TQ71" s="149">
        <f t="shared" si="728"/>
        <v>0.32005057562302003</v>
      </c>
      <c r="TR71" s="149">
        <f t="shared" si="729"/>
        <v>0.3336981025246869</v>
      </c>
      <c r="TS71" s="149">
        <f t="shared" si="730"/>
        <v>0.34983218062731719</v>
      </c>
      <c r="TT71" s="149">
        <f t="shared" si="942"/>
        <v>0.37770520746827485</v>
      </c>
      <c r="TU71" s="150">
        <f t="shared" si="943"/>
        <v>0.41019703439628563</v>
      </c>
      <c r="TV71" s="149">
        <f t="shared" si="944"/>
        <v>0.44420602731574049</v>
      </c>
      <c r="TW71" s="149">
        <f t="shared" si="731"/>
        <v>0.47602236560349526</v>
      </c>
      <c r="TX71" s="149">
        <f t="shared" si="732"/>
        <v>0.49569075798470907</v>
      </c>
      <c r="TY71" s="149">
        <f t="shared" si="733"/>
        <v>0.51311403510171183</v>
      </c>
      <c r="TZ71" s="149">
        <f t="shared" si="734"/>
        <v>0.53379946988293125</v>
      </c>
      <c r="UA71" s="81"/>
      <c r="UB71" s="122">
        <v>69</v>
      </c>
      <c r="UC71" s="149">
        <f t="shared" si="735"/>
        <v>-7.606309944661497</v>
      </c>
      <c r="UD71" s="149">
        <f t="shared" si="736"/>
        <v>-4.7332819200644138</v>
      </c>
      <c r="UE71" s="149">
        <f t="shared" si="737"/>
        <v>-2.3083896522362295</v>
      </c>
      <c r="UF71" s="149">
        <f t="shared" si="738"/>
        <v>0.43863400412128328</v>
      </c>
      <c r="UG71" s="149">
        <f t="shared" si="945"/>
        <v>4.915331553620689</v>
      </c>
      <c r="UH71" s="150">
        <f t="shared" si="946"/>
        <v>9.7653459165836694</v>
      </c>
      <c r="UI71" s="149">
        <f t="shared" si="947"/>
        <v>14.484876329340835</v>
      </c>
      <c r="UJ71" s="149">
        <f t="shared" si="739"/>
        <v>18.619795673497833</v>
      </c>
      <c r="UK71" s="149">
        <f t="shared" si="740"/>
        <v>21.057178335240977</v>
      </c>
      <c r="UL71" s="149">
        <f t="shared" si="741"/>
        <v>23.14771016459045</v>
      </c>
      <c r="UM71" s="149">
        <f t="shared" si="742"/>
        <v>25.552247978055689</v>
      </c>
      <c r="UN71" s="81"/>
      <c r="UO71" s="122">
        <v>69</v>
      </c>
      <c r="UP71" s="149">
        <f t="shared" si="743"/>
        <v>-3.4898014035063305</v>
      </c>
      <c r="UQ71" s="149">
        <f t="shared" si="744"/>
        <v>-0.97359967482290699</v>
      </c>
      <c r="UR71" s="149">
        <f t="shared" si="745"/>
        <v>1.1873934964139892</v>
      </c>
      <c r="US71" s="149">
        <f t="shared" si="746"/>
        <v>3.6756007299762103</v>
      </c>
      <c r="UT71" s="149">
        <f t="shared" si="948"/>
        <v>7.8191665327839104</v>
      </c>
      <c r="UU71" s="150">
        <f t="shared" si="949"/>
        <v>12.427909690502325</v>
      </c>
      <c r="UV71" s="149">
        <f t="shared" si="950"/>
        <v>17.027505833595129</v>
      </c>
      <c r="UW71" s="149">
        <f t="shared" si="747"/>
        <v>21.147142630211583</v>
      </c>
      <c r="UX71" s="149">
        <f t="shared" si="748"/>
        <v>23.613708001614889</v>
      </c>
      <c r="UY71" s="149">
        <f t="shared" si="749"/>
        <v>25.751370871669764</v>
      </c>
      <c r="UZ71" s="149">
        <f t="shared" si="750"/>
        <v>28.234951170529484</v>
      </c>
      <c r="VA71" s="81"/>
      <c r="VB71" s="122">
        <v>72</v>
      </c>
      <c r="VC71" s="149">
        <f t="shared" si="751"/>
        <v>-7.4611624428142491</v>
      </c>
      <c r="VD71" s="149">
        <f t="shared" si="752"/>
        <v>-4.8086470404576502</v>
      </c>
      <c r="VE71" s="149">
        <f t="shared" si="753"/>
        <v>-2.5868018526711722</v>
      </c>
      <c r="VF71" s="149">
        <f t="shared" si="754"/>
        <v>-8.7335690008160327E-2</v>
      </c>
      <c r="VG71" s="149">
        <f t="shared" si="951"/>
        <v>3.9488311174605997</v>
      </c>
      <c r="VH71" s="150">
        <f t="shared" si="952"/>
        <v>8.2739367532816459</v>
      </c>
      <c r="VI71" s="149">
        <f t="shared" si="953"/>
        <v>12.439313033257321</v>
      </c>
      <c r="VJ71" s="149">
        <f t="shared" si="755"/>
        <v>16.056384035476825</v>
      </c>
      <c r="VK71" s="149">
        <f t="shared" si="756"/>
        <v>18.175251447472675</v>
      </c>
      <c r="VL71" s="149">
        <f t="shared" si="757"/>
        <v>19.985118089236764</v>
      </c>
      <c r="VM71" s="149">
        <f t="shared" si="758"/>
        <v>22.05860002174478</v>
      </c>
      <c r="VN71" s="81"/>
      <c r="VO71" s="122">
        <v>69</v>
      </c>
      <c r="VP71" s="149">
        <f t="shared" si="759"/>
        <v>-12.790412523531607</v>
      </c>
      <c r="VQ71" s="149">
        <f t="shared" si="760"/>
        <v>-7.9211107221807424</v>
      </c>
      <c r="VR71" s="149">
        <f t="shared" si="761"/>
        <v>-3.5582757532653204</v>
      </c>
      <c r="VS71" s="149">
        <f t="shared" si="762"/>
        <v>1.6692996318752478</v>
      </c>
      <c r="VT71" s="149">
        <f t="shared" si="954"/>
        <v>10.851642315242692</v>
      </c>
      <c r="VU71" s="150">
        <f t="shared" si="955"/>
        <v>21.751354520074564</v>
      </c>
      <c r="VV71" s="149">
        <f t="shared" si="956"/>
        <v>33.334873158737672</v>
      </c>
      <c r="VW71" s="149">
        <f t="shared" si="763"/>
        <v>44.296135884444389</v>
      </c>
      <c r="VX71" s="149">
        <f t="shared" si="764"/>
        <v>51.120130461215233</v>
      </c>
      <c r="VY71" s="149">
        <f t="shared" si="765"/>
        <v>57.190563787988445</v>
      </c>
      <c r="VZ71" s="149">
        <f t="shared" si="766"/>
        <v>64.424039870973928</v>
      </c>
      <c r="WA71" s="81"/>
      <c r="WB71" s="122">
        <v>69</v>
      </c>
      <c r="WC71" s="149">
        <f t="shared" si="767"/>
        <v>-5.3060129097106596</v>
      </c>
      <c r="WD71" s="149">
        <f t="shared" si="768"/>
        <v>-0.52315489853653219</v>
      </c>
      <c r="WE71" s="149">
        <f t="shared" si="769"/>
        <v>3.7547686329293981</v>
      </c>
      <c r="WF71" s="149">
        <f t="shared" si="770"/>
        <v>8.8727324294731389</v>
      </c>
      <c r="WG71" s="149">
        <f t="shared" si="957"/>
        <v>17.84537691799418</v>
      </c>
      <c r="WH71" s="150">
        <f t="shared" si="958"/>
        <v>28.473587498936432</v>
      </c>
      <c r="WI71" s="149">
        <f t="shared" si="959"/>
        <v>39.747733518638974</v>
      </c>
      <c r="WJ71" s="149">
        <f t="shared" si="771"/>
        <v>50.40063914849727</v>
      </c>
      <c r="WK71" s="149">
        <f t="shared" si="772"/>
        <v>57.026312617375702</v>
      </c>
      <c r="WL71" s="149">
        <f t="shared" si="773"/>
        <v>62.916762968314806</v>
      </c>
      <c r="WM71" s="149">
        <f t="shared" si="774"/>
        <v>69.931846870085224</v>
      </c>
      <c r="WN71" s="81"/>
      <c r="WO71" s="122">
        <v>72</v>
      </c>
      <c r="WP71" s="149">
        <f t="shared" si="775"/>
        <v>-14.883997333852939</v>
      </c>
      <c r="WQ71" s="149">
        <f t="shared" si="776"/>
        <v>-10.204867658886116</v>
      </c>
      <c r="WR71" s="149">
        <f t="shared" si="777"/>
        <v>-6.0444849682096731</v>
      </c>
      <c r="WS71" s="149">
        <f t="shared" si="778"/>
        <v>-1.0966288317512038</v>
      </c>
      <c r="WT71" s="149">
        <f t="shared" si="960"/>
        <v>7.5045884626460477</v>
      </c>
      <c r="WU71" s="150">
        <f t="shared" si="961"/>
        <v>17.581370169764064</v>
      </c>
      <c r="WV71" s="149">
        <f t="shared" si="962"/>
        <v>28.150637153419233</v>
      </c>
      <c r="WW71" s="149">
        <f t="shared" si="779"/>
        <v>38.034568347931078</v>
      </c>
      <c r="WX71" s="149">
        <f t="shared" si="780"/>
        <v>44.135437956582386</v>
      </c>
      <c r="WY71" s="149">
        <f t="shared" si="781"/>
        <v>49.531158191757193</v>
      </c>
      <c r="WZ71" s="149">
        <f t="shared" si="782"/>
        <v>55.924153793449229</v>
      </c>
      <c r="XA71" s="81"/>
      <c r="XB71" s="122">
        <v>69</v>
      </c>
      <c r="XC71" s="149">
        <f t="shared" si="783"/>
        <v>-18.235797808274064</v>
      </c>
      <c r="XD71" s="149">
        <f t="shared" si="784"/>
        <v>-13.12732640578416</v>
      </c>
      <c r="XE71" s="149">
        <f t="shared" si="785"/>
        <v>-8.6144814597308468</v>
      </c>
      <c r="XF71" s="149">
        <f t="shared" si="786"/>
        <v>-3.2823055753008887</v>
      </c>
      <c r="XG71" s="149">
        <f t="shared" si="963"/>
        <v>5.9011806893200003</v>
      </c>
      <c r="XH71" s="150">
        <f t="shared" si="964"/>
        <v>16.531299722233094</v>
      </c>
      <c r="XI71" s="149">
        <f t="shared" si="965"/>
        <v>27.544926291273136</v>
      </c>
      <c r="XJ71" s="149">
        <f t="shared" si="787"/>
        <v>37.729878070573101</v>
      </c>
      <c r="XK71" s="149">
        <f t="shared" si="788"/>
        <v>43.965544069486761</v>
      </c>
      <c r="XL71" s="149">
        <f t="shared" si="789"/>
        <v>49.449965757962524</v>
      </c>
      <c r="XM71" s="149">
        <f t="shared" si="790"/>
        <v>55.912758809999353</v>
      </c>
      <c r="XN71" s="81"/>
      <c r="XO71" s="122">
        <v>69</v>
      </c>
      <c r="XP71" s="149">
        <f t="shared" si="791"/>
        <v>-5.4077216248675484</v>
      </c>
      <c r="XQ71" s="149">
        <f t="shared" si="792"/>
        <v>-1.0224791214514184</v>
      </c>
      <c r="XR71" s="149">
        <f t="shared" si="793"/>
        <v>2.815996488062936</v>
      </c>
      <c r="XS71" s="149">
        <f t="shared" si="794"/>
        <v>7.3149200812043489</v>
      </c>
      <c r="XT71" s="149">
        <f t="shared" si="966"/>
        <v>14.986033357313595</v>
      </c>
      <c r="XU71" s="150">
        <f t="shared" si="967"/>
        <v>23.766371661082097</v>
      </c>
      <c r="XV71" s="149">
        <f t="shared" si="968"/>
        <v>32.773580013655696</v>
      </c>
      <c r="XW71" s="149">
        <f t="shared" si="795"/>
        <v>41.036288694235431</v>
      </c>
      <c r="XX71" s="149">
        <f t="shared" si="796"/>
        <v>46.067858619087495</v>
      </c>
      <c r="XY71" s="149">
        <f t="shared" si="797"/>
        <v>50.4779399804573</v>
      </c>
      <c r="XZ71" s="149">
        <f t="shared" si="798"/>
        <v>55.657831374166783</v>
      </c>
      <c r="YA71" s="81"/>
      <c r="YB71" s="122">
        <v>72</v>
      </c>
      <c r="YC71" s="149">
        <f t="shared" si="799"/>
        <v>-21.659957808906839</v>
      </c>
      <c r="YD71" s="149">
        <f t="shared" si="800"/>
        <v>-16.73762208177051</v>
      </c>
      <c r="YE71" s="149">
        <f t="shared" si="801"/>
        <v>-12.407020419019332</v>
      </c>
      <c r="YF71" s="149">
        <f t="shared" si="802"/>
        <v>-7.3103439220750985</v>
      </c>
      <c r="YG71" s="149">
        <f t="shared" si="969"/>
        <v>1.4203554922014803</v>
      </c>
      <c r="YH71" s="150">
        <f t="shared" si="970"/>
        <v>11.459106322638924</v>
      </c>
      <c r="YI71" s="149">
        <f t="shared" si="971"/>
        <v>21.792379090042154</v>
      </c>
      <c r="YJ71" s="149">
        <f t="shared" si="803"/>
        <v>31.293364739795727</v>
      </c>
      <c r="YK71" s="149">
        <f t="shared" si="804"/>
        <v>37.08649739842739</v>
      </c>
      <c r="YL71" s="149">
        <f t="shared" si="805"/>
        <v>42.167728803557175</v>
      </c>
      <c r="YM71" s="149">
        <f t="shared" si="806"/>
        <v>48.139469902516318</v>
      </c>
      <c r="YN71" s="81"/>
      <c r="YO71" s="122">
        <v>69</v>
      </c>
      <c r="YP71" s="149">
        <v>18.959000422107167</v>
      </c>
      <c r="YQ71" s="149">
        <v>20.788297555025881</v>
      </c>
      <c r="YR71" s="149">
        <v>22.502153446716544</v>
      </c>
      <c r="YS71" s="149">
        <v>24.654208430176478</v>
      </c>
      <c r="YT71" s="149">
        <v>28.711944429654</v>
      </c>
      <c r="YU71" s="150">
        <v>34.026462279143267</v>
      </c>
      <c r="YV71" s="149">
        <v>40.324685709483738</v>
      </c>
      <c r="YW71" s="149">
        <v>46.961561897758003</v>
      </c>
      <c r="YX71" s="149">
        <v>51.45285929969085</v>
      </c>
      <c r="YY71" s="149">
        <v>55.694802913480729</v>
      </c>
      <c r="YZ71" s="149">
        <v>61.068627536075454</v>
      </c>
      <c r="ZA71" s="81"/>
      <c r="ZB71" s="122">
        <v>69</v>
      </c>
      <c r="ZC71" s="149">
        <v>18.818642386475577</v>
      </c>
      <c r="ZD71" s="149">
        <v>20.397725508262802</v>
      </c>
      <c r="ZE71" s="149">
        <v>21.861401516556832</v>
      </c>
      <c r="ZF71" s="149">
        <v>23.679748843561139</v>
      </c>
      <c r="ZG71" s="149">
        <v>27.055858159421859</v>
      </c>
      <c r="ZH71" s="150">
        <v>31.389076320228273</v>
      </c>
      <c r="ZI71" s="149">
        <v>36.416295000940714</v>
      </c>
      <c r="ZJ71" s="149">
        <v>41.608300778284011</v>
      </c>
      <c r="ZK71" s="149">
        <v>45.069119264421957</v>
      </c>
      <c r="ZL71" s="149">
        <v>48.303136143193797</v>
      </c>
      <c r="ZM71" s="149">
        <v>52.356280118549009</v>
      </c>
      <c r="ZN71" s="81"/>
      <c r="ZO71" s="122">
        <v>72</v>
      </c>
      <c r="ZP71" s="149">
        <v>19.472192162257663</v>
      </c>
      <c r="ZQ71" s="149">
        <v>21.419237854789575</v>
      </c>
      <c r="ZR71" s="149">
        <v>23.248820761155674</v>
      </c>
      <c r="ZS71" s="149">
        <v>25.55300223430908</v>
      </c>
      <c r="ZT71" s="149">
        <v>29.916142051335097</v>
      </c>
      <c r="ZU71" s="150">
        <v>35.662726851880535</v>
      </c>
      <c r="ZV71" s="149">
        <v>42.513171796330646</v>
      </c>
      <c r="ZW71" s="149">
        <v>49.772237126962779</v>
      </c>
      <c r="ZX71" s="149">
        <v>54.705143954519428</v>
      </c>
      <c r="ZY71" s="149">
        <v>59.377933759087774</v>
      </c>
      <c r="ZZ71" s="149">
        <v>65.315197996915288</v>
      </c>
      <c r="AAA71" s="81"/>
      <c r="AAB71" s="122">
        <v>69</v>
      </c>
      <c r="AAC71" s="149">
        <v>11.375627886562841</v>
      </c>
      <c r="AAD71" s="149">
        <v>12.533892750256268</v>
      </c>
      <c r="AAE71" s="149">
        <v>13.623959965754588</v>
      </c>
      <c r="AAF71" s="149">
        <v>14.998910857070591</v>
      </c>
      <c r="AAG71" s="149">
        <v>17.608271559572092</v>
      </c>
      <c r="AAH71" s="150">
        <v>21.055026116746852</v>
      </c>
      <c r="AAI71" s="149">
        <v>25.176470233155879</v>
      </c>
      <c r="AAJ71" s="149">
        <v>29.556421062927409</v>
      </c>
      <c r="AAK71" s="149">
        <v>32.539300312920297</v>
      </c>
      <c r="AAL71" s="149">
        <v>35.369229146134813</v>
      </c>
      <c r="AAM71" s="149">
        <v>38.970519183432948</v>
      </c>
      <c r="AAN71" s="81"/>
      <c r="AAO71" s="122">
        <v>69</v>
      </c>
      <c r="AAP71" s="149">
        <v>11.818914515549267</v>
      </c>
      <c r="AAQ71" s="149">
        <v>13.030849868194819</v>
      </c>
      <c r="AAR71" s="149">
        <v>14.172121156503918</v>
      </c>
      <c r="AAS71" s="149">
        <v>15.612533409014453</v>
      </c>
      <c r="AAT71" s="149">
        <v>18.348521511259982</v>
      </c>
      <c r="AAU71" s="150">
        <v>21.966697050267388</v>
      </c>
      <c r="AAV71" s="149">
        <v>26.298346654367059</v>
      </c>
      <c r="AAW71" s="149">
        <v>30.90694935004057</v>
      </c>
      <c r="AAX71" s="149">
        <v>34.048239777909238</v>
      </c>
      <c r="AAY71" s="149">
        <v>37.03026158531533</v>
      </c>
      <c r="AAZ71" s="149">
        <v>40.827419359315059</v>
      </c>
      <c r="ABA71" s="81"/>
      <c r="ABB71" s="122">
        <v>72</v>
      </c>
      <c r="ABC71" s="149">
        <v>10.206466456503314</v>
      </c>
      <c r="ABD71" s="149">
        <v>11.347529213355132</v>
      </c>
      <c r="ABE71" s="149">
        <v>12.430427447814207</v>
      </c>
      <c r="ABF71" s="149">
        <v>13.807809698566418</v>
      </c>
      <c r="ABG71" s="149">
        <v>16.453498926701325</v>
      </c>
      <c r="ABH71" s="150">
        <v>20.003958243202359</v>
      </c>
      <c r="ABI71" s="149">
        <v>24.320562281521308</v>
      </c>
      <c r="ABJ71" s="149">
        <v>28.980580854712215</v>
      </c>
      <c r="ABK71" s="149">
        <v>32.191841115338981</v>
      </c>
      <c r="ABL71" s="149">
        <v>35.263918503494949</v>
      </c>
      <c r="ABM71" s="149">
        <v>39.206354824280282</v>
      </c>
      <c r="ABN71" s="81"/>
      <c r="ABO71" s="122">
        <v>69</v>
      </c>
      <c r="ABP71" s="149">
        <f t="shared" si="807"/>
        <v>0.3308563549297468</v>
      </c>
      <c r="ABQ71" s="149">
        <f t="shared" si="808"/>
        <v>0.37126238735936601</v>
      </c>
      <c r="ABR71" s="149">
        <f t="shared" si="809"/>
        <v>0.40879331785426565</v>
      </c>
      <c r="ABS71" s="149">
        <f t="shared" si="810"/>
        <v>0.45541364129865874</v>
      </c>
      <c r="ABT71" s="149">
        <f t="shared" si="972"/>
        <v>0.54164638077551908</v>
      </c>
      <c r="ABU71" s="150">
        <f t="shared" si="973"/>
        <v>0.65115569241017635</v>
      </c>
      <c r="ABV71" s="149">
        <f t="shared" si="974"/>
        <v>0.77598312679273429</v>
      </c>
      <c r="ABW71" s="149">
        <f t="shared" si="811"/>
        <v>0.9020657308313309</v>
      </c>
      <c r="ABX71" s="149">
        <f t="shared" si="812"/>
        <v>0.98444702206511148</v>
      </c>
      <c r="ABY71" s="149">
        <f t="shared" si="813"/>
        <v>1.0602281184099438</v>
      </c>
      <c r="ABZ71" s="149">
        <f t="shared" si="814"/>
        <v>1.1535882188644975</v>
      </c>
      <c r="ACA71" s="81"/>
      <c r="ACB71" s="122">
        <v>69</v>
      </c>
      <c r="ACC71" s="149">
        <f t="shared" si="815"/>
        <v>0.4190327886317452</v>
      </c>
      <c r="ACD71" s="149">
        <f t="shared" si="816"/>
        <v>0.45901587282164907</v>
      </c>
      <c r="ACE71" s="149">
        <f t="shared" si="817"/>
        <v>0.49598237071659351</v>
      </c>
      <c r="ACF71" s="149">
        <f t="shared" si="818"/>
        <v>0.54174987929950946</v>
      </c>
      <c r="ACG71" s="149">
        <f t="shared" si="975"/>
        <v>0.62618316797948348</v>
      </c>
      <c r="ACH71" s="150">
        <f t="shared" si="976"/>
        <v>0.73338270198251287</v>
      </c>
      <c r="ACI71" s="149">
        <f t="shared" si="977"/>
        <v>0.85598083824069127</v>
      </c>
      <c r="ACJ71" s="149">
        <f t="shared" si="819"/>
        <v>0.98056161531057662</v>
      </c>
      <c r="ACK71" s="149">
        <f t="shared" si="820"/>
        <v>1.0624655164612984</v>
      </c>
      <c r="ACL71" s="149">
        <f t="shared" si="821"/>
        <v>1.1381968903283954</v>
      </c>
      <c r="ACM71" s="149">
        <f t="shared" si="822"/>
        <v>1.2320391347345512</v>
      </c>
      <c r="ACN71" s="81"/>
      <c r="ACO71" s="122">
        <v>72</v>
      </c>
      <c r="ACP71" s="149">
        <f t="shared" si="823"/>
        <v>0.30214318337344659</v>
      </c>
      <c r="ACQ71" s="149">
        <f t="shared" si="824"/>
        <v>0.34195809839524821</v>
      </c>
      <c r="ACR71" s="149">
        <f t="shared" si="825"/>
        <v>0.37823821154400622</v>
      </c>
      <c r="ACS71" s="149">
        <f t="shared" si="826"/>
        <v>0.4224133281861569</v>
      </c>
      <c r="ACT71" s="149">
        <f t="shared" si="978"/>
        <v>0.50178961319397963</v>
      </c>
      <c r="ACU71" s="150">
        <f t="shared" si="979"/>
        <v>0.59843371099953546</v>
      </c>
      <c r="ACV71" s="149">
        <f t="shared" si="980"/>
        <v>0.70387980139774053</v>
      </c>
      <c r="ACW71" s="149">
        <f t="shared" si="827"/>
        <v>0.80617947296318127</v>
      </c>
      <c r="ACX71" s="149">
        <f t="shared" si="828"/>
        <v>0.87088733438735599</v>
      </c>
      <c r="ACY71" s="149">
        <f t="shared" si="829"/>
        <v>0.92910137668884174</v>
      </c>
      <c r="ACZ71" s="149">
        <f t="shared" si="830"/>
        <v>0.99923421383983524</v>
      </c>
      <c r="ADA71" s="81"/>
      <c r="ADB71" s="122">
        <v>69</v>
      </c>
      <c r="ADC71" s="149">
        <f t="shared" si="831"/>
        <v>0.25133022329345839</v>
      </c>
      <c r="ADD71" s="149">
        <f t="shared" si="832"/>
        <v>0.27274315552750528</v>
      </c>
      <c r="ADE71" s="149">
        <f t="shared" si="833"/>
        <v>0.29146826517650304</v>
      </c>
      <c r="ADF71" s="149">
        <f t="shared" si="834"/>
        <v>0.31339755584232343</v>
      </c>
      <c r="ADG71" s="149">
        <f t="shared" si="981"/>
        <v>0.35075409036419147</v>
      </c>
      <c r="ADH71" s="150">
        <f t="shared" si="982"/>
        <v>0.39347129304972739</v>
      </c>
      <c r="ADI71" s="149">
        <f t="shared" si="983"/>
        <v>0.43725960445485962</v>
      </c>
      <c r="ADJ71" s="149">
        <f t="shared" si="835"/>
        <v>0.47740774034106909</v>
      </c>
      <c r="ADK71" s="149">
        <f t="shared" si="836"/>
        <v>0.50184861778112233</v>
      </c>
      <c r="ADL71" s="149">
        <f t="shared" si="837"/>
        <v>0.52326702214533283</v>
      </c>
      <c r="ADM71" s="149">
        <f t="shared" si="838"/>
        <v>0.54842064847052363</v>
      </c>
      <c r="ADN71" s="81"/>
      <c r="ADO71" s="122">
        <v>69</v>
      </c>
      <c r="ADP71" s="149">
        <f t="shared" si="839"/>
        <v>0.29694677304597594</v>
      </c>
      <c r="ADQ71" s="149">
        <f t="shared" si="840"/>
        <v>0.31553698820372916</v>
      </c>
      <c r="ADR71" s="149">
        <f t="shared" si="841"/>
        <v>0.33187742820707228</v>
      </c>
      <c r="ADS71" s="149">
        <f t="shared" si="842"/>
        <v>0.35111591630003652</v>
      </c>
      <c r="ADT71" s="149">
        <f t="shared" si="984"/>
        <v>0.38414669513989541</v>
      </c>
      <c r="ADU71" s="150">
        <f t="shared" si="985"/>
        <v>0.42232019267239768</v>
      </c>
      <c r="ADV71" s="149">
        <f t="shared" si="986"/>
        <v>0.46189697806256952</v>
      </c>
      <c r="ADW71" s="149">
        <f t="shared" si="843"/>
        <v>0.49857702271144311</v>
      </c>
      <c r="ADX71" s="149">
        <f t="shared" si="844"/>
        <v>0.52108866785467045</v>
      </c>
      <c r="ADY71" s="149">
        <f t="shared" si="845"/>
        <v>0.54092837157596552</v>
      </c>
      <c r="ADZ71" s="149">
        <f t="shared" si="846"/>
        <v>0.56436010608872911</v>
      </c>
      <c r="AEA71" s="81"/>
      <c r="AEB71" s="122">
        <v>72</v>
      </c>
      <c r="AEC71" s="149">
        <f t="shared" si="847"/>
        <v>0.23533677050943635</v>
      </c>
      <c r="AED71" s="149">
        <f t="shared" si="848"/>
        <v>0.25730795050580912</v>
      </c>
      <c r="AEE71" s="149">
        <f t="shared" si="849"/>
        <v>0.27614420447490196</v>
      </c>
      <c r="AEF71" s="149">
        <f t="shared" si="850"/>
        <v>0.29779778555989106</v>
      </c>
      <c r="AEG71" s="149">
        <f t="shared" si="987"/>
        <v>0.33378220410300347</v>
      </c>
      <c r="AEH71" s="150">
        <f t="shared" si="988"/>
        <v>0.37370841441432368</v>
      </c>
      <c r="AEI71" s="149">
        <f t="shared" si="989"/>
        <v>0.41346438395269519</v>
      </c>
      <c r="AEJ71" s="149">
        <f t="shared" si="851"/>
        <v>0.44900276272848427</v>
      </c>
      <c r="AEK71" s="149">
        <f t="shared" si="852"/>
        <v>0.47025205849061397</v>
      </c>
      <c r="AEL71" s="149">
        <f t="shared" si="853"/>
        <v>0.48865151164546061</v>
      </c>
      <c r="AEM71" s="149">
        <f t="shared" si="854"/>
        <v>0.51001015873654876</v>
      </c>
      <c r="AEN71" s="81"/>
    </row>
    <row r="72" spans="1:820">
      <c r="A72" s="81"/>
      <c r="B72" s="81">
        <v>71</v>
      </c>
      <c r="C72" s="133">
        <f t="shared" si="495"/>
        <v>2.5179589659909256</v>
      </c>
      <c r="D72" s="133">
        <f t="shared" si="496"/>
        <v>3.0535076958687992</v>
      </c>
      <c r="E72" s="133">
        <f t="shared" si="497"/>
        <v>3.6248084984973015</v>
      </c>
      <c r="F72" s="133">
        <f t="shared" si="498"/>
        <v>4.4482134510187024</v>
      </c>
      <c r="G72" s="133">
        <f t="shared" si="855"/>
        <v>6.3734002471624764</v>
      </c>
      <c r="H72" s="134">
        <f t="shared" si="856"/>
        <v>9.8078659590879411</v>
      </c>
      <c r="I72" s="133">
        <f t="shared" si="857"/>
        <v>15.664432014818503</v>
      </c>
      <c r="J72" s="133">
        <f t="shared" si="499"/>
        <v>24.749623859776865</v>
      </c>
      <c r="K72" s="133">
        <f t="shared" si="500"/>
        <v>33.204528135656084</v>
      </c>
      <c r="L72" s="133">
        <f t="shared" si="501"/>
        <v>43.428602260789624</v>
      </c>
      <c r="M72" s="133">
        <f t="shared" si="502"/>
        <v>60.392784458222494</v>
      </c>
      <c r="N72" s="81"/>
      <c r="O72" s="75">
        <v>71</v>
      </c>
      <c r="P72" s="151">
        <f t="shared" si="503"/>
        <v>3.2369763832269536</v>
      </c>
      <c r="Q72" s="151">
        <f t="shared" si="504"/>
        <v>3.779341449587001</v>
      </c>
      <c r="R72" s="151">
        <f t="shared" si="505"/>
        <v>4.3535107962442146</v>
      </c>
      <c r="S72" s="151">
        <f t="shared" si="506"/>
        <v>5.1795878240052353</v>
      </c>
      <c r="T72" s="151">
        <f t="shared" si="858"/>
        <v>7.1329237042771254</v>
      </c>
      <c r="U72" s="134">
        <f t="shared" si="859"/>
        <v>10.783143481878938</v>
      </c>
      <c r="V72" s="151">
        <f t="shared" si="860"/>
        <v>17.709524473173754</v>
      </c>
      <c r="W72" s="151">
        <f t="shared" si="507"/>
        <v>30.672825544395344</v>
      </c>
      <c r="X72" s="151">
        <f t="shared" si="508"/>
        <v>45.711686039544603</v>
      </c>
      <c r="Y72" s="151">
        <f t="shared" si="509"/>
        <v>68.677052070088649</v>
      </c>
      <c r="Z72" s="151">
        <f t="shared" si="510"/>
        <v>122.21613117435336</v>
      </c>
      <c r="AA72" s="81"/>
      <c r="AB72" s="75"/>
      <c r="AC72" s="137"/>
      <c r="AD72" s="137"/>
      <c r="AE72" s="137"/>
      <c r="AF72" s="137"/>
      <c r="AG72" s="137"/>
      <c r="AH72" s="84"/>
      <c r="AI72" s="137"/>
      <c r="AJ72" s="137"/>
      <c r="AK72" s="137"/>
      <c r="AL72" s="137"/>
      <c r="AM72" s="137"/>
      <c r="AN72" s="81"/>
      <c r="AO72" s="81">
        <v>71</v>
      </c>
      <c r="AP72" s="133">
        <f t="shared" si="519"/>
        <v>2.5532749056708299</v>
      </c>
      <c r="AQ72" s="133">
        <f t="shared" si="520"/>
        <v>5.6433171614323756</v>
      </c>
      <c r="AR72" s="133">
        <f t="shared" si="521"/>
        <v>8.6661726431950115</v>
      </c>
      <c r="AS72" s="133">
        <f t="shared" si="522"/>
        <v>12.575550306711364</v>
      </c>
      <c r="AT72" s="133">
        <f t="shared" si="864"/>
        <v>20.12136240329572</v>
      </c>
      <c r="AU72" s="134">
        <f t="shared" si="865"/>
        <v>30.063250798572337</v>
      </c>
      <c r="AV72" s="133">
        <f t="shared" si="866"/>
        <v>41.644033045265864</v>
      </c>
      <c r="AW72" s="133">
        <f t="shared" si="523"/>
        <v>53.447547271969434</v>
      </c>
      <c r="AX72" s="133">
        <f t="shared" si="524"/>
        <v>61.170509673876445</v>
      </c>
      <c r="AY72" s="133">
        <f t="shared" si="525"/>
        <v>68.264753772221212</v>
      </c>
      <c r="AZ72" s="133">
        <f t="shared" si="526"/>
        <v>76.97810941657076</v>
      </c>
      <c r="BA72" s="81"/>
      <c r="BB72" s="81">
        <v>71</v>
      </c>
      <c r="BC72" s="133">
        <f t="shared" si="527"/>
        <v>5.3359983419168993</v>
      </c>
      <c r="BD72" s="133">
        <f t="shared" si="528"/>
        <v>8.956840804050394</v>
      </c>
      <c r="BE72" s="133">
        <f t="shared" si="529"/>
        <v>12.37246378711724</v>
      </c>
      <c r="BF72" s="133">
        <f t="shared" si="530"/>
        <v>16.643786182887762</v>
      </c>
      <c r="BG72" s="133">
        <f t="shared" si="867"/>
        <v>24.532461768679244</v>
      </c>
      <c r="BH72" s="134">
        <f t="shared" si="868"/>
        <v>34.40103923246874</v>
      </c>
      <c r="BI72" s="133">
        <f t="shared" si="869"/>
        <v>45.353100958231039</v>
      </c>
      <c r="BJ72" s="133">
        <f t="shared" si="531"/>
        <v>56.065373883537021</v>
      </c>
      <c r="BK72" s="133">
        <f t="shared" si="532"/>
        <v>62.876929553542887</v>
      </c>
      <c r="BL72" s="133">
        <f t="shared" si="533"/>
        <v>69.016679475812126</v>
      </c>
      <c r="BM72" s="133">
        <f t="shared" si="534"/>
        <v>76.421805458202144</v>
      </c>
      <c r="BN72" s="81"/>
      <c r="BO72" s="75"/>
      <c r="BP72" s="137"/>
      <c r="BQ72" s="137"/>
      <c r="BR72" s="137"/>
      <c r="BS72" s="137"/>
      <c r="BT72" s="137"/>
      <c r="BU72" s="84"/>
      <c r="BV72" s="137"/>
      <c r="BW72" s="137"/>
      <c r="BX72" s="137"/>
      <c r="BY72" s="137"/>
      <c r="BZ72" s="137"/>
      <c r="CA72" s="81"/>
      <c r="CB72" s="81">
        <v>71</v>
      </c>
      <c r="CC72" s="133">
        <f t="shared" si="543"/>
        <v>-1.2375671291188155</v>
      </c>
      <c r="CD72" s="133">
        <f t="shared" si="544"/>
        <v>1.9025219613932807</v>
      </c>
      <c r="CE72" s="133">
        <f t="shared" si="545"/>
        <v>4.8970453338328097</v>
      </c>
      <c r="CF72" s="133">
        <f t="shared" si="546"/>
        <v>8.6439417738767332</v>
      </c>
      <c r="CG72" s="133">
        <f t="shared" si="873"/>
        <v>15.510226480649507</v>
      </c>
      <c r="CH72" s="134">
        <f t="shared" si="874"/>
        <v>23.956905783564221</v>
      </c>
      <c r="CI72" s="133">
        <f t="shared" si="875"/>
        <v>33.138669644786056</v>
      </c>
      <c r="CJ72" s="133">
        <f t="shared" si="547"/>
        <v>41.938945153812845</v>
      </c>
      <c r="CK72" s="133">
        <f t="shared" si="548"/>
        <v>47.450480720022775</v>
      </c>
      <c r="CL72" s="133">
        <f t="shared" si="549"/>
        <v>52.366769349415016</v>
      </c>
      <c r="CM72" s="133">
        <f t="shared" si="550"/>
        <v>58.235489212807771</v>
      </c>
      <c r="CN72" s="81"/>
      <c r="CO72" s="81">
        <v>71</v>
      </c>
      <c r="CP72" s="133">
        <f t="shared" si="551"/>
        <v>4.663182313812718</v>
      </c>
      <c r="CQ72" s="133">
        <f t="shared" si="552"/>
        <v>7.7052116827408197</v>
      </c>
      <c r="CR72" s="133">
        <f t="shared" si="553"/>
        <v>10.498655640384371</v>
      </c>
      <c r="CS72" s="133">
        <f t="shared" si="554"/>
        <v>13.906755913481014</v>
      </c>
      <c r="CT72" s="133">
        <f t="shared" si="876"/>
        <v>20.002398331183674</v>
      </c>
      <c r="CU72" s="134">
        <f t="shared" si="877"/>
        <v>27.347385314792756</v>
      </c>
      <c r="CV72" s="133">
        <f t="shared" si="878"/>
        <v>35.220517953891701</v>
      </c>
      <c r="CW72" s="133">
        <f t="shared" si="555"/>
        <v>42.698545086687481</v>
      </c>
      <c r="CX72" s="133">
        <f t="shared" si="556"/>
        <v>47.358105236447834</v>
      </c>
      <c r="CY72" s="133">
        <f t="shared" si="557"/>
        <v>51.502367225970517</v>
      </c>
      <c r="CZ72" s="133">
        <f t="shared" si="558"/>
        <v>56.437185380464101</v>
      </c>
      <c r="DA72" s="81"/>
      <c r="DB72" s="81"/>
      <c r="DC72" s="83"/>
      <c r="DD72" s="83"/>
      <c r="DE72" s="83"/>
      <c r="DF72" s="83"/>
      <c r="DG72" s="83"/>
      <c r="DH72" s="84"/>
      <c r="DI72" s="83"/>
      <c r="DJ72" s="83"/>
      <c r="DK72" s="83"/>
      <c r="DL72" s="83"/>
      <c r="DM72" s="83"/>
      <c r="DN72" s="81"/>
      <c r="DO72" s="122">
        <v>71</v>
      </c>
      <c r="DP72" s="149">
        <v>14.274970758481766</v>
      </c>
      <c r="DQ72" s="149">
        <v>15.481571222772727</v>
      </c>
      <c r="DR72" s="149">
        <v>16.600576499660253</v>
      </c>
      <c r="DS72" s="149">
        <v>17.991465609291595</v>
      </c>
      <c r="DT72" s="149">
        <v>20.575872953788185</v>
      </c>
      <c r="DU72" s="150">
        <v>23.896246720194704</v>
      </c>
      <c r="DV72" s="149">
        <v>27.752436486894471</v>
      </c>
      <c r="DW72" s="149">
        <v>31.738971116255847</v>
      </c>
      <c r="DX72" s="149">
        <v>34.398239562590078</v>
      </c>
      <c r="DY72" s="149">
        <v>36.884538338877036</v>
      </c>
      <c r="DZ72" s="149">
        <v>40.002226062223414</v>
      </c>
      <c r="EA72" s="81"/>
      <c r="EB72" s="122">
        <v>71</v>
      </c>
      <c r="EC72" s="149">
        <v>13.455432232580826</v>
      </c>
      <c r="ED72" s="149">
        <v>14.786392800731576</v>
      </c>
      <c r="EE72" s="149">
        <v>16.035924104497823</v>
      </c>
      <c r="EF72" s="149">
        <v>17.608160422719507</v>
      </c>
      <c r="EG72" s="149">
        <v>20.58141935873644</v>
      </c>
      <c r="EH72" s="150">
        <v>24.49071614389694</v>
      </c>
      <c r="EI72" s="149">
        <v>29.142556535408808</v>
      </c>
      <c r="EJ72" s="149">
        <v>34.06347754913844</v>
      </c>
      <c r="EK72" s="149">
        <v>37.403218756360985</v>
      </c>
      <c r="EL72" s="149">
        <v>40.563995920036582</v>
      </c>
      <c r="EM72" s="149">
        <v>44.576433285331184</v>
      </c>
      <c r="EN72" s="81"/>
      <c r="EO72" s="122"/>
      <c r="EP72" s="126"/>
      <c r="EQ72" s="126"/>
      <c r="ER72" s="126"/>
      <c r="ES72" s="126"/>
      <c r="ET72" s="126"/>
      <c r="EU72" s="127"/>
      <c r="EV72" s="126"/>
      <c r="EW72" s="126"/>
      <c r="EX72" s="126"/>
      <c r="EY72" s="126"/>
      <c r="EZ72" s="126"/>
      <c r="FA72" s="81"/>
      <c r="FB72" s="122">
        <v>71</v>
      </c>
      <c r="FC72" s="149">
        <v>10.292704034846324</v>
      </c>
      <c r="FD72" s="149">
        <v>11.074868019381245</v>
      </c>
      <c r="FE72" s="149">
        <v>11.794949315292552</v>
      </c>
      <c r="FF72" s="149">
        <v>12.683455148678798</v>
      </c>
      <c r="FG72" s="149">
        <v>14.317077515070817</v>
      </c>
      <c r="FH72" s="150">
        <v>16.387042408296349</v>
      </c>
      <c r="FI72" s="149">
        <v>18.756283089801716</v>
      </c>
      <c r="FJ72" s="149">
        <v>21.172082507760177</v>
      </c>
      <c r="FK72" s="149">
        <v>22.766961664102976</v>
      </c>
      <c r="FL72" s="149">
        <v>24.247255896987767</v>
      </c>
      <c r="FM72" s="149">
        <v>26.089855297710649</v>
      </c>
      <c r="FN72" s="81"/>
      <c r="FO72" s="122">
        <v>71</v>
      </c>
      <c r="FP72" s="149">
        <v>10.225523784627576</v>
      </c>
      <c r="FQ72" s="149">
        <v>11.029349713584297</v>
      </c>
      <c r="FR72" s="149">
        <v>11.771044885269339</v>
      </c>
      <c r="FS72" s="149">
        <v>12.688284472616235</v>
      </c>
      <c r="FT72" s="149">
        <v>14.380211515787977</v>
      </c>
      <c r="FU72" s="150">
        <v>16.53320572231458</v>
      </c>
      <c r="FV72" s="149">
        <v>19.008544565305531</v>
      </c>
      <c r="FW72" s="149">
        <v>21.543250551034767</v>
      </c>
      <c r="FX72" s="149">
        <v>23.221973420426814</v>
      </c>
      <c r="FY72" s="149">
        <v>24.783590923743031</v>
      </c>
      <c r="FZ72" s="149">
        <v>26.731822957304981</v>
      </c>
      <c r="GA72" s="81"/>
      <c r="GB72" s="122"/>
      <c r="GC72" s="126"/>
      <c r="GD72" s="126"/>
      <c r="GE72" s="126"/>
      <c r="GF72" s="126"/>
      <c r="GG72" s="126"/>
      <c r="GH72" s="127"/>
      <c r="GI72" s="126"/>
      <c r="GJ72" s="126"/>
      <c r="GK72" s="126"/>
      <c r="GL72" s="126"/>
      <c r="GM72" s="126"/>
      <c r="GN72" s="81"/>
      <c r="GO72" s="122">
        <v>71</v>
      </c>
      <c r="GP72" s="149">
        <f t="shared" si="567"/>
        <v>0.53106142453557348</v>
      </c>
      <c r="GQ72" s="149">
        <f t="shared" si="568"/>
        <v>0.56218331976768399</v>
      </c>
      <c r="GR72" s="149">
        <f t="shared" si="569"/>
        <v>0.58755782456466132</v>
      </c>
      <c r="GS72" s="149">
        <f t="shared" si="570"/>
        <v>0.61544198249154169</v>
      </c>
      <c r="GT72" s="149">
        <f t="shared" si="882"/>
        <v>0.66042971790947835</v>
      </c>
      <c r="GU72" s="150">
        <f t="shared" si="883"/>
        <v>0.70458190332968362</v>
      </c>
      <c r="GV72" s="149">
        <f t="shared" si="884"/>
        <v>0.74597898079560943</v>
      </c>
      <c r="GW72" s="149">
        <f t="shared" si="571"/>
        <v>0.78311141467703749</v>
      </c>
      <c r="GX72" s="149">
        <f t="shared" si="572"/>
        <v>0.80390004336890153</v>
      </c>
      <c r="GY72" s="149">
        <f t="shared" si="573"/>
        <v>0.82148021366746904</v>
      </c>
      <c r="GZ72" s="149">
        <f t="shared" si="574"/>
        <v>0.84143228483902144</v>
      </c>
      <c r="HA72" s="81"/>
      <c r="HB72" s="122">
        <v>71</v>
      </c>
      <c r="HC72" s="149">
        <f t="shared" si="575"/>
        <v>0.52971937868334995</v>
      </c>
      <c r="HD72" s="149">
        <f t="shared" si="576"/>
        <v>0.56161198985611782</v>
      </c>
      <c r="HE72" s="149">
        <f t="shared" si="577"/>
        <v>0.58760599430758187</v>
      </c>
      <c r="HF72" s="149">
        <f t="shared" si="578"/>
        <v>0.61616425784220097</v>
      </c>
      <c r="HG72" s="149">
        <f t="shared" si="885"/>
        <v>0.66096179343179751</v>
      </c>
      <c r="HH72" s="150">
        <f t="shared" si="886"/>
        <v>0.70743394218511368</v>
      </c>
      <c r="HI72" s="149">
        <f t="shared" si="887"/>
        <v>0.75092837555321401</v>
      </c>
      <c r="HJ72" s="149">
        <f t="shared" si="579"/>
        <v>0.78783302429025681</v>
      </c>
      <c r="HK72" s="149">
        <f t="shared" si="580"/>
        <v>0.80911809125480028</v>
      </c>
      <c r="HL72" s="149">
        <f t="shared" si="581"/>
        <v>0.82711893289328009</v>
      </c>
      <c r="HM72" s="149">
        <f t="shared" si="582"/>
        <v>0.8475495323512332</v>
      </c>
      <c r="HN72" s="81"/>
      <c r="HO72" s="122"/>
      <c r="HP72" s="126"/>
      <c r="HQ72" s="126"/>
      <c r="HR72" s="126"/>
      <c r="HS72" s="126"/>
      <c r="HT72" s="126"/>
      <c r="HU72" s="127"/>
      <c r="HV72" s="126"/>
      <c r="HW72" s="126"/>
      <c r="HX72" s="126"/>
      <c r="HY72" s="126"/>
      <c r="HZ72" s="126"/>
      <c r="IA72" s="81"/>
      <c r="IB72" s="122">
        <v>71</v>
      </c>
      <c r="IC72" s="126">
        <f t="shared" si="591"/>
        <v>0.34778431834657869</v>
      </c>
      <c r="ID72" s="126">
        <f t="shared" si="592"/>
        <v>0.36024768731957352</v>
      </c>
      <c r="IE72" s="126">
        <f t="shared" si="593"/>
        <v>0.37013264106417543</v>
      </c>
      <c r="IF72" s="126">
        <f t="shared" si="594"/>
        <v>0.38073536330728835</v>
      </c>
      <c r="IG72" s="126">
        <f t="shared" si="891"/>
        <v>0.39687596662107927</v>
      </c>
      <c r="IH72" s="127">
        <f t="shared" si="892"/>
        <v>0.41305264222793964</v>
      </c>
      <c r="II72" s="126">
        <f t="shared" si="893"/>
        <v>0.42772649380198702</v>
      </c>
      <c r="IJ72" s="126">
        <f t="shared" si="595"/>
        <v>0.43985727737893821</v>
      </c>
      <c r="IK72" s="126">
        <f t="shared" si="596"/>
        <v>0.44672998177025086</v>
      </c>
      <c r="IL72" s="126">
        <f t="shared" si="597"/>
        <v>0.4524752390359526</v>
      </c>
      <c r="IM72" s="126">
        <f t="shared" si="598"/>
        <v>0.4589245338461494</v>
      </c>
      <c r="IN72" s="81"/>
      <c r="IO72" s="122">
        <v>71</v>
      </c>
      <c r="IP72" s="149">
        <f t="shared" si="599"/>
        <v>0.34682459006624067</v>
      </c>
      <c r="IQ72" s="149">
        <f t="shared" si="600"/>
        <v>0.35968174527302693</v>
      </c>
      <c r="IR72" s="149">
        <f t="shared" si="601"/>
        <v>0.36986512498604712</v>
      </c>
      <c r="IS72" s="149">
        <f t="shared" si="602"/>
        <v>0.38077645350012229</v>
      </c>
      <c r="IT72" s="149">
        <f t="shared" si="894"/>
        <v>0.39736795862458291</v>
      </c>
      <c r="IU72" s="150">
        <f t="shared" si="895"/>
        <v>0.41397821816632341</v>
      </c>
      <c r="IV72" s="149">
        <f t="shared" si="896"/>
        <v>0.42903298039359722</v>
      </c>
      <c r="IW72" s="149">
        <f t="shared" si="603"/>
        <v>0.44147159511537903</v>
      </c>
      <c r="IX72" s="149">
        <f t="shared" si="604"/>
        <v>0.44851634645495714</v>
      </c>
      <c r="IY72" s="149">
        <f t="shared" si="605"/>
        <v>0.45440429112372671</v>
      </c>
      <c r="IZ72" s="149">
        <f t="shared" si="606"/>
        <v>0.46101265512850481</v>
      </c>
      <c r="JA72" s="81"/>
      <c r="JB72" s="122"/>
      <c r="JC72" s="126"/>
      <c r="JD72" s="126"/>
      <c r="JE72" s="126"/>
      <c r="JF72" s="126"/>
      <c r="JG72" s="126"/>
      <c r="JH72" s="127"/>
      <c r="JI72" s="126"/>
      <c r="JJ72" s="126"/>
      <c r="JK72" s="126"/>
      <c r="JL72" s="126"/>
      <c r="JM72" s="126"/>
      <c r="JN72" s="81"/>
      <c r="JO72" s="122">
        <v>70</v>
      </c>
      <c r="JP72" s="149">
        <f t="shared" si="615"/>
        <v>2.5031689311668899</v>
      </c>
      <c r="JQ72" s="149">
        <f t="shared" si="616"/>
        <v>3.9210821453183868</v>
      </c>
      <c r="JR72" s="149">
        <f t="shared" si="617"/>
        <v>5.1520597053303305</v>
      </c>
      <c r="JS72" s="149">
        <f t="shared" si="618"/>
        <v>6.5840451678675969</v>
      </c>
      <c r="JT72" s="149">
        <f t="shared" si="900"/>
        <v>9.0020310580839862</v>
      </c>
      <c r="JU72" s="150">
        <f t="shared" si="901"/>
        <v>11.738049269185534</v>
      </c>
      <c r="JV72" s="149">
        <f t="shared" si="902"/>
        <v>14.514947564793385</v>
      </c>
      <c r="JW72" s="149">
        <f t="shared" si="619"/>
        <v>17.039411456081812</v>
      </c>
      <c r="JX72" s="149">
        <f t="shared" si="620"/>
        <v>18.567110502098405</v>
      </c>
      <c r="JY72" s="149">
        <f t="shared" si="621"/>
        <v>19.900635563993081</v>
      </c>
      <c r="JZ72" s="149">
        <f t="shared" si="622"/>
        <v>21.460815686333635</v>
      </c>
      <c r="KA72" s="81"/>
      <c r="KB72" s="122">
        <v>70</v>
      </c>
      <c r="KC72" s="149">
        <f t="shared" si="623"/>
        <v>3.9714105621917337</v>
      </c>
      <c r="KD72" s="149">
        <f t="shared" si="624"/>
        <v>5.4137157025574236</v>
      </c>
      <c r="KE72" s="149">
        <f t="shared" si="625"/>
        <v>6.6854472093383404</v>
      </c>
      <c r="KF72" s="149">
        <f t="shared" si="626"/>
        <v>8.186560117260262</v>
      </c>
      <c r="KG72" s="149">
        <f t="shared" si="903"/>
        <v>10.771155923883581</v>
      </c>
      <c r="KH72" s="150">
        <f t="shared" si="904"/>
        <v>13.765943683455196</v>
      </c>
      <c r="KI72" s="149">
        <f t="shared" si="905"/>
        <v>16.875826890804476</v>
      </c>
      <c r="KJ72" s="149">
        <f t="shared" si="627"/>
        <v>19.760077666371153</v>
      </c>
      <c r="KK72" s="149">
        <f t="shared" si="628"/>
        <v>21.53039499490896</v>
      </c>
      <c r="KL72" s="149">
        <f t="shared" si="629"/>
        <v>23.090387822926438</v>
      </c>
      <c r="KM72" s="149">
        <f t="shared" si="630"/>
        <v>24.932325589596815</v>
      </c>
      <c r="KN72" s="81"/>
      <c r="KO72" s="122">
        <v>72</v>
      </c>
      <c r="KP72" s="149">
        <f t="shared" si="631"/>
        <v>3.4740047472360764</v>
      </c>
      <c r="KQ72" s="149">
        <f t="shared" si="632"/>
        <v>4.5948789469188576</v>
      </c>
      <c r="KR72" s="149">
        <f t="shared" si="633"/>
        <v>5.5565356235944456</v>
      </c>
      <c r="KS72" s="149">
        <f t="shared" si="634"/>
        <v>6.6626824405991556</v>
      </c>
      <c r="KT72" s="149">
        <f t="shared" si="906"/>
        <v>8.5020941064138285</v>
      </c>
      <c r="KU72" s="150">
        <f t="shared" si="907"/>
        <v>10.544222029735749</v>
      </c>
      <c r="KV72" s="149">
        <f t="shared" si="908"/>
        <v>12.578442638150232</v>
      </c>
      <c r="KW72" s="149">
        <f t="shared" si="635"/>
        <v>14.397237233274456</v>
      </c>
      <c r="KX72" s="149">
        <f t="shared" si="636"/>
        <v>15.484824736843162</v>
      </c>
      <c r="KY72" s="149">
        <f t="shared" si="637"/>
        <v>16.426568824074533</v>
      </c>
      <c r="KZ72" s="149">
        <f t="shared" si="638"/>
        <v>17.519768996317989</v>
      </c>
      <c r="LA72" s="81"/>
      <c r="LB72" s="122">
        <v>70</v>
      </c>
      <c r="LC72" s="149">
        <f t="shared" si="639"/>
        <v>8.9216577705552709</v>
      </c>
      <c r="LD72" s="149">
        <f t="shared" si="640"/>
        <v>12.588600745674213</v>
      </c>
      <c r="LE72" s="149">
        <f t="shared" si="641"/>
        <v>15.788586721721508</v>
      </c>
      <c r="LF72" s="149">
        <f t="shared" si="642"/>
        <v>19.528850609978512</v>
      </c>
      <c r="LG72" s="149">
        <f t="shared" si="909"/>
        <v>25.883882036333858</v>
      </c>
      <c r="LH72" s="150">
        <f t="shared" si="910"/>
        <v>33.128038482315738</v>
      </c>
      <c r="LI72" s="149">
        <f t="shared" si="911"/>
        <v>40.531450324157881</v>
      </c>
      <c r="LJ72" s="149">
        <f t="shared" si="643"/>
        <v>47.301590527117547</v>
      </c>
      <c r="LK72" s="149">
        <f t="shared" si="644"/>
        <v>51.415382098874097</v>
      </c>
      <c r="LL72" s="149">
        <f t="shared" si="645"/>
        <v>55.015979876508673</v>
      </c>
      <c r="LM72" s="149">
        <f t="shared" si="646"/>
        <v>59.239433200760324</v>
      </c>
      <c r="LN72" s="81"/>
      <c r="LO72" s="122">
        <v>70</v>
      </c>
      <c r="LP72" s="149">
        <f t="shared" si="647"/>
        <v>14.168463286648819</v>
      </c>
      <c r="LQ72" s="149">
        <f t="shared" si="648"/>
        <v>17.970937151715876</v>
      </c>
      <c r="LR72" s="149">
        <f t="shared" si="649"/>
        <v>21.296475495082692</v>
      </c>
      <c r="LS72" s="149">
        <f t="shared" si="650"/>
        <v>25.191525018982322</v>
      </c>
      <c r="LT72" s="149">
        <f t="shared" si="912"/>
        <v>31.827914718794712</v>
      </c>
      <c r="LU72" s="150">
        <f t="shared" si="913"/>
        <v>39.418477708836619</v>
      </c>
      <c r="LV72" s="149">
        <f t="shared" si="914"/>
        <v>47.201416535604594</v>
      </c>
      <c r="LW72" s="149">
        <f t="shared" si="651"/>
        <v>54.339140196006142</v>
      </c>
      <c r="LX72" s="149">
        <f t="shared" si="652"/>
        <v>58.68517413462466</v>
      </c>
      <c r="LY72" s="149">
        <f t="shared" si="653"/>
        <v>62.494257245711736</v>
      </c>
      <c r="LZ72" s="149">
        <f t="shared" si="654"/>
        <v>66.968203755657356</v>
      </c>
      <c r="MA72" s="81"/>
      <c r="MB72" s="122">
        <v>72</v>
      </c>
      <c r="MC72" s="149">
        <f t="shared" si="655"/>
        <v>10.767342781306652</v>
      </c>
      <c r="MD72" s="149">
        <f t="shared" si="656"/>
        <v>13.53869267515978</v>
      </c>
      <c r="ME72" s="149">
        <f t="shared" si="657"/>
        <v>15.937598206145083</v>
      </c>
      <c r="MF72" s="149">
        <f t="shared" si="658"/>
        <v>18.720371406173143</v>
      </c>
      <c r="MG72" s="149">
        <f t="shared" si="915"/>
        <v>23.401201540910705</v>
      </c>
      <c r="MH72" s="150">
        <f t="shared" si="916"/>
        <v>28.67232689139292</v>
      </c>
      <c r="MI72" s="149">
        <f t="shared" si="917"/>
        <v>33.996879991798473</v>
      </c>
      <c r="MJ72" s="149">
        <f t="shared" si="659"/>
        <v>38.816933136183287</v>
      </c>
      <c r="MK72" s="149">
        <f t="shared" si="660"/>
        <v>41.724932857084305</v>
      </c>
      <c r="ML72" s="149">
        <f t="shared" si="661"/>
        <v>44.258089372448744</v>
      </c>
      <c r="MM72" s="149">
        <f t="shared" si="662"/>
        <v>47.215834144778107</v>
      </c>
      <c r="MN72" s="81"/>
      <c r="MO72" s="122">
        <v>70</v>
      </c>
      <c r="MP72" s="149">
        <f t="shared" si="663"/>
        <v>2.797290926109163</v>
      </c>
      <c r="MQ72" s="149">
        <f t="shared" si="664"/>
        <v>6.7930187829196811</v>
      </c>
      <c r="MR72" s="149">
        <f t="shared" si="665"/>
        <v>10.238967561675786</v>
      </c>
      <c r="MS72" s="149">
        <f t="shared" si="666"/>
        <v>14.221911017590571</v>
      </c>
      <c r="MT72" s="149">
        <f t="shared" si="918"/>
        <v>20.887958537910407</v>
      </c>
      <c r="MU72" s="150">
        <f t="shared" si="919"/>
        <v>28.346876470619456</v>
      </c>
      <c r="MV72" s="149">
        <f t="shared" si="920"/>
        <v>35.833195489962002</v>
      </c>
      <c r="MW72" s="149">
        <f t="shared" si="667"/>
        <v>42.570975707665859</v>
      </c>
      <c r="MX72" s="149">
        <f t="shared" si="668"/>
        <v>46.618861140413806</v>
      </c>
      <c r="MY72" s="149">
        <f t="shared" si="669"/>
        <v>50.134892402275675</v>
      </c>
      <c r="MZ72" s="149">
        <f t="shared" si="670"/>
        <v>54.228750108883411</v>
      </c>
      <c r="NA72" s="81"/>
      <c r="NB72" s="122">
        <v>70</v>
      </c>
      <c r="NC72" s="149">
        <f t="shared" si="671"/>
        <v>13.590723587812658</v>
      </c>
      <c r="ND72" s="149">
        <f t="shared" si="672"/>
        <v>16.902737890953386</v>
      </c>
      <c r="NE72" s="149">
        <f t="shared" si="673"/>
        <v>19.759908131384154</v>
      </c>
      <c r="NF72" s="149">
        <f t="shared" si="674"/>
        <v>23.063384039831245</v>
      </c>
      <c r="NG72" s="149">
        <f t="shared" si="921"/>
        <v>28.594903223407155</v>
      </c>
      <c r="NH72" s="150">
        <f t="shared" si="922"/>
        <v>34.788388489284969</v>
      </c>
      <c r="NI72" s="149">
        <f t="shared" si="923"/>
        <v>41.00891282744675</v>
      </c>
      <c r="NJ72" s="149">
        <f t="shared" si="675"/>
        <v>46.611071730334757</v>
      </c>
      <c r="NK72" s="149">
        <f t="shared" si="676"/>
        <v>49.97831400492781</v>
      </c>
      <c r="NL72" s="149">
        <f t="shared" si="677"/>
        <v>52.904092944405505</v>
      </c>
      <c r="NM72" s="149">
        <f t="shared" si="678"/>
        <v>56.311801713825943</v>
      </c>
      <c r="NN72" s="81"/>
      <c r="NO72" s="122">
        <v>72</v>
      </c>
      <c r="NP72" s="149">
        <f t="shared" si="679"/>
        <v>0.35875228300039907</v>
      </c>
      <c r="NQ72" s="149">
        <f t="shared" si="680"/>
        <v>3.930051799676221</v>
      </c>
      <c r="NR72" s="149">
        <f t="shared" si="681"/>
        <v>7.0028151787391124</v>
      </c>
      <c r="NS72" s="149">
        <f t="shared" si="682"/>
        <v>10.546846515652845</v>
      </c>
      <c r="NT72" s="149">
        <f t="shared" si="924"/>
        <v>16.461815274149899</v>
      </c>
      <c r="NU72" s="150">
        <f t="shared" si="925"/>
        <v>23.058435890265024</v>
      </c>
      <c r="NV72" s="149">
        <f t="shared" si="926"/>
        <v>29.658688468150196</v>
      </c>
      <c r="NW72" s="149">
        <f t="shared" si="683"/>
        <v>35.583166438543337</v>
      </c>
      <c r="NX72" s="149">
        <f t="shared" si="684"/>
        <v>39.135808235590197</v>
      </c>
      <c r="NY72" s="149">
        <f t="shared" si="685"/>
        <v>42.217865168515054</v>
      </c>
      <c r="NZ72" s="149">
        <f t="shared" si="686"/>
        <v>45.802180179519347</v>
      </c>
      <c r="OA72" s="81"/>
      <c r="OB72" s="122">
        <v>70</v>
      </c>
      <c r="OC72" s="149">
        <v>15.177549261543469</v>
      </c>
      <c r="OD72" s="149">
        <v>16.47671492063532</v>
      </c>
      <c r="OE72" s="149">
        <v>17.682671183768853</v>
      </c>
      <c r="OF72" s="149">
        <v>19.183012171507404</v>
      </c>
      <c r="OG72" s="149">
        <v>21.974471357662818</v>
      </c>
      <c r="OH72" s="150">
        <v>25.5670791341288</v>
      </c>
      <c r="OI72" s="149">
        <v>29.747042593716735</v>
      </c>
      <c r="OJ72" s="149">
        <v>34.07575044036674</v>
      </c>
      <c r="OK72" s="149">
        <v>36.967012995797901</v>
      </c>
      <c r="OL72" s="149">
        <v>39.67268588425631</v>
      </c>
      <c r="OM72" s="149">
        <v>43.068582693193591</v>
      </c>
      <c r="ON72" s="81"/>
      <c r="OO72" s="122">
        <v>70</v>
      </c>
      <c r="OP72" s="149">
        <v>16.977583806113277</v>
      </c>
      <c r="OQ72" s="149">
        <v>18.009755748293649</v>
      </c>
      <c r="OR72" s="149">
        <v>18.947533064727853</v>
      </c>
      <c r="OS72" s="149">
        <v>20.089494047927403</v>
      </c>
      <c r="OT72" s="149">
        <v>25.122196882345719</v>
      </c>
      <c r="OU72" s="150">
        <v>24.695929761109557</v>
      </c>
      <c r="OV72" s="149">
        <v>27.534857698258477</v>
      </c>
      <c r="OW72" s="149">
        <v>30.358601630814984</v>
      </c>
      <c r="OX72" s="149">
        <v>32.188303600377793</v>
      </c>
      <c r="OY72" s="149">
        <v>33.864365252340598</v>
      </c>
      <c r="OZ72" s="149">
        <v>35.923188701683713</v>
      </c>
      <c r="PA72" s="81"/>
      <c r="PB72" s="122">
        <v>72</v>
      </c>
      <c r="PC72" s="149">
        <v>13.502416861914206</v>
      </c>
      <c r="PD72" s="149">
        <v>14.908144728507349</v>
      </c>
      <c r="PE72" s="149">
        <v>16.233655146876355</v>
      </c>
      <c r="PF72" s="149">
        <v>17.908804239996197</v>
      </c>
      <c r="PG72" s="149">
        <v>21.096712739181445</v>
      </c>
      <c r="PH72" s="150">
        <v>25.323044645657149</v>
      </c>
      <c r="PI72" s="149">
        <v>30.39604312073627</v>
      </c>
      <c r="PJ72" s="149">
        <v>35.806778695688145</v>
      </c>
      <c r="PK72" s="149">
        <v>39.501676259849255</v>
      </c>
      <c r="PL72" s="149">
        <v>43.01384255411304</v>
      </c>
      <c r="PM72" s="149">
        <v>47.49198581882888</v>
      </c>
      <c r="PN72" s="81"/>
      <c r="PO72" s="122">
        <v>70</v>
      </c>
      <c r="PP72" s="149">
        <v>10.84953792811219</v>
      </c>
      <c r="PQ72" s="149">
        <v>11.761933819519456</v>
      </c>
      <c r="PR72" s="149">
        <v>12.607781200328366</v>
      </c>
      <c r="PS72" s="149">
        <v>13.658756626920059</v>
      </c>
      <c r="PT72" s="149">
        <v>15.610537376457319</v>
      </c>
      <c r="PU72" s="150">
        <v>18.116386368678935</v>
      </c>
      <c r="PV72" s="149">
        <v>21.024481550150131</v>
      </c>
      <c r="PW72" s="149">
        <v>24.028794422795375</v>
      </c>
      <c r="PX72" s="149">
        <v>26.031817164681438</v>
      </c>
      <c r="PY72" s="149">
        <v>27.903868538572084</v>
      </c>
      <c r="PZ72" s="149">
        <v>30.250454649211321</v>
      </c>
      <c r="QA72" s="81"/>
      <c r="QB72" s="122">
        <v>70</v>
      </c>
      <c r="QC72" s="149">
        <v>11.203456106068069</v>
      </c>
      <c r="QD72" s="149">
        <v>12.125236845246258</v>
      </c>
      <c r="QE72" s="149">
        <v>12.978453521196961</v>
      </c>
      <c r="QF72" s="149">
        <v>14.036935642509638</v>
      </c>
      <c r="QG72" s="149">
        <v>15.998256976190882</v>
      </c>
      <c r="QH72" s="150">
        <v>18.508951969144547</v>
      </c>
      <c r="QI72" s="149">
        <v>21.413664220167252</v>
      </c>
      <c r="QJ72" s="149">
        <v>24.405704472892367</v>
      </c>
      <c r="QK72" s="149">
        <v>26.396157480286949</v>
      </c>
      <c r="QL72" s="149">
        <v>28.253576187289887</v>
      </c>
      <c r="QM72" s="149">
        <v>30.578180496512068</v>
      </c>
      <c r="QN72" s="81"/>
      <c r="QO72" s="122">
        <v>72</v>
      </c>
      <c r="QP72" s="149">
        <v>9.2690473143648706</v>
      </c>
      <c r="QQ72" s="149">
        <v>10.200802328056188</v>
      </c>
      <c r="QR72" s="149">
        <v>11.076738822034843</v>
      </c>
      <c r="QS72" s="149">
        <v>12.180390677342617</v>
      </c>
      <c r="QT72" s="149">
        <v>14.271589698564405</v>
      </c>
      <c r="QU72" s="150">
        <v>17.02819478342731</v>
      </c>
      <c r="QV72" s="149">
        <v>20.317247321894932</v>
      </c>
      <c r="QW72" s="149">
        <v>23.805428353107729</v>
      </c>
      <c r="QX72" s="149">
        <v>26.17732730192461</v>
      </c>
      <c r="QY72" s="149">
        <v>28.425157968686385</v>
      </c>
      <c r="QZ72" s="149">
        <v>31.282548006090252</v>
      </c>
      <c r="RA72" s="81"/>
      <c r="RB72" s="122">
        <v>70</v>
      </c>
      <c r="RC72" s="149">
        <f t="shared" si="687"/>
        <v>0.4287505287610277</v>
      </c>
      <c r="RD72" s="149">
        <f t="shared" si="688"/>
        <v>0.46786807502230443</v>
      </c>
      <c r="RE72" s="149">
        <f t="shared" si="689"/>
        <v>0.50483380841872694</v>
      </c>
      <c r="RF72" s="149">
        <f t="shared" si="690"/>
        <v>0.5517095104990023</v>
      </c>
      <c r="RG72" s="149">
        <f t="shared" si="927"/>
        <v>0.64155808973526096</v>
      </c>
      <c r="RH72" s="150">
        <f t="shared" si="928"/>
        <v>0.7622728443217881</v>
      </c>
      <c r="RI72" s="149">
        <f t="shared" si="929"/>
        <v>0.90997026407063952</v>
      </c>
      <c r="RJ72" s="149">
        <f t="shared" si="691"/>
        <v>1.0711942442433886</v>
      </c>
      <c r="RK72" s="149">
        <f t="shared" si="692"/>
        <v>1.1835960261443561</v>
      </c>
      <c r="RL72" s="149">
        <f t="shared" si="693"/>
        <v>1.2922224678505423</v>
      </c>
      <c r="RM72" s="149">
        <f t="shared" si="694"/>
        <v>1.4332908855689552</v>
      </c>
      <c r="RN72" s="81"/>
      <c r="RO72" s="122">
        <v>70</v>
      </c>
      <c r="RP72" s="149">
        <f t="shared" si="695"/>
        <v>0.47233125401025167</v>
      </c>
      <c r="RQ72" s="149">
        <f t="shared" si="696"/>
        <v>0.51719310329788104</v>
      </c>
      <c r="RR72" s="149">
        <f t="shared" si="697"/>
        <v>0.55997679187459037</v>
      </c>
      <c r="RS72" s="149">
        <f t="shared" si="698"/>
        <v>0.61476965187925969</v>
      </c>
      <c r="RT72" s="149">
        <f t="shared" si="930"/>
        <v>0.72145542724859357</v>
      </c>
      <c r="RU72" s="150">
        <f t="shared" si="931"/>
        <v>0.86815404581239797</v>
      </c>
      <c r="RV72" s="149">
        <f t="shared" si="932"/>
        <v>1.0527281983142434</v>
      </c>
      <c r="RW72" s="149">
        <f t="shared" si="699"/>
        <v>1.2603772749851783</v>
      </c>
      <c r="RX72" s="149">
        <f t="shared" si="700"/>
        <v>1.4088405883462134</v>
      </c>
      <c r="RY72" s="149">
        <f t="shared" si="701"/>
        <v>1.5551297388149772</v>
      </c>
      <c r="RZ72" s="149">
        <f t="shared" si="702"/>
        <v>1.7491467950281139</v>
      </c>
      <c r="SA72" s="81"/>
      <c r="SB72" s="122">
        <v>72</v>
      </c>
      <c r="SC72" s="149">
        <f t="shared" si="703"/>
        <v>0.44238031645086717</v>
      </c>
      <c r="SD72" s="149">
        <f t="shared" si="704"/>
        <v>0.47597693970830007</v>
      </c>
      <c r="SE72" s="149">
        <f t="shared" si="705"/>
        <v>0.50693391325217441</v>
      </c>
      <c r="SF72" s="149">
        <f t="shared" si="706"/>
        <v>0.54516732069480456</v>
      </c>
      <c r="SG72" s="149">
        <f t="shared" si="933"/>
        <v>0.61556626069289255</v>
      </c>
      <c r="SH72" s="150">
        <f t="shared" si="934"/>
        <v>0.7049563030885877</v>
      </c>
      <c r="SI72" s="149">
        <f t="shared" si="935"/>
        <v>0.80752053051191486</v>
      </c>
      <c r="SJ72" s="149">
        <f t="shared" si="707"/>
        <v>0.91236550814396455</v>
      </c>
      <c r="SK72" s="149">
        <f t="shared" si="708"/>
        <v>0.98172446233091226</v>
      </c>
      <c r="SL72" s="149">
        <f t="shared" si="709"/>
        <v>1.0461980630216796</v>
      </c>
      <c r="SM72" s="149">
        <f t="shared" si="710"/>
        <v>1.1265797004683658</v>
      </c>
      <c r="SN72" s="81"/>
      <c r="SO72" s="122">
        <v>70</v>
      </c>
      <c r="SP72" s="149">
        <f t="shared" si="711"/>
        <v>0.3011160639007418</v>
      </c>
      <c r="SQ72" s="149">
        <f t="shared" si="712"/>
        <v>0.31947556778079228</v>
      </c>
      <c r="SR72" s="149">
        <f t="shared" si="713"/>
        <v>0.335923590370312</v>
      </c>
      <c r="SS72" s="149">
        <f t="shared" si="714"/>
        <v>0.35566314663822507</v>
      </c>
      <c r="ST72" s="149">
        <f t="shared" si="936"/>
        <v>0.3905043891059628</v>
      </c>
      <c r="SU72" s="150">
        <f t="shared" si="937"/>
        <v>0.43227586297328141</v>
      </c>
      <c r="SV72" s="149">
        <f t="shared" si="938"/>
        <v>0.47729807258509116</v>
      </c>
      <c r="SW72" s="149">
        <f t="shared" si="715"/>
        <v>0.52059208947687896</v>
      </c>
      <c r="SX72" s="149">
        <f t="shared" si="716"/>
        <v>0.54791223621784868</v>
      </c>
      <c r="SY72" s="149">
        <f t="shared" si="717"/>
        <v>0.572463429272138</v>
      </c>
      <c r="SZ72" s="149">
        <f t="shared" si="718"/>
        <v>0.60203244056958394</v>
      </c>
      <c r="TA72" s="81"/>
      <c r="TB72" s="122">
        <v>70</v>
      </c>
      <c r="TC72" s="149">
        <f t="shared" si="719"/>
        <v>0.3218261208020548</v>
      </c>
      <c r="TD72" s="149">
        <f t="shared" si="720"/>
        <v>0.34156113932991916</v>
      </c>
      <c r="TE72" s="149">
        <f t="shared" si="721"/>
        <v>0.35932406186246463</v>
      </c>
      <c r="TF72" s="149">
        <f t="shared" si="722"/>
        <v>0.3807437235939104</v>
      </c>
      <c r="TG72" s="149">
        <f t="shared" si="939"/>
        <v>0.41881838596836551</v>
      </c>
      <c r="TH72" s="150">
        <f t="shared" si="940"/>
        <v>0.46490817293505898</v>
      </c>
      <c r="TI72" s="149">
        <f t="shared" si="941"/>
        <v>0.51510957559684112</v>
      </c>
      <c r="TJ72" s="149">
        <f t="shared" si="723"/>
        <v>0.56388237873342562</v>
      </c>
      <c r="TK72" s="149">
        <f t="shared" si="724"/>
        <v>0.59490472073967215</v>
      </c>
      <c r="TL72" s="149">
        <f t="shared" si="725"/>
        <v>0.62294107895925677</v>
      </c>
      <c r="TM72" s="149">
        <f t="shared" si="726"/>
        <v>0.65690277090613236</v>
      </c>
      <c r="TN72" s="81"/>
      <c r="TO72" s="122">
        <v>72</v>
      </c>
      <c r="TP72" s="149">
        <f t="shared" si="727"/>
        <v>0.30775825702106469</v>
      </c>
      <c r="TQ72" s="149">
        <f t="shared" si="728"/>
        <v>0.32321534006235708</v>
      </c>
      <c r="TR72" s="149">
        <f t="shared" si="729"/>
        <v>0.33685130568185134</v>
      </c>
      <c r="TS72" s="149">
        <f t="shared" si="730"/>
        <v>0.35296754950746118</v>
      </c>
      <c r="TT72" s="149">
        <f t="shared" si="942"/>
        <v>0.38079994526228311</v>
      </c>
      <c r="TU72" s="150">
        <f t="shared" si="943"/>
        <v>0.41323019054995824</v>
      </c>
      <c r="TV72" s="149">
        <f t="shared" si="944"/>
        <v>0.44716010644611537</v>
      </c>
      <c r="TW72" s="149">
        <f t="shared" si="731"/>
        <v>0.47889034654063156</v>
      </c>
      <c r="TX72" s="149">
        <f t="shared" si="732"/>
        <v>0.49850016032159145</v>
      </c>
      <c r="TY72" s="149">
        <f t="shared" si="733"/>
        <v>0.51586835581238266</v>
      </c>
      <c r="TZ72" s="149">
        <f t="shared" si="734"/>
        <v>0.53648471319300584</v>
      </c>
      <c r="UA72" s="81"/>
      <c r="UB72" s="122">
        <v>70</v>
      </c>
      <c r="UC72" s="149">
        <f t="shared" si="735"/>
        <v>-7.1227474482680364</v>
      </c>
      <c r="UD72" s="149">
        <f t="shared" si="736"/>
        <v>-4.2718154649039803</v>
      </c>
      <c r="UE72" s="149">
        <f t="shared" si="737"/>
        <v>-1.8648809565923727</v>
      </c>
      <c r="UF72" s="149">
        <f t="shared" si="738"/>
        <v>0.86248719291224063</v>
      </c>
      <c r="UG72" s="149">
        <f t="shared" si="945"/>
        <v>5.3085408734330031</v>
      </c>
      <c r="UH72" s="150">
        <f t="shared" si="946"/>
        <v>10.127038600815069</v>
      </c>
      <c r="UI72" s="149">
        <f t="shared" si="947"/>
        <v>14.817335353433421</v>
      </c>
      <c r="UJ72" s="149">
        <f t="shared" si="739"/>
        <v>18.927648563523491</v>
      </c>
      <c r="UK72" s="149">
        <f t="shared" si="740"/>
        <v>21.350919747874457</v>
      </c>
      <c r="UL72" s="149">
        <f t="shared" si="741"/>
        <v>23.429561761512019</v>
      </c>
      <c r="UM72" s="149">
        <f t="shared" si="742"/>
        <v>25.820652447699459</v>
      </c>
      <c r="UN72" s="81"/>
      <c r="UO72" s="122">
        <v>70</v>
      </c>
      <c r="UP72" s="149">
        <f t="shared" si="743"/>
        <v>-2.9932494576726505</v>
      </c>
      <c r="UQ72" s="149">
        <f t="shared" si="744"/>
        <v>-0.49210828195958811</v>
      </c>
      <c r="UR72" s="149">
        <f t="shared" si="745"/>
        <v>1.6560126229119803</v>
      </c>
      <c r="US72" s="149">
        <f t="shared" si="746"/>
        <v>4.1294603628883166</v>
      </c>
      <c r="UT72" s="149">
        <f t="shared" si="948"/>
        <v>8.2485729429416068</v>
      </c>
      <c r="UU72" s="150">
        <f t="shared" si="949"/>
        <v>12.830270642637132</v>
      </c>
      <c r="UV72" s="149">
        <f t="shared" si="950"/>
        <v>17.403006214467766</v>
      </c>
      <c r="UW72" s="149">
        <f t="shared" si="747"/>
        <v>21.498677815701242</v>
      </c>
      <c r="UX72" s="149">
        <f t="shared" si="748"/>
        <v>23.95093065853105</v>
      </c>
      <c r="UY72" s="149">
        <f t="shared" si="749"/>
        <v>26.076209257991685</v>
      </c>
      <c r="UZ72" s="149">
        <f t="shared" si="750"/>
        <v>28.545422513932692</v>
      </c>
      <c r="VA72" s="81"/>
      <c r="VB72" s="122">
        <v>73</v>
      </c>
      <c r="VC72" s="149">
        <f t="shared" si="751"/>
        <v>-6.9759023475144204</v>
      </c>
      <c r="VD72" s="149">
        <f t="shared" si="752"/>
        <v>-4.3533468639651502</v>
      </c>
      <c r="VE72" s="149">
        <f t="shared" si="753"/>
        <v>-2.1555137166662064</v>
      </c>
      <c r="VF72" s="149">
        <f t="shared" si="754"/>
        <v>0.31800177418507758</v>
      </c>
      <c r="VG72" s="149">
        <f t="shared" si="951"/>
        <v>4.3143685400405758</v>
      </c>
      <c r="VH72" s="150">
        <f t="shared" si="952"/>
        <v>8.5993305081710929</v>
      </c>
      <c r="VI72" s="149">
        <f t="shared" si="953"/>
        <v>12.728143006000934</v>
      </c>
      <c r="VJ72" s="149">
        <f t="shared" si="755"/>
        <v>16.314910778228452</v>
      </c>
      <c r="VK72" s="149">
        <f t="shared" si="756"/>
        <v>18.416585579694399</v>
      </c>
      <c r="VL72" s="149">
        <f t="shared" si="757"/>
        <v>20.21206811695636</v>
      </c>
      <c r="VM72" s="149">
        <f t="shared" si="758"/>
        <v>22.269391145424279</v>
      </c>
      <c r="VN72" s="81"/>
      <c r="VO72" s="122">
        <v>70</v>
      </c>
      <c r="VP72" s="149">
        <f t="shared" si="759"/>
        <v>-11.77525136355743</v>
      </c>
      <c r="VQ72" s="149">
        <f t="shared" si="760"/>
        <v>-6.9050175472868958</v>
      </c>
      <c r="VR72" s="149">
        <f t="shared" si="761"/>
        <v>-2.545182382259739</v>
      </c>
      <c r="VS72" s="149">
        <f t="shared" si="762"/>
        <v>2.6747109411471115</v>
      </c>
      <c r="VT72" s="149">
        <f t="shared" si="954"/>
        <v>11.834532580491803</v>
      </c>
      <c r="VU72" s="150">
        <f t="shared" si="955"/>
        <v>22.69543541623711</v>
      </c>
      <c r="VV72" s="149">
        <f t="shared" si="956"/>
        <v>34.226337472229993</v>
      </c>
      <c r="VW72" s="149">
        <f t="shared" si="763"/>
        <v>45.12911279464435</v>
      </c>
      <c r="VX72" s="149">
        <f t="shared" si="764"/>
        <v>51.913089912931859</v>
      </c>
      <c r="VY72" s="149">
        <f t="shared" si="765"/>
        <v>57.945872966125627</v>
      </c>
      <c r="VZ72" s="149">
        <f t="shared" si="766"/>
        <v>65.132196633837225</v>
      </c>
      <c r="WA72" s="81"/>
      <c r="WB72" s="122">
        <v>70</v>
      </c>
      <c r="WC72" s="149">
        <f t="shared" si="767"/>
        <v>-4.1258965373636158</v>
      </c>
      <c r="WD72" s="149">
        <f t="shared" si="768"/>
        <v>0.65315862829106663</v>
      </c>
      <c r="WE72" s="149">
        <f t="shared" si="769"/>
        <v>4.9234838587639089</v>
      </c>
      <c r="WF72" s="149">
        <f t="shared" si="770"/>
        <v>10.027865536319041</v>
      </c>
      <c r="WG72" s="149">
        <f t="shared" si="957"/>
        <v>18.966738173463277</v>
      </c>
      <c r="WH72" s="150">
        <f t="shared" si="958"/>
        <v>29.541557572949237</v>
      </c>
      <c r="WI72" s="149">
        <f t="shared" si="959"/>
        <v>40.746394561717572</v>
      </c>
      <c r="WJ72" s="149">
        <f t="shared" si="771"/>
        <v>51.324074534689309</v>
      </c>
      <c r="WK72" s="149">
        <f t="shared" si="772"/>
        <v>57.898910319165715</v>
      </c>
      <c r="WL72" s="149">
        <f t="shared" si="773"/>
        <v>63.741853839152022</v>
      </c>
      <c r="WM72" s="149">
        <f t="shared" si="774"/>
        <v>70.697779291285599</v>
      </c>
      <c r="WN72" s="81"/>
      <c r="WO72" s="122">
        <v>73</v>
      </c>
      <c r="WP72" s="149">
        <f t="shared" si="775"/>
        <v>-13.97274286185592</v>
      </c>
      <c r="WQ72" s="149">
        <f t="shared" si="776"/>
        <v>-9.3018702663252952</v>
      </c>
      <c r="WR72" s="149">
        <f t="shared" si="777"/>
        <v>-5.1518627277595428</v>
      </c>
      <c r="WS72" s="149">
        <f t="shared" si="778"/>
        <v>-0.21950374751847335</v>
      </c>
      <c r="WT72" s="149">
        <f t="shared" si="960"/>
        <v>8.3479887287382013</v>
      </c>
      <c r="WU72" s="150">
        <f t="shared" si="961"/>
        <v>18.37645768031377</v>
      </c>
      <c r="WV72" s="149">
        <f t="shared" si="962"/>
        <v>28.887018407106858</v>
      </c>
      <c r="WW72" s="149">
        <f t="shared" si="779"/>
        <v>38.710073147178498</v>
      </c>
      <c r="WX72" s="149">
        <f t="shared" si="780"/>
        <v>44.770936998859376</v>
      </c>
      <c r="WY72" s="149">
        <f t="shared" si="781"/>
        <v>50.129912635261725</v>
      </c>
      <c r="WZ72" s="149">
        <f t="shared" si="782"/>
        <v>56.477870089573493</v>
      </c>
      <c r="XA72" s="81"/>
      <c r="XB72" s="122">
        <v>70</v>
      </c>
      <c r="XC72" s="149">
        <f t="shared" si="783"/>
        <v>-17.23452804347987</v>
      </c>
      <c r="XD72" s="149">
        <f t="shared" si="784"/>
        <v>-12.133517378125298</v>
      </c>
      <c r="XE72" s="149">
        <f t="shared" si="785"/>
        <v>-7.6302305303734812</v>
      </c>
      <c r="XF72" s="149">
        <f t="shared" si="786"/>
        <v>-2.3123022236504625</v>
      </c>
      <c r="XG72" s="149">
        <f t="shared" si="963"/>
        <v>6.840600230828791</v>
      </c>
      <c r="XH72" s="150">
        <f t="shared" si="964"/>
        <v>17.427879012427006</v>
      </c>
      <c r="XI72" s="149">
        <f t="shared" si="965"/>
        <v>28.390684017895147</v>
      </c>
      <c r="XJ72" s="149">
        <f t="shared" si="787"/>
        <v>38.524059923728537</v>
      </c>
      <c r="XK72" s="149">
        <f t="shared" si="788"/>
        <v>44.726346658540628</v>
      </c>
      <c r="XL72" s="149">
        <f t="shared" si="789"/>
        <v>50.1804223561602</v>
      </c>
      <c r="XM72" s="149">
        <f t="shared" si="790"/>
        <v>56.606385992566807</v>
      </c>
      <c r="XN72" s="81"/>
      <c r="XO72" s="122">
        <v>70</v>
      </c>
      <c r="XP72" s="149">
        <f t="shared" si="791"/>
        <v>-4.1744350945051494</v>
      </c>
      <c r="XQ72" s="149">
        <f t="shared" si="792"/>
        <v>0.17851712099879791</v>
      </c>
      <c r="XR72" s="149">
        <f t="shared" si="793"/>
        <v>3.9866765943224323</v>
      </c>
      <c r="XS72" s="149">
        <f t="shared" si="794"/>
        <v>8.4479523480850744</v>
      </c>
      <c r="XT72" s="149">
        <f t="shared" si="966"/>
        <v>16.050393042511608</v>
      </c>
      <c r="XU72" s="150">
        <f t="shared" si="967"/>
        <v>24.746407047265414</v>
      </c>
      <c r="XV72" s="149">
        <f t="shared" si="968"/>
        <v>33.66197034054094</v>
      </c>
      <c r="XW72" s="149">
        <f t="shared" si="795"/>
        <v>41.836834220127109</v>
      </c>
      <c r="XX72" s="149">
        <f t="shared" si="796"/>
        <v>46.813390291583779</v>
      </c>
      <c r="XY72" s="149">
        <f t="shared" si="797"/>
        <v>51.174406166917926</v>
      </c>
      <c r="XZ72" s="149">
        <f t="shared" si="798"/>
        <v>56.295740545995294</v>
      </c>
      <c r="YA72" s="81"/>
      <c r="YB72" s="122">
        <v>73</v>
      </c>
      <c r="YC72" s="149">
        <f t="shared" si="799"/>
        <v>-20.766973051537107</v>
      </c>
      <c r="YD72" s="149">
        <f t="shared" si="800"/>
        <v>-15.857783839056154</v>
      </c>
      <c r="YE72" s="149">
        <f t="shared" si="801"/>
        <v>-11.541198739149102</v>
      </c>
      <c r="YF72" s="149">
        <f t="shared" si="802"/>
        <v>-6.4634040248636495</v>
      </c>
      <c r="YG72" s="149">
        <f t="shared" si="969"/>
        <v>2.2301826335157884</v>
      </c>
      <c r="YH72" s="150">
        <f t="shared" si="970"/>
        <v>12.220538834601676</v>
      </c>
      <c r="YI72" s="149">
        <f t="shared" si="971"/>
        <v>22.499167136680789</v>
      </c>
      <c r="YJ72" s="149">
        <f t="shared" si="803"/>
        <v>31.946542597121699</v>
      </c>
      <c r="YK72" s="149">
        <f t="shared" si="804"/>
        <v>37.70568009363037</v>
      </c>
      <c r="YL72" s="149">
        <f t="shared" si="805"/>
        <v>42.756384496777152</v>
      </c>
      <c r="YM72" s="149">
        <f t="shared" si="806"/>
        <v>48.691486320665952</v>
      </c>
      <c r="YN72" s="81"/>
      <c r="YO72" s="122">
        <v>70</v>
      </c>
      <c r="YP72" s="149">
        <v>19.108114673006238</v>
      </c>
      <c r="YQ72" s="149">
        <v>20.928298732846923</v>
      </c>
      <c r="YR72" s="149">
        <v>22.631841441987913</v>
      </c>
      <c r="YS72" s="149">
        <v>24.768720463987229</v>
      </c>
      <c r="YT72" s="149">
        <v>28.791804262942986</v>
      </c>
      <c r="YU72" s="150">
        <v>34.050575416882822</v>
      </c>
      <c r="YV72" s="149">
        <v>40.269851643618765</v>
      </c>
      <c r="YW72" s="149">
        <v>46.810721930775884</v>
      </c>
      <c r="YX72" s="149">
        <v>51.230550072242927</v>
      </c>
      <c r="YY72" s="149">
        <v>55.400665912756821</v>
      </c>
      <c r="YZ72" s="149">
        <v>60.677974047264385</v>
      </c>
      <c r="ZA72" s="81"/>
      <c r="ZB72" s="122">
        <v>70</v>
      </c>
      <c r="ZC72" s="149">
        <v>19.229588193195664</v>
      </c>
      <c r="ZD72" s="149">
        <v>20.788455974054568</v>
      </c>
      <c r="ZE72" s="149">
        <v>22.229873689472889</v>
      </c>
      <c r="ZF72" s="149">
        <v>24.016210541886178</v>
      </c>
      <c r="ZG72" s="149">
        <v>27.321276628990717</v>
      </c>
      <c r="ZH72" s="150">
        <v>31.543812377245004</v>
      </c>
      <c r="ZI72" s="149">
        <v>36.418946039842936</v>
      </c>
      <c r="ZJ72" s="149">
        <v>41.430853446069463</v>
      </c>
      <c r="ZK72" s="149">
        <v>44.760132837013359</v>
      </c>
      <c r="ZL72" s="149">
        <v>47.863684562849635</v>
      </c>
      <c r="ZM72" s="149">
        <v>51.743806954894517</v>
      </c>
      <c r="ZN72" s="81"/>
      <c r="ZO72" s="122">
        <v>73</v>
      </c>
      <c r="ZP72" s="149">
        <v>19.434560053069941</v>
      </c>
      <c r="ZQ72" s="149">
        <v>21.381331488761564</v>
      </c>
      <c r="ZR72" s="149">
        <v>23.210933700908615</v>
      </c>
      <c r="ZS72" s="149">
        <v>25.515488340679255</v>
      </c>
      <c r="ZT72" s="149">
        <v>29.880286771899456</v>
      </c>
      <c r="ZU72" s="150">
        <v>35.630701852497509</v>
      </c>
      <c r="ZV72" s="149">
        <v>42.487775441817327</v>
      </c>
      <c r="ZW72" s="149">
        <v>49.755932457602022</v>
      </c>
      <c r="ZX72" s="149">
        <v>54.696072586337671</v>
      </c>
      <c r="ZY72" s="149">
        <v>59.376419806636775</v>
      </c>
      <c r="ZZ72" s="149">
        <v>65.324191082011524</v>
      </c>
      <c r="AAA72" s="81"/>
      <c r="AAB72" s="122">
        <v>70</v>
      </c>
      <c r="AAC72" s="149">
        <v>11.483773005230811</v>
      </c>
      <c r="AAD72" s="149">
        <v>12.647339383658396</v>
      </c>
      <c r="AAE72" s="149">
        <v>13.741937417446499</v>
      </c>
      <c r="AAF72" s="149">
        <v>15.122025179685377</v>
      </c>
      <c r="AAG72" s="149">
        <v>17.739554492841101</v>
      </c>
      <c r="AAH72" s="150">
        <v>21.194362509056024</v>
      </c>
      <c r="AAI72" s="149">
        <v>25.322000185887251</v>
      </c>
      <c r="AAJ72" s="149">
        <v>29.705082277519754</v>
      </c>
      <c r="AAK72" s="149">
        <v>32.688331238867562</v>
      </c>
      <c r="AAL72" s="149">
        <v>35.517430863418681</v>
      </c>
      <c r="AAM72" s="149">
        <v>39.116151282393879</v>
      </c>
      <c r="AAN72" s="81"/>
      <c r="AAO72" s="122">
        <v>70</v>
      </c>
      <c r="AAP72" s="149">
        <v>12.037044292249623</v>
      </c>
      <c r="AAQ72" s="149">
        <v>13.255311566737111</v>
      </c>
      <c r="AAR72" s="149">
        <v>14.401259255036328</v>
      </c>
      <c r="AAS72" s="149">
        <v>15.845952212238522</v>
      </c>
      <c r="AAT72" s="149">
        <v>18.585639040218997</v>
      </c>
      <c r="AAU72" s="150">
        <v>22.201029745908659</v>
      </c>
      <c r="AAV72" s="149">
        <v>26.519708077409948</v>
      </c>
      <c r="AAW72" s="149">
        <v>31.1048345455721</v>
      </c>
      <c r="AAX72" s="149">
        <v>34.225182190672108</v>
      </c>
      <c r="AAY72" s="149">
        <v>37.18401633165449</v>
      </c>
      <c r="AAZ72" s="149">
        <v>40.947404513255734</v>
      </c>
      <c r="ABA72" s="81"/>
      <c r="ABB72" s="122">
        <v>73</v>
      </c>
      <c r="ABC72" s="149">
        <v>10.187857084594231</v>
      </c>
      <c r="ABD72" s="149">
        <v>11.335117742456685</v>
      </c>
      <c r="ABE72" s="149">
        <v>12.424636161959389</v>
      </c>
      <c r="ABF72" s="149">
        <v>13.811378759428324</v>
      </c>
      <c r="ABG72" s="149">
        <v>16.477653308835865</v>
      </c>
      <c r="ABH72" s="150">
        <v>20.060327900400122</v>
      </c>
      <c r="ABI72" s="149">
        <v>24.4219700420437</v>
      </c>
      <c r="ABJ72" s="149">
        <v>29.136609927293623</v>
      </c>
      <c r="ABK72" s="149">
        <v>32.388614863721671</v>
      </c>
      <c r="ABL72" s="149">
        <v>35.501771098881868</v>
      </c>
      <c r="ABM72" s="149">
        <v>39.499646700000731</v>
      </c>
      <c r="ABN72" s="81"/>
      <c r="ABO72" s="122">
        <v>70</v>
      </c>
      <c r="ABP72" s="149">
        <f t="shared" si="807"/>
        <v>0.33490382542499803</v>
      </c>
      <c r="ABQ72" s="149">
        <f t="shared" si="808"/>
        <v>0.37568061894147925</v>
      </c>
      <c r="ABR72" s="149">
        <f t="shared" si="809"/>
        <v>0.41354773960493113</v>
      </c>
      <c r="ABS72" s="149">
        <f t="shared" si="810"/>
        <v>0.46057607995144118</v>
      </c>
      <c r="ABT72" s="149">
        <f t="shared" si="972"/>
        <v>0.54753969561943006</v>
      </c>
      <c r="ABU72" s="150">
        <f t="shared" si="973"/>
        <v>0.65794065363558252</v>
      </c>
      <c r="ABV72" s="149">
        <f t="shared" si="974"/>
        <v>0.7837447113999545</v>
      </c>
      <c r="ABW72" s="149">
        <f t="shared" si="811"/>
        <v>0.91077909806184132</v>
      </c>
      <c r="ABX72" s="149">
        <f t="shared" si="812"/>
        <v>0.9937664496994264</v>
      </c>
      <c r="ABY72" s="149">
        <f t="shared" si="813"/>
        <v>1.0700953599598211</v>
      </c>
      <c r="ABZ72" s="149">
        <f t="shared" si="814"/>
        <v>1.1641188479993569</v>
      </c>
      <c r="ACA72" s="81"/>
      <c r="ACB72" s="122">
        <v>70</v>
      </c>
      <c r="ACC72" s="149">
        <f t="shared" si="815"/>
        <v>0.4258120495298956</v>
      </c>
      <c r="ACD72" s="149">
        <f t="shared" si="816"/>
        <v>0.46617345407136901</v>
      </c>
      <c r="ACE72" s="149">
        <f t="shared" si="817"/>
        <v>0.50347279654983834</v>
      </c>
      <c r="ACF72" s="149">
        <f t="shared" si="818"/>
        <v>0.54963195830550271</v>
      </c>
      <c r="ACG72" s="149">
        <f t="shared" si="975"/>
        <v>0.6347351505724752</v>
      </c>
      <c r="ACH72" s="150">
        <f t="shared" si="976"/>
        <v>0.74270064740355368</v>
      </c>
      <c r="ACI72" s="149">
        <f t="shared" si="977"/>
        <v>0.86607740108013009</v>
      </c>
      <c r="ACJ72" s="149">
        <f t="shared" si="819"/>
        <v>0.9913596506176664</v>
      </c>
      <c r="ACK72" s="149">
        <f t="shared" si="820"/>
        <v>1.0736818743885015</v>
      </c>
      <c r="ACL72" s="149">
        <f t="shared" si="821"/>
        <v>1.1497728836252197</v>
      </c>
      <c r="ACM72" s="149">
        <f t="shared" si="822"/>
        <v>1.2440275839718111</v>
      </c>
      <c r="ACN72" s="81"/>
      <c r="ACO72" s="122">
        <v>73</v>
      </c>
      <c r="ACP72" s="149">
        <f t="shared" si="823"/>
        <v>0.30520708863058005</v>
      </c>
      <c r="ACQ72" s="149">
        <f t="shared" si="824"/>
        <v>0.34526493717016576</v>
      </c>
      <c r="ACR72" s="149">
        <f t="shared" si="825"/>
        <v>0.38175869757024827</v>
      </c>
      <c r="ACS72" s="149">
        <f t="shared" si="826"/>
        <v>0.42618553273667353</v>
      </c>
      <c r="ACT72" s="149">
        <f t="shared" si="978"/>
        <v>0.50599493113652105</v>
      </c>
      <c r="ACU72" s="150">
        <f t="shared" si="979"/>
        <v>0.60313988749929115</v>
      </c>
      <c r="ACV72" s="149">
        <f t="shared" si="980"/>
        <v>0.70910668242752728</v>
      </c>
      <c r="ACW72" s="149">
        <f t="shared" si="827"/>
        <v>0.81189116908443026</v>
      </c>
      <c r="ACX72" s="149">
        <f t="shared" si="828"/>
        <v>0.87689707882170642</v>
      </c>
      <c r="ACY72" s="149">
        <f t="shared" si="829"/>
        <v>0.93537428104338516</v>
      </c>
      <c r="ACZ72" s="149">
        <f t="shared" si="830"/>
        <v>1.0058185270239233</v>
      </c>
      <c r="ADA72" s="81"/>
      <c r="ADB72" s="122">
        <v>70</v>
      </c>
      <c r="ADC72" s="149">
        <f t="shared" si="831"/>
        <v>0.25363753045632265</v>
      </c>
      <c r="ADD72" s="149">
        <f t="shared" si="832"/>
        <v>0.27509059817592574</v>
      </c>
      <c r="ADE72" s="149">
        <f t="shared" si="833"/>
        <v>0.29384869608474046</v>
      </c>
      <c r="ADF72" s="149">
        <f t="shared" si="834"/>
        <v>0.31581442328884052</v>
      </c>
      <c r="ADG72" s="149">
        <f t="shared" si="981"/>
        <v>0.35322832730268089</v>
      </c>
      <c r="ADH72" s="150">
        <f t="shared" si="982"/>
        <v>0.39600505651395534</v>
      </c>
      <c r="ADI72" s="149">
        <f t="shared" si="983"/>
        <v>0.43984885973861448</v>
      </c>
      <c r="ADJ72" s="149">
        <f t="shared" si="835"/>
        <v>0.48004377371746304</v>
      </c>
      <c r="ADK72" s="149">
        <f t="shared" si="836"/>
        <v>0.5045114630467914</v>
      </c>
      <c r="ADL72" s="149">
        <f t="shared" si="837"/>
        <v>0.52595243140365422</v>
      </c>
      <c r="ADM72" s="149">
        <f t="shared" si="838"/>
        <v>0.55113153237099177</v>
      </c>
      <c r="ADN72" s="81"/>
      <c r="ADO72" s="122">
        <v>70</v>
      </c>
      <c r="ADP72" s="149">
        <f t="shared" si="839"/>
        <v>0.30028469082152193</v>
      </c>
      <c r="ADQ72" s="149">
        <f t="shared" si="840"/>
        <v>0.31886495861698388</v>
      </c>
      <c r="ADR72" s="149">
        <f t="shared" si="841"/>
        <v>0.33519270386120059</v>
      </c>
      <c r="ADS72" s="149">
        <f t="shared" si="842"/>
        <v>0.35441191364997482</v>
      </c>
      <c r="ADT72" s="149">
        <f t="shared" si="984"/>
        <v>0.38739976335619997</v>
      </c>
      <c r="ADU72" s="150">
        <f t="shared" si="985"/>
        <v>0.42551005282200577</v>
      </c>
      <c r="ADV72" s="149">
        <f t="shared" si="986"/>
        <v>0.46500801713209011</v>
      </c>
      <c r="ADW72" s="149">
        <f t="shared" si="843"/>
        <v>0.50160450035605686</v>
      </c>
      <c r="ADX72" s="149">
        <f t="shared" si="844"/>
        <v>0.5240603848783133</v>
      </c>
      <c r="ADY72" s="149">
        <f t="shared" si="845"/>
        <v>0.54384835145031152</v>
      </c>
      <c r="ADZ72" s="149">
        <f t="shared" si="846"/>
        <v>0.5672160514356428</v>
      </c>
      <c r="AEA72" s="81"/>
      <c r="AEB72" s="122">
        <v>73</v>
      </c>
      <c r="AEC72" s="149">
        <f t="shared" si="847"/>
        <v>0.23718245514075906</v>
      </c>
      <c r="AED72" s="149">
        <f t="shared" si="848"/>
        <v>0.25915763516404022</v>
      </c>
      <c r="AEE72" s="149">
        <f t="shared" si="849"/>
        <v>0.27799773820266299</v>
      </c>
      <c r="AEF72" s="149">
        <f t="shared" si="850"/>
        <v>0.29965615235289422</v>
      </c>
      <c r="AEG72" s="149">
        <f t="shared" si="987"/>
        <v>0.33564941179449487</v>
      </c>
      <c r="AEH72" s="150">
        <f t="shared" si="988"/>
        <v>0.3755863940327247</v>
      </c>
      <c r="AEI72" s="149">
        <f t="shared" si="989"/>
        <v>0.4153538951097448</v>
      </c>
      <c r="AEJ72" s="149">
        <f t="shared" si="851"/>
        <v>0.45090313879489591</v>
      </c>
      <c r="AEK72" s="149">
        <f t="shared" si="852"/>
        <v>0.47215914592116187</v>
      </c>
      <c r="AEL72" s="149">
        <f t="shared" si="853"/>
        <v>0.49056452641959358</v>
      </c>
      <c r="AEM72" s="149">
        <f t="shared" si="854"/>
        <v>0.51193017807490193</v>
      </c>
      <c r="AEN72" s="81"/>
    </row>
    <row r="73" spans="1:820">
      <c r="A73" s="81"/>
      <c r="B73" s="81">
        <v>72</v>
      </c>
      <c r="C73" s="133">
        <f t="shared" si="495"/>
        <v>2.5410538623725283</v>
      </c>
      <c r="D73" s="133">
        <f t="shared" si="496"/>
        <v>3.0825839171999654</v>
      </c>
      <c r="E73" s="133">
        <f t="shared" si="497"/>
        <v>3.6604925888318278</v>
      </c>
      <c r="F73" s="133">
        <f t="shared" si="498"/>
        <v>4.4937749052468998</v>
      </c>
      <c r="G73" s="133">
        <f t="shared" si="855"/>
        <v>6.44338111829844</v>
      </c>
      <c r="H73" s="134">
        <f t="shared" si="856"/>
        <v>9.9248917834337345</v>
      </c>
      <c r="I73" s="133">
        <f t="shared" si="857"/>
        <v>15.868948897934333</v>
      </c>
      <c r="J73" s="133">
        <f t="shared" si="499"/>
        <v>25.102399054225533</v>
      </c>
      <c r="K73" s="133">
        <f t="shared" si="500"/>
        <v>33.705222276903733</v>
      </c>
      <c r="L73" s="133">
        <f t="shared" si="501"/>
        <v>44.117976048540541</v>
      </c>
      <c r="M73" s="133">
        <f t="shared" si="502"/>
        <v>61.413800794933088</v>
      </c>
      <c r="N73" s="81"/>
      <c r="O73" s="75">
        <v>72</v>
      </c>
      <c r="P73" s="151">
        <f t="shared" si="503"/>
        <v>3.2602834351017478</v>
      </c>
      <c r="Q73" s="151">
        <f t="shared" si="504"/>
        <v>3.8099224222817298</v>
      </c>
      <c r="R73" s="151">
        <f t="shared" si="505"/>
        <v>4.392503163506924</v>
      </c>
      <c r="S73" s="151">
        <f t="shared" si="506"/>
        <v>5.2318517398510265</v>
      </c>
      <c r="T73" s="151">
        <f t="shared" si="858"/>
        <v>7.2213984947725427</v>
      </c>
      <c r="U73" s="134">
        <f t="shared" si="859"/>
        <v>10.954407535148995</v>
      </c>
      <c r="V73" s="151">
        <f t="shared" si="860"/>
        <v>18.080201667620706</v>
      </c>
      <c r="W73" s="151">
        <f t="shared" si="507"/>
        <v>31.528306547637563</v>
      </c>
      <c r="X73" s="151">
        <f t="shared" si="508"/>
        <v>47.268592006455492</v>
      </c>
      <c r="Y73" s="151">
        <f t="shared" si="509"/>
        <v>71.529348148808609</v>
      </c>
      <c r="Z73" s="151">
        <f t="shared" si="510"/>
        <v>128.89233375149442</v>
      </c>
      <c r="AA73" s="81"/>
      <c r="AB73" s="75"/>
      <c r="AC73" s="137"/>
      <c r="AD73" s="137"/>
      <c r="AE73" s="137"/>
      <c r="AF73" s="137"/>
      <c r="AG73" s="137"/>
      <c r="AH73" s="84"/>
      <c r="AI73" s="137"/>
      <c r="AJ73" s="137"/>
      <c r="AK73" s="137"/>
      <c r="AL73" s="137"/>
      <c r="AM73" s="137"/>
      <c r="AN73" s="81"/>
      <c r="AO73" s="81">
        <v>72</v>
      </c>
      <c r="AP73" s="133">
        <f t="shared" si="519"/>
        <v>2.6111523416617084</v>
      </c>
      <c r="AQ73" s="133">
        <f t="shared" si="520"/>
        <v>5.7365461324500595</v>
      </c>
      <c r="AR73" s="133">
        <f t="shared" si="521"/>
        <v>8.7957117223447341</v>
      </c>
      <c r="AS73" s="133">
        <f t="shared" si="522"/>
        <v>12.753833225134745</v>
      </c>
      <c r="AT73" s="133">
        <f t="shared" si="864"/>
        <v>20.397621315214348</v>
      </c>
      <c r="AU73" s="134">
        <f t="shared" si="865"/>
        <v>30.473698072562524</v>
      </c>
      <c r="AV73" s="133">
        <f t="shared" si="866"/>
        <v>42.215478577237988</v>
      </c>
      <c r="AW73" s="133">
        <f t="shared" si="523"/>
        <v>54.18660598935363</v>
      </c>
      <c r="AX73" s="133">
        <f t="shared" si="524"/>
        <v>62.020669511134692</v>
      </c>
      <c r="AY73" s="133">
        <f t="shared" si="525"/>
        <v>69.217778616562398</v>
      </c>
      <c r="AZ73" s="133">
        <f t="shared" si="526"/>
        <v>78.058377530218323</v>
      </c>
      <c r="BA73" s="81"/>
      <c r="BB73" s="81">
        <v>72</v>
      </c>
      <c r="BC73" s="133">
        <f t="shared" si="527"/>
        <v>5.3868268281422109</v>
      </c>
      <c r="BD73" s="133">
        <f t="shared" si="528"/>
        <v>9.0514397211659805</v>
      </c>
      <c r="BE73" s="133">
        <f t="shared" si="529"/>
        <v>12.510439861181311</v>
      </c>
      <c r="BF73" s="133">
        <f t="shared" si="530"/>
        <v>16.838032228405243</v>
      </c>
      <c r="BG73" s="133">
        <f t="shared" si="867"/>
        <v>24.834743116161444</v>
      </c>
      <c r="BH73" s="134">
        <f t="shared" si="868"/>
        <v>34.843477273062398</v>
      </c>
      <c r="BI73" s="133">
        <f t="shared" si="869"/>
        <v>45.955372587561307</v>
      </c>
      <c r="BJ73" s="133">
        <f t="shared" si="531"/>
        <v>56.827015552804923</v>
      </c>
      <c r="BK73" s="133">
        <f t="shared" si="532"/>
        <v>63.741097807246469</v>
      </c>
      <c r="BL73" s="133">
        <f t="shared" si="533"/>
        <v>69.973914052000239</v>
      </c>
      <c r="BM73" s="133">
        <f t="shared" si="534"/>
        <v>77.491995939613943</v>
      </c>
      <c r="BN73" s="81"/>
      <c r="BO73" s="75"/>
      <c r="BP73" s="137"/>
      <c r="BQ73" s="137"/>
      <c r="BR73" s="137"/>
      <c r="BS73" s="137"/>
      <c r="BT73" s="137"/>
      <c r="BU73" s="84"/>
      <c r="BV73" s="137"/>
      <c r="BW73" s="137"/>
      <c r="BX73" s="137"/>
      <c r="BY73" s="137"/>
      <c r="BZ73" s="137"/>
      <c r="CA73" s="81"/>
      <c r="CB73" s="81">
        <v>72</v>
      </c>
      <c r="CC73" s="133">
        <f t="shared" si="543"/>
        <v>-1.011403817866892</v>
      </c>
      <c r="CD73" s="133">
        <f t="shared" si="544"/>
        <v>2.1658683732729846</v>
      </c>
      <c r="CE73" s="133">
        <f t="shared" si="545"/>
        <v>5.1899373762171086</v>
      </c>
      <c r="CF73" s="133">
        <f t="shared" si="546"/>
        <v>8.9691422579278317</v>
      </c>
      <c r="CG73" s="133">
        <f t="shared" si="873"/>
        <v>15.886725272758149</v>
      </c>
      <c r="CH73" s="134">
        <f t="shared" si="874"/>
        <v>24.388379280329332</v>
      </c>
      <c r="CI73" s="133">
        <f t="shared" si="875"/>
        <v>33.62391079667168</v>
      </c>
      <c r="CJ73" s="133">
        <f t="shared" si="547"/>
        <v>42.471932015005365</v>
      </c>
      <c r="CK73" s="133">
        <f t="shared" si="548"/>
        <v>48.011993590337653</v>
      </c>
      <c r="CL73" s="133">
        <f t="shared" si="549"/>
        <v>52.953009335469154</v>
      </c>
      <c r="CM73" s="133">
        <f t="shared" si="550"/>
        <v>58.85049372148486</v>
      </c>
      <c r="CN73" s="81"/>
      <c r="CO73" s="81">
        <v>72</v>
      </c>
      <c r="CP73" s="133">
        <f t="shared" si="551"/>
        <v>4.8798475714418883</v>
      </c>
      <c r="CQ73" s="133">
        <f t="shared" si="552"/>
        <v>7.9484846569816208</v>
      </c>
      <c r="CR73" s="133">
        <f t="shared" si="553"/>
        <v>10.764643355477613</v>
      </c>
      <c r="CS73" s="133">
        <f t="shared" si="554"/>
        <v>14.198886032553542</v>
      </c>
      <c r="CT73" s="133">
        <f t="shared" si="876"/>
        <v>20.338297446112271</v>
      </c>
      <c r="CU73" s="134">
        <f t="shared" si="877"/>
        <v>27.732610565994801</v>
      </c>
      <c r="CV73" s="133">
        <f t="shared" si="878"/>
        <v>35.655863205828652</v>
      </c>
      <c r="CW73" s="133">
        <f t="shared" si="555"/>
        <v>43.179638947774428</v>
      </c>
      <c r="CX73" s="133">
        <f t="shared" si="556"/>
        <v>47.867001480787664</v>
      </c>
      <c r="CY73" s="133">
        <f t="shared" si="557"/>
        <v>52.035614441170651</v>
      </c>
      <c r="CZ73" s="133">
        <f t="shared" si="558"/>
        <v>56.999026649837539</v>
      </c>
      <c r="DA73" s="81"/>
      <c r="DB73" s="81"/>
      <c r="DC73" s="83"/>
      <c r="DD73" s="83"/>
      <c r="DE73" s="83"/>
      <c r="DF73" s="83"/>
      <c r="DG73" s="83"/>
      <c r="DH73" s="84"/>
      <c r="DI73" s="83"/>
      <c r="DJ73" s="83"/>
      <c r="DK73" s="83"/>
      <c r="DL73" s="83"/>
      <c r="DM73" s="83"/>
      <c r="DN73" s="81"/>
      <c r="DO73" s="122">
        <v>72</v>
      </c>
      <c r="DP73" s="149">
        <v>14.367221436008201</v>
      </c>
      <c r="DQ73" s="149">
        <v>15.579235847167478</v>
      </c>
      <c r="DR73" s="149">
        <v>16.703102421690069</v>
      </c>
      <c r="DS73" s="149">
        <v>18.099835778216313</v>
      </c>
      <c r="DT73" s="149">
        <v>20.694572424330161</v>
      </c>
      <c r="DU73" s="150">
        <v>24.027322869634244</v>
      </c>
      <c r="DV73" s="149">
        <v>27.89679498779665</v>
      </c>
      <c r="DW73" s="149">
        <v>31.895993497159832</v>
      </c>
      <c r="DX73" s="149">
        <v>34.563174535286976</v>
      </c>
      <c r="DY73" s="149">
        <v>37.056518685838611</v>
      </c>
      <c r="DZ73" s="149">
        <v>40.182595281419239</v>
      </c>
      <c r="EA73" s="81"/>
      <c r="EB73" s="122">
        <v>72</v>
      </c>
      <c r="EC73" s="149">
        <v>13.525763146857576</v>
      </c>
      <c r="ED73" s="149">
        <v>14.882139874199327</v>
      </c>
      <c r="EE73" s="149">
        <v>16.156999809522755</v>
      </c>
      <c r="EF73" s="149">
        <v>17.762954281503816</v>
      </c>
      <c r="EG73" s="149">
        <v>20.805020465170497</v>
      </c>
      <c r="EH73" s="150">
        <v>24.813503890490779</v>
      </c>
      <c r="EI73" s="149">
        <v>29.59429798947594</v>
      </c>
      <c r="EJ73" s="149">
        <v>34.662588529236189</v>
      </c>
      <c r="EK73" s="149">
        <v>38.10793975255902</v>
      </c>
      <c r="EL73" s="149">
        <v>41.372408842281928</v>
      </c>
      <c r="EM73" s="149">
        <v>45.521274373819558</v>
      </c>
      <c r="EN73" s="81"/>
      <c r="EO73" s="122"/>
      <c r="EP73" s="126"/>
      <c r="EQ73" s="126"/>
      <c r="ER73" s="126"/>
      <c r="ES73" s="126"/>
      <c r="ET73" s="126"/>
      <c r="EU73" s="127"/>
      <c r="EV73" s="126"/>
      <c r="EW73" s="126"/>
      <c r="EX73" s="126"/>
      <c r="EY73" s="126"/>
      <c r="EZ73" s="126"/>
      <c r="FA73" s="81"/>
      <c r="FB73" s="122">
        <v>72</v>
      </c>
      <c r="FC73" s="149">
        <v>10.389274480085813</v>
      </c>
      <c r="FD73" s="149">
        <v>11.17248479834139</v>
      </c>
      <c r="FE73" s="149">
        <v>11.893152553087415</v>
      </c>
      <c r="FF73" s="149">
        <v>12.781917868761422</v>
      </c>
      <c r="FG73" s="149">
        <v>14.41479087468197</v>
      </c>
      <c r="FH73" s="150">
        <v>16.481765206349994</v>
      </c>
      <c r="FI73" s="149">
        <v>18.845128360090943</v>
      </c>
      <c r="FJ73" s="149">
        <v>21.252568441325174</v>
      </c>
      <c r="FK73" s="149">
        <v>22.840755056717949</v>
      </c>
      <c r="FL73" s="149">
        <v>24.314070613689871</v>
      </c>
      <c r="FM73" s="149">
        <v>26.147021607518987</v>
      </c>
      <c r="FN73" s="81"/>
      <c r="FO73" s="122">
        <v>72</v>
      </c>
      <c r="FP73" s="149">
        <v>10.319013747779662</v>
      </c>
      <c r="FQ73" s="149">
        <v>11.132480168761143</v>
      </c>
      <c r="FR73" s="149">
        <v>11.883214132327304</v>
      </c>
      <c r="FS73" s="149">
        <v>12.811809052716759</v>
      </c>
      <c r="FT73" s="149">
        <v>14.525152359164357</v>
      </c>
      <c r="FU73" s="150">
        <v>16.706185877882813</v>
      </c>
      <c r="FV73" s="149">
        <v>19.214713875980845</v>
      </c>
      <c r="FW73" s="149">
        <v>21.784327680655569</v>
      </c>
      <c r="FX73" s="149">
        <v>23.486629415110166</v>
      </c>
      <c r="FY73" s="149">
        <v>25.070482260506918</v>
      </c>
      <c r="FZ73" s="149">
        <v>27.046833487010751</v>
      </c>
      <c r="GA73" s="81"/>
      <c r="GB73" s="122"/>
      <c r="GC73" s="126"/>
      <c r="GD73" s="126"/>
      <c r="GE73" s="126"/>
      <c r="GF73" s="126"/>
      <c r="GG73" s="126"/>
      <c r="GH73" s="127"/>
      <c r="GI73" s="126"/>
      <c r="GJ73" s="126"/>
      <c r="GK73" s="126"/>
      <c r="GL73" s="126"/>
      <c r="GM73" s="126"/>
      <c r="GN73" s="81"/>
      <c r="GO73" s="122">
        <v>72</v>
      </c>
      <c r="GP73" s="149">
        <f t="shared" si="567"/>
        <v>0.53311206983588222</v>
      </c>
      <c r="GQ73" s="149">
        <f t="shared" si="568"/>
        <v>0.5641433910601048</v>
      </c>
      <c r="GR73" s="149">
        <f t="shared" si="569"/>
        <v>0.58945249188458382</v>
      </c>
      <c r="GS73" s="149">
        <f t="shared" si="570"/>
        <v>0.61727230923544707</v>
      </c>
      <c r="GT73" s="149">
        <f t="shared" si="882"/>
        <v>0.66217036008245667</v>
      </c>
      <c r="GU73" s="150">
        <f t="shared" si="883"/>
        <v>0.70624862533356236</v>
      </c>
      <c r="GV73" s="149">
        <f t="shared" si="884"/>
        <v>0.74758683024554484</v>
      </c>
      <c r="GW73" s="149">
        <f t="shared" si="571"/>
        <v>0.7846736824713042</v>
      </c>
      <c r="GX73" s="149">
        <f t="shared" si="572"/>
        <v>0.8054394016756834</v>
      </c>
      <c r="GY73" s="149">
        <f t="shared" si="573"/>
        <v>0.82300152355767375</v>
      </c>
      <c r="GZ73" s="149">
        <f t="shared" si="574"/>
        <v>0.84293447888678552</v>
      </c>
      <c r="HA73" s="81"/>
      <c r="HB73" s="122">
        <v>72</v>
      </c>
      <c r="HC73" s="149">
        <f t="shared" si="575"/>
        <v>0.53235486842316759</v>
      </c>
      <c r="HD73" s="149">
        <f t="shared" si="576"/>
        <v>0.56407891397224408</v>
      </c>
      <c r="HE73" s="149">
        <f t="shared" si="577"/>
        <v>0.58994865794075324</v>
      </c>
      <c r="HF73" s="149">
        <f t="shared" si="578"/>
        <v>0.61838208152542584</v>
      </c>
      <c r="HG73" s="149">
        <f t="shared" si="885"/>
        <v>0.66300470266372646</v>
      </c>
      <c r="HH73" s="150">
        <f t="shared" si="886"/>
        <v>0.70931779538067197</v>
      </c>
      <c r="HI73" s="149">
        <f t="shared" si="887"/>
        <v>0.75268029579192075</v>
      </c>
      <c r="HJ73" s="149">
        <f t="shared" si="579"/>
        <v>0.78948375711835961</v>
      </c>
      <c r="HK73" s="149">
        <f t="shared" si="580"/>
        <v>0.81071438492845316</v>
      </c>
      <c r="HL73" s="149">
        <f t="shared" si="581"/>
        <v>0.82867121832952195</v>
      </c>
      <c r="HM73" s="149">
        <f t="shared" si="582"/>
        <v>0.84905396419112822</v>
      </c>
      <c r="HN73" s="81"/>
      <c r="HO73" s="122"/>
      <c r="HP73" s="126"/>
      <c r="HQ73" s="126"/>
      <c r="HR73" s="126"/>
      <c r="HS73" s="126"/>
      <c r="HT73" s="126"/>
      <c r="HU73" s="127"/>
      <c r="HV73" s="126"/>
      <c r="HW73" s="126"/>
      <c r="HX73" s="126"/>
      <c r="HY73" s="126"/>
      <c r="HZ73" s="126"/>
      <c r="IA73" s="81"/>
      <c r="IB73" s="122">
        <v>72</v>
      </c>
      <c r="IC73" s="126">
        <f t="shared" si="591"/>
        <v>0.34864828623886163</v>
      </c>
      <c r="ID73" s="126">
        <f t="shared" si="592"/>
        <v>0.36104313830944051</v>
      </c>
      <c r="IE73" s="126">
        <f t="shared" si="593"/>
        <v>0.37087967078291767</v>
      </c>
      <c r="IF73" s="126">
        <f t="shared" si="594"/>
        <v>0.38143552786631613</v>
      </c>
      <c r="IG73" s="126">
        <f t="shared" si="891"/>
        <v>0.39751348674791942</v>
      </c>
      <c r="IH73" s="127">
        <f t="shared" si="892"/>
        <v>0.41363629223963455</v>
      </c>
      <c r="II73" s="126">
        <f t="shared" si="893"/>
        <v>0.42826773998538464</v>
      </c>
      <c r="IJ73" s="126">
        <f t="shared" si="595"/>
        <v>0.44036743414781365</v>
      </c>
      <c r="IK73" s="126">
        <f t="shared" si="596"/>
        <v>0.44722393734014204</v>
      </c>
      <c r="IL73" s="126">
        <f t="shared" si="597"/>
        <v>0.45295637045137571</v>
      </c>
      <c r="IM73" s="126">
        <f t="shared" si="598"/>
        <v>0.4593920008820227</v>
      </c>
      <c r="IN73" s="81"/>
      <c r="IO73" s="122">
        <v>72</v>
      </c>
      <c r="IP73" s="149">
        <f t="shared" si="599"/>
        <v>0.34793176416069532</v>
      </c>
      <c r="IQ73" s="149">
        <f t="shared" si="600"/>
        <v>0.36068033197735927</v>
      </c>
      <c r="IR73" s="149">
        <f t="shared" si="601"/>
        <v>0.37078670504275302</v>
      </c>
      <c r="IS73" s="149">
        <f t="shared" si="602"/>
        <v>0.38162319338850559</v>
      </c>
      <c r="IT73" s="149">
        <f t="shared" si="894"/>
        <v>0.39811399262865316</v>
      </c>
      <c r="IU73" s="150">
        <f t="shared" si="895"/>
        <v>0.41463679013965093</v>
      </c>
      <c r="IV73" s="149">
        <f t="shared" si="896"/>
        <v>0.42962192332783539</v>
      </c>
      <c r="IW73" s="149">
        <f t="shared" si="603"/>
        <v>0.44200890774178975</v>
      </c>
      <c r="IX73" s="149">
        <f t="shared" si="604"/>
        <v>0.44902651443218028</v>
      </c>
      <c r="IY73" s="149">
        <f t="shared" si="605"/>
        <v>0.45489283805129532</v>
      </c>
      <c r="IZ73" s="149">
        <f t="shared" si="606"/>
        <v>0.46147801848188713</v>
      </c>
      <c r="JA73" s="81"/>
      <c r="JB73" s="122"/>
      <c r="JC73" s="126"/>
      <c r="JD73" s="126"/>
      <c r="JE73" s="126"/>
      <c r="JF73" s="126"/>
      <c r="JG73" s="126"/>
      <c r="JH73" s="127"/>
      <c r="JI73" s="126"/>
      <c r="JJ73" s="126"/>
      <c r="JK73" s="126"/>
      <c r="JL73" s="126"/>
      <c r="JM73" s="126"/>
      <c r="JN73" s="81"/>
      <c r="JO73" s="122">
        <v>71</v>
      </c>
      <c r="JP73" s="149">
        <f t="shared" si="615"/>
        <v>2.7728270367075254</v>
      </c>
      <c r="JQ73" s="149">
        <f t="shared" si="616"/>
        <v>4.1877360733621067</v>
      </c>
      <c r="JR73" s="149">
        <f t="shared" si="617"/>
        <v>5.4159582235106605</v>
      </c>
      <c r="JS73" s="149">
        <f t="shared" si="618"/>
        <v>6.8445819819024933</v>
      </c>
      <c r="JT73" s="149">
        <f t="shared" si="900"/>
        <v>9.2565504343720697</v>
      </c>
      <c r="JU73" s="150">
        <f t="shared" si="901"/>
        <v>11.985309075553925</v>
      </c>
      <c r="JV73" s="149">
        <f t="shared" si="902"/>
        <v>14.754419497926481</v>
      </c>
      <c r="JW73" s="149">
        <f t="shared" si="619"/>
        <v>17.27148552579251</v>
      </c>
      <c r="JX73" s="149">
        <f t="shared" si="620"/>
        <v>18.794576515795793</v>
      </c>
      <c r="JY73" s="149">
        <f t="shared" si="621"/>
        <v>20.124004970884446</v>
      </c>
      <c r="JZ73" s="149">
        <f t="shared" si="622"/>
        <v>21.67931001184979</v>
      </c>
      <c r="KA73" s="81"/>
      <c r="KB73" s="122">
        <v>71</v>
      </c>
      <c r="KC73" s="149">
        <f t="shared" si="623"/>
        <v>4.2463487101708761</v>
      </c>
      <c r="KD73" s="149">
        <f t="shared" si="624"/>
        <v>5.6927244037804936</v>
      </c>
      <c r="KE73" s="149">
        <f t="shared" si="625"/>
        <v>6.9676256670702248</v>
      </c>
      <c r="KF73" s="149">
        <f t="shared" si="626"/>
        <v>8.4720363070110007</v>
      </c>
      <c r="KG73" s="149">
        <f t="shared" si="903"/>
        <v>11.061341907400655</v>
      </c>
      <c r="KH73" s="150">
        <f t="shared" si="904"/>
        <v>14.060308093250876</v>
      </c>
      <c r="KI73" s="149">
        <f t="shared" si="905"/>
        <v>17.173340801612163</v>
      </c>
      <c r="KJ73" s="149">
        <f t="shared" si="627"/>
        <v>20.059612796787718</v>
      </c>
      <c r="KK73" s="149">
        <f t="shared" si="628"/>
        <v>21.830800284223351</v>
      </c>
      <c r="KL73" s="149">
        <f t="shared" si="629"/>
        <v>23.391350343132515</v>
      </c>
      <c r="KM73" s="149">
        <f t="shared" si="630"/>
        <v>25.233713768174262</v>
      </c>
      <c r="KN73" s="81"/>
      <c r="KO73" s="122">
        <v>73</v>
      </c>
      <c r="KP73" s="149">
        <f t="shared" si="631"/>
        <v>3.7817410949879466</v>
      </c>
      <c r="KQ73" s="149">
        <f t="shared" si="632"/>
        <v>4.8889540960391749</v>
      </c>
      <c r="KR73" s="149">
        <f t="shared" si="633"/>
        <v>5.8389445964950362</v>
      </c>
      <c r="KS73" s="149">
        <f t="shared" si="634"/>
        <v>6.9317296465975033</v>
      </c>
      <c r="KT73" s="149">
        <f t="shared" si="906"/>
        <v>8.7490451905970943</v>
      </c>
      <c r="KU73" s="150">
        <f t="shared" si="907"/>
        <v>10.766802116290105</v>
      </c>
      <c r="KV73" s="149">
        <f t="shared" si="908"/>
        <v>12.776893079622088</v>
      </c>
      <c r="KW73" s="149">
        <f t="shared" si="635"/>
        <v>14.574223149102341</v>
      </c>
      <c r="KX73" s="149">
        <f t="shared" si="636"/>
        <v>15.649020332763538</v>
      </c>
      <c r="KY73" s="149">
        <f t="shared" si="637"/>
        <v>16.57971445201181</v>
      </c>
      <c r="KZ73" s="149">
        <f t="shared" si="638"/>
        <v>17.66011523143742</v>
      </c>
      <c r="LA73" s="81"/>
      <c r="LB73" s="122">
        <v>71</v>
      </c>
      <c r="LC73" s="149">
        <f t="shared" si="639"/>
        <v>9.7014397859511092</v>
      </c>
      <c r="LD73" s="149">
        <f t="shared" si="640"/>
        <v>13.363141535729056</v>
      </c>
      <c r="LE73" s="149">
        <f t="shared" si="641"/>
        <v>16.557749815699232</v>
      </c>
      <c r="LF73" s="149">
        <f t="shared" si="642"/>
        <v>20.290890830943127</v>
      </c>
      <c r="LG73" s="149">
        <f t="shared" si="909"/>
        <v>26.632029297078574</v>
      </c>
      <c r="LH73" s="150">
        <f t="shared" si="910"/>
        <v>33.858035523074285</v>
      </c>
      <c r="LI73" s="149">
        <f t="shared" si="911"/>
        <v>41.240794160799503</v>
      </c>
      <c r="LJ73" s="149">
        <f t="shared" si="643"/>
        <v>47.990487477278428</v>
      </c>
      <c r="LK73" s="149">
        <f t="shared" si="644"/>
        <v>52.091221263900216</v>
      </c>
      <c r="LL73" s="149">
        <f t="shared" si="645"/>
        <v>55.680035630525033</v>
      </c>
      <c r="LM73" s="149">
        <f t="shared" si="646"/>
        <v>59.889277705553091</v>
      </c>
      <c r="LN73" s="81"/>
      <c r="LO73" s="122">
        <v>71</v>
      </c>
      <c r="LP73" s="149">
        <f t="shared" si="647"/>
        <v>15.002010165156268</v>
      </c>
      <c r="LQ73" s="149">
        <f t="shared" si="648"/>
        <v>18.806774710320258</v>
      </c>
      <c r="LR73" s="149">
        <f t="shared" si="649"/>
        <v>22.133403285798249</v>
      </c>
      <c r="LS73" s="149">
        <f t="shared" si="650"/>
        <v>26.028776663924294</v>
      </c>
      <c r="LT73" s="149">
        <f t="shared" si="912"/>
        <v>32.66367369511191</v>
      </c>
      <c r="LU73" s="150">
        <f t="shared" si="913"/>
        <v>40.249879307567014</v>
      </c>
      <c r="LV73" s="149">
        <f t="shared" si="914"/>
        <v>48.025932357888934</v>
      </c>
      <c r="LW73" s="149">
        <f t="shared" si="651"/>
        <v>55.155542733383712</v>
      </c>
      <c r="LX73" s="149">
        <f t="shared" si="652"/>
        <v>59.49590505617023</v>
      </c>
      <c r="LY73" s="149">
        <f t="shared" si="653"/>
        <v>63.299607161023843</v>
      </c>
      <c r="LZ73" s="149">
        <f t="shared" si="654"/>
        <v>67.766782325147986</v>
      </c>
      <c r="MA73" s="81"/>
      <c r="MB73" s="122">
        <v>73</v>
      </c>
      <c r="MC73" s="149">
        <f t="shared" si="655"/>
        <v>11.58675261464672</v>
      </c>
      <c r="MD73" s="149">
        <f t="shared" si="656"/>
        <v>14.332782458563869</v>
      </c>
      <c r="ME73" s="149">
        <f t="shared" si="657"/>
        <v>16.709389317416388</v>
      </c>
      <c r="MF73" s="149">
        <f t="shared" si="658"/>
        <v>19.465893333125663</v>
      </c>
      <c r="MG73" s="149">
        <f t="shared" si="915"/>
        <v>24.101666062022595</v>
      </c>
      <c r="MH73" s="150">
        <f t="shared" si="916"/>
        <v>29.320911183406388</v>
      </c>
      <c r="MI73" s="149">
        <f t="shared" si="917"/>
        <v>34.592005192886937</v>
      </c>
      <c r="MJ73" s="149">
        <f t="shared" si="659"/>
        <v>39.362873428607635</v>
      </c>
      <c r="MK73" s="149">
        <f t="shared" si="660"/>
        <v>42.240874787209158</v>
      </c>
      <c r="ML73" s="149">
        <f t="shared" si="661"/>
        <v>44.747716905612059</v>
      </c>
      <c r="MM73" s="149">
        <f t="shared" si="662"/>
        <v>47.674535002258487</v>
      </c>
      <c r="MN73" s="81"/>
      <c r="MO73" s="122">
        <v>71</v>
      </c>
      <c r="MP73" s="149">
        <f t="shared" si="663"/>
        <v>3.5808950952855838</v>
      </c>
      <c r="MQ73" s="149">
        <f t="shared" si="664"/>
        <v>7.5640185733392684</v>
      </c>
      <c r="MR73" s="149">
        <f t="shared" si="665"/>
        <v>10.998904181351413</v>
      </c>
      <c r="MS73" s="149">
        <f t="shared" si="666"/>
        <v>14.96887135293224</v>
      </c>
      <c r="MT73" s="149">
        <f t="shared" si="918"/>
        <v>21.612823031015495</v>
      </c>
      <c r="MU73" s="150">
        <f t="shared" si="919"/>
        <v>29.046563008864076</v>
      </c>
      <c r="MV73" s="149">
        <f t="shared" si="920"/>
        <v>36.507228130502249</v>
      </c>
      <c r="MW73" s="149">
        <f t="shared" si="667"/>
        <v>43.221652420106331</v>
      </c>
      <c r="MX73" s="149">
        <f t="shared" si="668"/>
        <v>47.255402521683926</v>
      </c>
      <c r="MY73" s="149">
        <f t="shared" si="669"/>
        <v>50.759099485451053</v>
      </c>
      <c r="MZ73" s="149">
        <f t="shared" si="670"/>
        <v>54.838535635074727</v>
      </c>
      <c r="NA73" s="81"/>
      <c r="NB73" s="122">
        <v>71</v>
      </c>
      <c r="NC73" s="149">
        <f t="shared" si="671"/>
        <v>14.525428291546941</v>
      </c>
      <c r="ND73" s="149">
        <f t="shared" si="672"/>
        <v>17.811928212065883</v>
      </c>
      <c r="NE73" s="149">
        <f t="shared" si="673"/>
        <v>20.646850779904138</v>
      </c>
      <c r="NF73" s="149">
        <f t="shared" si="674"/>
        <v>23.924363781196814</v>
      </c>
      <c r="NG73" s="149">
        <f t="shared" si="921"/>
        <v>29.411913006161196</v>
      </c>
      <c r="NH73" s="150">
        <f t="shared" si="922"/>
        <v>35.555548595616173</v>
      </c>
      <c r="NI73" s="149">
        <f t="shared" si="923"/>
        <v>41.7254647027424</v>
      </c>
      <c r="NJ73" s="149">
        <f t="shared" si="675"/>
        <v>47.281657965280488</v>
      </c>
      <c r="NK73" s="149">
        <f t="shared" si="676"/>
        <v>50.621118069580717</v>
      </c>
      <c r="NL73" s="149">
        <f t="shared" si="677"/>
        <v>53.522672496791813</v>
      </c>
      <c r="NM73" s="149">
        <f t="shared" si="678"/>
        <v>56.902074757463296</v>
      </c>
      <c r="NN73" s="81"/>
      <c r="NO73" s="122">
        <v>73</v>
      </c>
      <c r="NP73" s="149">
        <f t="shared" si="679"/>
        <v>1.0727289399956632</v>
      </c>
      <c r="NQ73" s="149">
        <f t="shared" si="680"/>
        <v>4.6330539878556252</v>
      </c>
      <c r="NR73" s="149">
        <f t="shared" si="681"/>
        <v>7.6963498480243118</v>
      </c>
      <c r="NS73" s="149">
        <f t="shared" si="682"/>
        <v>11.229437102413193</v>
      </c>
      <c r="NT73" s="149">
        <f t="shared" si="924"/>
        <v>17.126091190924022</v>
      </c>
      <c r="NU73" s="150">
        <f t="shared" si="925"/>
        <v>23.702227620019499</v>
      </c>
      <c r="NV73" s="149">
        <f t="shared" si="926"/>
        <v>30.281934987203805</v>
      </c>
      <c r="NW73" s="149">
        <f t="shared" si="683"/>
        <v>36.187936647245543</v>
      </c>
      <c r="NX73" s="149">
        <f t="shared" si="684"/>
        <v>39.729485586882085</v>
      </c>
      <c r="NY73" s="149">
        <f t="shared" si="685"/>
        <v>42.80191173821877</v>
      </c>
      <c r="NZ73" s="149">
        <f t="shared" si="686"/>
        <v>46.375018708495084</v>
      </c>
      <c r="OA73" s="81"/>
      <c r="OB73" s="122">
        <v>71</v>
      </c>
      <c r="OC73" s="149">
        <v>15.296178266715163</v>
      </c>
      <c r="OD73" s="149">
        <v>16.594555318589478</v>
      </c>
      <c r="OE73" s="149">
        <v>17.799042279908612</v>
      </c>
      <c r="OF73" s="149">
        <v>19.296639370496749</v>
      </c>
      <c r="OG73" s="149">
        <v>22.080542686833496</v>
      </c>
      <c r="OH73" s="150">
        <v>25.659287025410059</v>
      </c>
      <c r="OI73" s="149">
        <v>29.818062897746469</v>
      </c>
      <c r="OJ73" s="149">
        <v>34.119879529853492</v>
      </c>
      <c r="OK73" s="149">
        <v>36.990698729648592</v>
      </c>
      <c r="OL73" s="149">
        <v>39.675604317931203</v>
      </c>
      <c r="OM73" s="149">
        <v>43.043366726777009</v>
      </c>
      <c r="ON73" s="81"/>
      <c r="OO73" s="122">
        <v>71</v>
      </c>
      <c r="OP73" s="149">
        <v>17.335060176895425</v>
      </c>
      <c r="OQ73" s="149">
        <v>18.366074651516517</v>
      </c>
      <c r="OR73" s="149">
        <v>19.301717333892682</v>
      </c>
      <c r="OS73" s="149">
        <v>20.439764090164118</v>
      </c>
      <c r="OT73" s="149">
        <v>25.053707015917691</v>
      </c>
      <c r="OU73" s="150">
        <v>25.017281268785759</v>
      </c>
      <c r="OV73" s="149">
        <v>27.82916804561258</v>
      </c>
      <c r="OW73" s="149">
        <v>30.619940588390286</v>
      </c>
      <c r="OX73" s="149">
        <v>32.425320050799705</v>
      </c>
      <c r="OY73" s="149">
        <v>34.077197983612677</v>
      </c>
      <c r="OZ73" s="149">
        <v>36.103962472291002</v>
      </c>
      <c r="PA73" s="81"/>
      <c r="PB73" s="122">
        <v>73</v>
      </c>
      <c r="PC73" s="149">
        <v>13.303199112016419</v>
      </c>
      <c r="PD73" s="149">
        <v>14.720966207511616</v>
      </c>
      <c r="PE73" s="149">
        <v>16.060596853449731</v>
      </c>
      <c r="PF73" s="149">
        <v>17.757096147159988</v>
      </c>
      <c r="PG73" s="149">
        <v>20.995275758834985</v>
      </c>
      <c r="PH73" s="150">
        <v>25.305076887298942</v>
      </c>
      <c r="PI73" s="149">
        <v>30.499571600179998</v>
      </c>
      <c r="PJ73" s="149">
        <v>36.061465848092837</v>
      </c>
      <c r="PK73" s="149">
        <v>39.870679907799811</v>
      </c>
      <c r="PL73" s="149">
        <v>43.498973317754341</v>
      </c>
      <c r="PM73" s="149">
        <v>48.134806589018339</v>
      </c>
      <c r="PN73" s="81"/>
      <c r="PO73" s="122">
        <v>71</v>
      </c>
      <c r="PP73" s="149">
        <v>10.963571675808312</v>
      </c>
      <c r="PQ73" s="149">
        <v>11.88384061977572</v>
      </c>
      <c r="PR73" s="149">
        <v>12.736872422297239</v>
      </c>
      <c r="PS73" s="149">
        <v>13.796632598521327</v>
      </c>
      <c r="PT73" s="149">
        <v>15.764348253539334</v>
      </c>
      <c r="PU73" s="150">
        <v>18.290015988968882</v>
      </c>
      <c r="PV73" s="149">
        <v>21.220330805723687</v>
      </c>
      <c r="PW73" s="149">
        <v>24.246835775897249</v>
      </c>
      <c r="PX73" s="149">
        <v>26.264272247174006</v>
      </c>
      <c r="PY73" s="149">
        <v>28.14954319734478</v>
      </c>
      <c r="PZ73" s="149">
        <v>30.512381801168239</v>
      </c>
      <c r="QA73" s="81"/>
      <c r="QB73" s="122">
        <v>71</v>
      </c>
      <c r="QC73" s="149">
        <v>11.358827128656438</v>
      </c>
      <c r="QD73" s="149">
        <v>12.290639842532798</v>
      </c>
      <c r="QE73" s="149">
        <v>13.152963091540254</v>
      </c>
      <c r="QF73" s="149">
        <v>14.22252057620585</v>
      </c>
      <c r="QG73" s="149">
        <v>16.203772214831428</v>
      </c>
      <c r="QH73" s="150">
        <v>18.738984933429744</v>
      </c>
      <c r="QI73" s="149">
        <v>21.670852421258886</v>
      </c>
      <c r="QJ73" s="149">
        <v>24.689685239251965</v>
      </c>
      <c r="QK73" s="149">
        <v>26.697372591363838</v>
      </c>
      <c r="QL73" s="149">
        <v>28.570486226447247</v>
      </c>
      <c r="QM73" s="149">
        <v>30.914244257614836</v>
      </c>
      <c r="QN73" s="81"/>
      <c r="QO73" s="122">
        <v>73</v>
      </c>
      <c r="QP73" s="149">
        <v>9.2533460661278628</v>
      </c>
      <c r="QQ73" s="149">
        <v>10.1926720712859</v>
      </c>
      <c r="QR73" s="149">
        <v>11.076462183083441</v>
      </c>
      <c r="QS73" s="149">
        <v>12.190937515544544</v>
      </c>
      <c r="QT73" s="149">
        <v>14.305181707024355</v>
      </c>
      <c r="QU73" s="150">
        <v>17.096558782846905</v>
      </c>
      <c r="QV73" s="149">
        <v>20.432618627403645</v>
      </c>
      <c r="QW73" s="149">
        <v>23.976197223768931</v>
      </c>
      <c r="QX73" s="149">
        <v>26.388599300392492</v>
      </c>
      <c r="QY73" s="149">
        <v>28.67671207030839</v>
      </c>
      <c r="QZ73" s="149">
        <v>31.587743517481098</v>
      </c>
      <c r="RA73" s="81"/>
      <c r="RB73" s="122">
        <v>71</v>
      </c>
      <c r="RC73" s="149">
        <f t="shared" si="687"/>
        <v>0.43447249239196722</v>
      </c>
      <c r="RD73" s="149">
        <f t="shared" si="688"/>
        <v>0.4741424202650199</v>
      </c>
      <c r="RE73" s="149">
        <f t="shared" si="689"/>
        <v>0.51163274974698725</v>
      </c>
      <c r="RF73" s="149">
        <f t="shared" si="690"/>
        <v>0.55917706893880481</v>
      </c>
      <c r="RG73" s="149">
        <f t="shared" si="927"/>
        <v>0.65031688137073207</v>
      </c>
      <c r="RH73" s="150">
        <f t="shared" si="928"/>
        <v>0.77278423361331194</v>
      </c>
      <c r="RI73" s="149">
        <f t="shared" si="929"/>
        <v>0.92265006857473053</v>
      </c>
      <c r="RJ73" s="149">
        <f t="shared" si="691"/>
        <v>1.086267233994558</v>
      </c>
      <c r="RK73" s="149">
        <f t="shared" si="692"/>
        <v>1.2003517987615702</v>
      </c>
      <c r="RL73" s="149">
        <f t="shared" si="693"/>
        <v>1.3106146340493541</v>
      </c>
      <c r="RM73" s="149">
        <f t="shared" si="694"/>
        <v>1.4538218578479885</v>
      </c>
      <c r="RN73" s="81"/>
      <c r="RO73" s="122">
        <v>71</v>
      </c>
      <c r="RP73" s="149">
        <f t="shared" si="695"/>
        <v>0.47858483795522555</v>
      </c>
      <c r="RQ73" s="149">
        <f t="shared" si="696"/>
        <v>0.52424379468483051</v>
      </c>
      <c r="RR73" s="149">
        <f t="shared" si="697"/>
        <v>0.56780704307273688</v>
      </c>
      <c r="RS73" s="149">
        <f t="shared" si="698"/>
        <v>0.62362408173672645</v>
      </c>
      <c r="RT73" s="149">
        <f t="shared" si="930"/>
        <v>0.73238016359705749</v>
      </c>
      <c r="RU73" s="150">
        <f t="shared" si="931"/>
        <v>0.88207192634810883</v>
      </c>
      <c r="RV73" s="149">
        <f t="shared" si="932"/>
        <v>1.0706212378610023</v>
      </c>
      <c r="RW73" s="149">
        <f t="shared" si="699"/>
        <v>1.2829836239203802</v>
      </c>
      <c r="RX73" s="149">
        <f t="shared" si="700"/>
        <v>1.4349551834121486</v>
      </c>
      <c r="RY73" s="149">
        <f t="shared" si="701"/>
        <v>1.5848033492324365</v>
      </c>
      <c r="RZ73" s="149">
        <f t="shared" si="702"/>
        <v>1.7836842375551727</v>
      </c>
      <c r="SA73" s="81"/>
      <c r="SB73" s="122">
        <v>73</v>
      </c>
      <c r="SC73" s="149">
        <f t="shared" si="703"/>
        <v>0.44904577671526824</v>
      </c>
      <c r="SD73" s="149">
        <f t="shared" si="704"/>
        <v>0.48294709362104488</v>
      </c>
      <c r="SE73" s="149">
        <f t="shared" si="705"/>
        <v>0.51417255692058861</v>
      </c>
      <c r="SF73" s="149">
        <f t="shared" si="706"/>
        <v>0.55272241195346961</v>
      </c>
      <c r="SG73" s="149">
        <f t="shared" si="933"/>
        <v>0.62366383273347659</v>
      </c>
      <c r="SH73" s="150">
        <f t="shared" si="934"/>
        <v>0.71367546836388396</v>
      </c>
      <c r="SI73" s="149">
        <f t="shared" si="935"/>
        <v>0.81687155710503268</v>
      </c>
      <c r="SJ73" s="149">
        <f t="shared" si="707"/>
        <v>0.92228354946492974</v>
      </c>
      <c r="SK73" s="149">
        <f t="shared" si="708"/>
        <v>0.99197827368430325</v>
      </c>
      <c r="SL73" s="149">
        <f t="shared" si="709"/>
        <v>1.0567381912064577</v>
      </c>
      <c r="SM73" s="149">
        <f t="shared" si="710"/>
        <v>1.1374443192887027</v>
      </c>
      <c r="SN73" s="81"/>
      <c r="SO73" s="122">
        <v>71</v>
      </c>
      <c r="SP73" s="149">
        <f t="shared" si="711"/>
        <v>0.30391470299599033</v>
      </c>
      <c r="SQ73" s="149">
        <f t="shared" si="712"/>
        <v>0.32237123472958329</v>
      </c>
      <c r="SR73" s="149">
        <f t="shared" si="713"/>
        <v>0.33890359881747245</v>
      </c>
      <c r="SS73" s="149">
        <f t="shared" si="714"/>
        <v>0.35874136708032883</v>
      </c>
      <c r="ST73" s="149">
        <f t="shared" si="936"/>
        <v>0.39374860012606577</v>
      </c>
      <c r="SU73" s="150">
        <f t="shared" si="937"/>
        <v>0.43570794598112489</v>
      </c>
      <c r="SV73" s="149">
        <f t="shared" si="938"/>
        <v>0.48092062629693055</v>
      </c>
      <c r="SW73" s="149">
        <f t="shared" si="715"/>
        <v>0.52438736959091836</v>
      </c>
      <c r="SX73" s="149">
        <f t="shared" si="716"/>
        <v>0.55181174271049571</v>
      </c>
      <c r="SY73" s="149">
        <f t="shared" si="717"/>
        <v>0.57645367867599362</v>
      </c>
      <c r="SZ73" s="149">
        <f t="shared" si="718"/>
        <v>0.60612852630358871</v>
      </c>
      <c r="TA73" s="81"/>
      <c r="TB73" s="122">
        <v>71</v>
      </c>
      <c r="TC73" s="149">
        <f t="shared" si="719"/>
        <v>0.32470240636198</v>
      </c>
      <c r="TD73" s="149">
        <f t="shared" si="720"/>
        <v>0.34460602631996651</v>
      </c>
      <c r="TE73" s="149">
        <f t="shared" si="721"/>
        <v>0.36252039480554954</v>
      </c>
      <c r="TF73" s="149">
        <f t="shared" si="722"/>
        <v>0.38412231709020328</v>
      </c>
      <c r="TG73" s="149">
        <f t="shared" si="939"/>
        <v>0.42252005480278232</v>
      </c>
      <c r="TH73" s="150">
        <f t="shared" si="940"/>
        <v>0.46899953070187522</v>
      </c>
      <c r="TI73" s="149">
        <f t="shared" si="941"/>
        <v>0.51962383930716116</v>
      </c>
      <c r="TJ73" s="149">
        <f t="shared" si="723"/>
        <v>0.56880613845117167</v>
      </c>
      <c r="TK73" s="149">
        <f t="shared" si="724"/>
        <v>0.60008830298788818</v>
      </c>
      <c r="TL73" s="149">
        <f t="shared" si="725"/>
        <v>0.62835907704725014</v>
      </c>
      <c r="TM73" s="149">
        <f t="shared" si="726"/>
        <v>0.66260425052320615</v>
      </c>
      <c r="TN73" s="81"/>
      <c r="TO73" s="122">
        <v>73</v>
      </c>
      <c r="TP73" s="149">
        <f t="shared" si="727"/>
        <v>0.31095139679107192</v>
      </c>
      <c r="TQ73" s="149">
        <f t="shared" si="728"/>
        <v>0.32639829442088492</v>
      </c>
      <c r="TR73" s="149">
        <f t="shared" si="729"/>
        <v>0.3400216210642904</v>
      </c>
      <c r="TS73" s="149">
        <f t="shared" si="730"/>
        <v>0.35611879177558431</v>
      </c>
      <c r="TT73" s="149">
        <f t="shared" si="942"/>
        <v>0.38390850061418547</v>
      </c>
      <c r="TU73" s="150">
        <f t="shared" si="943"/>
        <v>0.41627489232376752</v>
      </c>
      <c r="TV73" s="149">
        <f t="shared" si="944"/>
        <v>0.45012348405027225</v>
      </c>
      <c r="TW73" s="149">
        <f t="shared" si="731"/>
        <v>0.48176563434690761</v>
      </c>
      <c r="TX73" s="149">
        <f t="shared" si="732"/>
        <v>0.50131568799487092</v>
      </c>
      <c r="TY73" s="149">
        <f t="shared" si="733"/>
        <v>0.51862778511242991</v>
      </c>
      <c r="TZ73" s="149">
        <f t="shared" si="734"/>
        <v>0.53917389282464634</v>
      </c>
      <c r="UA73" s="81"/>
      <c r="UB73" s="122">
        <v>71</v>
      </c>
      <c r="UC73" s="149">
        <f t="shared" si="735"/>
        <v>-6.640766685978079</v>
      </c>
      <c r="UD73" s="149">
        <f t="shared" si="736"/>
        <v>-3.8118290552718932</v>
      </c>
      <c r="UE73" s="149">
        <f t="shared" si="737"/>
        <v>-1.4227900062854104</v>
      </c>
      <c r="UF73" s="149">
        <f t="shared" si="738"/>
        <v>1.2849714308415372</v>
      </c>
      <c r="UG73" s="149">
        <f t="shared" si="945"/>
        <v>5.7004202367656376</v>
      </c>
      <c r="UH73" s="150">
        <f t="shared" si="946"/>
        <v>10.487399018370894</v>
      </c>
      <c r="UI73" s="149">
        <f t="shared" si="947"/>
        <v>15.14842585326295</v>
      </c>
      <c r="UJ73" s="149">
        <f t="shared" si="739"/>
        <v>19.234079683611526</v>
      </c>
      <c r="UK73" s="149">
        <f t="shared" si="740"/>
        <v>21.643200295312596</v>
      </c>
      <c r="UL73" s="149">
        <f t="shared" si="741"/>
        <v>23.709915027653167</v>
      </c>
      <c r="UM73" s="149">
        <f t="shared" si="742"/>
        <v>26.087511482889099</v>
      </c>
      <c r="UN73" s="81"/>
      <c r="UO73" s="122">
        <v>71</v>
      </c>
      <c r="UP73" s="149">
        <f t="shared" si="743"/>
        <v>-2.4970198984595804</v>
      </c>
      <c r="UQ73" s="149">
        <f t="shared" si="744"/>
        <v>-1.1011945962849268E-2</v>
      </c>
      <c r="UR73" s="149">
        <f t="shared" si="745"/>
        <v>2.1241718165926429</v>
      </c>
      <c r="US73" s="149">
        <f t="shared" si="746"/>
        <v>4.5827830829539309</v>
      </c>
      <c r="UT73" s="149">
        <f t="shared" si="948"/>
        <v>8.6773099783828442</v>
      </c>
      <c r="UU73" s="150">
        <f t="shared" si="949"/>
        <v>13.231810155507816</v>
      </c>
      <c r="UV73" s="149">
        <f t="shared" si="950"/>
        <v>17.777529742953853</v>
      </c>
      <c r="UW73" s="149">
        <f t="shared" si="747"/>
        <v>21.849094617971758</v>
      </c>
      <c r="UX73" s="149">
        <f t="shared" si="748"/>
        <v>24.28694934623266</v>
      </c>
      <c r="UY73" s="149">
        <f t="shared" si="749"/>
        <v>26.399769065169792</v>
      </c>
      <c r="UZ73" s="149">
        <f t="shared" si="750"/>
        <v>28.854528145453465</v>
      </c>
      <c r="VA73" s="81"/>
      <c r="VB73" s="122">
        <v>74</v>
      </c>
      <c r="VC73" s="149">
        <f t="shared" si="751"/>
        <v>-6.4932164074738381</v>
      </c>
      <c r="VD73" s="149">
        <f t="shared" si="752"/>
        <v>-3.9003087892773465</v>
      </c>
      <c r="VE73" s="149">
        <f t="shared" si="753"/>
        <v>-1.7262748227287759</v>
      </c>
      <c r="VF73" s="149">
        <f t="shared" si="754"/>
        <v>0.72148533054159714</v>
      </c>
      <c r="VG73" s="149">
        <f t="shared" si="951"/>
        <v>4.6782870845248539</v>
      </c>
      <c r="VH73" s="150">
        <f t="shared" si="952"/>
        <v>8.9232708106036114</v>
      </c>
      <c r="VI73" s="149">
        <f t="shared" si="953"/>
        <v>13.015614360921674</v>
      </c>
      <c r="VJ73" s="149">
        <f t="shared" si="755"/>
        <v>16.572121318894716</v>
      </c>
      <c r="VK73" s="149">
        <f t="shared" si="756"/>
        <v>18.656614222344956</v>
      </c>
      <c r="VL73" s="149">
        <f t="shared" si="757"/>
        <v>20.437714665324052</v>
      </c>
      <c r="VM73" s="149">
        <f t="shared" si="758"/>
        <v>22.478873872465158</v>
      </c>
      <c r="VN73" s="81"/>
      <c r="VO73" s="122">
        <v>71</v>
      </c>
      <c r="VP73" s="149">
        <f t="shared" si="759"/>
        <v>-10.751106102800492</v>
      </c>
      <c r="VQ73" s="149">
        <f t="shared" si="760"/>
        <v>-5.8811074172001483</v>
      </c>
      <c r="VR73" s="149">
        <f t="shared" si="761"/>
        <v>-1.5252212889069767</v>
      </c>
      <c r="VS73" s="149">
        <f t="shared" si="762"/>
        <v>3.685952718741504</v>
      </c>
      <c r="VT73" s="149">
        <f t="shared" si="954"/>
        <v>12.821645952733114</v>
      </c>
      <c r="VU73" s="150">
        <f t="shared" si="955"/>
        <v>23.642108782556043</v>
      </c>
      <c r="VV73" s="149">
        <f t="shared" si="956"/>
        <v>35.118913064033713</v>
      </c>
      <c r="VW73" s="149">
        <f t="shared" si="763"/>
        <v>45.961985704714159</v>
      </c>
      <c r="VX73" s="149">
        <f t="shared" si="764"/>
        <v>52.705264149880101</v>
      </c>
      <c r="VY73" s="149">
        <f t="shared" si="765"/>
        <v>58.699833072255863</v>
      </c>
      <c r="VZ73" s="149">
        <f t="shared" si="766"/>
        <v>65.838378810353646</v>
      </c>
      <c r="WA73" s="81"/>
      <c r="WB73" s="122">
        <v>71</v>
      </c>
      <c r="WC73" s="149">
        <f t="shared" si="767"/>
        <v>-2.9341463141883679</v>
      </c>
      <c r="WD73" s="149">
        <f t="shared" si="768"/>
        <v>1.8396074202889139</v>
      </c>
      <c r="WE73" s="149">
        <f t="shared" si="769"/>
        <v>6.1011226750462981</v>
      </c>
      <c r="WF73" s="149">
        <f t="shared" si="770"/>
        <v>11.190607095252325</v>
      </c>
      <c r="WG73" s="149">
        <f t="shared" si="957"/>
        <v>20.093692561275354</v>
      </c>
      <c r="WH73" s="150">
        <f t="shared" si="958"/>
        <v>30.613112038127532</v>
      </c>
      <c r="WI73" s="149">
        <f t="shared" si="959"/>
        <v>41.74685577287061</v>
      </c>
      <c r="WJ73" s="149">
        <f t="shared" si="771"/>
        <v>52.247882756119417</v>
      </c>
      <c r="WK73" s="149">
        <f t="shared" si="772"/>
        <v>58.771098311520994</v>
      </c>
      <c r="WL73" s="149">
        <f t="shared" si="773"/>
        <v>64.56589834551076</v>
      </c>
      <c r="WM73" s="149">
        <f t="shared" si="774"/>
        <v>71.461972330487271</v>
      </c>
      <c r="WN73" s="81"/>
      <c r="WO73" s="122">
        <v>74</v>
      </c>
      <c r="WP73" s="149">
        <f t="shared" si="775"/>
        <v>-13.055668899923845</v>
      </c>
      <c r="WQ73" s="149">
        <f t="shared" si="776"/>
        <v>-8.3940073350798201</v>
      </c>
      <c r="WR73" s="149">
        <f t="shared" si="777"/>
        <v>-4.2551304045744658</v>
      </c>
      <c r="WS73" s="149">
        <f t="shared" si="778"/>
        <v>0.66092531414381028</v>
      </c>
      <c r="WT73" s="149">
        <f t="shared" si="960"/>
        <v>9.1934805473246612</v>
      </c>
      <c r="WU73" s="150">
        <f t="shared" si="961"/>
        <v>19.172447845436771</v>
      </c>
      <c r="WV73" s="149">
        <f t="shared" si="962"/>
        <v>29.6232540495945</v>
      </c>
      <c r="WW73" s="149">
        <f t="shared" si="779"/>
        <v>39.384592065570807</v>
      </c>
      <c r="WX73" s="149">
        <f t="shared" si="780"/>
        <v>45.404986095496064</v>
      </c>
      <c r="WY73" s="149">
        <f t="shared" si="781"/>
        <v>50.726836421706743</v>
      </c>
      <c r="WZ73" s="149">
        <f t="shared" si="782"/>
        <v>57.029336675606224</v>
      </c>
      <c r="XA73" s="81"/>
      <c r="XB73" s="122">
        <v>71</v>
      </c>
      <c r="XC73" s="149">
        <f t="shared" si="783"/>
        <v>-16.22653719234355</v>
      </c>
      <c r="XD73" s="149">
        <f t="shared" si="784"/>
        <v>-11.133956239433033</v>
      </c>
      <c r="XE73" s="149">
        <f t="shared" si="785"/>
        <v>-6.6409747490029787</v>
      </c>
      <c r="XF73" s="149">
        <f t="shared" si="786"/>
        <v>-1.338076480932088</v>
      </c>
      <c r="XG73" s="149">
        <f t="shared" si="963"/>
        <v>7.7830840995721786</v>
      </c>
      <c r="XH73" s="150">
        <f t="shared" si="964"/>
        <v>18.326394492322457</v>
      </c>
      <c r="XI73" s="149">
        <f t="shared" si="965"/>
        <v>29.237375092454677</v>
      </c>
      <c r="XJ73" s="149">
        <f t="shared" si="787"/>
        <v>39.318355567255644</v>
      </c>
      <c r="XK73" s="149">
        <f t="shared" si="788"/>
        <v>45.486800853461581</v>
      </c>
      <c r="XL73" s="149">
        <f t="shared" si="789"/>
        <v>50.91014469515553</v>
      </c>
      <c r="XM73" s="149">
        <f t="shared" si="790"/>
        <v>57.298845733462166</v>
      </c>
      <c r="XN73" s="81"/>
      <c r="XO73" s="122">
        <v>71</v>
      </c>
      <c r="XP73" s="149">
        <f t="shared" si="791"/>
        <v>-2.9344015844990494</v>
      </c>
      <c r="XQ73" s="149">
        <f t="shared" si="792"/>
        <v>1.3852393915122363</v>
      </c>
      <c r="XR73" s="149">
        <f t="shared" si="793"/>
        <v>5.1622930925647026</v>
      </c>
      <c r="XS73" s="149">
        <f t="shared" si="794"/>
        <v>9.5850973424742634</v>
      </c>
      <c r="XT73" s="149">
        <f t="shared" si="966"/>
        <v>17.117664524611136</v>
      </c>
      <c r="XU73" s="150">
        <f t="shared" si="967"/>
        <v>25.728222473794666</v>
      </c>
      <c r="XV73" s="149">
        <f t="shared" si="968"/>
        <v>34.551182172278153</v>
      </c>
      <c r="XW73" s="149">
        <f t="shared" si="795"/>
        <v>42.637460754367616</v>
      </c>
      <c r="XX73" s="149">
        <f t="shared" si="796"/>
        <v>47.558605070235565</v>
      </c>
      <c r="XY73" s="149">
        <f t="shared" si="797"/>
        <v>51.87023510508704</v>
      </c>
      <c r="XZ73" s="149">
        <f t="shared" si="798"/>
        <v>56.932666372722984</v>
      </c>
      <c r="YA73" s="81"/>
      <c r="YB73" s="122">
        <v>74</v>
      </c>
      <c r="YC73" s="149">
        <f t="shared" si="799"/>
        <v>-19.869103368837365</v>
      </c>
      <c r="YD73" s="149">
        <f t="shared" si="800"/>
        <v>-14.973871853220707</v>
      </c>
      <c r="YE73" s="149">
        <f t="shared" si="801"/>
        <v>-10.671919501909315</v>
      </c>
      <c r="YF73" s="149">
        <f t="shared" si="802"/>
        <v>-5.6136446787165823</v>
      </c>
      <c r="YG73" s="149">
        <f t="shared" si="969"/>
        <v>3.0418947391123723</v>
      </c>
      <c r="YH73" s="150">
        <f t="shared" si="970"/>
        <v>12.98295291023431</v>
      </c>
      <c r="YI73" s="149">
        <f t="shared" si="971"/>
        <v>23.206135583427077</v>
      </c>
      <c r="YJ73" s="149">
        <f t="shared" si="803"/>
        <v>32.599245209647684</v>
      </c>
      <c r="YK73" s="149">
        <f t="shared" si="804"/>
        <v>38.324016821727206</v>
      </c>
      <c r="YL73" s="149">
        <f t="shared" si="805"/>
        <v>43.343883958263241</v>
      </c>
      <c r="YM73" s="149">
        <f t="shared" si="806"/>
        <v>49.241997210868298</v>
      </c>
      <c r="YN73" s="81"/>
      <c r="YO73" s="122">
        <v>71</v>
      </c>
      <c r="YP73" s="149">
        <v>19.265184555715525</v>
      </c>
      <c r="YQ73" s="149">
        <v>21.076287697781147</v>
      </c>
      <c r="YR73" s="149">
        <v>22.769538844784016</v>
      </c>
      <c r="YS73" s="149">
        <v>24.891263221619926</v>
      </c>
      <c r="YT73" s="149">
        <v>28.879735385154639</v>
      </c>
      <c r="YU73" s="150">
        <v>34.082849162142956</v>
      </c>
      <c r="YV73" s="149">
        <v>40.22338125738225</v>
      </c>
      <c r="YW73" s="149">
        <v>46.668608043982921</v>
      </c>
      <c r="YX73" s="149">
        <v>51.017309350360151</v>
      </c>
      <c r="YY73" s="149">
        <v>55.115996880782895</v>
      </c>
      <c r="YZ73" s="149">
        <v>60.297403518242284</v>
      </c>
      <c r="ZA73" s="81"/>
      <c r="ZB73" s="122">
        <v>71</v>
      </c>
      <c r="ZC73" s="149">
        <v>19.663756012949221</v>
      </c>
      <c r="ZD73" s="149">
        <v>21.200901916535944</v>
      </c>
      <c r="ZE73" s="149">
        <v>22.618700984852648</v>
      </c>
      <c r="ZF73" s="149">
        <v>24.371404114060439</v>
      </c>
      <c r="ZG73" s="149">
        <v>27.602663291657379</v>
      </c>
      <c r="ZH73" s="150">
        <v>31.711544930010909</v>
      </c>
      <c r="ZI73" s="149">
        <v>36.432067124190858</v>
      </c>
      <c r="ZJ73" s="149">
        <v>41.262377708797416</v>
      </c>
      <c r="ZK73" s="149">
        <v>44.459762853823868</v>
      </c>
      <c r="ZL73" s="149">
        <v>47.432985908196265</v>
      </c>
      <c r="ZM73" s="149">
        <v>51.140895014455332</v>
      </c>
      <c r="ZN73" s="81"/>
      <c r="ZO73" s="122">
        <v>74</v>
      </c>
      <c r="ZP73" s="149">
        <v>19.398766937355326</v>
      </c>
      <c r="ZQ73" s="149">
        <v>21.345725453420503</v>
      </c>
      <c r="ZR73" s="149">
        <v>23.175803621698531</v>
      </c>
      <c r="ZS73" s="149">
        <v>25.481335803811245</v>
      </c>
      <c r="ZT73" s="149">
        <v>29.849017565510714</v>
      </c>
      <c r="ZU73" s="150">
        <v>35.6050156773791</v>
      </c>
      <c r="ZV73" s="149">
        <v>42.470983797175457</v>
      </c>
      <c r="ZW73" s="149">
        <v>49.750811776390407</v>
      </c>
      <c r="ZX73" s="149">
        <v>54.70002948245132</v>
      </c>
      <c r="ZY73" s="149">
        <v>59.389742651415432</v>
      </c>
      <c r="ZZ73" s="149">
        <v>65.350398068097121</v>
      </c>
      <c r="AAA73" s="81"/>
      <c r="AAB73" s="122">
        <v>71</v>
      </c>
      <c r="AAC73" s="149">
        <v>11.594490708086918</v>
      </c>
      <c r="AAD73" s="149">
        <v>12.763386724711314</v>
      </c>
      <c r="AAE73" s="149">
        <v>13.862527937371857</v>
      </c>
      <c r="AAF73" s="149">
        <v>15.247750892472448</v>
      </c>
      <c r="AAG73" s="149">
        <v>17.873400167396593</v>
      </c>
      <c r="AAH73" s="150">
        <v>21.33612249595096</v>
      </c>
      <c r="AAI73" s="149">
        <v>25.469699044316332</v>
      </c>
      <c r="AAJ73" s="149">
        <v>29.855558788474415</v>
      </c>
      <c r="AAK73" s="149">
        <v>32.838896716303367</v>
      </c>
      <c r="AAL73" s="149">
        <v>35.666875334964899</v>
      </c>
      <c r="AAM73" s="149">
        <v>39.262623484161402</v>
      </c>
      <c r="AAN73" s="81"/>
      <c r="AAO73" s="122">
        <v>71</v>
      </c>
      <c r="AAP73" s="149">
        <v>12.263292761747993</v>
      </c>
      <c r="AAQ73" s="149">
        <v>13.487723793613995</v>
      </c>
      <c r="AAR73" s="149">
        <v>14.638144866457095</v>
      </c>
      <c r="AAS73" s="149">
        <v>16.086809896333886</v>
      </c>
      <c r="AAT73" s="149">
        <v>18.829479095209411</v>
      </c>
      <c r="AAU73" s="150">
        <v>22.440941343663134</v>
      </c>
      <c r="AAV73" s="149">
        <v>26.745075944127102</v>
      </c>
      <c r="AAW73" s="149">
        <v>31.304892121867894</v>
      </c>
      <c r="AAX73" s="149">
        <v>34.402982958838273</v>
      </c>
      <c r="AAY73" s="149">
        <v>37.337348843706728</v>
      </c>
      <c r="AAZ73" s="149">
        <v>41.065304251771572</v>
      </c>
      <c r="ABA73" s="81"/>
      <c r="ABB73" s="122">
        <v>74</v>
      </c>
      <c r="ABC73" s="149">
        <v>10.168504626662019</v>
      </c>
      <c r="ABD73" s="149">
        <v>11.322037050252069</v>
      </c>
      <c r="ABE73" s="149">
        <v>12.41827069547681</v>
      </c>
      <c r="ABF73" s="149">
        <v>13.814527636821376</v>
      </c>
      <c r="ABG73" s="149">
        <v>16.501779773394492</v>
      </c>
      <c r="ABH73" s="150">
        <v>20.11737651175762</v>
      </c>
      <c r="ABI73" s="149">
        <v>24.525162938383275</v>
      </c>
      <c r="ABJ73" s="149">
        <v>29.295886790736322</v>
      </c>
      <c r="ABK73" s="149">
        <v>32.589790288854552</v>
      </c>
      <c r="ABL73" s="149">
        <v>35.745231703406866</v>
      </c>
      <c r="ABM73" s="149">
        <v>39.800231457304221</v>
      </c>
      <c r="ABN73" s="81"/>
      <c r="ABO73" s="122">
        <v>71</v>
      </c>
      <c r="ABP73" s="149">
        <f t="shared" si="807"/>
        <v>0.33898007300459859</v>
      </c>
      <c r="ABQ73" s="149">
        <f t="shared" si="808"/>
        <v>0.38012862707716555</v>
      </c>
      <c r="ABR73" s="149">
        <f t="shared" si="809"/>
        <v>0.41833274783318014</v>
      </c>
      <c r="ABS73" s="149">
        <f t="shared" si="810"/>
        <v>0.46576997503257722</v>
      </c>
      <c r="ABT73" s="149">
        <f t="shared" si="972"/>
        <v>0.55346574537492843</v>
      </c>
      <c r="ABU73" s="150">
        <f t="shared" si="973"/>
        <v>0.6647594801134773</v>
      </c>
      <c r="ABV73" s="149">
        <f t="shared" si="974"/>
        <v>0.79154092886239502</v>
      </c>
      <c r="ABW73" s="149">
        <f t="shared" si="811"/>
        <v>0.91952743204188425</v>
      </c>
      <c r="ABX73" s="149">
        <f t="shared" si="812"/>
        <v>1.0031208652249828</v>
      </c>
      <c r="ABY73" s="149">
        <f t="shared" si="813"/>
        <v>1.079997490241442</v>
      </c>
      <c r="ABZ73" s="149">
        <f t="shared" si="814"/>
        <v>1.1746841047615342</v>
      </c>
      <c r="ACA73" s="81"/>
      <c r="ACB73" s="122">
        <v>71</v>
      </c>
      <c r="ACC73" s="149">
        <f t="shared" si="815"/>
        <v>0.43267364247879142</v>
      </c>
      <c r="ACD73" s="149">
        <f t="shared" si="816"/>
        <v>0.47341363126161778</v>
      </c>
      <c r="ACE73" s="149">
        <f t="shared" si="817"/>
        <v>0.51104580765264573</v>
      </c>
      <c r="ACF73" s="149">
        <f t="shared" si="818"/>
        <v>0.55759631779721175</v>
      </c>
      <c r="ACG73" s="149">
        <f t="shared" si="975"/>
        <v>0.64336814899805961</v>
      </c>
      <c r="ACH73" s="150">
        <f t="shared" si="976"/>
        <v>0.75209697100876194</v>
      </c>
      <c r="ACI73" s="149">
        <f t="shared" si="977"/>
        <v>0.87624826454319604</v>
      </c>
      <c r="ACJ73" s="149">
        <f t="shared" si="819"/>
        <v>1.0022269775018386</v>
      </c>
      <c r="ACK73" s="149">
        <f t="shared" si="820"/>
        <v>1.0849638608102241</v>
      </c>
      <c r="ACL73" s="149">
        <f t="shared" si="821"/>
        <v>1.1614109047028951</v>
      </c>
      <c r="ACM73" s="149">
        <f t="shared" si="822"/>
        <v>1.2560733582790191</v>
      </c>
      <c r="ACN73" s="81"/>
      <c r="ACO73" s="122">
        <v>74</v>
      </c>
      <c r="ACP73" s="149">
        <f t="shared" si="823"/>
        <v>0.30828041111371829</v>
      </c>
      <c r="ACQ73" s="149">
        <f t="shared" si="824"/>
        <v>0.34858069692187327</v>
      </c>
      <c r="ACR73" s="149">
        <f t="shared" si="825"/>
        <v>0.38528762720803295</v>
      </c>
      <c r="ACS73" s="149">
        <f t="shared" si="826"/>
        <v>0.42996557240131766</v>
      </c>
      <c r="ACT73" s="149">
        <f t="shared" si="978"/>
        <v>0.51020692923938005</v>
      </c>
      <c r="ACU73" s="150">
        <f t="shared" si="979"/>
        <v>0.60785125380481109</v>
      </c>
      <c r="ACV73" s="149">
        <f t="shared" si="980"/>
        <v>0.71433704608046444</v>
      </c>
      <c r="ACW73" s="149">
        <f t="shared" si="827"/>
        <v>0.81760462809680612</v>
      </c>
      <c r="ACX73" s="149">
        <f t="shared" si="828"/>
        <v>0.88290747166482486</v>
      </c>
      <c r="ACY73" s="149">
        <f t="shared" si="829"/>
        <v>0.9416468158116148</v>
      </c>
      <c r="ACZ73" s="149">
        <f t="shared" si="830"/>
        <v>1.0124012268870881</v>
      </c>
      <c r="ADA73" s="81"/>
      <c r="ADB73" s="122">
        <v>71</v>
      </c>
      <c r="ADC73" s="149">
        <f t="shared" si="831"/>
        <v>0.25594547829057984</v>
      </c>
      <c r="ADD73" s="149">
        <f t="shared" si="832"/>
        <v>0.27743809982112227</v>
      </c>
      <c r="ADE73" s="149">
        <f t="shared" si="833"/>
        <v>0.29622869740154395</v>
      </c>
      <c r="ADF73" s="149">
        <f t="shared" si="834"/>
        <v>0.31823030870303021</v>
      </c>
      <c r="ADG73" s="149">
        <f t="shared" si="981"/>
        <v>0.35570068076499939</v>
      </c>
      <c r="ADH73" s="150">
        <f t="shared" si="982"/>
        <v>0.39853595315668183</v>
      </c>
      <c r="ADI73" s="149">
        <f t="shared" si="983"/>
        <v>0.44243427982770045</v>
      </c>
      <c r="ADJ73" s="149">
        <f t="shared" si="835"/>
        <v>0.48267511117948408</v>
      </c>
      <c r="ADK73" s="149">
        <f t="shared" si="836"/>
        <v>0.50716909877130179</v>
      </c>
      <c r="ADL73" s="149">
        <f t="shared" si="837"/>
        <v>0.52863218654333899</v>
      </c>
      <c r="ADM73" s="149">
        <f t="shared" si="838"/>
        <v>0.55383624590903235</v>
      </c>
      <c r="ADN73" s="81"/>
      <c r="ADO73" s="122">
        <v>71</v>
      </c>
      <c r="ADP73" s="149">
        <f t="shared" si="839"/>
        <v>0.30363147219657638</v>
      </c>
      <c r="ADQ73" s="149">
        <f t="shared" si="840"/>
        <v>0.32220053673337856</v>
      </c>
      <c r="ADR73" s="149">
        <f t="shared" si="841"/>
        <v>0.33851453964423295</v>
      </c>
      <c r="ADS73" s="149">
        <f t="shared" si="842"/>
        <v>0.3577132984058754</v>
      </c>
      <c r="ADT73" s="149">
        <f t="shared" si="984"/>
        <v>0.39065634024886842</v>
      </c>
      <c r="ADU73" s="150">
        <f t="shared" si="985"/>
        <v>0.42870143207992106</v>
      </c>
      <c r="ADV73" s="149">
        <f t="shared" si="986"/>
        <v>0.46811868524053846</v>
      </c>
      <c r="ADW73" s="149">
        <f t="shared" si="843"/>
        <v>0.50462998829912453</v>
      </c>
      <c r="ADX73" s="149">
        <f t="shared" si="844"/>
        <v>0.52702917421629014</v>
      </c>
      <c r="ADY73" s="149">
        <f t="shared" si="845"/>
        <v>0.54676460866122834</v>
      </c>
      <c r="ADZ73" s="149">
        <f t="shared" si="846"/>
        <v>0.57006737055935974</v>
      </c>
      <c r="AEA73" s="81"/>
      <c r="AEB73" s="122">
        <v>74</v>
      </c>
      <c r="AEC73" s="149">
        <f t="shared" si="847"/>
        <v>0.23902365580819163</v>
      </c>
      <c r="AED73" s="149">
        <f t="shared" si="848"/>
        <v>0.26100262892151482</v>
      </c>
      <c r="AEE73" s="149">
        <f t="shared" si="849"/>
        <v>0.27984639727992228</v>
      </c>
      <c r="AEF73" s="149">
        <f t="shared" si="850"/>
        <v>0.30150942755226301</v>
      </c>
      <c r="AEG73" s="149">
        <f t="shared" si="987"/>
        <v>0.3375111569641443</v>
      </c>
      <c r="AEH73" s="150">
        <f t="shared" si="988"/>
        <v>0.37745848833508494</v>
      </c>
      <c r="AEI73" s="149">
        <f t="shared" si="989"/>
        <v>0.41723709150122612</v>
      </c>
      <c r="AEJ73" s="149">
        <f t="shared" si="851"/>
        <v>0.45279681089077162</v>
      </c>
      <c r="AEK73" s="149">
        <f t="shared" si="852"/>
        <v>0.47405929475941549</v>
      </c>
      <c r="AEL73" s="149">
        <f t="shared" si="853"/>
        <v>0.49247039846991564</v>
      </c>
      <c r="AEM73" s="149">
        <f t="shared" si="854"/>
        <v>0.51384281672634535</v>
      </c>
      <c r="AEN73" s="81"/>
    </row>
    <row r="74" spans="1:820">
      <c r="A74" s="81"/>
      <c r="B74" s="81">
        <v>73</v>
      </c>
      <c r="C74" s="133">
        <f t="shared" si="495"/>
        <v>2.5643639732630255</v>
      </c>
      <c r="D74" s="133">
        <f t="shared" si="496"/>
        <v>3.1119300312139404</v>
      </c>
      <c r="E74" s="133">
        <f t="shared" si="497"/>
        <v>3.6965077079887267</v>
      </c>
      <c r="F74" s="133">
        <f t="shared" si="498"/>
        <v>4.5397602122610383</v>
      </c>
      <c r="G74" s="133">
        <f t="shared" si="855"/>
        <v>6.5140222880756511</v>
      </c>
      <c r="H74" s="134">
        <f t="shared" si="856"/>
        <v>10.043057374204231</v>
      </c>
      <c r="I74" s="133">
        <f t="shared" si="857"/>
        <v>16.075562122080679</v>
      </c>
      <c r="J74" s="133">
        <f t="shared" si="499"/>
        <v>25.459031336259809</v>
      </c>
      <c r="K74" s="133">
        <f t="shared" si="500"/>
        <v>34.21165973742027</v>
      </c>
      <c r="L74" s="133">
        <f t="shared" si="501"/>
        <v>44.815642964160226</v>
      </c>
      <c r="M74" s="133">
        <f t="shared" si="502"/>
        <v>62.447894942086798</v>
      </c>
      <c r="N74" s="81"/>
      <c r="O74" s="75">
        <v>73</v>
      </c>
      <c r="P74" s="151">
        <f t="shared" si="503"/>
        <v>3.2837780396939942</v>
      </c>
      <c r="Q74" s="151">
        <f t="shared" si="504"/>
        <v>3.8407817911146673</v>
      </c>
      <c r="R74" s="151">
        <f t="shared" si="505"/>
        <v>4.4318919523212905</v>
      </c>
      <c r="S74" s="151">
        <f t="shared" si="506"/>
        <v>5.2847219651286927</v>
      </c>
      <c r="T74" s="151">
        <f t="shared" si="858"/>
        <v>7.3111669858677066</v>
      </c>
      <c r="U74" s="134">
        <f t="shared" si="859"/>
        <v>11.128978026646932</v>
      </c>
      <c r="V74" s="151">
        <f t="shared" si="860"/>
        <v>18.46061296819143</v>
      </c>
      <c r="W74" s="151">
        <f t="shared" si="507"/>
        <v>32.41459315601297</v>
      </c>
      <c r="X74" s="151">
        <f t="shared" si="508"/>
        <v>48.895168910690948</v>
      </c>
      <c r="Y74" s="151">
        <f t="shared" si="509"/>
        <v>74.53974424750615</v>
      </c>
      <c r="Z74" s="151">
        <f t="shared" si="510"/>
        <v>136.06487228231708</v>
      </c>
      <c r="AA74" s="81"/>
      <c r="AB74" s="75"/>
      <c r="AC74" s="137"/>
      <c r="AD74" s="137"/>
      <c r="AE74" s="137"/>
      <c r="AF74" s="137"/>
      <c r="AG74" s="137"/>
      <c r="AH74" s="84"/>
      <c r="AI74" s="137"/>
      <c r="AJ74" s="137"/>
      <c r="AK74" s="137"/>
      <c r="AL74" s="137"/>
      <c r="AM74" s="137"/>
      <c r="AN74" s="81"/>
      <c r="AO74" s="81">
        <v>73</v>
      </c>
      <c r="AP74" s="133">
        <f t="shared" si="519"/>
        <v>2.6695608816118748</v>
      </c>
      <c r="AQ74" s="133">
        <f t="shared" si="520"/>
        <v>5.8304564214389378</v>
      </c>
      <c r="AR74" s="133">
        <f t="shared" si="521"/>
        <v>8.9260927339107283</v>
      </c>
      <c r="AS74" s="133">
        <f t="shared" si="522"/>
        <v>12.933180093708657</v>
      </c>
      <c r="AT74" s="133">
        <f t="shared" si="864"/>
        <v>20.675404247585803</v>
      </c>
      <c r="AU74" s="134">
        <f t="shared" si="865"/>
        <v>30.886317335971679</v>
      </c>
      <c r="AV74" s="133">
        <f t="shared" si="866"/>
        <v>42.789889713659193</v>
      </c>
      <c r="AW74" s="133">
        <f t="shared" si="523"/>
        <v>54.929468554123723</v>
      </c>
      <c r="AX74" s="133">
        <f t="shared" si="524"/>
        <v>62.875193674986726</v>
      </c>
      <c r="AY74" s="133">
        <f t="shared" si="525"/>
        <v>70.175689445839652</v>
      </c>
      <c r="AZ74" s="133">
        <f t="shared" si="526"/>
        <v>79.144179953232097</v>
      </c>
      <c r="BA74" s="81"/>
      <c r="BB74" s="81">
        <v>73</v>
      </c>
      <c r="BC74" s="133">
        <f t="shared" si="527"/>
        <v>5.4380391952064313</v>
      </c>
      <c r="BD74" s="133">
        <f t="shared" si="528"/>
        <v>9.1465153439660938</v>
      </c>
      <c r="BE74" s="133">
        <f t="shared" si="529"/>
        <v>12.649006951783761</v>
      </c>
      <c r="BF74" s="133">
        <f t="shared" si="530"/>
        <v>17.033037255085542</v>
      </c>
      <c r="BG74" s="133">
        <f t="shared" si="867"/>
        <v>25.138142689183336</v>
      </c>
      <c r="BH74" s="134">
        <f t="shared" si="868"/>
        <v>35.287540622602641</v>
      </c>
      <c r="BI74" s="133">
        <f t="shared" si="869"/>
        <v>46.559880107240559</v>
      </c>
      <c r="BJ74" s="133">
        <f t="shared" si="531"/>
        <v>57.59152333426956</v>
      </c>
      <c r="BK74" s="133">
        <f t="shared" si="532"/>
        <v>64.608545612919386</v>
      </c>
      <c r="BL74" s="133">
        <f t="shared" si="533"/>
        <v>70.934807728326135</v>
      </c>
      <c r="BM74" s="133">
        <f t="shared" si="534"/>
        <v>78.566310723259562</v>
      </c>
      <c r="BN74" s="81"/>
      <c r="BO74" s="75"/>
      <c r="BP74" s="137"/>
      <c r="BQ74" s="137"/>
      <c r="BR74" s="137"/>
      <c r="BS74" s="137"/>
      <c r="BT74" s="137"/>
      <c r="BU74" s="84"/>
      <c r="BV74" s="137"/>
      <c r="BW74" s="137"/>
      <c r="BX74" s="137"/>
      <c r="BY74" s="137"/>
      <c r="BZ74" s="137"/>
      <c r="CA74" s="81"/>
      <c r="CB74" s="81">
        <v>73</v>
      </c>
      <c r="CC74" s="133">
        <f t="shared" si="543"/>
        <v>-0.78150299507295085</v>
      </c>
      <c r="CD74" s="133">
        <f t="shared" si="544"/>
        <v>2.4327469156071908</v>
      </c>
      <c r="CE74" s="133">
        <f t="shared" si="545"/>
        <v>5.4862493283159912</v>
      </c>
      <c r="CF74" s="133">
        <f t="shared" si="546"/>
        <v>9.297666513356468</v>
      </c>
      <c r="CG74" s="133">
        <f t="shared" si="873"/>
        <v>16.266419882160132</v>
      </c>
      <c r="CH74" s="134">
        <f t="shared" si="874"/>
        <v>24.822917615979829</v>
      </c>
      <c r="CI74" s="133">
        <f t="shared" si="875"/>
        <v>34.112080170649932</v>
      </c>
      <c r="CJ74" s="133">
        <f t="shared" si="547"/>
        <v>43.007713939562109</v>
      </c>
      <c r="CK74" s="133">
        <f t="shared" si="548"/>
        <v>48.576215994328635</v>
      </c>
      <c r="CL74" s="133">
        <f t="shared" si="549"/>
        <v>53.541881022651779</v>
      </c>
      <c r="CM74" s="133">
        <f t="shared" si="550"/>
        <v>59.46803510417751</v>
      </c>
      <c r="CN74" s="81"/>
      <c r="CO74" s="81">
        <v>73</v>
      </c>
      <c r="CP74" s="133">
        <f t="shared" si="551"/>
        <v>5.0988496523442661</v>
      </c>
      <c r="CQ74" s="133">
        <f t="shared" si="552"/>
        <v>8.1941210096128962</v>
      </c>
      <c r="CR74" s="133">
        <f t="shared" si="553"/>
        <v>11.033020824929551</v>
      </c>
      <c r="CS74" s="133">
        <f t="shared" si="554"/>
        <v>14.493437685510951</v>
      </c>
      <c r="CT74" s="133">
        <f t="shared" si="876"/>
        <v>20.676670464294283</v>
      </c>
      <c r="CU74" s="134">
        <f t="shared" si="877"/>
        <v>28.12036370589723</v>
      </c>
      <c r="CV74" s="133">
        <f t="shared" si="878"/>
        <v>36.093783988110175</v>
      </c>
      <c r="CW74" s="133">
        <f t="shared" si="555"/>
        <v>43.663345263129251</v>
      </c>
      <c r="CX74" s="133">
        <f t="shared" si="556"/>
        <v>48.37852967093292</v>
      </c>
      <c r="CY74" s="133">
        <f t="shared" si="557"/>
        <v>52.57150893161802</v>
      </c>
      <c r="CZ74" s="133">
        <f t="shared" si="558"/>
        <v>57.563531215098948</v>
      </c>
      <c r="DA74" s="81"/>
      <c r="DB74" s="81"/>
      <c r="DC74" s="83"/>
      <c r="DD74" s="83"/>
      <c r="DE74" s="83"/>
      <c r="DF74" s="83"/>
      <c r="DG74" s="83"/>
      <c r="DH74" s="84"/>
      <c r="DI74" s="83"/>
      <c r="DJ74" s="83"/>
      <c r="DK74" s="83"/>
      <c r="DL74" s="83"/>
      <c r="DM74" s="83"/>
      <c r="DN74" s="81"/>
      <c r="DO74" s="122">
        <v>73</v>
      </c>
      <c r="DP74" s="149">
        <v>14.462651560415487</v>
      </c>
      <c r="DQ74" s="149">
        <v>15.680503557999538</v>
      </c>
      <c r="DR74" s="149">
        <v>16.809635245352244</v>
      </c>
      <c r="DS74" s="149">
        <v>18.212728402524867</v>
      </c>
      <c r="DT74" s="149">
        <v>20.818788892411604</v>
      </c>
      <c r="DU74" s="150">
        <v>24.165255890268618</v>
      </c>
      <c r="DV74" s="149">
        <v>28.049642813517085</v>
      </c>
      <c r="DW74" s="149">
        <v>32.063268025300744</v>
      </c>
      <c r="DX74" s="149">
        <v>34.739575470777886</v>
      </c>
      <c r="DY74" s="149">
        <v>37.241124947435146</v>
      </c>
      <c r="DZ74" s="149">
        <v>40.377076762360048</v>
      </c>
      <c r="EA74" s="81"/>
      <c r="EB74" s="122">
        <v>73</v>
      </c>
      <c r="EC74" s="149">
        <v>13.599302372408907</v>
      </c>
      <c r="ED74" s="149">
        <v>14.982011401611055</v>
      </c>
      <c r="EE74" s="149">
        <v>16.283148940136222</v>
      </c>
      <c r="EF74" s="149">
        <v>17.924132141120865</v>
      </c>
      <c r="EG74" s="149">
        <v>21.037817446668914</v>
      </c>
      <c r="EH74" s="150">
        <v>25.149795446984584</v>
      </c>
      <c r="EI74" s="149">
        <v>30.065486242980839</v>
      </c>
      <c r="EJ74" s="149">
        <v>35.288303279916185</v>
      </c>
      <c r="EK74" s="149">
        <v>38.844587944908596</v>
      </c>
      <c r="EL74" s="149">
        <v>42.218110377165438</v>
      </c>
      <c r="EM74" s="149">
        <v>46.510636627099771</v>
      </c>
      <c r="EN74" s="81"/>
      <c r="EO74" s="122"/>
      <c r="EP74" s="126"/>
      <c r="EQ74" s="126"/>
      <c r="ER74" s="126"/>
      <c r="ES74" s="126"/>
      <c r="ET74" s="126"/>
      <c r="EU74" s="127"/>
      <c r="EV74" s="126"/>
      <c r="EW74" s="126"/>
      <c r="EX74" s="126"/>
      <c r="EY74" s="126"/>
      <c r="EZ74" s="126"/>
      <c r="FA74" s="81"/>
      <c r="FB74" s="122">
        <v>73</v>
      </c>
      <c r="FC74" s="149">
        <v>10.487507649712438</v>
      </c>
      <c r="FD74" s="149">
        <v>11.271948563624489</v>
      </c>
      <c r="FE74" s="149">
        <v>11.993381721369094</v>
      </c>
      <c r="FF74" s="149">
        <v>12.882639259589178</v>
      </c>
      <c r="FG74" s="149">
        <v>14.515223936077593</v>
      </c>
      <c r="FH74" s="150">
        <v>16.579850297565763</v>
      </c>
      <c r="FI74" s="149">
        <v>18.938146397207742</v>
      </c>
      <c r="FJ74" s="149">
        <v>21.338130359047067</v>
      </c>
      <c r="FK74" s="149">
        <v>22.92026071344883</v>
      </c>
      <c r="FL74" s="149">
        <v>24.387215248372296</v>
      </c>
      <c r="FM74" s="149">
        <v>26.21132160959413</v>
      </c>
      <c r="FN74" s="81"/>
      <c r="FO74" s="122">
        <v>73</v>
      </c>
      <c r="FP74" s="149">
        <v>10.413815199139929</v>
      </c>
      <c r="FQ74" s="149">
        <v>11.237330808124812</v>
      </c>
      <c r="FR74" s="149">
        <v>11.997500759562053</v>
      </c>
      <c r="FS74" s="149">
        <v>12.937967121804331</v>
      </c>
      <c r="FT74" s="149">
        <v>14.673745063737638</v>
      </c>
      <c r="FU74" s="150">
        <v>16.884225388071833</v>
      </c>
      <c r="FV74" s="149">
        <v>19.427696591220172</v>
      </c>
      <c r="FW74" s="149">
        <v>22.034146807713679</v>
      </c>
      <c r="FX74" s="149">
        <v>23.761371027878614</v>
      </c>
      <c r="FY74" s="149">
        <v>25.368752760138829</v>
      </c>
      <c r="FZ74" s="149">
        <v>27.374892054811358</v>
      </c>
      <c r="GA74" s="81"/>
      <c r="GB74" s="122"/>
      <c r="GC74" s="126"/>
      <c r="GD74" s="126"/>
      <c r="GE74" s="126"/>
      <c r="GF74" s="126"/>
      <c r="GG74" s="126"/>
      <c r="GH74" s="127"/>
      <c r="GI74" s="126"/>
      <c r="GJ74" s="126"/>
      <c r="GK74" s="126"/>
      <c r="GL74" s="126"/>
      <c r="GM74" s="126"/>
      <c r="GN74" s="81"/>
      <c r="GO74" s="122">
        <v>73</v>
      </c>
      <c r="GP74" s="149">
        <f t="shared" si="567"/>
        <v>0.53514305148178587</v>
      </c>
      <c r="GQ74" s="149">
        <f t="shared" si="568"/>
        <v>0.56608548367550093</v>
      </c>
      <c r="GR74" s="149">
        <f t="shared" si="569"/>
        <v>0.5913303399066282</v>
      </c>
      <c r="GS74" s="149">
        <f t="shared" si="570"/>
        <v>0.61908691280872796</v>
      </c>
      <c r="GT74" s="149">
        <f t="shared" si="882"/>
        <v>0.66389673830171936</v>
      </c>
      <c r="GU74" s="150">
        <f t="shared" si="883"/>
        <v>0.70790223124209817</v>
      </c>
      <c r="GV74" s="149">
        <f t="shared" si="884"/>
        <v>0.74918244661636602</v>
      </c>
      <c r="GW74" s="149">
        <f t="shared" si="571"/>
        <v>0.78622438476238787</v>
      </c>
      <c r="GX74" s="149">
        <f t="shared" si="572"/>
        <v>0.80696752563691709</v>
      </c>
      <c r="GY74" s="149">
        <f t="shared" si="573"/>
        <v>0.82451185833235718</v>
      </c>
      <c r="GZ74" s="149">
        <f t="shared" si="574"/>
        <v>0.84442597112322548</v>
      </c>
      <c r="HA74" s="81"/>
      <c r="HB74" s="122">
        <v>73</v>
      </c>
      <c r="HC74" s="149">
        <f t="shared" si="575"/>
        <v>0.53496815803005915</v>
      </c>
      <c r="HD74" s="149">
        <f t="shared" si="576"/>
        <v>0.56652605298518122</v>
      </c>
      <c r="HE74" s="149">
        <f t="shared" si="577"/>
        <v>0.59227311641476033</v>
      </c>
      <c r="HF74" s="149">
        <f t="shared" si="578"/>
        <v>0.62058312197651044</v>
      </c>
      <c r="HG74" s="149">
        <f t="shared" si="885"/>
        <v>0.66503255136989192</v>
      </c>
      <c r="HH74" s="150">
        <f t="shared" si="886"/>
        <v>0.71118789063376164</v>
      </c>
      <c r="HI74" s="149">
        <f t="shared" si="887"/>
        <v>0.7544193535731496</v>
      </c>
      <c r="HJ74" s="149">
        <f t="shared" si="579"/>
        <v>0.791122203018637</v>
      </c>
      <c r="HK74" s="149">
        <f t="shared" si="580"/>
        <v>0.8122986618187702</v>
      </c>
      <c r="HL74" s="149">
        <f t="shared" si="581"/>
        <v>0.83021168528918887</v>
      </c>
      <c r="HM74" s="149">
        <f t="shared" si="582"/>
        <v>0.85054677287717684</v>
      </c>
      <c r="HN74" s="81"/>
      <c r="HO74" s="122"/>
      <c r="HP74" s="126"/>
      <c r="HQ74" s="126"/>
      <c r="HR74" s="126"/>
      <c r="HS74" s="126"/>
      <c r="HT74" s="126"/>
      <c r="HU74" s="127"/>
      <c r="HV74" s="126"/>
      <c r="HW74" s="126"/>
      <c r="HX74" s="126"/>
      <c r="HY74" s="126"/>
      <c r="HZ74" s="126"/>
      <c r="IA74" s="81"/>
      <c r="IB74" s="122">
        <v>73</v>
      </c>
      <c r="IC74" s="126">
        <f t="shared" si="591"/>
        <v>0.34950188927181336</v>
      </c>
      <c r="ID74" s="126">
        <f t="shared" si="592"/>
        <v>0.36182962515871236</v>
      </c>
      <c r="IE74" s="126">
        <f t="shared" si="593"/>
        <v>0.37161865914913333</v>
      </c>
      <c r="IF74" s="126">
        <f t="shared" si="594"/>
        <v>0.38212849269243887</v>
      </c>
      <c r="IG74" s="126">
        <f t="shared" si="891"/>
        <v>0.39814485525606053</v>
      </c>
      <c r="IH74" s="127">
        <f t="shared" si="892"/>
        <v>0.41421462393489461</v>
      </c>
      <c r="II74" s="126">
        <f t="shared" si="893"/>
        <v>0.42880428117680597</v>
      </c>
      <c r="IJ74" s="126">
        <f t="shared" si="595"/>
        <v>0.4408733125628288</v>
      </c>
      <c r="IK74" s="126">
        <f t="shared" si="596"/>
        <v>0.44771382937163734</v>
      </c>
      <c r="IL74" s="126">
        <f t="shared" si="597"/>
        <v>0.45343360479210593</v>
      </c>
      <c r="IM74" s="126">
        <f t="shared" si="598"/>
        <v>0.4598557447930568</v>
      </c>
      <c r="IN74" s="81"/>
      <c r="IO74" s="122">
        <v>73</v>
      </c>
      <c r="IP74" s="149">
        <f t="shared" si="599"/>
        <v>0.34902624507244934</v>
      </c>
      <c r="IQ74" s="149">
        <f t="shared" si="600"/>
        <v>0.36166832857306275</v>
      </c>
      <c r="IR74" s="149">
        <f t="shared" si="601"/>
        <v>0.37169902254280912</v>
      </c>
      <c r="IS74" s="149">
        <f t="shared" si="602"/>
        <v>0.38246183394533118</v>
      </c>
      <c r="IT74" s="149">
        <f t="shared" si="894"/>
        <v>0.39885330020444293</v>
      </c>
      <c r="IU74" s="150">
        <f t="shared" si="895"/>
        <v>0.41528965409209229</v>
      </c>
      <c r="IV74" s="149">
        <f t="shared" si="896"/>
        <v>0.43020585673037592</v>
      </c>
      <c r="IW74" s="149">
        <f t="shared" si="603"/>
        <v>0.44254166601924089</v>
      </c>
      <c r="IX74" s="149">
        <f t="shared" si="604"/>
        <v>0.44953234629062666</v>
      </c>
      <c r="IY74" s="149">
        <f t="shared" si="605"/>
        <v>0.45537721239802287</v>
      </c>
      <c r="IZ74" s="149">
        <f t="shared" si="606"/>
        <v>0.46193937455140749</v>
      </c>
      <c r="JA74" s="81"/>
      <c r="JB74" s="122"/>
      <c r="JC74" s="126"/>
      <c r="JD74" s="126"/>
      <c r="JE74" s="126"/>
      <c r="JF74" s="126"/>
      <c r="JG74" s="126"/>
      <c r="JH74" s="127"/>
      <c r="JI74" s="126"/>
      <c r="JJ74" s="126"/>
      <c r="JK74" s="126"/>
      <c r="JL74" s="126"/>
      <c r="JM74" s="126"/>
      <c r="JN74" s="81"/>
      <c r="JO74" s="122">
        <v>72</v>
      </c>
      <c r="JP74" s="149">
        <f t="shared" si="615"/>
        <v>3.0430210199634438</v>
      </c>
      <c r="JQ74" s="149">
        <f t="shared" si="616"/>
        <v>4.4548287176383283</v>
      </c>
      <c r="JR74" s="149">
        <f t="shared" si="617"/>
        <v>5.6802139062468093</v>
      </c>
      <c r="JS74" s="149">
        <f t="shared" si="618"/>
        <v>7.1053839322994961</v>
      </c>
      <c r="JT74" s="149">
        <f t="shared" si="900"/>
        <v>9.5111854286782496</v>
      </c>
      <c r="JU74" s="150">
        <f t="shared" si="901"/>
        <v>12.232522599359708</v>
      </c>
      <c r="JV74" s="149">
        <f t="shared" si="902"/>
        <v>14.993687137243608</v>
      </c>
      <c r="JW74" s="149">
        <f t="shared" si="619"/>
        <v>17.503216113399564</v>
      </c>
      <c r="JX74" s="149">
        <f t="shared" si="620"/>
        <v>19.021616556820266</v>
      </c>
      <c r="JY74" s="149">
        <f t="shared" si="621"/>
        <v>20.346877344160855</v>
      </c>
      <c r="JZ74" s="149">
        <f t="shared" si="622"/>
        <v>21.897225177488561</v>
      </c>
      <c r="KA74" s="81"/>
      <c r="KB74" s="122">
        <v>72</v>
      </c>
      <c r="KC74" s="149">
        <f t="shared" si="623"/>
        <v>4.5226439395569304</v>
      </c>
      <c r="KD74" s="149">
        <f t="shared" si="624"/>
        <v>5.9729549321022812</v>
      </c>
      <c r="KE74" s="149">
        <f t="shared" si="625"/>
        <v>7.2509127062353986</v>
      </c>
      <c r="KF74" s="149">
        <f t="shared" si="626"/>
        <v>8.7584934517666841</v>
      </c>
      <c r="KG74" s="149">
        <f t="shared" si="903"/>
        <v>11.352301544508977</v>
      </c>
      <c r="KH74" s="150">
        <f t="shared" si="904"/>
        <v>14.355221284479631</v>
      </c>
      <c r="KI74" s="149">
        <f t="shared" si="905"/>
        <v>17.471183167515797</v>
      </c>
      <c r="KJ74" s="149">
        <f t="shared" si="627"/>
        <v>20.359281318310643</v>
      </c>
      <c r="KK74" s="149">
        <f t="shared" si="628"/>
        <v>22.131222842298747</v>
      </c>
      <c r="KL74" s="149">
        <f t="shared" si="629"/>
        <v>23.69222976032033</v>
      </c>
      <c r="KM74" s="149">
        <f t="shared" si="630"/>
        <v>25.534902427940693</v>
      </c>
      <c r="KN74" s="81"/>
      <c r="KO74" s="122">
        <v>74</v>
      </c>
      <c r="KP74" s="149">
        <f t="shared" si="631"/>
        <v>4.0892231830520984</v>
      </c>
      <c r="KQ74" s="149">
        <f t="shared" si="632"/>
        <v>5.1827636714407888</v>
      </c>
      <c r="KR74" s="149">
        <f t="shared" si="633"/>
        <v>6.1210757337036874</v>
      </c>
      <c r="KS74" s="149">
        <f t="shared" si="634"/>
        <v>7.2004823418509574</v>
      </c>
      <c r="KT74" s="149">
        <f t="shared" si="906"/>
        <v>8.9956687799390913</v>
      </c>
      <c r="KU74" s="150">
        <f t="shared" si="907"/>
        <v>10.98901166025616</v>
      </c>
      <c r="KV74" s="149">
        <f t="shared" si="908"/>
        <v>12.974924602911354</v>
      </c>
      <c r="KW74" s="149">
        <f t="shared" si="635"/>
        <v>14.750743056282648</v>
      </c>
      <c r="KX74" s="149">
        <f t="shared" si="636"/>
        <v>15.812720275187605</v>
      </c>
      <c r="KY74" s="149">
        <f t="shared" si="637"/>
        <v>16.732337955262356</v>
      </c>
      <c r="KZ74" s="149">
        <f t="shared" si="638"/>
        <v>17.799907759727386</v>
      </c>
      <c r="LA74" s="81"/>
      <c r="LB74" s="122">
        <v>72</v>
      </c>
      <c r="LC74" s="149">
        <f t="shared" si="639"/>
        <v>10.483492210968329</v>
      </c>
      <c r="LD74" s="149">
        <f t="shared" si="640"/>
        <v>14.139685743992217</v>
      </c>
      <c r="LE74" s="149">
        <f t="shared" si="641"/>
        <v>17.328705951468102</v>
      </c>
      <c r="LF74" s="149">
        <f t="shared" si="642"/>
        <v>21.054500618387188</v>
      </c>
      <c r="LG74" s="149">
        <f t="shared" si="909"/>
        <v>27.381411774990134</v>
      </c>
      <c r="LH74" s="150">
        <f t="shared" si="910"/>
        <v>34.588941501283124</v>
      </c>
      <c r="LI74" s="149">
        <f t="shared" si="911"/>
        <v>41.950759832132668</v>
      </c>
      <c r="LJ74" s="149">
        <f t="shared" si="643"/>
        <v>48.679775842461105</v>
      </c>
      <c r="LK74" s="149">
        <f t="shared" si="644"/>
        <v>52.767324199275542</v>
      </c>
      <c r="LL74" s="149">
        <f t="shared" si="645"/>
        <v>56.344250091046824</v>
      </c>
      <c r="LM74" s="149">
        <f t="shared" si="646"/>
        <v>60.53916477537441</v>
      </c>
      <c r="LN74" s="81"/>
      <c r="LO74" s="122">
        <v>72</v>
      </c>
      <c r="LP74" s="149">
        <f t="shared" si="647"/>
        <v>15.838220351459935</v>
      </c>
      <c r="LQ74" s="149">
        <f t="shared" si="648"/>
        <v>19.645001150051751</v>
      </c>
      <c r="LR74" s="149">
        <f t="shared" si="649"/>
        <v>22.972503253877772</v>
      </c>
      <c r="LS74" s="149">
        <f t="shared" si="650"/>
        <v>26.86796983647638</v>
      </c>
      <c r="LT74" s="149">
        <f t="shared" si="912"/>
        <v>33.501028249995898</v>
      </c>
      <c r="LU74" s="150">
        <f t="shared" si="913"/>
        <v>41.08253790611019</v>
      </c>
      <c r="LV74" s="149">
        <f t="shared" si="914"/>
        <v>48.851406490565253</v>
      </c>
      <c r="LW74" s="149">
        <f t="shared" si="651"/>
        <v>55.972663380022638</v>
      </c>
      <c r="LX74" s="149">
        <f t="shared" si="652"/>
        <v>60.307220853451213</v>
      </c>
      <c r="LY74" s="149">
        <f t="shared" si="653"/>
        <v>64.105432204179394</v>
      </c>
      <c r="LZ74" s="149">
        <f t="shared" si="654"/>
        <v>68.56571462177061</v>
      </c>
      <c r="MA74" s="81"/>
      <c r="MB74" s="122">
        <v>74</v>
      </c>
      <c r="MC74" s="149">
        <f t="shared" si="655"/>
        <v>12.407309196454349</v>
      </c>
      <c r="MD74" s="149">
        <f t="shared" si="656"/>
        <v>15.127844361502703</v>
      </c>
      <c r="ME74" s="149">
        <f t="shared" si="657"/>
        <v>17.482019180957295</v>
      </c>
      <c r="MF74" s="149">
        <f t="shared" si="658"/>
        <v>20.21211733622696</v>
      </c>
      <c r="MG74" s="149">
        <f t="shared" si="915"/>
        <v>24.802640031209052</v>
      </c>
      <c r="MH74" s="150">
        <f t="shared" si="916"/>
        <v>29.969834200231368</v>
      </c>
      <c r="MI74" s="149">
        <f t="shared" si="917"/>
        <v>35.1873367377082</v>
      </c>
      <c r="MJ74" s="149">
        <f t="shared" si="659"/>
        <v>39.908928628447846</v>
      </c>
      <c r="MK74" s="149">
        <f t="shared" si="660"/>
        <v>42.756887582739559</v>
      </c>
      <c r="ML74" s="149">
        <f t="shared" si="661"/>
        <v>45.23738299549624</v>
      </c>
      <c r="MM74" s="149">
        <f t="shared" si="662"/>
        <v>48.133243197319523</v>
      </c>
      <c r="MN74" s="81"/>
      <c r="MO74" s="122">
        <v>72</v>
      </c>
      <c r="MP74" s="149">
        <f t="shared" si="663"/>
        <v>4.3656850455942902</v>
      </c>
      <c r="MQ74" s="149">
        <f t="shared" si="664"/>
        <v>8.336109379428116</v>
      </c>
      <c r="MR74" s="149">
        <f t="shared" si="665"/>
        <v>11.759857510473473</v>
      </c>
      <c r="MS74" s="149">
        <f t="shared" si="666"/>
        <v>15.716769218862801</v>
      </c>
      <c r="MT74" s="149">
        <f t="shared" si="918"/>
        <v>22.338504810491287</v>
      </c>
      <c r="MU74" s="150">
        <f t="shared" si="919"/>
        <v>29.746945572262099</v>
      </c>
      <c r="MV74" s="149">
        <f t="shared" si="920"/>
        <v>37.181845099178155</v>
      </c>
      <c r="MW74" s="149">
        <f t="shared" si="667"/>
        <v>43.872819214397957</v>
      </c>
      <c r="MX74" s="149">
        <f t="shared" si="668"/>
        <v>47.892379611870631</v>
      </c>
      <c r="MY74" s="149">
        <f t="shared" si="669"/>
        <v>51.38369619702484</v>
      </c>
      <c r="MZ74" s="149">
        <f t="shared" si="670"/>
        <v>55.448658312241584</v>
      </c>
      <c r="NA74" s="81"/>
      <c r="NB74" s="122">
        <v>72</v>
      </c>
      <c r="NC74" s="149">
        <f t="shared" si="671"/>
        <v>15.461200014951803</v>
      </c>
      <c r="ND74" s="149">
        <f t="shared" si="672"/>
        <v>18.722077604329829</v>
      </c>
      <c r="NE74" s="149">
        <f t="shared" si="673"/>
        <v>21.53467190432163</v>
      </c>
      <c r="NF74" s="149">
        <f t="shared" si="674"/>
        <v>24.786140737626891</v>
      </c>
      <c r="NG74" s="149">
        <f t="shared" si="921"/>
        <v>30.229606951873318</v>
      </c>
      <c r="NH74" s="150">
        <f t="shared" si="922"/>
        <v>36.323292691611769</v>
      </c>
      <c r="NI74" s="149">
        <f t="shared" si="923"/>
        <v>42.442521078879722</v>
      </c>
      <c r="NJ74" s="149">
        <f t="shared" si="675"/>
        <v>47.952691059686188</v>
      </c>
      <c r="NK74" s="149">
        <f t="shared" si="676"/>
        <v>51.264339527057373</v>
      </c>
      <c r="NL74" s="149">
        <f t="shared" si="677"/>
        <v>54.141646554238989</v>
      </c>
      <c r="NM74" s="149">
        <f t="shared" si="678"/>
        <v>57.492718483081333</v>
      </c>
      <c r="NN74" s="81"/>
      <c r="NO74" s="122">
        <v>74</v>
      </c>
      <c r="NP74" s="149">
        <f t="shared" si="679"/>
        <v>1.787399072814317</v>
      </c>
      <c r="NQ74" s="149">
        <f t="shared" si="680"/>
        <v>5.336739139478027</v>
      </c>
      <c r="NR74" s="149">
        <f t="shared" si="681"/>
        <v>8.3905594034445627</v>
      </c>
      <c r="NS74" s="149">
        <f t="shared" si="682"/>
        <v>11.912694135803036</v>
      </c>
      <c r="NT74" s="149">
        <f t="shared" si="924"/>
        <v>17.791021075868052</v>
      </c>
      <c r="NU74" s="150">
        <f t="shared" si="925"/>
        <v>24.346661144406845</v>
      </c>
      <c r="NV74" s="149">
        <f t="shared" si="926"/>
        <v>30.905812436702824</v>
      </c>
      <c r="NW74" s="149">
        <f t="shared" si="683"/>
        <v>36.793328862005801</v>
      </c>
      <c r="NX74" s="149">
        <f t="shared" si="684"/>
        <v>40.323779889173416</v>
      </c>
      <c r="NY74" s="149">
        <f t="shared" si="685"/>
        <v>43.386571025061777</v>
      </c>
      <c r="NZ74" s="149">
        <f t="shared" si="686"/>
        <v>46.94846518611407</v>
      </c>
      <c r="OA74" s="81"/>
      <c r="OB74" s="122">
        <v>72</v>
      </c>
      <c r="OC74" s="149">
        <v>15.421112545714063</v>
      </c>
      <c r="OD74" s="149">
        <v>16.719015693774004</v>
      </c>
      <c r="OE74" s="149">
        <v>17.922322879672219</v>
      </c>
      <c r="OF74" s="149">
        <v>19.417534202450302</v>
      </c>
      <c r="OG74" s="149">
        <v>22.194546236629137</v>
      </c>
      <c r="OH74" s="150">
        <v>25.760287791697927</v>
      </c>
      <c r="OI74" s="149">
        <v>29.898895883527032</v>
      </c>
      <c r="OJ74" s="149">
        <v>34.174907081011469</v>
      </c>
      <c r="OK74" s="149">
        <v>37.026027907563162</v>
      </c>
      <c r="OL74" s="149">
        <v>39.690878892961194</v>
      </c>
      <c r="OM74" s="149">
        <v>43.031423650139402</v>
      </c>
      <c r="ON74" s="81"/>
      <c r="OO74" s="122">
        <v>72</v>
      </c>
      <c r="OP74" s="149">
        <v>17.711843246128165</v>
      </c>
      <c r="OQ74" s="149">
        <v>18.741659456080964</v>
      </c>
      <c r="OR74" s="149">
        <v>19.675122674025868</v>
      </c>
      <c r="OS74" s="149">
        <v>20.809194341826224</v>
      </c>
      <c r="OT74" s="149">
        <v>24.973683322348645</v>
      </c>
      <c r="OU74" s="150">
        <v>25.357544592187374</v>
      </c>
      <c r="OV74" s="149">
        <v>28.142284241216714</v>
      </c>
      <c r="OW74" s="149">
        <v>30.900046257549672</v>
      </c>
      <c r="OX74" s="149">
        <v>32.681121149685893</v>
      </c>
      <c r="OY74" s="149">
        <v>34.308865191558048</v>
      </c>
      <c r="OZ74" s="149">
        <v>36.303678776365231</v>
      </c>
      <c r="PA74" s="81"/>
      <c r="PB74" s="122">
        <v>74</v>
      </c>
      <c r="PC74" s="149">
        <v>13.105326479156242</v>
      </c>
      <c r="PD74" s="149">
        <v>14.535729069676524</v>
      </c>
      <c r="PE74" s="149">
        <v>15.890214674802483</v>
      </c>
      <c r="PF74" s="149">
        <v>17.60922712437749</v>
      </c>
      <c r="PG74" s="149">
        <v>20.900590246644061</v>
      </c>
      <c r="PH74" s="150">
        <v>25.29906416777045</v>
      </c>
      <c r="PI74" s="149">
        <v>30.623185288642073</v>
      </c>
      <c r="PJ74" s="149">
        <v>36.347003945387115</v>
      </c>
      <c r="PK74" s="149">
        <v>40.279043478241888</v>
      </c>
      <c r="PL74" s="149">
        <v>44.032373243677263</v>
      </c>
      <c r="PM74" s="149">
        <v>48.838359638193019</v>
      </c>
      <c r="PN74" s="81"/>
      <c r="PO74" s="122">
        <v>72</v>
      </c>
      <c r="PP74" s="149">
        <v>11.080397228886362</v>
      </c>
      <c r="PQ74" s="149">
        <v>12.008750512273787</v>
      </c>
      <c r="PR74" s="149">
        <v>12.869161472079716</v>
      </c>
      <c r="PS74" s="149">
        <v>13.937946982558451</v>
      </c>
      <c r="PT74" s="149">
        <v>15.922040786022142</v>
      </c>
      <c r="PU74" s="150">
        <v>18.468090625658807</v>
      </c>
      <c r="PV74" s="149">
        <v>21.421272306811975</v>
      </c>
      <c r="PW74" s="149">
        <v>24.470631993675443</v>
      </c>
      <c r="PX74" s="149">
        <v>26.502921118638227</v>
      </c>
      <c r="PY74" s="149">
        <v>28.401820073532953</v>
      </c>
      <c r="PZ74" s="149">
        <v>30.781420946568907</v>
      </c>
      <c r="QA74" s="81"/>
      <c r="QB74" s="122">
        <v>72</v>
      </c>
      <c r="QC74" s="149">
        <v>11.518547137762065</v>
      </c>
      <c r="QD74" s="149">
        <v>12.460674199236548</v>
      </c>
      <c r="QE74" s="149">
        <v>13.332361544986794</v>
      </c>
      <c r="QF74" s="149">
        <v>14.413309201431684</v>
      </c>
      <c r="QG74" s="149">
        <v>16.415062338551579</v>
      </c>
      <c r="QH74" s="150">
        <v>18.975504247095142</v>
      </c>
      <c r="QI74" s="149">
        <v>21.935327079805486</v>
      </c>
      <c r="QJ74" s="149">
        <v>24.981755154170965</v>
      </c>
      <c r="QK74" s="149">
        <v>27.007200503568583</v>
      </c>
      <c r="QL74" s="149">
        <v>28.896491126747122</v>
      </c>
      <c r="QM74" s="149">
        <v>31.259998081796592</v>
      </c>
      <c r="QN74" s="81"/>
      <c r="QO74" s="122">
        <v>74</v>
      </c>
      <c r="QP74" s="149">
        <v>9.2372079817340698</v>
      </c>
      <c r="QQ74" s="149">
        <v>10.184229232044022</v>
      </c>
      <c r="QR74" s="149">
        <v>11.076018027228145</v>
      </c>
      <c r="QS74" s="149">
        <v>12.201536888650969</v>
      </c>
      <c r="QT74" s="149">
        <v>14.339350664523625</v>
      </c>
      <c r="QU74" s="150">
        <v>17.16638954698794</v>
      </c>
      <c r="QV74" s="149">
        <v>20.550786222698655</v>
      </c>
      <c r="QW74" s="149">
        <v>24.151459997882121</v>
      </c>
      <c r="QX74" s="149">
        <v>26.605674472045255</v>
      </c>
      <c r="QY74" s="149">
        <v>28.935418023754771</v>
      </c>
      <c r="QZ74" s="149">
        <v>31.901948149446842</v>
      </c>
      <c r="RA74" s="81"/>
      <c r="RB74" s="122">
        <v>72</v>
      </c>
      <c r="RC74" s="149">
        <f t="shared" si="687"/>
        <v>0.44028453186716832</v>
      </c>
      <c r="RD74" s="149">
        <f t="shared" si="688"/>
        <v>0.48051501511930989</v>
      </c>
      <c r="RE74" s="149">
        <f t="shared" si="689"/>
        <v>0.51853766491341236</v>
      </c>
      <c r="RF74" s="149">
        <f t="shared" si="690"/>
        <v>0.56676039684776958</v>
      </c>
      <c r="RG74" s="149">
        <f t="shared" si="927"/>
        <v>0.65921022199443946</v>
      </c>
      <c r="RH74" s="150">
        <f t="shared" si="928"/>
        <v>0.7834554147070335</v>
      </c>
      <c r="RI74" s="149">
        <f t="shared" si="929"/>
        <v>0.93552057418645163</v>
      </c>
      <c r="RJ74" s="149">
        <f t="shared" si="691"/>
        <v>1.1015647003213449</v>
      </c>
      <c r="RK74" s="149">
        <f t="shared" si="692"/>
        <v>1.2173556191783368</v>
      </c>
      <c r="RL74" s="149">
        <f t="shared" si="693"/>
        <v>1.3292776468782068</v>
      </c>
      <c r="RM74" s="149">
        <f t="shared" si="694"/>
        <v>1.4746533136084352</v>
      </c>
      <c r="RN74" s="81"/>
      <c r="RO74" s="122">
        <v>72</v>
      </c>
      <c r="RP74" s="149">
        <f t="shared" si="695"/>
        <v>0.48493720115114369</v>
      </c>
      <c r="RQ74" s="149">
        <f t="shared" si="696"/>
        <v>0.53140831960956048</v>
      </c>
      <c r="RR74" s="149">
        <f t="shared" si="697"/>
        <v>0.57576620336656514</v>
      </c>
      <c r="RS74" s="149">
        <f t="shared" si="698"/>
        <v>0.63262771351832336</v>
      </c>
      <c r="RT74" s="149">
        <f t="shared" si="930"/>
        <v>0.74349663374213171</v>
      </c>
      <c r="RU74" s="150">
        <f t="shared" si="931"/>
        <v>0.89624611851718927</v>
      </c>
      <c r="RV74" s="149">
        <f t="shared" si="932"/>
        <v>1.0888610744806009</v>
      </c>
      <c r="RW74" s="149">
        <f t="shared" si="699"/>
        <v>1.3060498605793336</v>
      </c>
      <c r="RX74" s="149">
        <f t="shared" si="700"/>
        <v>1.461617333029797</v>
      </c>
      <c r="RY74" s="149">
        <f t="shared" si="701"/>
        <v>1.615116128725087</v>
      </c>
      <c r="RZ74" s="149">
        <f t="shared" si="702"/>
        <v>1.8189899619223315</v>
      </c>
      <c r="SA74" s="81"/>
      <c r="SB74" s="122">
        <v>74</v>
      </c>
      <c r="SC74" s="149">
        <f t="shared" si="703"/>
        <v>0.45581434594324599</v>
      </c>
      <c r="SD74" s="149">
        <f t="shared" si="704"/>
        <v>0.49002148610487534</v>
      </c>
      <c r="SE74" s="149">
        <f t="shared" si="705"/>
        <v>0.52151622050279489</v>
      </c>
      <c r="SF74" s="149">
        <f t="shared" si="706"/>
        <v>0.56038318005966703</v>
      </c>
      <c r="SG74" s="149">
        <f t="shared" si="933"/>
        <v>0.63186751509984129</v>
      </c>
      <c r="SH74" s="150">
        <f t="shared" si="934"/>
        <v>0.72250008442670988</v>
      </c>
      <c r="SI74" s="149">
        <f t="shared" si="935"/>
        <v>0.82632594064278742</v>
      </c>
      <c r="SJ74" s="149">
        <f t="shared" si="707"/>
        <v>0.93230163343396388</v>
      </c>
      <c r="SK74" s="149">
        <f t="shared" si="708"/>
        <v>1.0023294013930097</v>
      </c>
      <c r="SL74" s="149">
        <f t="shared" si="709"/>
        <v>1.0673727777353144</v>
      </c>
      <c r="SM74" s="149">
        <f t="shared" si="710"/>
        <v>1.1483994530783737</v>
      </c>
      <c r="SN74" s="81"/>
      <c r="SO74" s="122">
        <v>72</v>
      </c>
      <c r="SP74" s="149">
        <f t="shared" si="711"/>
        <v>0.30673350827064472</v>
      </c>
      <c r="SQ74" s="149">
        <f t="shared" si="712"/>
        <v>0.32528683508590522</v>
      </c>
      <c r="SR74" s="149">
        <f t="shared" si="713"/>
        <v>0.34190330130438867</v>
      </c>
      <c r="SS74" s="149">
        <f t="shared" si="714"/>
        <v>0.36183895904453445</v>
      </c>
      <c r="ST74" s="149">
        <f t="shared" si="936"/>
        <v>0.39701152901425385</v>
      </c>
      <c r="SU74" s="150">
        <f t="shared" si="937"/>
        <v>0.43915783889391075</v>
      </c>
      <c r="SV74" s="149">
        <f t="shared" si="938"/>
        <v>0.48455988132386063</v>
      </c>
      <c r="SW74" s="149">
        <f t="shared" si="715"/>
        <v>0.52819817568201488</v>
      </c>
      <c r="SX74" s="149">
        <f t="shared" si="716"/>
        <v>0.55572598480581148</v>
      </c>
      <c r="SY74" s="149">
        <f t="shared" si="717"/>
        <v>0.58045792420376996</v>
      </c>
      <c r="SZ74" s="149">
        <f t="shared" si="718"/>
        <v>0.61023768355890851</v>
      </c>
      <c r="TA74" s="81"/>
      <c r="TB74" s="122">
        <v>72</v>
      </c>
      <c r="TC74" s="149">
        <f t="shared" si="719"/>
        <v>0.32759885070746225</v>
      </c>
      <c r="TD74" s="149">
        <f t="shared" si="720"/>
        <v>0.34767182428495058</v>
      </c>
      <c r="TE74" s="149">
        <f t="shared" si="721"/>
        <v>0.36573829687878617</v>
      </c>
      <c r="TF74" s="149">
        <f t="shared" si="722"/>
        <v>0.38752325111111618</v>
      </c>
      <c r="TG74" s="149">
        <f t="shared" si="939"/>
        <v>0.42624537997255846</v>
      </c>
      <c r="TH74" s="150">
        <f t="shared" si="940"/>
        <v>0.47311605197977519</v>
      </c>
      <c r="TI74" s="149">
        <f t="shared" si="941"/>
        <v>0.52416481345028265</v>
      </c>
      <c r="TJ74" s="149">
        <f t="shared" si="723"/>
        <v>0.57375802736589065</v>
      </c>
      <c r="TK74" s="149">
        <f t="shared" si="724"/>
        <v>0.60530087767104279</v>
      </c>
      <c r="TL74" s="149">
        <f t="shared" si="725"/>
        <v>0.63380682339182615</v>
      </c>
      <c r="TM74" s="149">
        <f t="shared" si="726"/>
        <v>0.66833636482805381</v>
      </c>
      <c r="TN74" s="81"/>
      <c r="TO74" s="122">
        <v>74</v>
      </c>
      <c r="TP74" s="149">
        <f t="shared" si="727"/>
        <v>0.31416369019211149</v>
      </c>
      <c r="TQ74" s="149">
        <f t="shared" si="728"/>
        <v>0.32959914887378827</v>
      </c>
      <c r="TR74" s="149">
        <f t="shared" si="729"/>
        <v>0.3432087621390697</v>
      </c>
      <c r="TS74" s="149">
        <f t="shared" si="730"/>
        <v>0.35928562599193692</v>
      </c>
      <c r="TT74" s="149">
        <f t="shared" si="942"/>
        <v>0.38703060368440589</v>
      </c>
      <c r="TU74" s="150">
        <f t="shared" si="943"/>
        <v>0.41933088740316399</v>
      </c>
      <c r="TV74" s="149">
        <f t="shared" si="944"/>
        <v>0.45309593021372613</v>
      </c>
      <c r="TW74" s="149">
        <f t="shared" si="731"/>
        <v>0.48464802338213275</v>
      </c>
      <c r="TX74" s="149">
        <f t="shared" si="732"/>
        <v>0.50413715182115193</v>
      </c>
      <c r="TY74" s="149">
        <f t="shared" si="733"/>
        <v>0.52139214925448341</v>
      </c>
      <c r="TZ74" s="149">
        <f t="shared" si="734"/>
        <v>0.541866854341161</v>
      </c>
      <c r="UA74" s="81"/>
      <c r="UB74" s="122">
        <v>72</v>
      </c>
      <c r="UC74" s="149">
        <f t="shared" si="735"/>
        <v>-6.1603948276017633</v>
      </c>
      <c r="UD74" s="149">
        <f t="shared" si="736"/>
        <v>-3.3533475791399638</v>
      </c>
      <c r="UE74" s="149">
        <f t="shared" si="737"/>
        <v>-0.98213911131820453</v>
      </c>
      <c r="UF74" s="149">
        <f t="shared" si="738"/>
        <v>1.706067854262443</v>
      </c>
      <c r="UG74" s="149">
        <f t="shared" si="945"/>
        <v>6.0909572198615081</v>
      </c>
      <c r="UH74" s="150">
        <f t="shared" si="946"/>
        <v>10.846422433880306</v>
      </c>
      <c r="UI74" s="149">
        <f t="shared" si="947"/>
        <v>15.478150958931124</v>
      </c>
      <c r="UJ74" s="149">
        <f t="shared" si="739"/>
        <v>19.539099207655539</v>
      </c>
      <c r="UK74" s="149">
        <f t="shared" si="740"/>
        <v>21.93403433330576</v>
      </c>
      <c r="UL74" s="149">
        <f t="shared" si="741"/>
        <v>23.988787911489993</v>
      </c>
      <c r="UM74" s="149">
        <f t="shared" si="742"/>
        <v>26.352847163419071</v>
      </c>
      <c r="UN74" s="81"/>
      <c r="UO74" s="122">
        <v>72</v>
      </c>
      <c r="UP74" s="149">
        <f t="shared" si="743"/>
        <v>-2.0011533075651826</v>
      </c>
      <c r="UQ74" s="149">
        <f t="shared" si="744"/>
        <v>0.46965299096957835</v>
      </c>
      <c r="UR74" s="149">
        <f t="shared" si="745"/>
        <v>2.5918384685134797</v>
      </c>
      <c r="US74" s="149">
        <f t="shared" si="746"/>
        <v>5.0355406552126354</v>
      </c>
      <c r="UT74" s="149">
        <f t="shared" si="948"/>
        <v>9.1053568099166355</v>
      </c>
      <c r="UU74" s="150">
        <f t="shared" si="949"/>
        <v>13.632515748467519</v>
      </c>
      <c r="UV74" s="149">
        <f t="shared" si="950"/>
        <v>18.151072337285413</v>
      </c>
      <c r="UW74" s="149">
        <f t="shared" si="747"/>
        <v>22.19839651006091</v>
      </c>
      <c r="UX74" s="149">
        <f t="shared" si="748"/>
        <v>24.621772069967619</v>
      </c>
      <c r="UY74" s="149">
        <f t="shared" si="749"/>
        <v>26.722062229874815</v>
      </c>
      <c r="UZ74" s="149">
        <f t="shared" si="750"/>
        <v>29.162284572252588</v>
      </c>
      <c r="VA74" s="81"/>
      <c r="VB74" s="122">
        <v>75</v>
      </c>
      <c r="VC74" s="149">
        <f t="shared" si="751"/>
        <v>-6.0131008475105929</v>
      </c>
      <c r="VD74" s="149">
        <f t="shared" si="752"/>
        <v>-3.4495335732448922</v>
      </c>
      <c r="VE74" s="149">
        <f t="shared" si="753"/>
        <v>-1.299087821255938</v>
      </c>
      <c r="VF74" s="149">
        <f t="shared" si="754"/>
        <v>1.1231117324212079</v>
      </c>
      <c r="VG74" s="149">
        <f t="shared" si="951"/>
        <v>5.0405849608497135</v>
      </c>
      <c r="VH74" s="150">
        <f t="shared" si="952"/>
        <v>9.2457595808335071</v>
      </c>
      <c r="VI74" s="149">
        <f t="shared" si="953"/>
        <v>13.301733840834814</v>
      </c>
      <c r="VJ74" s="149">
        <f t="shared" si="755"/>
        <v>16.828027170375591</v>
      </c>
      <c r="VK74" s="149">
        <f t="shared" si="756"/>
        <v>18.895351837479552</v>
      </c>
      <c r="VL74" s="149">
        <f t="shared" si="757"/>
        <v>20.66207477529845</v>
      </c>
      <c r="VM74" s="149">
        <f t="shared" si="758"/>
        <v>22.687068245026467</v>
      </c>
      <c r="VN74" s="81"/>
      <c r="VO74" s="122">
        <v>72</v>
      </c>
      <c r="VP74" s="149">
        <f t="shared" si="759"/>
        <v>-9.7181128597723045</v>
      </c>
      <c r="VQ74" s="149">
        <f t="shared" si="760"/>
        <v>-4.8495043541632299</v>
      </c>
      <c r="VR74" s="149">
        <f t="shared" si="761"/>
        <v>-0.49850637794204289</v>
      </c>
      <c r="VS74" s="149">
        <f t="shared" si="762"/>
        <v>4.7029226117939302</v>
      </c>
      <c r="VT74" s="149">
        <f t="shared" si="954"/>
        <v>13.812899544493995</v>
      </c>
      <c r="VU74" s="150">
        <f t="shared" si="955"/>
        <v>24.591314334968011</v>
      </c>
      <c r="VV74" s="149">
        <f t="shared" si="956"/>
        <v>36.012563734564147</v>
      </c>
      <c r="VW74" s="149">
        <f t="shared" si="763"/>
        <v>46.794741574446185</v>
      </c>
      <c r="VX74" s="149">
        <f t="shared" si="764"/>
        <v>53.496654793304891</v>
      </c>
      <c r="VY74" s="149">
        <f t="shared" si="765"/>
        <v>59.452458942387217</v>
      </c>
      <c r="VZ74" s="149">
        <f t="shared" si="766"/>
        <v>66.542617201858491</v>
      </c>
      <c r="WA74" s="81"/>
      <c r="WB74" s="122">
        <v>72</v>
      </c>
      <c r="WC74" s="149">
        <f t="shared" si="767"/>
        <v>-1.7309348629133225</v>
      </c>
      <c r="WD74" s="149">
        <f t="shared" si="768"/>
        <v>3.0360359406967845</v>
      </c>
      <c r="WE74" s="149">
        <f t="shared" si="769"/>
        <v>7.2875433703281658</v>
      </c>
      <c r="WF74" s="149">
        <f t="shared" si="770"/>
        <v>12.360830651943786</v>
      </c>
      <c r="WG74" s="149">
        <f t="shared" si="957"/>
        <v>21.226138150177171</v>
      </c>
      <c r="WH74" s="150">
        <f t="shared" si="958"/>
        <v>31.688175891645479</v>
      </c>
      <c r="WI74" s="149">
        <f t="shared" si="959"/>
        <v>42.749069498184916</v>
      </c>
      <c r="WJ74" s="149">
        <f t="shared" si="771"/>
        <v>53.172041546995665</v>
      </c>
      <c r="WK74" s="149">
        <f t="shared" si="772"/>
        <v>59.642870067987424</v>
      </c>
      <c r="WL74" s="149">
        <f t="shared" si="773"/>
        <v>65.38890397660083</v>
      </c>
      <c r="WM74" s="149">
        <f t="shared" si="774"/>
        <v>72.224450235103546</v>
      </c>
      <c r="WN74" s="81"/>
      <c r="WO74" s="122">
        <v>75</v>
      </c>
      <c r="WP74" s="149">
        <f t="shared" si="775"/>
        <v>-12.132897691625679</v>
      </c>
      <c r="WQ74" s="149">
        <f t="shared" si="776"/>
        <v>-7.481385066613349</v>
      </c>
      <c r="WR74" s="149">
        <f t="shared" si="777"/>
        <v>-3.3543817072129798</v>
      </c>
      <c r="WS74" s="149">
        <f t="shared" si="778"/>
        <v>1.5445780002246536</v>
      </c>
      <c r="WT74" s="149">
        <f t="shared" si="960"/>
        <v>10.041004266858828</v>
      </c>
      <c r="WU74" s="150">
        <f t="shared" si="961"/>
        <v>19.969302929768709</v>
      </c>
      <c r="WV74" s="149">
        <f t="shared" si="962"/>
        <v>30.359327977209567</v>
      </c>
      <c r="WW74" s="149">
        <f t="shared" si="779"/>
        <v>40.058128657280172</v>
      </c>
      <c r="WX74" s="149">
        <f t="shared" si="780"/>
        <v>46.037600820424807</v>
      </c>
      <c r="WY74" s="149">
        <f t="shared" si="781"/>
        <v>51.321955734065973</v>
      </c>
      <c r="WZ74" s="149">
        <f t="shared" si="782"/>
        <v>57.578592313102796</v>
      </c>
      <c r="XA74" s="81"/>
      <c r="XB74" s="122">
        <v>72</v>
      </c>
      <c r="XC74" s="149">
        <f t="shared" si="783"/>
        <v>-15.212017944267984</v>
      </c>
      <c r="XD74" s="149">
        <f t="shared" si="784"/>
        <v>-10.128813217471802</v>
      </c>
      <c r="XE74" s="149">
        <f t="shared" si="785"/>
        <v>-5.6468680108116445</v>
      </c>
      <c r="XF74" s="149">
        <f t="shared" si="786"/>
        <v>-0.35976567496617662</v>
      </c>
      <c r="XG74" s="149">
        <f t="shared" si="963"/>
        <v>8.7285193300871029</v>
      </c>
      <c r="XH74" s="150">
        <f t="shared" si="964"/>
        <v>19.226757907588556</v>
      </c>
      <c r="XI74" s="149">
        <f t="shared" si="965"/>
        <v>30.084935071666386</v>
      </c>
      <c r="XJ74" s="149">
        <f t="shared" si="787"/>
        <v>40.112721921686934</v>
      </c>
      <c r="XK74" s="149">
        <f t="shared" si="788"/>
        <v>46.246876549909253</v>
      </c>
      <c r="XL74" s="149">
        <f t="shared" si="789"/>
        <v>51.639114076855172</v>
      </c>
      <c r="XM74" s="149">
        <f t="shared" si="790"/>
        <v>57.990132806778185</v>
      </c>
      <c r="XN74" s="81"/>
      <c r="XO74" s="122">
        <v>72</v>
      </c>
      <c r="XP74" s="149">
        <f t="shared" si="791"/>
        <v>-1.6878409342029244</v>
      </c>
      <c r="XQ74" s="149">
        <f t="shared" si="792"/>
        <v>2.5974961472087017</v>
      </c>
      <c r="XR74" s="149">
        <f t="shared" si="793"/>
        <v>6.3426752285915029</v>
      </c>
      <c r="XS74" s="149">
        <f t="shared" si="794"/>
        <v>10.72620523516683</v>
      </c>
      <c r="XT74" s="149">
        <f t="shared" si="966"/>
        <v>18.187727739033399</v>
      </c>
      <c r="XU74" s="150">
        <f t="shared" si="967"/>
        <v>26.71172615933947</v>
      </c>
      <c r="XV74" s="149">
        <f t="shared" si="968"/>
        <v>35.441149013171803</v>
      </c>
      <c r="XW74" s="149">
        <f t="shared" si="795"/>
        <v>43.438123081079915</v>
      </c>
      <c r="XX74" s="149">
        <f t="shared" si="796"/>
        <v>48.303470145967459</v>
      </c>
      <c r="XY74" s="149">
        <f t="shared" si="797"/>
        <v>52.565404631933511</v>
      </c>
      <c r="XZ74" s="149">
        <f t="shared" si="798"/>
        <v>57.568599005321722</v>
      </c>
      <c r="YA74" s="81"/>
      <c r="YB74" s="122">
        <v>75</v>
      </c>
      <c r="YC74" s="149">
        <f t="shared" si="799"/>
        <v>-18.966508576150026</v>
      </c>
      <c r="YD74" s="149">
        <f t="shared" si="800"/>
        <v>-14.086024488227622</v>
      </c>
      <c r="YE74" s="149">
        <f t="shared" si="801"/>
        <v>-9.7993057921639348</v>
      </c>
      <c r="YF74" s="149">
        <f t="shared" si="802"/>
        <v>-4.7611736779909606</v>
      </c>
      <c r="YG74" s="149">
        <f t="shared" si="969"/>
        <v>3.8554062435696395</v>
      </c>
      <c r="YH74" s="150">
        <f t="shared" si="970"/>
        <v>13.74628534258057</v>
      </c>
      <c r="YI74" s="149">
        <f t="shared" si="971"/>
        <v>23.913242637732587</v>
      </c>
      <c r="YJ74" s="149">
        <f t="shared" si="803"/>
        <v>33.251449888141984</v>
      </c>
      <c r="YK74" s="149">
        <f t="shared" si="804"/>
        <v>38.941496440307382</v>
      </c>
      <c r="YL74" s="149">
        <f t="shared" si="805"/>
        <v>43.930226159906333</v>
      </c>
      <c r="YM74" s="149">
        <f t="shared" si="806"/>
        <v>49.791013446535153</v>
      </c>
      <c r="YN74" s="81"/>
      <c r="YO74" s="122">
        <v>72</v>
      </c>
      <c r="YP74" s="149">
        <v>19.430313867494153</v>
      </c>
      <c r="YQ74" s="149">
        <v>21.232347033744855</v>
      </c>
      <c r="YR74" s="149">
        <v>22.915309268276332</v>
      </c>
      <c r="YS74" s="149">
        <v>25.021877764311174</v>
      </c>
      <c r="YT74" s="149">
        <v>28.97574016943129</v>
      </c>
      <c r="YU74" s="150">
        <v>34.123242488780541</v>
      </c>
      <c r="YV74" s="149">
        <v>40.185191858412892</v>
      </c>
      <c r="YW74" s="149">
        <v>46.535103756637355</v>
      </c>
      <c r="YX74" s="149">
        <v>50.813002971777145</v>
      </c>
      <c r="YY74" s="149">
        <v>54.84064837945273</v>
      </c>
      <c r="YZ74" s="149">
        <v>59.926755990086562</v>
      </c>
      <c r="ZA74" s="81"/>
      <c r="ZB74" s="122">
        <v>72</v>
      </c>
      <c r="ZC74" s="149">
        <v>20.122122863976941</v>
      </c>
      <c r="ZD74" s="149">
        <v>21.635873627034879</v>
      </c>
      <c r="ZE74" s="149">
        <v>23.028554867509989</v>
      </c>
      <c r="ZF74" s="149">
        <v>24.745848134487805</v>
      </c>
      <c r="ZG74" s="149">
        <v>27.900304712515176</v>
      </c>
      <c r="ZH74" s="150">
        <v>31.892347556038011</v>
      </c>
      <c r="ZI74" s="149">
        <v>36.455581511225418</v>
      </c>
      <c r="ZJ74" s="149">
        <v>41.102726692061978</v>
      </c>
      <c r="ZK74" s="149">
        <v>44.167853279848579</v>
      </c>
      <c r="ZL74" s="149">
        <v>47.010897279608358</v>
      </c>
      <c r="ZM74" s="149">
        <v>50.547441714313237</v>
      </c>
      <c r="ZN74" s="81"/>
      <c r="ZO74" s="122">
        <v>75</v>
      </c>
      <c r="ZP74" s="149">
        <v>19.364802532497652</v>
      </c>
      <c r="ZQ74" s="149">
        <v>21.312404527058234</v>
      </c>
      <c r="ZR74" s="149">
        <v>23.143410608517911</v>
      </c>
      <c r="ZS74" s="149">
        <v>25.450518761393788</v>
      </c>
      <c r="ZT74" s="149">
        <v>29.822297307195239</v>
      </c>
      <c r="ZU74" s="150">
        <v>35.585616585580453</v>
      </c>
      <c r="ZV74" s="149">
        <v>42.462728297944025</v>
      </c>
      <c r="ZW74" s="149">
        <v>49.756789621784051</v>
      </c>
      <c r="ZX74" s="149">
        <v>54.716918314099509</v>
      </c>
      <c r="ZY74" s="149">
        <v>59.417796155670658</v>
      </c>
      <c r="ZZ74" s="149">
        <v>65.393701053795766</v>
      </c>
      <c r="AAA74" s="81"/>
      <c r="AAB74" s="122">
        <v>72</v>
      </c>
      <c r="AAC74" s="149">
        <v>11.707823597012229</v>
      </c>
      <c r="AAD74" s="149">
        <v>12.882076294904008</v>
      </c>
      <c r="AAE74" s="149">
        <v>13.985772028562964</v>
      </c>
      <c r="AAF74" s="149">
        <v>15.376127251312349</v>
      </c>
      <c r="AAG74" s="149">
        <v>18.009845705687731</v>
      </c>
      <c r="AAH74" s="150">
        <v>21.480341068956463</v>
      </c>
      <c r="AAI74" s="149">
        <v>25.619600521784623</v>
      </c>
      <c r="AAJ74" s="149">
        <v>30.007884618626392</v>
      </c>
      <c r="AAK74" s="149">
        <v>32.991031992826443</v>
      </c>
      <c r="AAL74" s="149">
        <v>35.81759973128122</v>
      </c>
      <c r="AAM74" s="149">
        <v>39.409976467056261</v>
      </c>
      <c r="AAN74" s="81"/>
      <c r="AAO74" s="122">
        <v>72</v>
      </c>
      <c r="AAP74" s="149">
        <v>12.497914262008177</v>
      </c>
      <c r="AAQ74" s="149">
        <v>13.728318407331908</v>
      </c>
      <c r="AAR74" s="149">
        <v>14.882989414020317</v>
      </c>
      <c r="AAS74" s="149">
        <v>16.335293352904387</v>
      </c>
      <c r="AAT74" s="149">
        <v>19.08018648966328</v>
      </c>
      <c r="AAU74" s="150">
        <v>22.686531063768985</v>
      </c>
      <c r="AAV74" s="149">
        <v>26.974510547168034</v>
      </c>
      <c r="AAW74" s="149">
        <v>31.507159411731418</v>
      </c>
      <c r="AAX74" s="149">
        <v>34.581674244994687</v>
      </c>
      <c r="AAY74" s="149">
        <v>37.490293890071761</v>
      </c>
      <c r="AAZ74" s="149">
        <v>41.181166786517551</v>
      </c>
      <c r="ABA74" s="81"/>
      <c r="ABB74" s="122">
        <v>75</v>
      </c>
      <c r="ABC74" s="149">
        <v>10.148434555156376</v>
      </c>
      <c r="ABD74" s="149">
        <v>11.308310492879967</v>
      </c>
      <c r="ABE74" s="149">
        <v>12.411352619319187</v>
      </c>
      <c r="ABF74" s="149">
        <v>13.817276028853929</v>
      </c>
      <c r="ABG74" s="149">
        <v>16.525895926697377</v>
      </c>
      <c r="ABH74" s="150">
        <v>20.175122471625325</v>
      </c>
      <c r="ABI74" s="149">
        <v>24.630166409769071</v>
      </c>
      <c r="ABJ74" s="149">
        <v>29.458452295162161</v>
      </c>
      <c r="ABK74" s="149">
        <v>32.795423611726278</v>
      </c>
      <c r="ABL74" s="149">
        <v>35.994374845063057</v>
      </c>
      <c r="ABM74" s="149">
        <v>40.108212210746167</v>
      </c>
      <c r="ABN74" s="81"/>
      <c r="ABO74" s="122">
        <v>72</v>
      </c>
      <c r="ABP74" s="149">
        <f t="shared" si="807"/>
        <v>0.34308495198135164</v>
      </c>
      <c r="ABQ74" s="149">
        <f t="shared" si="808"/>
        <v>0.38460625231891421</v>
      </c>
      <c r="ABR74" s="149">
        <f t="shared" si="809"/>
        <v>0.4231481717504077</v>
      </c>
      <c r="ABS74" s="149">
        <f t="shared" si="810"/>
        <v>0.47099514339362264</v>
      </c>
      <c r="ABT74" s="149">
        <f t="shared" si="972"/>
        <v>0.55942432843825551</v>
      </c>
      <c r="ABU74" s="150">
        <f t="shared" si="973"/>
        <v>0.67161195376303051</v>
      </c>
      <c r="ABV74" s="149">
        <f t="shared" si="974"/>
        <v>0.79937155013571792</v>
      </c>
      <c r="ABW74" s="149">
        <f t="shared" si="811"/>
        <v>0.92831049966133383</v>
      </c>
      <c r="ABX74" s="149">
        <f t="shared" si="812"/>
        <v>1.0125100361413997</v>
      </c>
      <c r="ABY74" s="149">
        <f t="shared" si="813"/>
        <v>1.0899342793447029</v>
      </c>
      <c r="ABZ74" s="149">
        <f t="shared" si="814"/>
        <v>1.1852837648677508</v>
      </c>
      <c r="ACA74" s="81"/>
      <c r="ACB74" s="122">
        <v>72</v>
      </c>
      <c r="ACC74" s="149">
        <f t="shared" si="815"/>
        <v>0.43961789132889073</v>
      </c>
      <c r="ACD74" s="149">
        <f t="shared" si="816"/>
        <v>0.48073668078748177</v>
      </c>
      <c r="ACE74" s="149">
        <f t="shared" si="817"/>
        <v>0.51870163974254868</v>
      </c>
      <c r="ACF74" s="149">
        <f t="shared" si="818"/>
        <v>0.5656431472514275</v>
      </c>
      <c r="ACG74" s="149">
        <f t="shared" si="975"/>
        <v>0.65208227879777048</v>
      </c>
      <c r="ACH74" s="150">
        <f t="shared" si="976"/>
        <v>0.7615717141276297</v>
      </c>
      <c r="ACI74" s="149">
        <f t="shared" si="977"/>
        <v>0.88649340936629695</v>
      </c>
      <c r="ACJ74" s="149">
        <f t="shared" si="819"/>
        <v>1.0131635387846203</v>
      </c>
      <c r="ACK74" s="149">
        <f t="shared" si="820"/>
        <v>1.0963114053566709</v>
      </c>
      <c r="ACL74" s="149">
        <f t="shared" si="821"/>
        <v>1.1731108786207756</v>
      </c>
      <c r="ACM74" s="149">
        <f t="shared" si="822"/>
        <v>1.268176386533717</v>
      </c>
      <c r="ACN74" s="81"/>
      <c r="ACO74" s="122">
        <v>75</v>
      </c>
      <c r="ACP74" s="149">
        <f t="shared" si="823"/>
        <v>0.31136299265973838</v>
      </c>
      <c r="ACQ74" s="149">
        <f t="shared" si="824"/>
        <v>0.35190522007830582</v>
      </c>
      <c r="ACR74" s="149">
        <f t="shared" si="825"/>
        <v>0.38882484460778649</v>
      </c>
      <c r="ACS74" s="149">
        <f t="shared" si="826"/>
        <v>0.43375329471781843</v>
      </c>
      <c r="ACT74" s="149">
        <f t="shared" si="978"/>
        <v>0.51442546406226941</v>
      </c>
      <c r="ACU74" s="150">
        <f t="shared" si="979"/>
        <v>0.61256768150534713</v>
      </c>
      <c r="ACV74" s="149">
        <f t="shared" si="980"/>
        <v>0.71957078427625065</v>
      </c>
      <c r="ACW74" s="149">
        <f t="shared" si="827"/>
        <v>0.82331976474608048</v>
      </c>
      <c r="ACX74" s="149">
        <f t="shared" si="828"/>
        <v>0.8889184434127132</v>
      </c>
      <c r="ACY74" s="149">
        <f t="shared" si="829"/>
        <v>0.9479189264170117</v>
      </c>
      <c r="ACZ74" s="149">
        <f t="shared" si="830"/>
        <v>1.0189822776936339</v>
      </c>
      <c r="ADA74" s="81"/>
      <c r="ADB74" s="122">
        <v>72</v>
      </c>
      <c r="ADC74" s="149">
        <f t="shared" si="831"/>
        <v>0.25825393238009636</v>
      </c>
      <c r="ADD74" s="149">
        <f t="shared" si="832"/>
        <v>0.27978553681112489</v>
      </c>
      <c r="ADE74" s="149">
        <f t="shared" si="833"/>
        <v>0.29860815479095698</v>
      </c>
      <c r="ADF74" s="149">
        <f t="shared" si="834"/>
        <v>0.3206451085959004</v>
      </c>
      <c r="ADG74" s="149">
        <f t="shared" si="981"/>
        <v>0.35817106568586826</v>
      </c>
      <c r="ADH74" s="150">
        <f t="shared" si="982"/>
        <v>0.40106391901910998</v>
      </c>
      <c r="ADI74" s="149">
        <f t="shared" si="983"/>
        <v>0.44501582252888877</v>
      </c>
      <c r="ADJ74" s="149">
        <f t="shared" si="835"/>
        <v>0.48530173064158993</v>
      </c>
      <c r="ADK74" s="149">
        <f t="shared" si="836"/>
        <v>0.50982151518694674</v>
      </c>
      <c r="ADL74" s="149">
        <f t="shared" si="837"/>
        <v>0.53130628864000107</v>
      </c>
      <c r="ADM74" s="149">
        <f t="shared" si="838"/>
        <v>0.55653480295258417</v>
      </c>
      <c r="ADN74" s="81"/>
      <c r="ADO74" s="122">
        <v>72</v>
      </c>
      <c r="ADP74" s="149">
        <f t="shared" si="839"/>
        <v>0.30698687568207039</v>
      </c>
      <c r="ADQ74" s="149">
        <f t="shared" si="840"/>
        <v>0.32554349830708063</v>
      </c>
      <c r="ADR74" s="149">
        <f t="shared" si="841"/>
        <v>0.3418427263891704</v>
      </c>
      <c r="ADS74" s="149">
        <f t="shared" si="842"/>
        <v>0.36101987911347472</v>
      </c>
      <c r="ADT74" s="149">
        <f t="shared" si="984"/>
        <v>0.39391626479313424</v>
      </c>
      <c r="ADU74" s="150">
        <f t="shared" si="985"/>
        <v>0.43189420478411245</v>
      </c>
      <c r="ADV74" s="149">
        <f t="shared" si="986"/>
        <v>0.47122889375062338</v>
      </c>
      <c r="ADW74" s="149">
        <f t="shared" si="843"/>
        <v>0.50765343261957085</v>
      </c>
      <c r="ADX74" s="149">
        <f t="shared" si="844"/>
        <v>0.52999500346078587</v>
      </c>
      <c r="ADY74" s="149">
        <f t="shared" si="845"/>
        <v>0.54967712989508255</v>
      </c>
      <c r="ADZ74" s="149">
        <f t="shared" si="846"/>
        <v>0.57291407286121032</v>
      </c>
      <c r="AEA74" s="81"/>
      <c r="AEB74" s="122">
        <v>75</v>
      </c>
      <c r="AEC74" s="149">
        <f t="shared" si="847"/>
        <v>0.24086034411892329</v>
      </c>
      <c r="AED74" s="149">
        <f t="shared" si="848"/>
        <v>0.26284291067863808</v>
      </c>
      <c r="AEE74" s="149">
        <f t="shared" si="849"/>
        <v>0.28169016698013022</v>
      </c>
      <c r="AEF74" s="149">
        <f t="shared" si="850"/>
        <v>0.30335760385484239</v>
      </c>
      <c r="AEG74" s="149">
        <f t="shared" si="987"/>
        <v>0.33936744480083025</v>
      </c>
      <c r="AEH74" s="150">
        <f t="shared" si="988"/>
        <v>0.37932471651325034</v>
      </c>
      <c r="AEI74" s="149">
        <f t="shared" si="989"/>
        <v>0.41911400634951773</v>
      </c>
      <c r="AEJ74" s="149">
        <f t="shared" si="851"/>
        <v>0.45468382482447955</v>
      </c>
      <c r="AEK74" s="149">
        <f t="shared" si="852"/>
        <v>0.47595255835202022</v>
      </c>
      <c r="AEL74" s="149">
        <f t="shared" si="853"/>
        <v>0.49436918767583221</v>
      </c>
      <c r="AEM74" s="149">
        <f t="shared" si="854"/>
        <v>0.51574814215850939</v>
      </c>
      <c r="AEN74" s="81"/>
    </row>
    <row r="75" spans="1:820">
      <c r="A75" s="81"/>
      <c r="B75" s="81">
        <v>74</v>
      </c>
      <c r="C75" s="133">
        <f t="shared" si="495"/>
        <v>2.5878903036305396</v>
      </c>
      <c r="D75" s="133">
        <f t="shared" si="496"/>
        <v>3.1415475617236543</v>
      </c>
      <c r="E75" s="133">
        <f t="shared" si="497"/>
        <v>3.732855996479616</v>
      </c>
      <c r="F75" s="133">
        <f t="shared" si="498"/>
        <v>4.5861725012772681</v>
      </c>
      <c r="G75" s="133">
        <f t="shared" si="855"/>
        <v>6.5853295831691741</v>
      </c>
      <c r="H75" s="134">
        <f t="shared" si="856"/>
        <v>10.162374445237171</v>
      </c>
      <c r="I75" s="133">
        <f t="shared" si="857"/>
        <v>16.284295925068307</v>
      </c>
      <c r="J75" s="133">
        <f t="shared" si="499"/>
        <v>25.819569308804073</v>
      </c>
      <c r="K75" s="133">
        <f t="shared" si="500"/>
        <v>34.723916332525654</v>
      </c>
      <c r="L75" s="133">
        <f t="shared" si="501"/>
        <v>45.521716860975864</v>
      </c>
      <c r="M75" s="133">
        <f t="shared" si="502"/>
        <v>63.495254970095388</v>
      </c>
      <c r="N75" s="81"/>
      <c r="O75" s="75">
        <v>74</v>
      </c>
      <c r="P75" s="151">
        <f t="shared" si="503"/>
        <v>3.3074612383411957</v>
      </c>
      <c r="Q75" s="151">
        <f t="shared" si="504"/>
        <v>3.8719217457989652</v>
      </c>
      <c r="R75" s="151">
        <f t="shared" si="505"/>
        <v>4.4716810759304222</v>
      </c>
      <c r="S75" s="151">
        <f t="shared" si="506"/>
        <v>5.3382059492580947</v>
      </c>
      <c r="T75" s="151">
        <f t="shared" si="858"/>
        <v>7.4022509505110046</v>
      </c>
      <c r="U75" s="134">
        <f t="shared" si="859"/>
        <v>11.306932004073539</v>
      </c>
      <c r="V75" s="151">
        <f t="shared" si="860"/>
        <v>18.851075145798699</v>
      </c>
      <c r="W75" s="151">
        <f t="shared" si="507"/>
        <v>33.33308239084333</v>
      </c>
      <c r="X75" s="151">
        <f t="shared" si="508"/>
        <v>50.59537683083385</v>
      </c>
      <c r="Y75" s="151">
        <f t="shared" si="509"/>
        <v>77.719456386950952</v>
      </c>
      <c r="Z75" s="151">
        <f t="shared" si="510"/>
        <v>143.78145950035599</v>
      </c>
      <c r="AA75" s="81"/>
      <c r="AB75" s="75"/>
      <c r="AC75" s="137"/>
      <c r="AD75" s="137"/>
      <c r="AE75" s="137"/>
      <c r="AF75" s="137"/>
      <c r="AG75" s="137"/>
      <c r="AH75" s="84"/>
      <c r="AI75" s="137"/>
      <c r="AJ75" s="137"/>
      <c r="AK75" s="137"/>
      <c r="AL75" s="137"/>
      <c r="AM75" s="137"/>
      <c r="AN75" s="81"/>
      <c r="AO75" s="81">
        <v>74</v>
      </c>
      <c r="AP75" s="133">
        <f t="shared" si="519"/>
        <v>2.7284865846987207</v>
      </c>
      <c r="AQ75" s="133">
        <f t="shared" si="520"/>
        <v>5.925032095533477</v>
      </c>
      <c r="AR75" s="133">
        <f t="shared" si="521"/>
        <v>9.0572976828111038</v>
      </c>
      <c r="AS75" s="133">
        <f t="shared" si="522"/>
        <v>13.113570131036226</v>
      </c>
      <c r="AT75" s="133">
        <f t="shared" si="864"/>
        <v>20.954684776206616</v>
      </c>
      <c r="AU75" s="134">
        <f t="shared" si="865"/>
        <v>31.301074376457311</v>
      </c>
      <c r="AV75" s="133">
        <f t="shared" si="866"/>
        <v>43.367222839268997</v>
      </c>
      <c r="AW75" s="133">
        <f t="shared" si="523"/>
        <v>55.676081515311857</v>
      </c>
      <c r="AX75" s="133">
        <f t="shared" si="524"/>
        <v>63.734022175368118</v>
      </c>
      <c r="AY75" s="133">
        <f t="shared" si="525"/>
        <v>71.138420204341855</v>
      </c>
      <c r="AZ75" s="133">
        <f t="shared" si="526"/>
        <v>80.235443113913263</v>
      </c>
      <c r="BA75" s="81"/>
      <c r="BB75" s="81">
        <v>74</v>
      </c>
      <c r="BC75" s="133">
        <f t="shared" si="527"/>
        <v>5.489621993169556</v>
      </c>
      <c r="BD75" s="133">
        <f t="shared" si="528"/>
        <v>9.2420519510831021</v>
      </c>
      <c r="BE75" s="133">
        <f t="shared" si="529"/>
        <v>12.788146827696078</v>
      </c>
      <c r="BF75" s="133">
        <f t="shared" si="530"/>
        <v>17.228779536586217</v>
      </c>
      <c r="BG75" s="133">
        <f t="shared" si="867"/>
        <v>25.442631587858973</v>
      </c>
      <c r="BH75" s="134">
        <f t="shared" si="868"/>
        <v>35.733190543363932</v>
      </c>
      <c r="BI75" s="133">
        <f t="shared" si="869"/>
        <v>47.16657313399034</v>
      </c>
      <c r="BJ75" s="133">
        <f t="shared" si="531"/>
        <v>58.35883494741433</v>
      </c>
      <c r="BK75" s="133">
        <f t="shared" si="532"/>
        <v>65.479202929143042</v>
      </c>
      <c r="BL75" s="133">
        <f t="shared" si="533"/>
        <v>71.899283361519977</v>
      </c>
      <c r="BM75" s="133">
        <f t="shared" si="534"/>
        <v>79.644663985396647</v>
      </c>
      <c r="BN75" s="81"/>
      <c r="BO75" s="75"/>
      <c r="BP75" s="137"/>
      <c r="BQ75" s="137"/>
      <c r="BR75" s="137"/>
      <c r="BS75" s="137"/>
      <c r="BT75" s="137"/>
      <c r="BU75" s="84"/>
      <c r="BV75" s="137"/>
      <c r="BW75" s="137"/>
      <c r="BX75" s="137"/>
      <c r="BY75" s="137"/>
      <c r="BZ75" s="137"/>
      <c r="CA75" s="81"/>
      <c r="CB75" s="81">
        <v>74</v>
      </c>
      <c r="CC75" s="133">
        <f t="shared" si="543"/>
        <v>-0.54792809975332357</v>
      </c>
      <c r="CD75" s="133">
        <f t="shared" si="544"/>
        <v>2.7030934754450984</v>
      </c>
      <c r="CE75" s="133">
        <f t="shared" si="545"/>
        <v>5.7859144255447328</v>
      </c>
      <c r="CF75" s="133">
        <f t="shared" si="546"/>
        <v>9.6294442940591658</v>
      </c>
      <c r="CG75" s="133">
        <f t="shared" si="873"/>
        <v>16.649234718823411</v>
      </c>
      <c r="CH75" s="134">
        <f t="shared" si="874"/>
        <v>25.260440541560197</v>
      </c>
      <c r="CI75" s="133">
        <f t="shared" si="875"/>
        <v>34.603094233157307</v>
      </c>
      <c r="CJ75" s="133">
        <f t="shared" si="547"/>
        <v>43.546205483168976</v>
      </c>
      <c r="CK75" s="133">
        <f t="shared" si="548"/>
        <v>49.143061759384516</v>
      </c>
      <c r="CL75" s="133">
        <f t="shared" si="549"/>
        <v>54.133297837639539</v>
      </c>
      <c r="CM75" s="133">
        <f t="shared" si="550"/>
        <v>60.088026572853487</v>
      </c>
      <c r="CN75" s="81"/>
      <c r="CO75" s="81">
        <v>74</v>
      </c>
      <c r="CP75" s="133">
        <f t="shared" si="551"/>
        <v>5.3201411192791097</v>
      </c>
      <c r="CQ75" s="133">
        <f t="shared" si="552"/>
        <v>8.442069103881753</v>
      </c>
      <c r="CR75" s="133">
        <f t="shared" si="553"/>
        <v>11.303732966250834</v>
      </c>
      <c r="CS75" s="133">
        <f t="shared" si="554"/>
        <v>14.790352019480906</v>
      </c>
      <c r="CT75" s="133">
        <f t="shared" si="876"/>
        <v>21.017452690719843</v>
      </c>
      <c r="CU75" s="134">
        <f t="shared" si="877"/>
        <v>28.510574092779802</v>
      </c>
      <c r="CV75" s="133">
        <f t="shared" si="878"/>
        <v>36.53420419874589</v>
      </c>
      <c r="CW75" s="133">
        <f t="shared" si="555"/>
        <v>44.149583371764912</v>
      </c>
      <c r="CX75" s="133">
        <f t="shared" si="556"/>
        <v>48.892606544752077</v>
      </c>
      <c r="CY75" s="133">
        <f t="shared" si="557"/>
        <v>53.109965250382182</v>
      </c>
      <c r="CZ75" s="133">
        <f t="shared" si="558"/>
        <v>58.130611165268313</v>
      </c>
      <c r="DA75" s="81"/>
      <c r="DB75" s="81"/>
      <c r="DC75" s="83"/>
      <c r="DD75" s="83"/>
      <c r="DE75" s="83"/>
      <c r="DF75" s="83"/>
      <c r="DG75" s="83"/>
      <c r="DH75" s="84"/>
      <c r="DI75" s="83"/>
      <c r="DJ75" s="83"/>
      <c r="DK75" s="83"/>
      <c r="DL75" s="83"/>
      <c r="DM75" s="83"/>
      <c r="DN75" s="81"/>
      <c r="DO75" s="122">
        <v>74</v>
      </c>
      <c r="DP75" s="149">
        <v>14.561290425853542</v>
      </c>
      <c r="DQ75" s="149">
        <v>15.785407335902262</v>
      </c>
      <c r="DR75" s="149">
        <v>16.920211326845351</v>
      </c>
      <c r="DS75" s="149">
        <v>18.33018396870796</v>
      </c>
      <c r="DT75" s="149">
        <v>20.94857030543341</v>
      </c>
      <c r="DU75" s="150">
        <v>24.310102870979019</v>
      </c>
      <c r="DV75" s="149">
        <v>28.211047006119564</v>
      </c>
      <c r="DW75" s="149">
        <v>32.240871264929211</v>
      </c>
      <c r="DX75" s="149">
        <v>34.92752485070568</v>
      </c>
      <c r="DY75" s="149">
        <v>37.438444825776372</v>
      </c>
      <c r="DZ75" s="149">
        <v>40.585764332280391</v>
      </c>
      <c r="EA75" s="81"/>
      <c r="EB75" s="122">
        <v>74</v>
      </c>
      <c r="EC75" s="149">
        <v>13.676070993589025</v>
      </c>
      <c r="ED75" s="149">
        <v>15.086046761784722</v>
      </c>
      <c r="EE75" s="149">
        <v>16.414432652129804</v>
      </c>
      <c r="EF75" s="149">
        <v>18.091788919298491</v>
      </c>
      <c r="EG75" s="149">
        <v>21.279988406192338</v>
      </c>
      <c r="EH75" s="150">
        <v>25.499916304224705</v>
      </c>
      <c r="EI75" s="149">
        <v>30.556676963848702</v>
      </c>
      <c r="EJ75" s="149">
        <v>35.941483422286019</v>
      </c>
      <c r="EK75" s="149">
        <v>39.614267839960597</v>
      </c>
      <c r="EL75" s="149">
        <v>43.102460292622013</v>
      </c>
      <c r="EM75" s="149">
        <v>47.546238377036985</v>
      </c>
      <c r="EN75" s="81"/>
      <c r="EO75" s="122"/>
      <c r="EP75" s="126"/>
      <c r="EQ75" s="126"/>
      <c r="ER75" s="126"/>
      <c r="ES75" s="126"/>
      <c r="ET75" s="126"/>
      <c r="EU75" s="127"/>
      <c r="EV75" s="126"/>
      <c r="EW75" s="126"/>
      <c r="EX75" s="126"/>
      <c r="EY75" s="126"/>
      <c r="EZ75" s="126"/>
      <c r="FA75" s="81"/>
      <c r="FB75" s="122">
        <v>74</v>
      </c>
      <c r="FC75" s="149">
        <v>10.587428970217648</v>
      </c>
      <c r="FD75" s="149">
        <v>11.373287507435748</v>
      </c>
      <c r="FE75" s="149">
        <v>12.095667278954096</v>
      </c>
      <c r="FF75" s="149">
        <v>12.9856521947326</v>
      </c>
      <c r="FG75" s="149">
        <v>14.618412877702271</v>
      </c>
      <c r="FH75" s="150">
        <v>16.681335884914326</v>
      </c>
      <c r="FI75" s="149">
        <v>19.035374717714813</v>
      </c>
      <c r="FJ75" s="149">
        <v>21.428801783109865</v>
      </c>
      <c r="FK75" s="149">
        <v>23.005507715105743</v>
      </c>
      <c r="FL75" s="149">
        <v>24.466713491890722</v>
      </c>
      <c r="FM75" s="149">
        <v>26.282770603523606</v>
      </c>
      <c r="FN75" s="81"/>
      <c r="FO75" s="122">
        <v>74</v>
      </c>
      <c r="FP75" s="149">
        <v>10.509946753415713</v>
      </c>
      <c r="FQ75" s="149">
        <v>11.343927199527805</v>
      </c>
      <c r="FR75" s="149">
        <v>12.113937430359476</v>
      </c>
      <c r="FS75" s="149">
        <v>13.06680098811213</v>
      </c>
      <c r="FT75" s="149">
        <v>14.826052135854209</v>
      </c>
      <c r="FU75" s="150">
        <v>17.067416700929023</v>
      </c>
      <c r="FV75" s="149">
        <v>19.647625016689428</v>
      </c>
      <c r="FW75" s="149">
        <v>22.29288661457122</v>
      </c>
      <c r="FX75" s="149">
        <v>24.046410551297267</v>
      </c>
      <c r="FY75" s="149">
        <v>25.678647942599312</v>
      </c>
      <c r="FZ75" s="149">
        <v>27.71628816753805</v>
      </c>
      <c r="GA75" s="81"/>
      <c r="GB75" s="122"/>
      <c r="GC75" s="126"/>
      <c r="GD75" s="126"/>
      <c r="GE75" s="126"/>
      <c r="GF75" s="126"/>
      <c r="GG75" s="126"/>
      <c r="GH75" s="127"/>
      <c r="GI75" s="126"/>
      <c r="GJ75" s="126"/>
      <c r="GK75" s="126"/>
      <c r="GL75" s="126"/>
      <c r="GM75" s="126"/>
      <c r="GN75" s="81"/>
      <c r="GO75" s="122">
        <v>74</v>
      </c>
      <c r="GP75" s="149">
        <f t="shared" si="567"/>
        <v>0.5371547979269502</v>
      </c>
      <c r="GQ75" s="149">
        <f t="shared" si="568"/>
        <v>0.56800997527338304</v>
      </c>
      <c r="GR75" s="149">
        <f t="shared" si="569"/>
        <v>0.59319171285631578</v>
      </c>
      <c r="GS75" s="149">
        <f t="shared" si="570"/>
        <v>0.62088610694693314</v>
      </c>
      <c r="GT75" s="149">
        <f t="shared" si="882"/>
        <v>0.66560912736024969</v>
      </c>
      <c r="GU75" s="150">
        <f t="shared" si="883"/>
        <v>0.70954296648170112</v>
      </c>
      <c r="GV75" s="149">
        <f t="shared" si="884"/>
        <v>0.75076605345274472</v>
      </c>
      <c r="GW75" s="149">
        <f t="shared" si="571"/>
        <v>0.78776372892653024</v>
      </c>
      <c r="GX75" s="149">
        <f t="shared" si="572"/>
        <v>0.80848461471694011</v>
      </c>
      <c r="GY75" s="149">
        <f t="shared" si="573"/>
        <v>0.82601141130816047</v>
      </c>
      <c r="GZ75" s="149">
        <f t="shared" si="574"/>
        <v>0.84590694842333758</v>
      </c>
      <c r="HA75" s="81"/>
      <c r="HB75" s="122">
        <v>74</v>
      </c>
      <c r="HC75" s="149">
        <f t="shared" si="575"/>
        <v>0.53755963243953131</v>
      </c>
      <c r="HD75" s="149">
        <f t="shared" si="576"/>
        <v>0.56895373386846915</v>
      </c>
      <c r="HE75" s="149">
        <f t="shared" si="577"/>
        <v>0.59457966352866909</v>
      </c>
      <c r="HF75" s="149">
        <f t="shared" si="578"/>
        <v>0.62276764685573716</v>
      </c>
      <c r="HG75" s="149">
        <f t="shared" si="885"/>
        <v>0.66704558125309377</v>
      </c>
      <c r="HH75" s="150">
        <f t="shared" si="886"/>
        <v>0.71304445547722661</v>
      </c>
      <c r="HI75" s="149">
        <f t="shared" si="887"/>
        <v>0.75614577065640143</v>
      </c>
      <c r="HJ75" s="149">
        <f t="shared" si="579"/>
        <v>0.79274858264865478</v>
      </c>
      <c r="HK75" s="149">
        <f t="shared" si="580"/>
        <v>0.81387114311122144</v>
      </c>
      <c r="HL75" s="149">
        <f t="shared" si="581"/>
        <v>0.83174055593626894</v>
      </c>
      <c r="HM75" s="149">
        <f t="shared" si="582"/>
        <v>0.85202818218408582</v>
      </c>
      <c r="HN75" s="81"/>
      <c r="HO75" s="122"/>
      <c r="HP75" s="126"/>
      <c r="HQ75" s="126"/>
      <c r="HR75" s="126"/>
      <c r="HS75" s="126"/>
      <c r="HT75" s="126"/>
      <c r="HU75" s="127"/>
      <c r="HV75" s="126"/>
      <c r="HW75" s="126"/>
      <c r="HX75" s="126"/>
      <c r="HY75" s="126"/>
      <c r="HZ75" s="126"/>
      <c r="IA75" s="81"/>
      <c r="IB75" s="122">
        <v>74</v>
      </c>
      <c r="IC75" s="126">
        <f t="shared" si="591"/>
        <v>0.35034538583016744</v>
      </c>
      <c r="ID75" s="126">
        <f t="shared" si="592"/>
        <v>0.36260735972862573</v>
      </c>
      <c r="IE75" s="126">
        <f t="shared" si="593"/>
        <v>0.37234978918547951</v>
      </c>
      <c r="IF75" s="126">
        <f t="shared" si="594"/>
        <v>0.38281441579446357</v>
      </c>
      <c r="IG75" s="126">
        <f t="shared" si="891"/>
        <v>0.39877020075899899</v>
      </c>
      <c r="IH75" s="127">
        <f t="shared" si="892"/>
        <v>0.41478774397004736</v>
      </c>
      <c r="II75" s="126">
        <f t="shared" si="893"/>
        <v>0.42933620867863864</v>
      </c>
      <c r="IJ75" s="126">
        <f t="shared" si="595"/>
        <v>0.44137499364863758</v>
      </c>
      <c r="IK75" s="126">
        <f t="shared" si="596"/>
        <v>0.4481997338384997</v>
      </c>
      <c r="IL75" s="126">
        <f t="shared" si="597"/>
        <v>0.45390701417444451</v>
      </c>
      <c r="IM75" s="126">
        <f t="shared" si="598"/>
        <v>0.46031583371683915</v>
      </c>
      <c r="IN75" s="81"/>
      <c r="IO75" s="122">
        <v>74</v>
      </c>
      <c r="IP75" s="149">
        <f t="shared" si="599"/>
        <v>0.35010831715158097</v>
      </c>
      <c r="IQ75" s="149">
        <f t="shared" si="600"/>
        <v>0.3626459541328142</v>
      </c>
      <c r="IR75" s="149">
        <f t="shared" si="601"/>
        <v>0.37260225977815165</v>
      </c>
      <c r="IS75" s="149">
        <f t="shared" si="602"/>
        <v>0.38329252834593358</v>
      </c>
      <c r="IT75" s="149">
        <f t="shared" si="894"/>
        <v>0.39958600434596825</v>
      </c>
      <c r="IU75" s="150">
        <f t="shared" si="895"/>
        <v>0.41593691400255106</v>
      </c>
      <c r="IV75" s="149">
        <f t="shared" si="896"/>
        <v>0.43078487352321893</v>
      </c>
      <c r="IW75" s="149">
        <f t="shared" si="603"/>
        <v>0.44306995671337618</v>
      </c>
      <c r="IX75" s="149">
        <f t="shared" si="604"/>
        <v>0.45003392619212418</v>
      </c>
      <c r="IY75" s="149">
        <f t="shared" si="605"/>
        <v>0.45585749654400659</v>
      </c>
      <c r="IZ75" s="149">
        <f t="shared" si="606"/>
        <v>0.46239680408155776</v>
      </c>
      <c r="JA75" s="81"/>
      <c r="JB75" s="122"/>
      <c r="JC75" s="126"/>
      <c r="JD75" s="126"/>
      <c r="JE75" s="126"/>
      <c r="JF75" s="126"/>
      <c r="JG75" s="126"/>
      <c r="JH75" s="127"/>
      <c r="JI75" s="126"/>
      <c r="JJ75" s="126"/>
      <c r="JK75" s="126"/>
      <c r="JL75" s="126"/>
      <c r="JM75" s="126"/>
      <c r="JN75" s="81"/>
      <c r="JO75" s="122">
        <v>73</v>
      </c>
      <c r="JP75" s="149">
        <f t="shared" si="615"/>
        <v>3.3137209945167356</v>
      </c>
      <c r="JQ75" s="149">
        <f t="shared" si="616"/>
        <v>4.7223326460715427</v>
      </c>
      <c r="JR75" s="149">
        <f t="shared" si="617"/>
        <v>5.9448014382446139</v>
      </c>
      <c r="JS75" s="149">
        <f t="shared" si="618"/>
        <v>7.3664281578297306</v>
      </c>
      <c r="JT75" s="149">
        <f t="shared" si="900"/>
        <v>9.7659173199203373</v>
      </c>
      <c r="JU75" s="150">
        <f t="shared" si="901"/>
        <v>12.479675819851071</v>
      </c>
      <c r="JV75" s="149">
        <f t="shared" si="902"/>
        <v>15.232741265700039</v>
      </c>
      <c r="JW75" s="149">
        <f t="shared" si="619"/>
        <v>17.734598405267416</v>
      </c>
      <c r="JX75" s="149">
        <f t="shared" si="620"/>
        <v>19.248228494537276</v>
      </c>
      <c r="JY75" s="149">
        <f t="shared" si="621"/>
        <v>20.569252906713142</v>
      </c>
      <c r="JZ75" s="149">
        <f t="shared" si="622"/>
        <v>22.114564173413282</v>
      </c>
      <c r="KA75" s="81"/>
      <c r="KB75" s="122">
        <v>73</v>
      </c>
      <c r="KC75" s="149">
        <f t="shared" si="623"/>
        <v>4.8002627967428833</v>
      </c>
      <c r="KD75" s="149">
        <f t="shared" si="624"/>
        <v>6.2543757473746968</v>
      </c>
      <c r="KE75" s="149">
        <f t="shared" si="625"/>
        <v>7.5352784461862736</v>
      </c>
      <c r="KF75" s="149">
        <f t="shared" si="626"/>
        <v>9.0459036159289123</v>
      </c>
      <c r="KG75" s="149">
        <f t="shared" si="903"/>
        <v>11.644010252550766</v>
      </c>
      <c r="KH75" s="150">
        <f t="shared" si="904"/>
        <v>14.65066261157593</v>
      </c>
      <c r="KI75" s="149">
        <f t="shared" si="905"/>
        <v>17.769337521119326</v>
      </c>
      <c r="KJ75" s="149">
        <f t="shared" si="627"/>
        <v>20.659070731048949</v>
      </c>
      <c r="KK75" s="149">
        <f t="shared" si="628"/>
        <v>22.431652649439798</v>
      </c>
      <c r="KL75" s="149">
        <f t="shared" si="629"/>
        <v>23.993018268347029</v>
      </c>
      <c r="KM75" s="149">
        <f t="shared" si="630"/>
        <v>25.835886409432248</v>
      </c>
      <c r="KN75" s="81"/>
      <c r="KO75" s="122">
        <v>75</v>
      </c>
      <c r="KP75" s="149">
        <f t="shared" si="631"/>
        <v>4.3964270956763443</v>
      </c>
      <c r="KQ75" s="149">
        <f t="shared" si="632"/>
        <v>5.4762857887312251</v>
      </c>
      <c r="KR75" s="149">
        <f t="shared" si="633"/>
        <v>6.4029089733577713</v>
      </c>
      <c r="KS75" s="149">
        <f t="shared" si="634"/>
        <v>7.468922633097371</v>
      </c>
      <c r="KT75" s="149">
        <f t="shared" si="906"/>
        <v>9.2419507169215045</v>
      </c>
      <c r="KU75" s="150">
        <f t="shared" si="907"/>
        <v>11.210840784315625</v>
      </c>
      <c r="KV75" s="149">
        <f t="shared" si="908"/>
        <v>13.172531683888113</v>
      </c>
      <c r="KW75" s="149">
        <f t="shared" si="635"/>
        <v>14.926795370384792</v>
      </c>
      <c r="KX75" s="149">
        <f t="shared" si="636"/>
        <v>15.97592534941575</v>
      </c>
      <c r="KY75" s="149">
        <f t="shared" si="637"/>
        <v>16.884442176828561</v>
      </c>
      <c r="KZ75" s="149">
        <f t="shared" si="638"/>
        <v>17.93915181753319</v>
      </c>
      <c r="LA75" s="81"/>
      <c r="LB75" s="122">
        <v>73</v>
      </c>
      <c r="LC75" s="149">
        <f t="shared" si="639"/>
        <v>11.267723476041816</v>
      </c>
      <c r="LD75" s="149">
        <f t="shared" si="640"/>
        <v>14.918147826359053</v>
      </c>
      <c r="LE75" s="149">
        <f t="shared" si="641"/>
        <v>18.101374222139455</v>
      </c>
      <c r="LF75" s="149">
        <f t="shared" si="642"/>
        <v>21.819603925331748</v>
      </c>
      <c r="LG75" s="149">
        <f t="shared" si="909"/>
        <v>28.131960667438811</v>
      </c>
      <c r="LH75" s="150">
        <f t="shared" si="910"/>
        <v>35.32069481132428</v>
      </c>
      <c r="LI75" s="149">
        <f t="shared" si="911"/>
        <v>42.661292337248263</v>
      </c>
      <c r="LJ75" s="149">
        <f t="shared" si="643"/>
        <v>49.369406229489023</v>
      </c>
      <c r="LK75" s="149">
        <f t="shared" si="644"/>
        <v>53.443644778466712</v>
      </c>
      <c r="LL75" s="149">
        <f t="shared" si="645"/>
        <v>57.008579924555328</v>
      </c>
      <c r="LM75" s="149">
        <f t="shared" si="646"/>
        <v>61.189054290057307</v>
      </c>
      <c r="LN75" s="81"/>
      <c r="LO75" s="122">
        <v>73</v>
      </c>
      <c r="LP75" s="149">
        <f t="shared" si="647"/>
        <v>16.676997225286019</v>
      </c>
      <c r="LQ75" s="149">
        <f t="shared" si="648"/>
        <v>20.485525714599017</v>
      </c>
      <c r="LR75" s="149">
        <f t="shared" si="649"/>
        <v>23.813689095154007</v>
      </c>
      <c r="LS75" s="149">
        <f t="shared" si="650"/>
        <v>27.709022827342235</v>
      </c>
      <c r="LT75" s="149">
        <f t="shared" si="912"/>
        <v>34.339903359397809</v>
      </c>
      <c r="LU75" s="150">
        <f t="shared" si="913"/>
        <v>41.91638489550499</v>
      </c>
      <c r="LV75" s="149">
        <f t="shared" si="914"/>
        <v>49.677775997456834</v>
      </c>
      <c r="LW75" s="149">
        <f t="shared" si="651"/>
        <v>56.790443857504513</v>
      </c>
      <c r="LX75" s="149">
        <f t="shared" si="652"/>
        <v>61.119065898355899</v>
      </c>
      <c r="LY75" s="149">
        <f t="shared" si="653"/>
        <v>64.911678979094972</v>
      </c>
      <c r="LZ75" s="149">
        <f t="shared" si="654"/>
        <v>69.364949781458989</v>
      </c>
      <c r="MA75" s="81"/>
      <c r="MB75" s="122">
        <v>75</v>
      </c>
      <c r="MC75" s="149">
        <f t="shared" si="655"/>
        <v>13.228931489323045</v>
      </c>
      <c r="MD75" s="149">
        <f t="shared" si="656"/>
        <v>15.923803561013457</v>
      </c>
      <c r="ME75" s="149">
        <f t="shared" si="657"/>
        <v>18.255417698674933</v>
      </c>
      <c r="MF75" s="149">
        <f t="shared" si="658"/>
        <v>20.958978187555061</v>
      </c>
      <c r="MG75" s="149">
        <f t="shared" si="915"/>
        <v>25.504065268932152</v>
      </c>
      <c r="MH75" s="150">
        <f t="shared" si="916"/>
        <v>30.619044451084754</v>
      </c>
      <c r="MI75" s="149">
        <f t="shared" si="917"/>
        <v>35.782828965337821</v>
      </c>
      <c r="MJ75" s="149">
        <f t="shared" si="659"/>
        <v>40.45505779327663</v>
      </c>
      <c r="MK75" s="149">
        <f t="shared" si="660"/>
        <v>43.272932958095048</v>
      </c>
      <c r="ML75" s="149">
        <f t="shared" si="661"/>
        <v>45.727051578747826</v>
      </c>
      <c r="MM75" s="149">
        <f t="shared" si="662"/>
        <v>48.591925171339206</v>
      </c>
      <c r="MN75" s="81"/>
      <c r="MO75" s="122">
        <v>73</v>
      </c>
      <c r="MP75" s="149">
        <f t="shared" si="663"/>
        <v>5.1515538164360422</v>
      </c>
      <c r="MQ75" s="149">
        <f t="shared" si="664"/>
        <v>9.1091883615979796</v>
      </c>
      <c r="MR75" s="149">
        <f t="shared" si="665"/>
        <v>12.521727945125477</v>
      </c>
      <c r="MS75" s="149">
        <f t="shared" si="666"/>
        <v>16.465508495549365</v>
      </c>
      <c r="MT75" s="149">
        <f t="shared" si="918"/>
        <v>23.064913178989542</v>
      </c>
      <c r="MU75" s="150">
        <f t="shared" si="919"/>
        <v>30.447939158536833</v>
      </c>
      <c r="MV75" s="149">
        <f t="shared" si="920"/>
        <v>37.85696688299759</v>
      </c>
      <c r="MW75" s="149">
        <f t="shared" si="667"/>
        <v>44.524401404260423</v>
      </c>
      <c r="MX75" s="149">
        <f t="shared" si="668"/>
        <v>48.529720591309577</v>
      </c>
      <c r="MY75" s="149">
        <f t="shared" si="669"/>
        <v>52.008613193047772</v>
      </c>
      <c r="MZ75" s="149">
        <f t="shared" si="670"/>
        <v>56.059051666421077</v>
      </c>
      <c r="NA75" s="81"/>
      <c r="NB75" s="122">
        <v>73</v>
      </c>
      <c r="NC75" s="149">
        <f t="shared" si="671"/>
        <v>16.397925768646136</v>
      </c>
      <c r="ND75" s="149">
        <f t="shared" si="672"/>
        <v>19.633079097492544</v>
      </c>
      <c r="NE75" s="149">
        <f t="shared" si="673"/>
        <v>22.423269077588007</v>
      </c>
      <c r="NF75" s="149">
        <f t="shared" si="674"/>
        <v>25.648617174344754</v>
      </c>
      <c r="NG75" s="149">
        <f t="shared" si="921"/>
        <v>31.047894217068457</v>
      </c>
      <c r="NH75" s="150">
        <f t="shared" si="922"/>
        <v>37.091536689923473</v>
      </c>
      <c r="NI75" s="149">
        <f t="shared" si="923"/>
        <v>43.160004009150867</v>
      </c>
      <c r="NJ75" s="149">
        <f t="shared" si="675"/>
        <v>48.624098240548506</v>
      </c>
      <c r="NK75" s="149">
        <f t="shared" si="676"/>
        <v>51.907908600724355</v>
      </c>
      <c r="NL75" s="149">
        <f t="shared" si="677"/>
        <v>54.760947891184415</v>
      </c>
      <c r="NM75" s="149">
        <f t="shared" si="678"/>
        <v>58.083668586968813</v>
      </c>
      <c r="NN75" s="81"/>
      <c r="NO75" s="122">
        <v>75</v>
      </c>
      <c r="NP75" s="149">
        <f t="shared" si="679"/>
        <v>2.5026756233842562</v>
      </c>
      <c r="NQ75" s="149">
        <f t="shared" si="680"/>
        <v>6.0410215220653072</v>
      </c>
      <c r="NR75" s="149">
        <f t="shared" si="681"/>
        <v>9.0853592094854392</v>
      </c>
      <c r="NS75" s="149">
        <f t="shared" si="682"/>
        <v>12.596534210021652</v>
      </c>
      <c r="NT75" s="149">
        <f t="shared" si="924"/>
        <v>18.456523517973146</v>
      </c>
      <c r="NU75" s="150">
        <f t="shared" si="925"/>
        <v>24.991657223426174</v>
      </c>
      <c r="NV75" s="149">
        <f t="shared" si="926"/>
        <v>31.530243715103246</v>
      </c>
      <c r="NW75" s="149">
        <f t="shared" si="683"/>
        <v>37.399267883165287</v>
      </c>
      <c r="NX75" s="149">
        <f t="shared" si="684"/>
        <v>40.918617077911584</v>
      </c>
      <c r="NY75" s="149">
        <f t="shared" si="685"/>
        <v>43.97176994683209</v>
      </c>
      <c r="NZ75" s="149">
        <f t="shared" si="686"/>
        <v>47.522447670372252</v>
      </c>
      <c r="OA75" s="81"/>
      <c r="OB75" s="122">
        <v>73</v>
      </c>
      <c r="OC75" s="149">
        <v>15.552439972740419</v>
      </c>
      <c r="OD75" s="149">
        <v>16.850178151009342</v>
      </c>
      <c r="OE75" s="149">
        <v>18.052589313495336</v>
      </c>
      <c r="OF75" s="149">
        <v>19.545765307200721</v>
      </c>
      <c r="OG75" s="149">
        <v>22.316535019521936</v>
      </c>
      <c r="OH75" s="150">
        <v>25.870112163802236</v>
      </c>
      <c r="OI75" s="149">
        <v>29.989543752300907</v>
      </c>
      <c r="OJ75" s="149">
        <v>34.240803204628179</v>
      </c>
      <c r="OK75" s="149">
        <v>37.072947915975512</v>
      </c>
      <c r="OL75" s="149">
        <v>39.718434865783259</v>
      </c>
      <c r="OM75" s="149">
        <v>43.032649831200793</v>
      </c>
      <c r="ON75" s="81"/>
      <c r="OO75" s="122">
        <v>73</v>
      </c>
      <c r="OP75" s="149">
        <v>18.10872378785707</v>
      </c>
      <c r="OQ75" s="149">
        <v>19.137259124336818</v>
      </c>
      <c r="OR75" s="149">
        <v>20.068460557094117</v>
      </c>
      <c r="OS75" s="149">
        <v>21.198451301636833</v>
      </c>
      <c r="OT75" s="149">
        <v>24.881636825361522</v>
      </c>
      <c r="OU75" s="150">
        <v>25.717212678183884</v>
      </c>
      <c r="OV75" s="149">
        <v>28.474598333028929</v>
      </c>
      <c r="OW75" s="149">
        <v>31.199214439022441</v>
      </c>
      <c r="OX75" s="149">
        <v>32.955942288316116</v>
      </c>
      <c r="OY75" s="149">
        <v>34.559548137897785</v>
      </c>
      <c r="OZ75" s="149">
        <v>36.522453800881962</v>
      </c>
      <c r="PA75" s="81"/>
      <c r="PB75" s="122">
        <v>75</v>
      </c>
      <c r="PC75" s="149">
        <v>12.908875569358953</v>
      </c>
      <c r="PD75" s="149">
        <v>14.352477771039613</v>
      </c>
      <c r="PE75" s="149">
        <v>15.72253059945835</v>
      </c>
      <c r="PF75" s="149">
        <v>17.465203252968845</v>
      </c>
      <c r="PG75" s="149">
        <v>20.812675521468297</v>
      </c>
      <c r="PH75" s="150">
        <v>25.305141111492251</v>
      </c>
      <c r="PI75" s="149">
        <v>30.767316100806614</v>
      </c>
      <c r="PJ75" s="149">
        <v>36.664340941104392</v>
      </c>
      <c r="PK75" s="149">
        <v>40.728187019371781</v>
      </c>
      <c r="PL75" s="149">
        <v>44.616001284783863</v>
      </c>
      <c r="PM75" s="149">
        <v>49.605417856261404</v>
      </c>
      <c r="PN75" s="81"/>
      <c r="PO75" s="122">
        <v>73</v>
      </c>
      <c r="PP75" s="149">
        <v>11.20006301336319</v>
      </c>
      <c r="PQ75" s="149">
        <v>12.136715161797015</v>
      </c>
      <c r="PR75" s="149">
        <v>13.004702965415666</v>
      </c>
      <c r="PS75" s="149">
        <v>14.082757997494046</v>
      </c>
      <c r="PT75" s="149">
        <v>16.083679712783709</v>
      </c>
      <c r="PU75" s="150">
        <v>18.650683102716989</v>
      </c>
      <c r="PV75" s="149">
        <v>21.627387911828084</v>
      </c>
      <c r="PW75" s="149">
        <v>24.70027392786773</v>
      </c>
      <c r="PX75" s="149">
        <v>26.747860456561746</v>
      </c>
      <c r="PY75" s="149">
        <v>28.660801177315339</v>
      </c>
      <c r="PZ75" s="149">
        <v>31.057680638309204</v>
      </c>
      <c r="QA75" s="81"/>
      <c r="QB75" s="122">
        <v>73</v>
      </c>
      <c r="QC75" s="149">
        <v>11.682711698233014</v>
      </c>
      <c r="QD75" s="149">
        <v>12.6354407411614</v>
      </c>
      <c r="QE75" s="149">
        <v>13.51675445045273</v>
      </c>
      <c r="QF75" s="149">
        <v>14.609412817508185</v>
      </c>
      <c r="QG75" s="149">
        <v>16.632248864504987</v>
      </c>
      <c r="QH75" s="150">
        <v>19.21864385403142</v>
      </c>
      <c r="QI75" s="149">
        <v>22.207235750082226</v>
      </c>
      <c r="QJ75" s="149">
        <v>25.282075070495406</v>
      </c>
      <c r="QK75" s="149">
        <v>27.32581056658379</v>
      </c>
      <c r="QL75" s="149">
        <v>29.231767941808251</v>
      </c>
      <c r="QM75" s="149">
        <v>31.615628385656734</v>
      </c>
      <c r="QN75" s="81"/>
      <c r="QO75" s="122">
        <v>75</v>
      </c>
      <c r="QP75" s="149">
        <v>9.2206516438662192</v>
      </c>
      <c r="QQ75" s="149">
        <v>10.175489676645894</v>
      </c>
      <c r="QR75" s="149">
        <v>11.075420163532284</v>
      </c>
      <c r="QS75" s="149">
        <v>12.212200787077666</v>
      </c>
      <c r="QT75" s="149">
        <v>14.374107747289512</v>
      </c>
      <c r="QU75" s="150">
        <v>17.237702936329043</v>
      </c>
      <c r="QV75" s="149">
        <v>20.671780659022637</v>
      </c>
      <c r="QW75" s="149">
        <v>24.331273920384913</v>
      </c>
      <c r="QX75" s="149">
        <v>26.828634772656827</v>
      </c>
      <c r="QY75" s="149">
        <v>29.201386072170965</v>
      </c>
      <c r="QZ75" s="149">
        <v>32.225314869019059</v>
      </c>
      <c r="RA75" s="81"/>
      <c r="RB75" s="122">
        <v>73</v>
      </c>
      <c r="RC75" s="149">
        <f t="shared" si="687"/>
        <v>0.4461876437381716</v>
      </c>
      <c r="RD75" s="149">
        <f t="shared" si="688"/>
        <v>0.48698695763283073</v>
      </c>
      <c r="RE75" s="149">
        <f t="shared" si="689"/>
        <v>0.52554974861573212</v>
      </c>
      <c r="RF75" s="149">
        <f t="shared" si="690"/>
        <v>0.57446081242142311</v>
      </c>
      <c r="RG75" s="149">
        <f t="shared" si="927"/>
        <v>0.66823966911174038</v>
      </c>
      <c r="RH75" s="150">
        <f t="shared" si="928"/>
        <v>0.79428827120948609</v>
      </c>
      <c r="RI75" s="149">
        <f t="shared" si="929"/>
        <v>0.94858406938190987</v>
      </c>
      <c r="RJ75" s="149">
        <f t="shared" si="691"/>
        <v>1.1170893796777062</v>
      </c>
      <c r="RK75" s="149">
        <f t="shared" si="692"/>
        <v>1.2346105392928035</v>
      </c>
      <c r="RL75" s="149">
        <f t="shared" si="693"/>
        <v>1.3482148651992876</v>
      </c>
      <c r="RM75" s="149">
        <f t="shared" si="694"/>
        <v>1.4957890131006506</v>
      </c>
      <c r="RN75" s="81"/>
      <c r="RO75" s="122">
        <v>73</v>
      </c>
      <c r="RP75" s="149">
        <f t="shared" si="695"/>
        <v>0.49138961025861638</v>
      </c>
      <c r="RQ75" s="149">
        <f t="shared" si="696"/>
        <v>0.53868821914634657</v>
      </c>
      <c r="RR75" s="149">
        <f t="shared" si="697"/>
        <v>0.58385609812084605</v>
      </c>
      <c r="RS75" s="149">
        <f t="shared" si="698"/>
        <v>0.64178276843702364</v>
      </c>
      <c r="RT75" s="149">
        <f t="shared" si="930"/>
        <v>0.75480793013205716</v>
      </c>
      <c r="RU75" s="150">
        <f t="shared" si="931"/>
        <v>0.91068112438059923</v>
      </c>
      <c r="RV75" s="149">
        <f t="shared" si="932"/>
        <v>1.1074543216344401</v>
      </c>
      <c r="RW75" s="149">
        <f t="shared" si="699"/>
        <v>1.3295854098931073</v>
      </c>
      <c r="RX75" s="149">
        <f t="shared" si="700"/>
        <v>1.4888387477276697</v>
      </c>
      <c r="RY75" s="149">
        <f t="shared" si="701"/>
        <v>1.6460822596385529</v>
      </c>
      <c r="RZ75" s="149">
        <f t="shared" si="702"/>
        <v>1.8550817586326871</v>
      </c>
      <c r="SA75" s="81"/>
      <c r="SB75" s="122">
        <v>75</v>
      </c>
      <c r="SC75" s="149">
        <f t="shared" si="703"/>
        <v>0.46268698366014638</v>
      </c>
      <c r="SD75" s="149">
        <f t="shared" si="704"/>
        <v>0.49720102200673993</v>
      </c>
      <c r="SE75" s="149">
        <f t="shared" si="705"/>
        <v>0.52896575872220786</v>
      </c>
      <c r="SF75" s="149">
        <f t="shared" si="706"/>
        <v>0.56815041859857807</v>
      </c>
      <c r="SG75" s="149">
        <f t="shared" si="933"/>
        <v>0.64017799224466165</v>
      </c>
      <c r="SH75" s="150">
        <f t="shared" si="934"/>
        <v>0.73143070577517055</v>
      </c>
      <c r="SI75" s="149">
        <f t="shared" si="935"/>
        <v>0.83588410078681741</v>
      </c>
      <c r="SJ75" s="149">
        <f t="shared" si="707"/>
        <v>0.94242005916068416</v>
      </c>
      <c r="SK75" s="149">
        <f t="shared" si="708"/>
        <v>1.0127780747629045</v>
      </c>
      <c r="SL75" s="149">
        <f t="shared" si="709"/>
        <v>1.0781019941877625</v>
      </c>
      <c r="SM75" s="149">
        <f t="shared" si="710"/>
        <v>1.1594452110726303</v>
      </c>
      <c r="SN75" s="81"/>
      <c r="SO75" s="122">
        <v>73</v>
      </c>
      <c r="SP75" s="149">
        <f t="shared" si="711"/>
        <v>0.30957228366987222</v>
      </c>
      <c r="SQ75" s="149">
        <f t="shared" si="712"/>
        <v>0.32822216755241956</v>
      </c>
      <c r="SR75" s="149">
        <f t="shared" si="713"/>
        <v>0.34492249271057157</v>
      </c>
      <c r="SS75" s="149">
        <f t="shared" si="714"/>
        <v>0.36495571385092729</v>
      </c>
      <c r="ST75" s="149">
        <f t="shared" si="936"/>
        <v>0.40029296336010523</v>
      </c>
      <c r="SU75" s="150">
        <f t="shared" si="937"/>
        <v>0.44262532875564126</v>
      </c>
      <c r="SV75" s="149">
        <f t="shared" si="938"/>
        <v>0.48821562844006677</v>
      </c>
      <c r="SW75" s="149">
        <f t="shared" si="715"/>
        <v>0.53202430592314198</v>
      </c>
      <c r="SX75" s="149">
        <f t="shared" si="716"/>
        <v>0.55965476711201367</v>
      </c>
      <c r="SY75" s="149">
        <f t="shared" si="717"/>
        <v>0.58447597733853895</v>
      </c>
      <c r="SZ75" s="149">
        <f t="shared" si="718"/>
        <v>0.61435973339955818</v>
      </c>
      <c r="TA75" s="81"/>
      <c r="TB75" s="122">
        <v>73</v>
      </c>
      <c r="TC75" s="149">
        <f t="shared" si="719"/>
        <v>0.33051530857042899</v>
      </c>
      <c r="TD75" s="149">
        <f t="shared" si="720"/>
        <v>0.3507583835941056</v>
      </c>
      <c r="TE75" s="149">
        <f t="shared" si="721"/>
        <v>0.36897761474316965</v>
      </c>
      <c r="TF75" s="149">
        <f t="shared" si="722"/>
        <v>0.39094636810541539</v>
      </c>
      <c r="TG75" s="149">
        <f t="shared" si="939"/>
        <v>0.42999419708989001</v>
      </c>
      <c r="TH75" s="150">
        <f t="shared" si="940"/>
        <v>0.47725756512156264</v>
      </c>
      <c r="TI75" s="149">
        <f t="shared" si="941"/>
        <v>0.52873231960897482</v>
      </c>
      <c r="TJ75" s="149">
        <f t="shared" si="723"/>
        <v>0.5787378615040587</v>
      </c>
      <c r="TK75" s="149">
        <f t="shared" si="724"/>
        <v>0.61054225776115201</v>
      </c>
      <c r="TL75" s="149">
        <f t="shared" si="725"/>
        <v>0.63928412850436178</v>
      </c>
      <c r="TM75" s="149">
        <f t="shared" si="726"/>
        <v>0.67409892171226748</v>
      </c>
      <c r="TN75" s="81"/>
      <c r="TO75" s="122">
        <v>75</v>
      </c>
      <c r="TP75" s="149">
        <f t="shared" si="727"/>
        <v>0.31739485683533414</v>
      </c>
      <c r="TQ75" s="149">
        <f t="shared" si="728"/>
        <v>0.33281762567791567</v>
      </c>
      <c r="TR75" s="149">
        <f t="shared" si="729"/>
        <v>0.34641245451298353</v>
      </c>
      <c r="TS75" s="149">
        <f t="shared" si="730"/>
        <v>0.36246778286091963</v>
      </c>
      <c r="TT75" s="149">
        <f t="shared" si="942"/>
        <v>0.39016599663306512</v>
      </c>
      <c r="TU75" s="150">
        <f t="shared" si="943"/>
        <v>0.42239793508337714</v>
      </c>
      <c r="TV75" s="149">
        <f t="shared" si="944"/>
        <v>0.45607722599423972</v>
      </c>
      <c r="TW75" s="149">
        <f t="shared" si="731"/>
        <v>0.48753731819045765</v>
      </c>
      <c r="TX75" s="149">
        <f t="shared" si="732"/>
        <v>0.50696437222924295</v>
      </c>
      <c r="TY75" s="149">
        <f t="shared" si="733"/>
        <v>0.52416128354565583</v>
      </c>
      <c r="TZ75" s="149">
        <f t="shared" si="734"/>
        <v>0.54456345163923692</v>
      </c>
      <c r="UA75" s="81"/>
      <c r="UB75" s="122">
        <v>73</v>
      </c>
      <c r="UC75" s="149">
        <f t="shared" si="735"/>
        <v>-5.6816558453244568</v>
      </c>
      <c r="UD75" s="149">
        <f t="shared" si="736"/>
        <v>-2.8963930430855029</v>
      </c>
      <c r="UE75" s="149">
        <f t="shared" si="737"/>
        <v>-0.54294797899423486</v>
      </c>
      <c r="UF75" s="149">
        <f t="shared" si="738"/>
        <v>2.1257598815756182</v>
      </c>
      <c r="UG75" s="149">
        <f t="shared" si="945"/>
        <v>6.4801411600048766</v>
      </c>
      <c r="UH75" s="150">
        <f t="shared" si="946"/>
        <v>11.204105322225502</v>
      </c>
      <c r="UI75" s="149">
        <f t="shared" si="947"/>
        <v>15.806514493881537</v>
      </c>
      <c r="UJ75" s="149">
        <f t="shared" si="739"/>
        <v>19.84271756631361</v>
      </c>
      <c r="UK75" s="149">
        <f t="shared" si="740"/>
        <v>22.223436223937099</v>
      </c>
      <c r="UL75" s="149">
        <f t="shared" si="741"/>
        <v>24.266198156928851</v>
      </c>
      <c r="UM75" s="149">
        <f t="shared" si="742"/>
        <v>26.616681126163598</v>
      </c>
      <c r="UN75" s="81"/>
      <c r="UO75" s="122">
        <v>73</v>
      </c>
      <c r="UP75" s="149">
        <f t="shared" si="743"/>
        <v>-1.5056875210363856</v>
      </c>
      <c r="UQ75" s="149">
        <f t="shared" si="744"/>
        <v>0.94985270479205752</v>
      </c>
      <c r="UR75" s="149">
        <f t="shared" si="745"/>
        <v>3.0589822884786955</v>
      </c>
      <c r="US75" s="149">
        <f t="shared" si="746"/>
        <v>5.4877069311189643</v>
      </c>
      <c r="UT75" s="149">
        <f t="shared" si="948"/>
        <v>9.5326943044788663</v>
      </c>
      <c r="UU75" s="150">
        <f t="shared" si="949"/>
        <v>14.032376200996907</v>
      </c>
      <c r="UV75" s="149">
        <f t="shared" si="950"/>
        <v>18.523630740519287</v>
      </c>
      <c r="UW75" s="149">
        <f t="shared" si="747"/>
        <v>22.546587400452687</v>
      </c>
      <c r="UX75" s="149">
        <f t="shared" si="748"/>
        <v>24.955407037622358</v>
      </c>
      <c r="UY75" s="149">
        <f t="shared" si="749"/>
        <v>27.043100689866357</v>
      </c>
      <c r="UZ75" s="149">
        <f t="shared" si="750"/>
        <v>29.468708068669336</v>
      </c>
      <c r="VA75" s="81"/>
      <c r="VB75" s="122">
        <v>76</v>
      </c>
      <c r="VC75" s="149">
        <f t="shared" si="751"/>
        <v>-5.5355498649710171</v>
      </c>
      <c r="VD75" s="149">
        <f t="shared" si="752"/>
        <v>-3.0010199995561706</v>
      </c>
      <c r="VE75" s="149">
        <f t="shared" si="753"/>
        <v>-0.87395351275258548</v>
      </c>
      <c r="VF75" s="149">
        <f t="shared" si="754"/>
        <v>1.5228793925484183</v>
      </c>
      <c r="VG75" s="149">
        <f t="shared" si="951"/>
        <v>5.4012616682858976</v>
      </c>
      <c r="VH75" s="150">
        <f t="shared" si="952"/>
        <v>9.5667995986740806</v>
      </c>
      <c r="VI75" s="149">
        <f t="shared" si="953"/>
        <v>13.586508632100632</v>
      </c>
      <c r="VJ75" s="149">
        <f t="shared" si="755"/>
        <v>17.082639936869398</v>
      </c>
      <c r="VK75" s="149">
        <f t="shared" si="756"/>
        <v>19.132812777657136</v>
      </c>
      <c r="VL75" s="149">
        <f t="shared" si="757"/>
        <v>20.88516521038018</v>
      </c>
      <c r="VM75" s="149">
        <f t="shared" si="758"/>
        <v>22.893993839479876</v>
      </c>
      <c r="VN75" s="81"/>
      <c r="VO75" s="122">
        <v>73</v>
      </c>
      <c r="VP75" s="149">
        <f t="shared" si="759"/>
        <v>-8.6764045548587916</v>
      </c>
      <c r="VQ75" s="149">
        <f t="shared" si="760"/>
        <v>-3.8103292001771081</v>
      </c>
      <c r="VR75" s="149">
        <f t="shared" si="761"/>
        <v>0.53485158341650418</v>
      </c>
      <c r="VS75" s="149">
        <f t="shared" si="762"/>
        <v>5.7255213156858318</v>
      </c>
      <c r="VT75" s="149">
        <f t="shared" si="954"/>
        <v>14.808213257059926</v>
      </c>
      <c r="VU75" s="150">
        <f t="shared" si="955"/>
        <v>25.54299411088612</v>
      </c>
      <c r="VV75" s="149">
        <f t="shared" si="956"/>
        <v>36.907254943239572</v>
      </c>
      <c r="VW75" s="149">
        <f t="shared" si="763"/>
        <v>47.627368261569039</v>
      </c>
      <c r="VX75" s="149">
        <f t="shared" si="764"/>
        <v>54.28726383138973</v>
      </c>
      <c r="VY75" s="149">
        <f t="shared" si="765"/>
        <v>60.203765274124642</v>
      </c>
      <c r="VZ75" s="149">
        <f t="shared" si="766"/>
        <v>67.244941832081395</v>
      </c>
      <c r="WA75" s="81"/>
      <c r="WB75" s="122">
        <v>73</v>
      </c>
      <c r="WC75" s="149">
        <f t="shared" si="767"/>
        <v>-0.51643101475940512</v>
      </c>
      <c r="WD75" s="149">
        <f t="shared" si="768"/>
        <v>4.2422923340764882</v>
      </c>
      <c r="WE75" s="149">
        <f t="shared" si="769"/>
        <v>8.4826078154844851</v>
      </c>
      <c r="WF75" s="149">
        <f t="shared" si="770"/>
        <v>13.538413199431666</v>
      </c>
      <c r="WG75" s="149">
        <f t="shared" si="957"/>
        <v>22.363976151072585</v>
      </c>
      <c r="WH75" s="150">
        <f t="shared" si="958"/>
        <v>32.766676780015679</v>
      </c>
      <c r="WI75" s="149">
        <f t="shared" si="959"/>
        <v>43.752990056315021</v>
      </c>
      <c r="WJ75" s="149">
        <f t="shared" si="771"/>
        <v>54.096529841722976</v>
      </c>
      <c r="WK75" s="149">
        <f t="shared" si="772"/>
        <v>60.514219723277627</v>
      </c>
      <c r="WL75" s="149">
        <f t="shared" si="773"/>
        <v>66.210878369103341</v>
      </c>
      <c r="WM75" s="149">
        <f t="shared" si="774"/>
        <v>72.98523674905303</v>
      </c>
      <c r="WN75" s="81"/>
      <c r="WO75" s="122">
        <v>76</v>
      </c>
      <c r="WP75" s="149">
        <f t="shared" si="775"/>
        <v>-11.204547952257258</v>
      </c>
      <c r="WQ75" s="149">
        <f t="shared" si="776"/>
        <v>-6.5641064473447273</v>
      </c>
      <c r="WR75" s="149">
        <f t="shared" si="777"/>
        <v>-2.4497073705106516</v>
      </c>
      <c r="WS75" s="149">
        <f t="shared" si="778"/>
        <v>2.4313766625296864</v>
      </c>
      <c r="WT75" s="149">
        <f t="shared" si="960"/>
        <v>10.890502474318502</v>
      </c>
      <c r="WU75" s="150">
        <f t="shared" si="961"/>
        <v>20.766986849581365</v>
      </c>
      <c r="WV75" s="149">
        <f t="shared" si="962"/>
        <v>31.095225056149111</v>
      </c>
      <c r="WW75" s="149">
        <f t="shared" si="779"/>
        <v>40.730686746565191</v>
      </c>
      <c r="WX75" s="149">
        <f t="shared" si="780"/>
        <v>46.668796557684367</v>
      </c>
      <c r="WY75" s="149">
        <f t="shared" si="781"/>
        <v>51.915296142101433</v>
      </c>
      <c r="WZ75" s="149">
        <f t="shared" si="782"/>
        <v>58.125674630184669</v>
      </c>
      <c r="XA75" s="81"/>
      <c r="XB75" s="122">
        <v>73</v>
      </c>
      <c r="XC75" s="149">
        <f t="shared" si="783"/>
        <v>-14.1911562398803</v>
      </c>
      <c r="XD75" s="149">
        <f t="shared" si="784"/>
        <v>-9.1182524024075278</v>
      </c>
      <c r="XE75" s="149">
        <f t="shared" si="785"/>
        <v>-4.6480584693191886</v>
      </c>
      <c r="XF75" s="149">
        <f t="shared" si="786"/>
        <v>0.62249822283567369</v>
      </c>
      <c r="XG75" s="149">
        <f t="shared" si="963"/>
        <v>9.6767977215581951</v>
      </c>
      <c r="XH75" s="150">
        <f t="shared" si="964"/>
        <v>20.128885077007787</v>
      </c>
      <c r="XI75" s="149">
        <f t="shared" si="965"/>
        <v>30.933302806079617</v>
      </c>
      <c r="XJ75" s="149">
        <f t="shared" si="787"/>
        <v>40.907118414044795</v>
      </c>
      <c r="XK75" s="149">
        <f t="shared" si="788"/>
        <v>47.006545637624903</v>
      </c>
      <c r="XL75" s="149">
        <f t="shared" si="789"/>
        <v>52.367313328888336</v>
      </c>
      <c r="XM75" s="149">
        <f t="shared" si="790"/>
        <v>58.68024294071369</v>
      </c>
      <c r="XN75" s="81"/>
      <c r="XO75" s="122">
        <v>73</v>
      </c>
      <c r="XP75" s="149">
        <f t="shared" si="791"/>
        <v>-0.4349646430108649</v>
      </c>
      <c r="XQ75" s="149">
        <f t="shared" si="792"/>
        <v>3.8151031923092873</v>
      </c>
      <c r="XR75" s="149">
        <f t="shared" si="793"/>
        <v>7.5276589294484069</v>
      </c>
      <c r="XS75" s="149">
        <f t="shared" si="794"/>
        <v>11.87113224637644</v>
      </c>
      <c r="XT75" s="149">
        <f t="shared" si="966"/>
        <v>19.260467796079901</v>
      </c>
      <c r="XU75" s="150">
        <f t="shared" si="967"/>
        <v>27.696830629869645</v>
      </c>
      <c r="XV75" s="149">
        <f t="shared" si="968"/>
        <v>36.331807816900557</v>
      </c>
      <c r="XW75" s="149">
        <f t="shared" si="795"/>
        <v>44.238778630507262</v>
      </c>
      <c r="XX75" s="149">
        <f t="shared" si="796"/>
        <v>49.047954851506837</v>
      </c>
      <c r="XY75" s="149">
        <f t="shared" si="797"/>
        <v>53.259894273223829</v>
      </c>
      <c r="XZ75" s="149">
        <f t="shared" si="798"/>
        <v>58.203529737881134</v>
      </c>
      <c r="YA75" s="81"/>
      <c r="YB75" s="122">
        <v>76</v>
      </c>
      <c r="YC75" s="149">
        <f t="shared" si="799"/>
        <v>-18.059342517063605</v>
      </c>
      <c r="YD75" s="149">
        <f t="shared" si="800"/>
        <v>-13.194374843464018</v>
      </c>
      <c r="YE75" s="149">
        <f t="shared" si="801"/>
        <v>-8.9234758795680733</v>
      </c>
      <c r="YF75" s="149">
        <f t="shared" si="802"/>
        <v>-3.9060944307189445</v>
      </c>
      <c r="YG75" s="149">
        <f t="shared" si="969"/>
        <v>4.6706353308469417</v>
      </c>
      <c r="YH75" s="150">
        <f t="shared" si="970"/>
        <v>14.51047596549774</v>
      </c>
      <c r="YI75" s="149">
        <f t="shared" si="971"/>
        <v>24.620448785841411</v>
      </c>
      <c r="YJ75" s="149">
        <f t="shared" si="803"/>
        <v>33.903135479697774</v>
      </c>
      <c r="YK75" s="149">
        <f t="shared" si="804"/>
        <v>39.558108870989138</v>
      </c>
      <c r="YL75" s="149">
        <f t="shared" si="805"/>
        <v>44.51541071193504</v>
      </c>
      <c r="YM75" s="149">
        <f t="shared" si="806"/>
        <v>50.338546026425497</v>
      </c>
      <c r="YN75" s="81"/>
      <c r="YO75" s="122">
        <v>73</v>
      </c>
      <c r="YP75" s="149">
        <v>19.603614486923433</v>
      </c>
      <c r="YQ75" s="149">
        <v>21.396566833265748</v>
      </c>
      <c r="YR75" s="149">
        <v>23.069223359684969</v>
      </c>
      <c r="YS75" s="149">
        <v>25.160611661977939</v>
      </c>
      <c r="YT75" s="149">
        <v>29.079826670082781</v>
      </c>
      <c r="YU75" s="150">
        <v>34.171719176330868</v>
      </c>
      <c r="YV75" s="149">
        <v>40.155204661771592</v>
      </c>
      <c r="YW75" s="149">
        <v>46.410095555452081</v>
      </c>
      <c r="YX75" s="149">
        <v>50.617499048826417</v>
      </c>
      <c r="YY75" s="149">
        <v>54.574474520396301</v>
      </c>
      <c r="YZ75" s="149">
        <v>59.565872010232361</v>
      </c>
      <c r="ZA75" s="81"/>
      <c r="ZB75" s="122">
        <v>73</v>
      </c>
      <c r="ZC75" s="149">
        <v>20.605731432217489</v>
      </c>
      <c r="ZD75" s="149">
        <v>22.094235180272747</v>
      </c>
      <c r="ZE75" s="149">
        <v>23.46015150001319</v>
      </c>
      <c r="ZF75" s="149">
        <v>25.140096723597363</v>
      </c>
      <c r="ZG75" s="149">
        <v>28.214510844425945</v>
      </c>
      <c r="ZH75" s="150">
        <v>32.086307874459344</v>
      </c>
      <c r="ZI75" s="149">
        <v>36.489420592524141</v>
      </c>
      <c r="ZJ75" s="149">
        <v>40.951757836644994</v>
      </c>
      <c r="ZK75" s="149">
        <v>43.8842499808244</v>
      </c>
      <c r="ZL75" s="149">
        <v>46.597275018319152</v>
      </c>
      <c r="ZM75" s="149">
        <v>49.963339394247271</v>
      </c>
      <c r="ZN75" s="81"/>
      <c r="ZO75" s="122">
        <v>76</v>
      </c>
      <c r="ZP75" s="149">
        <v>19.332656162302218</v>
      </c>
      <c r="ZQ75" s="149">
        <v>21.281353297902399</v>
      </c>
      <c r="ZR75" s="149">
        <v>23.113734781488038</v>
      </c>
      <c r="ZS75" s="149">
        <v>25.423011714589606</v>
      </c>
      <c r="ZT75" s="149">
        <v>29.800089986081382</v>
      </c>
      <c r="ZU75" s="150">
        <v>35.572455177104807</v>
      </c>
      <c r="ZV75" s="149">
        <v>42.462944505139312</v>
      </c>
      <c r="ZW75" s="149">
        <v>49.773786895631702</v>
      </c>
      <c r="ZX75" s="149">
        <v>54.746650824279563</v>
      </c>
      <c r="ZY75" s="149">
        <v>59.460484002765703</v>
      </c>
      <c r="ZZ75" s="149">
        <v>65.453994355654146</v>
      </c>
      <c r="AAA75" s="81"/>
      <c r="AAB75" s="122">
        <v>73</v>
      </c>
      <c r="AAC75" s="149">
        <v>11.823815221184246</v>
      </c>
      <c r="AAD75" s="149">
        <v>13.003450439292054</v>
      </c>
      <c r="AAE75" s="149">
        <v>14.111710901095964</v>
      </c>
      <c r="AAF75" s="149">
        <v>15.507194072660468</v>
      </c>
      <c r="AAG75" s="149">
        <v>18.148928515797209</v>
      </c>
      <c r="AAH75" s="150">
        <v>21.627053149892348</v>
      </c>
      <c r="AAI75" s="149">
        <v>25.771737848939505</v>
      </c>
      <c r="AAJ75" s="149">
        <v>30.162092881321833</v>
      </c>
      <c r="AAK75" s="149">
        <v>33.144771121405476</v>
      </c>
      <c r="AAL75" s="149">
        <v>35.969639760762817</v>
      </c>
      <c r="AAM75" s="149">
        <v>39.558249109835273</v>
      </c>
      <c r="AAN75" s="81"/>
      <c r="AAO75" s="122">
        <v>73</v>
      </c>
      <c r="AAP75" s="149">
        <v>12.741174237115084</v>
      </c>
      <c r="AAQ75" s="149">
        <v>13.977336880724083</v>
      </c>
      <c r="AAR75" s="149">
        <v>15.136012665563772</v>
      </c>
      <c r="AAS75" s="149">
        <v>16.591596386418463</v>
      </c>
      <c r="AAT75" s="149">
        <v>19.337910690225346</v>
      </c>
      <c r="AAU75" s="150">
        <v>22.937900548909692</v>
      </c>
      <c r="AAV75" s="149">
        <v>27.208072786147536</v>
      </c>
      <c r="AAW75" s="149">
        <v>31.711673146917018</v>
      </c>
      <c r="AAX75" s="149">
        <v>34.761287085119804</v>
      </c>
      <c r="AAY75" s="149">
        <v>37.64288476993589</v>
      </c>
      <c r="AAZ75" s="149">
        <v>41.295038573368139</v>
      </c>
      <c r="ABA75" s="81"/>
      <c r="ABB75" s="122">
        <v>76</v>
      </c>
      <c r="ABC75" s="149">
        <v>10.127671487562186</v>
      </c>
      <c r="ABD75" s="149">
        <v>11.293960550317179</v>
      </c>
      <c r="ABE75" s="149">
        <v>12.403902609410107</v>
      </c>
      <c r="ABF75" s="149">
        <v>13.819642719333379</v>
      </c>
      <c r="ABG75" s="149">
        <v>16.550018449535976</v>
      </c>
      <c r="ABH75" s="150">
        <v>20.233583313139505</v>
      </c>
      <c r="ABI75" s="149">
        <v>24.737005275135271</v>
      </c>
      <c r="ABJ75" s="149">
        <v>29.624347170496584</v>
      </c>
      <c r="ABK75" s="149">
        <v>33.005571438393233</v>
      </c>
      <c r="ABL75" s="149">
        <v>36.249276050309916</v>
      </c>
      <c r="ABM75" s="149">
        <v>40.423694053716083</v>
      </c>
      <c r="ABN75" s="81"/>
      <c r="ABO75" s="122">
        <v>73</v>
      </c>
      <c r="ABP75" s="149">
        <f t="shared" si="807"/>
        <v>0.34721832384143597</v>
      </c>
      <c r="ABQ75" s="149">
        <f t="shared" si="808"/>
        <v>0.38911334293389588</v>
      </c>
      <c r="ABR75" s="149">
        <f t="shared" si="809"/>
        <v>0.42799384873610336</v>
      </c>
      <c r="ABS75" s="149">
        <f t="shared" si="810"/>
        <v>0.47625141055761239</v>
      </c>
      <c r="ABT75" s="149">
        <f t="shared" si="972"/>
        <v>0.56541525265390591</v>
      </c>
      <c r="ABU75" s="150">
        <f t="shared" si="973"/>
        <v>0.67849786669115053</v>
      </c>
      <c r="ABV75" s="149">
        <f t="shared" si="974"/>
        <v>0.80723635692496043</v>
      </c>
      <c r="ABW75" s="149">
        <f t="shared" si="811"/>
        <v>0.93712807887146476</v>
      </c>
      <c r="ABX75" s="149">
        <f t="shared" si="812"/>
        <v>1.0219337410934761</v>
      </c>
      <c r="ABY75" s="149">
        <f t="shared" si="813"/>
        <v>1.0999055085066136</v>
      </c>
      <c r="ABZ75" s="149">
        <f t="shared" si="814"/>
        <v>1.1959176150935955</v>
      </c>
      <c r="ACA75" s="81"/>
      <c r="ACB75" s="122">
        <v>73</v>
      </c>
      <c r="ACC75" s="149">
        <f t="shared" si="815"/>
        <v>0.44664512888239533</v>
      </c>
      <c r="ACD75" s="149">
        <f t="shared" si="816"/>
        <v>0.48814288837243408</v>
      </c>
      <c r="ACE75" s="149">
        <f t="shared" si="817"/>
        <v>0.52644053819918779</v>
      </c>
      <c r="ACF75" s="149">
        <f t="shared" si="818"/>
        <v>0.57377264619134816</v>
      </c>
      <c r="ACG75" s="149">
        <f t="shared" si="975"/>
        <v>0.66087766615837507</v>
      </c>
      <c r="ACH75" s="150">
        <f t="shared" si="976"/>
        <v>0.77112492924538423</v>
      </c>
      <c r="ACI75" s="149">
        <f t="shared" si="977"/>
        <v>0.89681282763992487</v>
      </c>
      <c r="ACJ75" s="149">
        <f t="shared" si="819"/>
        <v>1.0241692883997462</v>
      </c>
      <c r="ACK75" s="149">
        <f t="shared" si="820"/>
        <v>1.1077244483649278</v>
      </c>
      <c r="ACL75" s="149">
        <f t="shared" si="821"/>
        <v>1.1848727405974349</v>
      </c>
      <c r="ACM75" s="149">
        <f t="shared" si="822"/>
        <v>1.2803366068664408</v>
      </c>
      <c r="ACN75" s="81"/>
      <c r="ACO75" s="122">
        <v>76</v>
      </c>
      <c r="ACP75" s="149">
        <f t="shared" si="823"/>
        <v>0.31445468119182451</v>
      </c>
      <c r="ACQ75" s="149">
        <f t="shared" si="824"/>
        <v>0.35523835534714338</v>
      </c>
      <c r="ACR75" s="149">
        <f t="shared" si="825"/>
        <v>0.39237020032101821</v>
      </c>
      <c r="ACS75" s="149">
        <f t="shared" si="826"/>
        <v>0.43754855371274165</v>
      </c>
      <c r="ACT75" s="149">
        <f t="shared" si="978"/>
        <v>0.51865039867457086</v>
      </c>
      <c r="ACU75" s="150">
        <f t="shared" si="979"/>
        <v>0.61728904853609146</v>
      </c>
      <c r="ACV75" s="149">
        <f t="shared" si="980"/>
        <v>0.72480779491755432</v>
      </c>
      <c r="ACW75" s="149">
        <f t="shared" si="827"/>
        <v>0.82903649926308642</v>
      </c>
      <c r="ACX75" s="149">
        <f t="shared" si="828"/>
        <v>0.89492992966973706</v>
      </c>
      <c r="ACY75" s="149">
        <f t="shared" si="829"/>
        <v>0.95419056301681526</v>
      </c>
      <c r="ACZ75" s="149">
        <f t="shared" si="830"/>
        <v>1.0255616479498981</v>
      </c>
      <c r="ADA75" s="81"/>
      <c r="ADB75" s="122">
        <v>73</v>
      </c>
      <c r="ADC75" s="149">
        <f t="shared" si="831"/>
        <v>0.26056276589994692</v>
      </c>
      <c r="ADD75" s="149">
        <f t="shared" si="832"/>
        <v>0.28213279280402331</v>
      </c>
      <c r="ADE75" s="149">
        <f t="shared" si="833"/>
        <v>0.30098696096801586</v>
      </c>
      <c r="ADF75" s="149">
        <f t="shared" si="834"/>
        <v>0.32305872621137449</v>
      </c>
      <c r="ADG75" s="149">
        <f t="shared" si="981"/>
        <v>0.36063940315792359</v>
      </c>
      <c r="ADH75" s="150">
        <f t="shared" si="982"/>
        <v>0.40358889559795746</v>
      </c>
      <c r="ADI75" s="149">
        <f t="shared" si="983"/>
        <v>0.44759345034215875</v>
      </c>
      <c r="ADJ75" s="149">
        <f t="shared" si="835"/>
        <v>0.48792361398046358</v>
      </c>
      <c r="ADK75" s="149">
        <f t="shared" si="836"/>
        <v>0.51246870603008887</v>
      </c>
      <c r="ADL75" s="149">
        <f t="shared" si="837"/>
        <v>0.53397474186441762</v>
      </c>
      <c r="ADM75" s="149">
        <f t="shared" si="838"/>
        <v>0.55922721997636771</v>
      </c>
      <c r="ADN75" s="81"/>
      <c r="ADO75" s="122">
        <v>73</v>
      </c>
      <c r="ADP75" s="149">
        <f t="shared" si="839"/>
        <v>0.31035066988583893</v>
      </c>
      <c r="ADQ75" s="149">
        <f t="shared" si="840"/>
        <v>0.3288936288642485</v>
      </c>
      <c r="ADR75" s="149">
        <f t="shared" si="841"/>
        <v>0.34517706437989421</v>
      </c>
      <c r="ADS75" s="149">
        <f t="shared" si="842"/>
        <v>0.36433147335135579</v>
      </c>
      <c r="ADT75" s="149">
        <f t="shared" si="984"/>
        <v>0.3971793841863594</v>
      </c>
      <c r="ADU75" s="150">
        <f t="shared" si="985"/>
        <v>0.43508825242601296</v>
      </c>
      <c r="ADV75" s="149">
        <f t="shared" si="986"/>
        <v>0.47433855993915264</v>
      </c>
      <c r="ADW75" s="149">
        <f t="shared" si="843"/>
        <v>0.51067478405638633</v>
      </c>
      <c r="ADX75" s="149">
        <f t="shared" si="844"/>
        <v>0.53295784404916335</v>
      </c>
      <c r="ADY75" s="149">
        <f t="shared" si="845"/>
        <v>0.55258590493890447</v>
      </c>
      <c r="ADZ75" s="149">
        <f t="shared" si="846"/>
        <v>0.57575616993404444</v>
      </c>
      <c r="AEA75" s="81"/>
      <c r="AEB75" s="122">
        <v>76</v>
      </c>
      <c r="AEC75" s="149">
        <f t="shared" si="847"/>
        <v>0.24269249584682032</v>
      </c>
      <c r="AED75" s="149">
        <f t="shared" si="848"/>
        <v>0.26467846316432292</v>
      </c>
      <c r="AEE75" s="149">
        <f t="shared" si="849"/>
        <v>0.28352903611370389</v>
      </c>
      <c r="AEF75" s="149">
        <f t="shared" si="850"/>
        <v>0.30520067715852001</v>
      </c>
      <c r="AEG75" s="149">
        <f t="shared" si="987"/>
        <v>0.34121828313602387</v>
      </c>
      <c r="AEH75" s="150">
        <f t="shared" si="988"/>
        <v>0.38118509978318282</v>
      </c>
      <c r="AEI75" s="149">
        <f t="shared" si="989"/>
        <v>0.4209846742871618</v>
      </c>
      <c r="AEJ75" s="149">
        <f t="shared" si="851"/>
        <v>0.45656422726745183</v>
      </c>
      <c r="AEK75" s="149">
        <f t="shared" si="852"/>
        <v>0.47783899058231744</v>
      </c>
      <c r="AEL75" s="149">
        <f t="shared" si="853"/>
        <v>0.49626095417128657</v>
      </c>
      <c r="AEM75" s="149">
        <f t="shared" si="854"/>
        <v>0.51764622176651076</v>
      </c>
      <c r="AEN75" s="81"/>
    </row>
    <row r="76" spans="1:820">
      <c r="A76" s="81"/>
      <c r="B76" s="81">
        <v>75</v>
      </c>
      <c r="C76" s="133">
        <f t="shared" si="495"/>
        <v>2.6116339131642849</v>
      </c>
      <c r="D76" s="133">
        <f t="shared" si="496"/>
        <v>3.1714380936173576</v>
      </c>
      <c r="E76" s="133">
        <f t="shared" si="497"/>
        <v>3.769539662362805</v>
      </c>
      <c r="F76" s="133">
        <f t="shared" si="498"/>
        <v>4.6330149781688537</v>
      </c>
      <c r="G76" s="133">
        <f t="shared" si="855"/>
        <v>6.6573089287077805</v>
      </c>
      <c r="H76" s="134">
        <f t="shared" si="856"/>
        <v>10.28285485380685</v>
      </c>
      <c r="I76" s="133">
        <f t="shared" si="857"/>
        <v>16.495174790794337</v>
      </c>
      <c r="J76" s="133">
        <f t="shared" si="499"/>
        <v>26.184062051766059</v>
      </c>
      <c r="K76" s="133">
        <f t="shared" si="500"/>
        <v>35.242068647764498</v>
      </c>
      <c r="L76" s="133">
        <f t="shared" si="501"/>
        <v>46.236312815136479</v>
      </c>
      <c r="M76" s="133">
        <f t="shared" si="502"/>
        <v>64.556071150707197</v>
      </c>
      <c r="N76" s="81"/>
      <c r="O76" s="75">
        <v>75</v>
      </c>
      <c r="P76" s="151">
        <f t="shared" si="503"/>
        <v>3.3313341248702817</v>
      </c>
      <c r="Q76" s="151">
        <f t="shared" si="504"/>
        <v>3.9033445507473341</v>
      </c>
      <c r="R76" s="151">
        <f t="shared" si="505"/>
        <v>4.5118745569701755</v>
      </c>
      <c r="S76" s="151">
        <f t="shared" si="506"/>
        <v>5.3923113277144843</v>
      </c>
      <c r="T76" s="151">
        <f t="shared" si="858"/>
        <v>7.49467271086134</v>
      </c>
      <c r="U76" s="134">
        <f t="shared" si="859"/>
        <v>11.488348856349544</v>
      </c>
      <c r="V76" s="151">
        <f t="shared" si="860"/>
        <v>19.251917792817785</v>
      </c>
      <c r="W76" s="151">
        <f t="shared" si="507"/>
        <v>34.28524921165441</v>
      </c>
      <c r="X76" s="151">
        <f t="shared" si="508"/>
        <v>52.373452778302521</v>
      </c>
      <c r="Y76" s="151">
        <f t="shared" si="509"/>
        <v>81.080682251330643</v>
      </c>
      <c r="Z76" s="151">
        <f t="shared" si="510"/>
        <v>152.09550267010215</v>
      </c>
      <c r="AA76" s="81"/>
      <c r="AB76" s="75"/>
      <c r="AC76" s="137"/>
      <c r="AD76" s="137"/>
      <c r="AE76" s="137"/>
      <c r="AF76" s="137"/>
      <c r="AG76" s="137"/>
      <c r="AH76" s="84"/>
      <c r="AI76" s="137"/>
      <c r="AJ76" s="137"/>
      <c r="AK76" s="137"/>
      <c r="AL76" s="137"/>
      <c r="AM76" s="137"/>
      <c r="AN76" s="81"/>
      <c r="AO76" s="81">
        <v>75</v>
      </c>
      <c r="AP76" s="133">
        <f t="shared" si="519"/>
        <v>2.7879161665388148</v>
      </c>
      <c r="AQ76" s="133">
        <f t="shared" si="520"/>
        <v>6.0202579524260615</v>
      </c>
      <c r="AR76" s="133">
        <f t="shared" si="521"/>
        <v>9.1893093770334247</v>
      </c>
      <c r="AS76" s="133">
        <f t="shared" si="522"/>
        <v>13.294983452599915</v>
      </c>
      <c r="AT76" s="133">
        <f t="shared" si="864"/>
        <v>21.23543755497397</v>
      </c>
      <c r="AU76" s="134">
        <f t="shared" si="865"/>
        <v>31.717936298872427</v>
      </c>
      <c r="AV76" s="133">
        <f t="shared" si="866"/>
        <v>43.947435934946938</v>
      </c>
      <c r="AW76" s="133">
        <f t="shared" si="523"/>
        <v>56.426393302816216</v>
      </c>
      <c r="AX76" s="133">
        <f t="shared" si="524"/>
        <v>64.597097089570724</v>
      </c>
      <c r="AY76" s="133">
        <f t="shared" si="525"/>
        <v>72.105907075145268</v>
      </c>
      <c r="AZ76" s="133">
        <f t="shared" si="526"/>
        <v>81.332095890051107</v>
      </c>
      <c r="BA76" s="81"/>
      <c r="BB76" s="81">
        <v>75</v>
      </c>
      <c r="BC76" s="133">
        <f t="shared" si="527"/>
        <v>5.541562414551616</v>
      </c>
      <c r="BD76" s="133">
        <f t="shared" si="528"/>
        <v>9.3380345649949597</v>
      </c>
      <c r="BE76" s="133">
        <f t="shared" si="529"/>
        <v>12.927842102542659</v>
      </c>
      <c r="BF76" s="133">
        <f t="shared" si="530"/>
        <v>17.425238323331026</v>
      </c>
      <c r="BG76" s="133">
        <f t="shared" si="867"/>
        <v>25.74818214464204</v>
      </c>
      <c r="BH76" s="134">
        <f t="shared" si="868"/>
        <v>36.180389864722557</v>
      </c>
      <c r="BI76" s="133">
        <f t="shared" si="869"/>
        <v>47.77540323627148</v>
      </c>
      <c r="BJ76" s="133">
        <f t="shared" si="531"/>
        <v>59.128890449012324</v>
      </c>
      <c r="BK76" s="133">
        <f t="shared" si="532"/>
        <v>66.353002300597439</v>
      </c>
      <c r="BL76" s="133">
        <f t="shared" si="533"/>
        <v>72.867266620675323</v>
      </c>
      <c r="BM76" s="133">
        <f t="shared" si="534"/>
        <v>80.72697298970877</v>
      </c>
      <c r="BN76" s="81"/>
      <c r="BO76" s="75"/>
      <c r="BP76" s="137"/>
      <c r="BQ76" s="137"/>
      <c r="BR76" s="137"/>
      <c r="BS76" s="137"/>
      <c r="BT76" s="137"/>
      <c r="BU76" s="84"/>
      <c r="BV76" s="137"/>
      <c r="BW76" s="137"/>
      <c r="BX76" s="137"/>
      <c r="BY76" s="137"/>
      <c r="BZ76" s="137"/>
      <c r="CA76" s="81"/>
      <c r="CB76" s="81">
        <v>75</v>
      </c>
      <c r="CC76" s="133">
        <f t="shared" si="543"/>
        <v>-0.31074144507248036</v>
      </c>
      <c r="CD76" s="133">
        <f t="shared" si="544"/>
        <v>2.976845429433717</v>
      </c>
      <c r="CE76" s="133">
        <f t="shared" si="545"/>
        <v>6.088867754049331</v>
      </c>
      <c r="CF76" s="133">
        <f t="shared" si="546"/>
        <v>9.9644075788178981</v>
      </c>
      <c r="CG76" s="133">
        <f t="shared" si="873"/>
        <v>17.035096921053377</v>
      </c>
      <c r="CH76" s="134">
        <f t="shared" si="874"/>
        <v>25.700870953685399</v>
      </c>
      <c r="CI76" s="133">
        <f t="shared" si="875"/>
        <v>35.096872902689981</v>
      </c>
      <c r="CJ76" s="133">
        <f t="shared" si="547"/>
        <v>44.087324857901841</v>
      </c>
      <c r="CK76" s="133">
        <f t="shared" si="548"/>
        <v>49.712448465871162</v>
      </c>
      <c r="CL76" s="133">
        <f t="shared" si="549"/>
        <v>54.727177030284949</v>
      </c>
      <c r="CM76" s="133">
        <f t="shared" si="550"/>
        <v>60.710385230031385</v>
      </c>
      <c r="CN76" s="81"/>
      <c r="CO76" s="81">
        <v>75</v>
      </c>
      <c r="CP76" s="133">
        <f t="shared" si="551"/>
        <v>5.5436760410950496</v>
      </c>
      <c r="CQ76" s="133">
        <f t="shared" si="552"/>
        <v>8.692279095185647</v>
      </c>
      <c r="CR76" s="133">
        <f t="shared" si="553"/>
        <v>11.576726711350517</v>
      </c>
      <c r="CS76" s="133">
        <f t="shared" si="554"/>
        <v>15.089572430468451</v>
      </c>
      <c r="CT76" s="133">
        <f t="shared" si="876"/>
        <v>21.360582030652932</v>
      </c>
      <c r="CU76" s="134">
        <f t="shared" si="877"/>
        <v>28.903174033919047</v>
      </c>
      <c r="CV76" s="133">
        <f t="shared" si="878"/>
        <v>36.977051000948194</v>
      </c>
      <c r="CW76" s="133">
        <f t="shared" si="555"/>
        <v>44.638276140904878</v>
      </c>
      <c r="CX76" s="133">
        <f t="shared" si="556"/>
        <v>49.409152518456139</v>
      </c>
      <c r="CY76" s="133">
        <f t="shared" si="557"/>
        <v>53.650901755185906</v>
      </c>
      <c r="CZ76" s="133">
        <f t="shared" si="558"/>
        <v>58.700182536828926</v>
      </c>
      <c r="DA76" s="81"/>
      <c r="DB76" s="81"/>
      <c r="DC76" s="83"/>
      <c r="DD76" s="83"/>
      <c r="DE76" s="83"/>
      <c r="DF76" s="83"/>
      <c r="DG76" s="83"/>
      <c r="DH76" s="84"/>
      <c r="DI76" s="83"/>
      <c r="DJ76" s="83"/>
      <c r="DK76" s="83"/>
      <c r="DL76" s="83"/>
      <c r="DM76" s="83"/>
      <c r="DN76" s="81"/>
      <c r="DO76" s="122">
        <v>75</v>
      </c>
      <c r="DP76" s="149">
        <v>14.663168861081141</v>
      </c>
      <c r="DQ76" s="149">
        <v>15.893981988486214</v>
      </c>
      <c r="DR76" s="149">
        <v>17.034869140754367</v>
      </c>
      <c r="DS76" s="149">
        <v>18.452245469994935</v>
      </c>
      <c r="DT76" s="149">
        <v>21.083967912271095</v>
      </c>
      <c r="DU76" s="150">
        <v>24.461925353712633</v>
      </c>
      <c r="DV76" s="149">
        <v>28.381080567967555</v>
      </c>
      <c r="DW76" s="149">
        <v>32.428887475166086</v>
      </c>
      <c r="DX76" s="149">
        <v>35.127114101453564</v>
      </c>
      <c r="DY76" s="149">
        <v>37.648576199726811</v>
      </c>
      <c r="DZ76" s="149">
        <v>40.808763622632704</v>
      </c>
      <c r="EA76" s="81"/>
      <c r="EB76" s="122">
        <v>75</v>
      </c>
      <c r="EC76" s="149">
        <v>13.756091852532311</v>
      </c>
      <c r="ED76" s="149">
        <v>15.194287987128918</v>
      </c>
      <c r="EE76" s="149">
        <v>16.55091579482804</v>
      </c>
      <c r="EF76" s="149">
        <v>18.266024831228727</v>
      </c>
      <c r="EG76" s="149">
        <v>21.531720749739399</v>
      </c>
      <c r="EH76" s="150">
        <v>25.86420861269357</v>
      </c>
      <c r="EI76" s="149">
        <v>31.068454534411913</v>
      </c>
      <c r="EJ76" s="149">
        <v>36.623036119891914</v>
      </c>
      <c r="EK76" s="149">
        <v>40.418143349504142</v>
      </c>
      <c r="EL76" s="149">
        <v>44.026892719659251</v>
      </c>
      <c r="EM76" s="149">
        <v>48.629893892267532</v>
      </c>
      <c r="EN76" s="81"/>
      <c r="EO76" s="122"/>
      <c r="EP76" s="126"/>
      <c r="EQ76" s="126"/>
      <c r="ER76" s="126"/>
      <c r="ES76" s="126"/>
      <c r="ET76" s="126"/>
      <c r="EU76" s="127"/>
      <c r="EV76" s="126"/>
      <c r="EW76" s="126"/>
      <c r="EX76" s="126"/>
      <c r="EY76" s="126"/>
      <c r="EZ76" s="126"/>
      <c r="FA76" s="81"/>
      <c r="FB76" s="122">
        <v>75</v>
      </c>
      <c r="FC76" s="149">
        <v>10.689064201655807</v>
      </c>
      <c r="FD76" s="149">
        <v>11.476530214199416</v>
      </c>
      <c r="FE76" s="149">
        <v>12.200040138121658</v>
      </c>
      <c r="FF76" s="149">
        <v>13.090990087571043</v>
      </c>
      <c r="FG76" s="149">
        <v>14.724394611542715</v>
      </c>
      <c r="FH76" s="150">
        <v>16.786261223577021</v>
      </c>
      <c r="FI76" s="149">
        <v>19.136852366431018</v>
      </c>
      <c r="FJ76" s="149">
        <v>21.524618381133298</v>
      </c>
      <c r="FK76" s="149">
        <v>23.096527771715074</v>
      </c>
      <c r="FL76" s="149">
        <v>24.55259216914995</v>
      </c>
      <c r="FM76" s="149">
        <v>26.361387727703622</v>
      </c>
      <c r="FN76" s="81"/>
      <c r="FO76" s="122">
        <v>75</v>
      </c>
      <c r="FP76" s="149">
        <v>10.607427177755175</v>
      </c>
      <c r="FQ76" s="149">
        <v>11.452295241287302</v>
      </c>
      <c r="FR76" s="149">
        <v>12.232557352629469</v>
      </c>
      <c r="FS76" s="149">
        <v>13.198353834663848</v>
      </c>
      <c r="FT76" s="149">
        <v>14.982137753156707</v>
      </c>
      <c r="FU76" s="150">
        <v>17.255855291767826</v>
      </c>
      <c r="FV76" s="149">
        <v>19.874636500902113</v>
      </c>
      <c r="FW76" s="149">
        <v>22.560733374823609</v>
      </c>
      <c r="FX76" s="149">
        <v>24.341969816019329</v>
      </c>
      <c r="FY76" s="149">
        <v>26.000424856053694</v>
      </c>
      <c r="FZ76" s="149">
        <v>28.071325577881272</v>
      </c>
      <c r="GA76" s="81"/>
      <c r="GB76" s="122"/>
      <c r="GC76" s="126"/>
      <c r="GD76" s="126"/>
      <c r="GE76" s="126"/>
      <c r="GF76" s="126"/>
      <c r="GG76" s="126"/>
      <c r="GH76" s="127"/>
      <c r="GI76" s="126"/>
      <c r="GJ76" s="126"/>
      <c r="GK76" s="126"/>
      <c r="GL76" s="126"/>
      <c r="GM76" s="126"/>
      <c r="GN76" s="81"/>
      <c r="GO76" s="122">
        <v>75</v>
      </c>
      <c r="GP76" s="149">
        <f t="shared" si="567"/>
        <v>0.53914772323032123</v>
      </c>
      <c r="GQ76" s="149">
        <f t="shared" si="568"/>
        <v>0.56991723124185034</v>
      </c>
      <c r="GR76" s="149">
        <f t="shared" si="569"/>
        <v>0.59503694403077401</v>
      </c>
      <c r="GS76" s="149">
        <f t="shared" si="570"/>
        <v>0.62267019564388348</v>
      </c>
      <c r="GT76" s="149">
        <f t="shared" si="882"/>
        <v>0.66730779377260996</v>
      </c>
      <c r="GU76" s="150">
        <f t="shared" si="883"/>
        <v>0.7111710692664206</v>
      </c>
      <c r="GV76" s="149">
        <f t="shared" si="884"/>
        <v>0.75233786786200529</v>
      </c>
      <c r="GW76" s="149">
        <f t="shared" si="571"/>
        <v>0.78929191646587149</v>
      </c>
      <c r="GX76" s="149">
        <f t="shared" si="572"/>
        <v>0.80999086277908083</v>
      </c>
      <c r="GY76" s="149">
        <f t="shared" si="573"/>
        <v>0.82750037041192281</v>
      </c>
      <c r="GZ76" s="149">
        <f t="shared" si="574"/>
        <v>0.84737759249281797</v>
      </c>
      <c r="HA76" s="81"/>
      <c r="HB76" s="122">
        <v>75</v>
      </c>
      <c r="HC76" s="149">
        <f t="shared" si="575"/>
        <v>0.54012966791401762</v>
      </c>
      <c r="HD76" s="149">
        <f t="shared" si="576"/>
        <v>0.57136227667784745</v>
      </c>
      <c r="HE76" s="149">
        <f t="shared" si="577"/>
        <v>0.59686858697683298</v>
      </c>
      <c r="HF76" s="149">
        <f t="shared" si="578"/>
        <v>0.62493591820476824</v>
      </c>
      <c r="HG76" s="149">
        <f t="shared" si="885"/>
        <v>0.66904402862961898</v>
      </c>
      <c r="HH76" s="150">
        <f t="shared" si="886"/>
        <v>0.71488771190610167</v>
      </c>
      <c r="HI76" s="149">
        <f t="shared" si="887"/>
        <v>0.75785976292647639</v>
      </c>
      <c r="HJ76" s="149">
        <f t="shared" si="579"/>
        <v>0.79436311042150953</v>
      </c>
      <c r="HK76" s="149">
        <f t="shared" si="580"/>
        <v>0.81543204351132248</v>
      </c>
      <c r="HL76" s="149">
        <f t="shared" si="581"/>
        <v>0.83325804574662232</v>
      </c>
      <c r="HM76" s="149">
        <f t="shared" si="582"/>
        <v>0.85349840895447715</v>
      </c>
      <c r="HN76" s="81"/>
      <c r="HO76" s="122"/>
      <c r="HP76" s="126"/>
      <c r="HQ76" s="126"/>
      <c r="HR76" s="126"/>
      <c r="HS76" s="126"/>
      <c r="HT76" s="126"/>
      <c r="HU76" s="127"/>
      <c r="HV76" s="126"/>
      <c r="HW76" s="126"/>
      <c r="HX76" s="126"/>
      <c r="HY76" s="126"/>
      <c r="HZ76" s="126"/>
      <c r="IA76" s="81"/>
      <c r="IB76" s="122">
        <v>75</v>
      </c>
      <c r="IC76" s="126">
        <f t="shared" si="591"/>
        <v>0.35117902463894402</v>
      </c>
      <c r="ID76" s="126">
        <f t="shared" si="592"/>
        <v>0.36337654634125216</v>
      </c>
      <c r="IE76" s="126">
        <f t="shared" si="593"/>
        <v>0.37307323761913741</v>
      </c>
      <c r="IF76" s="126">
        <f t="shared" si="594"/>
        <v>0.38349344991743567</v>
      </c>
      <c r="IG76" s="126">
        <f t="shared" si="891"/>
        <v>0.39938964775970143</v>
      </c>
      <c r="IH76" s="127">
        <f t="shared" si="892"/>
        <v>0.41535575570846872</v>
      </c>
      <c r="II76" s="126">
        <f t="shared" si="893"/>
        <v>0.4298636110490256</v>
      </c>
      <c r="IJ76" s="126">
        <f t="shared" si="595"/>
        <v>0.44187255604229547</v>
      </c>
      <c r="IK76" s="126">
        <f t="shared" si="596"/>
        <v>0.44868172449906385</v>
      </c>
      <c r="IL76" s="126">
        <f t="shared" si="597"/>
        <v>0.4543766686294004</v>
      </c>
      <c r="IM76" s="126">
        <f t="shared" si="598"/>
        <v>0.46077233383868466</v>
      </c>
      <c r="IN76" s="81"/>
      <c r="IO76" s="122">
        <v>75</v>
      </c>
      <c r="IP76" s="149">
        <f t="shared" si="599"/>
        <v>0.3511782558058486</v>
      </c>
      <c r="IQ76" s="149">
        <f t="shared" si="600"/>
        <v>0.36361342146795989</v>
      </c>
      <c r="IR76" s="149">
        <f t="shared" si="601"/>
        <v>0.37349659411070985</v>
      </c>
      <c r="IS76" s="149">
        <f t="shared" si="602"/>
        <v>0.38411542577099811</v>
      </c>
      <c r="IT76" s="149">
        <f t="shared" si="894"/>
        <v>0.40031222487277174</v>
      </c>
      <c r="IU76" s="150">
        <f t="shared" si="895"/>
        <v>0.41657867107523117</v>
      </c>
      <c r="IV76" s="149">
        <f t="shared" si="896"/>
        <v>0.43135906401464241</v>
      </c>
      <c r="IW76" s="149">
        <f t="shared" si="603"/>
        <v>0.44359386402405643</v>
      </c>
      <c r="IX76" s="149">
        <f t="shared" si="604"/>
        <v>0.45053133573720722</v>
      </c>
      <c r="IY76" s="149">
        <f t="shared" si="605"/>
        <v>0.45633377030244632</v>
      </c>
      <c r="IZ76" s="149">
        <f t="shared" si="606"/>
        <v>0.46285038523551419</v>
      </c>
      <c r="JA76" s="81"/>
      <c r="JB76" s="122"/>
      <c r="JC76" s="126"/>
      <c r="JD76" s="126"/>
      <c r="JE76" s="126"/>
      <c r="JF76" s="126"/>
      <c r="JG76" s="126"/>
      <c r="JH76" s="127"/>
      <c r="JI76" s="126"/>
      <c r="JJ76" s="126"/>
      <c r="JK76" s="126"/>
      <c r="JL76" s="126"/>
      <c r="JM76" s="126"/>
      <c r="JN76" s="81"/>
      <c r="JO76" s="122">
        <v>74</v>
      </c>
      <c r="JP76" s="149">
        <f t="shared" si="615"/>
        <v>3.5848985271357421</v>
      </c>
      <c r="JQ76" s="149">
        <f t="shared" si="616"/>
        <v>4.9902217962013253</v>
      </c>
      <c r="JR76" s="149">
        <f t="shared" si="617"/>
        <v>6.2096967988504481</v>
      </c>
      <c r="JS76" s="149">
        <f t="shared" si="618"/>
        <v>7.6276930019435163</v>
      </c>
      <c r="JT76" s="149">
        <f t="shared" si="900"/>
        <v>10.020728433476755</v>
      </c>
      <c r="JU76" s="150">
        <f t="shared" si="901"/>
        <v>12.726755574998375</v>
      </c>
      <c r="JV76" s="149">
        <f t="shared" si="902"/>
        <v>15.471573326083192</v>
      </c>
      <c r="JW76" s="149">
        <f t="shared" si="619"/>
        <v>17.96562806038467</v>
      </c>
      <c r="JX76" s="149">
        <f t="shared" si="620"/>
        <v>19.47441055500045</v>
      </c>
      <c r="JY76" s="149">
        <f t="shared" si="621"/>
        <v>20.791132135425197</v>
      </c>
      <c r="JZ76" s="149">
        <f t="shared" si="622"/>
        <v>22.331330121981363</v>
      </c>
      <c r="KA76" s="81"/>
      <c r="KB76" s="122">
        <v>74</v>
      </c>
      <c r="KC76" s="149">
        <f t="shared" si="623"/>
        <v>5.0791729878650447</v>
      </c>
      <c r="KD76" s="149">
        <f t="shared" si="624"/>
        <v>6.5369564465083574</v>
      </c>
      <c r="KE76" s="149">
        <f t="shared" si="625"/>
        <v>7.8206941188692394</v>
      </c>
      <c r="KF76" s="149">
        <f t="shared" si="626"/>
        <v>9.3342399423317648</v>
      </c>
      <c r="KG76" s="149">
        <f t="shared" si="903"/>
        <v>11.936444455869735</v>
      </c>
      <c r="KH76" s="150">
        <f t="shared" si="904"/>
        <v>14.946612335283392</v>
      </c>
      <c r="KI76" s="149">
        <f t="shared" si="905"/>
        <v>18.067788179195723</v>
      </c>
      <c r="KJ76" s="149">
        <f t="shared" si="627"/>
        <v>20.95896919230092</v>
      </c>
      <c r="KK76" s="149">
        <f t="shared" si="628"/>
        <v>22.732080259478835</v>
      </c>
      <c r="KL76" s="149">
        <f t="shared" si="629"/>
        <v>24.293708557617045</v>
      </c>
      <c r="KM76" s="149">
        <f t="shared" si="630"/>
        <v>26.136660955216307</v>
      </c>
      <c r="KN76" s="81"/>
      <c r="KO76" s="122">
        <v>76</v>
      </c>
      <c r="KP76" s="149">
        <f t="shared" si="631"/>
        <v>4.7033305374886005</v>
      </c>
      <c r="KQ76" s="149">
        <f t="shared" si="632"/>
        <v>5.7695000586118255</v>
      </c>
      <c r="KR76" s="149">
        <f t="shared" si="633"/>
        <v>6.6844256387069159</v>
      </c>
      <c r="KS76" s="149">
        <f t="shared" si="634"/>
        <v>7.7370338838438144</v>
      </c>
      <c r="KT76" s="149">
        <f t="shared" si="906"/>
        <v>9.4878778849932637</v>
      </c>
      <c r="KU76" s="150">
        <f t="shared" si="907"/>
        <v>11.432280411357059</v>
      </c>
      <c r="KV76" s="149">
        <f t="shared" si="908"/>
        <v>13.369709359189134</v>
      </c>
      <c r="KW76" s="149">
        <f t="shared" si="635"/>
        <v>15.102378854672114</v>
      </c>
      <c r="KX76" s="149">
        <f t="shared" si="636"/>
        <v>16.138636561609818</v>
      </c>
      <c r="KY76" s="149">
        <f t="shared" si="637"/>
        <v>17.036030071125278</v>
      </c>
      <c r="KZ76" s="149">
        <f t="shared" si="638"/>
        <v>18.07785262600645</v>
      </c>
      <c r="LA76" s="81"/>
      <c r="LB76" s="122">
        <v>74</v>
      </c>
      <c r="LC76" s="149">
        <f t="shared" si="639"/>
        <v>12.054045845709801</v>
      </c>
      <c r="LD76" s="149">
        <f t="shared" si="640"/>
        <v>15.698445923512175</v>
      </c>
      <c r="LE76" s="149">
        <f t="shared" si="641"/>
        <v>18.875677294348279</v>
      </c>
      <c r="LF76" s="149">
        <f t="shared" si="642"/>
        <v>22.586128162580302</v>
      </c>
      <c r="LG76" s="149">
        <f t="shared" si="909"/>
        <v>28.88361045271909</v>
      </c>
      <c r="LH76" s="150">
        <f t="shared" si="910"/>
        <v>36.053236939427372</v>
      </c>
      <c r="LI76" s="149">
        <f t="shared" si="911"/>
        <v>43.372339575267908</v>
      </c>
      <c r="LJ76" s="149">
        <f t="shared" si="643"/>
        <v>50.059331965818025</v>
      </c>
      <c r="LK76" s="149">
        <f t="shared" si="644"/>
        <v>54.120139483717601</v>
      </c>
      <c r="LL76" s="149">
        <f t="shared" si="645"/>
        <v>57.67298430641349</v>
      </c>
      <c r="LM76" s="149">
        <f t="shared" si="646"/>
        <v>61.83890851866817</v>
      </c>
      <c r="LN76" s="81"/>
      <c r="LO76" s="122">
        <v>74</v>
      </c>
      <c r="LP76" s="149">
        <f t="shared" si="647"/>
        <v>17.518248008183232</v>
      </c>
      <c r="LQ76" s="149">
        <f t="shared" si="648"/>
        <v>21.32826135076407</v>
      </c>
      <c r="LR76" s="149">
        <f t="shared" si="649"/>
        <v>24.656878111016656</v>
      </c>
      <c r="LS76" s="149">
        <f t="shared" si="650"/>
        <v>28.551857437586232</v>
      </c>
      <c r="LT76" s="149">
        <f t="shared" si="912"/>
        <v>35.180227376919703</v>
      </c>
      <c r="LU76" s="150">
        <f t="shared" si="913"/>
        <v>42.751354916777274</v>
      </c>
      <c r="LV76" s="149">
        <f t="shared" si="914"/>
        <v>50.504981072415291</v>
      </c>
      <c r="LW76" s="149">
        <f t="shared" si="651"/>
        <v>57.608828909773024</v>
      </c>
      <c r="LX76" s="149">
        <f t="shared" si="652"/>
        <v>61.931387519075756</v>
      </c>
      <c r="LY76" s="149">
        <f t="shared" si="653"/>
        <v>65.718296987317714</v>
      </c>
      <c r="LZ76" s="149">
        <f t="shared" si="654"/>
        <v>70.164439767653676</v>
      </c>
      <c r="MA76" s="81"/>
      <c r="MB76" s="122">
        <v>76</v>
      </c>
      <c r="MC76" s="149">
        <f t="shared" si="655"/>
        <v>14.051542311671625</v>
      </c>
      <c r="MD76" s="149">
        <f t="shared" si="656"/>
        <v>16.72058885745561</v>
      </c>
      <c r="ME76" s="149">
        <f t="shared" si="657"/>
        <v>19.029518223908404</v>
      </c>
      <c r="MF76" s="149">
        <f t="shared" si="658"/>
        <v>21.706413935764722</v>
      </c>
      <c r="MG76" s="149">
        <f t="shared" si="915"/>
        <v>26.205886617991538</v>
      </c>
      <c r="MH76" s="150">
        <f t="shared" si="916"/>
        <v>31.26849321670273</v>
      </c>
      <c r="MI76" s="149">
        <f t="shared" si="917"/>
        <v>36.378438752340791</v>
      </c>
      <c r="MJ76" s="149">
        <f t="shared" si="659"/>
        <v>41.00122231374484</v>
      </c>
      <c r="MK76" s="149">
        <f t="shared" si="660"/>
        <v>43.788974838728102</v>
      </c>
      <c r="ML76" s="149">
        <f t="shared" si="661"/>
        <v>46.216688696859443</v>
      </c>
      <c r="MM76" s="149">
        <f t="shared" si="662"/>
        <v>49.050549346277485</v>
      </c>
      <c r="MN76" s="81"/>
      <c r="MO76" s="122">
        <v>74</v>
      </c>
      <c r="MP76" s="149">
        <f t="shared" si="663"/>
        <v>5.9384001762815544</v>
      </c>
      <c r="MQ76" s="149">
        <f t="shared" si="664"/>
        <v>9.8831582271456</v>
      </c>
      <c r="MR76" s="149">
        <f t="shared" si="665"/>
        <v>13.284421287434768</v>
      </c>
      <c r="MS76" s="149">
        <f t="shared" si="666"/>
        <v>17.214998317509192</v>
      </c>
      <c r="MT76" s="149">
        <f t="shared" si="918"/>
        <v>23.791962453895152</v>
      </c>
      <c r="MU76" s="150">
        <f t="shared" si="919"/>
        <v>31.149463521163661</v>
      </c>
      <c r="MV76" s="149">
        <f t="shared" si="920"/>
        <v>38.532518467422712</v>
      </c>
      <c r="MW76" s="149">
        <f t="shared" si="667"/>
        <v>45.176328569990652</v>
      </c>
      <c r="MX76" s="149">
        <f t="shared" si="668"/>
        <v>49.167357767039299</v>
      </c>
      <c r="MY76" s="149">
        <f t="shared" si="669"/>
        <v>52.633785134337366</v>
      </c>
      <c r="MZ76" s="149">
        <f t="shared" si="670"/>
        <v>56.669653085888079</v>
      </c>
      <c r="NA76" s="81"/>
      <c r="NB76" s="122">
        <v>74</v>
      </c>
      <c r="NC76" s="149">
        <f t="shared" si="671"/>
        <v>17.335498660247975</v>
      </c>
      <c r="ND76" s="149">
        <f t="shared" si="672"/>
        <v>20.544831516764528</v>
      </c>
      <c r="NE76" s="149">
        <f t="shared" si="673"/>
        <v>23.31254544997341</v>
      </c>
      <c r="NF76" s="149">
        <f t="shared" si="674"/>
        <v>26.511700713959268</v>
      </c>
      <c r="NG76" s="149">
        <f t="shared" si="921"/>
        <v>31.866688995646935</v>
      </c>
      <c r="NH76" s="150">
        <f t="shared" si="922"/>
        <v>37.860201221668689</v>
      </c>
      <c r="NI76" s="149">
        <f t="shared" si="923"/>
        <v>43.877839964930587</v>
      </c>
      <c r="NJ76" s="149">
        <f t="shared" si="675"/>
        <v>49.295810889922635</v>
      </c>
      <c r="NK76" s="149">
        <f t="shared" si="676"/>
        <v>52.551759512339885</v>
      </c>
      <c r="NL76" s="149">
        <f t="shared" si="677"/>
        <v>55.380513144631493</v>
      </c>
      <c r="NM76" s="149">
        <f t="shared" si="678"/>
        <v>58.674864469789242</v>
      </c>
      <c r="NN76" s="81"/>
      <c r="NO76" s="122">
        <v>76</v>
      </c>
      <c r="NP76" s="149">
        <f t="shared" si="679"/>
        <v>3.2184763289722085</v>
      </c>
      <c r="NQ76" s="149">
        <f t="shared" si="680"/>
        <v>6.7458201268640039</v>
      </c>
      <c r="NR76" s="149">
        <f t="shared" si="681"/>
        <v>9.780669295097816</v>
      </c>
      <c r="NS76" s="149">
        <f t="shared" si="682"/>
        <v>13.28087851705321</v>
      </c>
      <c r="NT76" s="149">
        <f t="shared" si="924"/>
        <v>19.122521594994893</v>
      </c>
      <c r="NU76" s="150">
        <f t="shared" si="925"/>
        <v>25.637140985885338</v>
      </c>
      <c r="NV76" s="149">
        <f t="shared" si="926"/>
        <v>32.155155970313139</v>
      </c>
      <c r="NW76" s="149">
        <f t="shared" si="683"/>
        <v>38.005682653535295</v>
      </c>
      <c r="NX76" s="149">
        <f t="shared" si="684"/>
        <v>41.51392716685546</v>
      </c>
      <c r="NY76" s="149">
        <f t="shared" si="685"/>
        <v>44.55743944394532</v>
      </c>
      <c r="NZ76" s="149">
        <f t="shared" si="686"/>
        <v>48.096898177096627</v>
      </c>
      <c r="OA76" s="81"/>
      <c r="OB76" s="122">
        <v>74</v>
      </c>
      <c r="OC76" s="149">
        <v>15.690254625955564</v>
      </c>
      <c r="OD76" s="149">
        <v>16.988131135048253</v>
      </c>
      <c r="OE76" s="149">
        <v>18.189924382079283</v>
      </c>
      <c r="OF76" s="149">
        <v>19.681407963151358</v>
      </c>
      <c r="OG76" s="149">
        <v>22.446569019399107</v>
      </c>
      <c r="OH76" s="150">
        <v>25.988798312130672</v>
      </c>
      <c r="OI76" s="149">
        <v>30.090016747097813</v>
      </c>
      <c r="OJ76" s="149">
        <v>34.317546741227105</v>
      </c>
      <c r="OK76" s="149">
        <v>37.131415366081882</v>
      </c>
      <c r="OL76" s="149">
        <v>39.758207205920989</v>
      </c>
      <c r="OM76" s="149">
        <v>43.04695199727977</v>
      </c>
      <c r="ON76" s="81"/>
      <c r="OO76" s="122">
        <v>74</v>
      </c>
      <c r="OP76" s="149">
        <v>18.526542918502944</v>
      </c>
      <c r="OQ76" s="149">
        <v>19.553670347952352</v>
      </c>
      <c r="OR76" s="149">
        <v>20.482487999663967</v>
      </c>
      <c r="OS76" s="149">
        <v>21.608244578116437</v>
      </c>
      <c r="OT76" s="149">
        <v>24.77715011638664</v>
      </c>
      <c r="OU76" s="150">
        <v>26.096813916391433</v>
      </c>
      <c r="OV76" s="149">
        <v>28.826534505589841</v>
      </c>
      <c r="OW76" s="149">
        <v>31.517770641881867</v>
      </c>
      <c r="OX76" s="149">
        <v>33.250047386720539</v>
      </c>
      <c r="OY76" s="149">
        <v>34.82945577315003</v>
      </c>
      <c r="OZ76" s="149">
        <v>36.760430674121366</v>
      </c>
      <c r="PA76" s="81"/>
      <c r="PB76" s="122">
        <v>76</v>
      </c>
      <c r="PC76" s="149">
        <v>12.713917214066953</v>
      </c>
      <c r="PD76" s="149">
        <v>14.171251529075205</v>
      </c>
      <c r="PE76" s="149">
        <v>15.557561976149941</v>
      </c>
      <c r="PF76" s="149">
        <v>17.325027083174469</v>
      </c>
      <c r="PG76" s="149">
        <v>20.731551388444068</v>
      </c>
      <c r="PH76" s="150">
        <v>25.323453986746777</v>
      </c>
      <c r="PI76" s="149">
        <v>30.932432879882505</v>
      </c>
      <c r="PJ76" s="149">
        <v>37.014506167304646</v>
      </c>
      <c r="PK76" s="149">
        <v>41.219654005040923</v>
      </c>
      <c r="PL76" s="149">
        <v>45.251989247609515</v>
      </c>
      <c r="PM76" s="149">
        <v>50.439004047419644</v>
      </c>
      <c r="PN76" s="81"/>
      <c r="PO76" s="122">
        <v>74</v>
      </c>
      <c r="PP76" s="149">
        <v>11.322618734323708</v>
      </c>
      <c r="PQ76" s="149">
        <v>12.267787600029802</v>
      </c>
      <c r="PR76" s="149">
        <v>13.143552965304432</v>
      </c>
      <c r="PS76" s="149">
        <v>14.231125407593911</v>
      </c>
      <c r="PT76" s="149">
        <v>16.249331498108425</v>
      </c>
      <c r="PU76" s="150">
        <v>18.837868194535439</v>
      </c>
      <c r="PV76" s="149">
        <v>21.838761684196022</v>
      </c>
      <c r="PW76" s="149">
        <v>24.935854892075451</v>
      </c>
      <c r="PX76" s="149">
        <v>26.999189568562024</v>
      </c>
      <c r="PY76" s="149">
        <v>28.926591304354485</v>
      </c>
      <c r="PZ76" s="149">
        <v>31.34127240714562</v>
      </c>
      <c r="QA76" s="81"/>
      <c r="QB76" s="122">
        <v>74</v>
      </c>
      <c r="QC76" s="149">
        <v>11.851419530206263</v>
      </c>
      <c r="QD76" s="149">
        <v>12.815043614285321</v>
      </c>
      <c r="QE76" s="149">
        <v>13.706250845051748</v>
      </c>
      <c r="QF76" s="149">
        <v>14.810946369988253</v>
      </c>
      <c r="QG76" s="149">
        <v>16.855457271347174</v>
      </c>
      <c r="QH76" s="150">
        <v>19.468542039265898</v>
      </c>
      <c r="QI76" s="149">
        <v>22.48673073847554</v>
      </c>
      <c r="QJ76" s="149">
        <v>25.590810989815502</v>
      </c>
      <c r="QK76" s="149">
        <v>27.653377529676487</v>
      </c>
      <c r="QL76" s="149">
        <v>29.57649935050971</v>
      </c>
      <c r="QM76" s="149">
        <v>31.981327483060319</v>
      </c>
      <c r="QN76" s="81"/>
      <c r="QO76" s="122">
        <v>76</v>
      </c>
      <c r="QP76" s="149">
        <v>9.2036948594907315</v>
      </c>
      <c r="QQ76" s="149">
        <v>10.166468518765777</v>
      </c>
      <c r="QR76" s="149">
        <v>11.074681672984308</v>
      </c>
      <c r="QS76" s="149">
        <v>12.222940513146311</v>
      </c>
      <c r="QT76" s="149">
        <v>14.409463565119255</v>
      </c>
      <c r="QU76" s="150">
        <v>17.310514540003105</v>
      </c>
      <c r="QV76" s="149">
        <v>20.795632834314944</v>
      </c>
      <c r="QW76" s="149">
        <v>24.515697619355006</v>
      </c>
      <c r="QX76" s="149">
        <v>27.057564496019573</v>
      </c>
      <c r="QY76" s="149">
        <v>29.474729901198501</v>
      </c>
      <c r="QZ76" s="149">
        <v>32.558001782366745</v>
      </c>
      <c r="RA76" s="81"/>
      <c r="RB76" s="122">
        <v>74</v>
      </c>
      <c r="RC76" s="149">
        <f t="shared" si="687"/>
        <v>0.45218285684627008</v>
      </c>
      <c r="RD76" s="149">
        <f t="shared" si="688"/>
        <v>0.49355938051598125</v>
      </c>
      <c r="RE76" s="149">
        <f t="shared" si="689"/>
        <v>0.53267023241704503</v>
      </c>
      <c r="RF76" s="149">
        <f t="shared" si="690"/>
        <v>0.58227967346309095</v>
      </c>
      <c r="RG76" s="149">
        <f t="shared" si="927"/>
        <v>0.67740682495165783</v>
      </c>
      <c r="RH76" s="150">
        <f t="shared" si="928"/>
        <v>0.80528473807547862</v>
      </c>
      <c r="RI76" s="149">
        <f t="shared" si="929"/>
        <v>0.9618429017703497</v>
      </c>
      <c r="RJ76" s="149">
        <f t="shared" si="691"/>
        <v>1.1328440758178824</v>
      </c>
      <c r="RK76" s="149">
        <f t="shared" si="692"/>
        <v>1.2521196838249622</v>
      </c>
      <c r="RL76" s="149">
        <f t="shared" si="693"/>
        <v>1.3674297259153223</v>
      </c>
      <c r="RM76" s="149">
        <f t="shared" si="694"/>
        <v>1.5172328012394034</v>
      </c>
      <c r="RN76" s="81"/>
      <c r="RO76" s="122">
        <v>74</v>
      </c>
      <c r="RP76" s="149">
        <f t="shared" si="695"/>
        <v>0.49794336995199162</v>
      </c>
      <c r="RQ76" s="149">
        <f t="shared" si="696"/>
        <v>0.54608507907886006</v>
      </c>
      <c r="RR76" s="149">
        <f t="shared" si="697"/>
        <v>0.5920786044097891</v>
      </c>
      <c r="RS76" s="149">
        <f t="shared" si="698"/>
        <v>0.65109152927587155</v>
      </c>
      <c r="RT76" s="149">
        <f t="shared" si="930"/>
        <v>0.76631722894870657</v>
      </c>
      <c r="RU76" s="150">
        <f t="shared" si="931"/>
        <v>0.9253815668178329</v>
      </c>
      <c r="RV76" s="149">
        <f t="shared" si="932"/>
        <v>1.1264077715371168</v>
      </c>
      <c r="RW76" s="149">
        <f t="shared" si="699"/>
        <v>1.3535999562663819</v>
      </c>
      <c r="RX76" s="149">
        <f t="shared" si="700"/>
        <v>1.5166314655871831</v>
      </c>
      <c r="RY76" s="149">
        <f t="shared" si="701"/>
        <v>1.6777163275833284</v>
      </c>
      <c r="RZ76" s="149">
        <f t="shared" si="702"/>
        <v>1.8919779353042219</v>
      </c>
      <c r="SA76" s="81"/>
      <c r="SB76" s="122">
        <v>76</v>
      </c>
      <c r="SC76" s="149">
        <f t="shared" si="703"/>
        <v>0.46966467477704421</v>
      </c>
      <c r="SD76" s="149">
        <f t="shared" si="704"/>
        <v>0.50448663120287229</v>
      </c>
      <c r="SE76" s="149">
        <f t="shared" si="705"/>
        <v>0.5365220510371923</v>
      </c>
      <c r="SF76" s="149">
        <f t="shared" si="706"/>
        <v>0.57602494556599637</v>
      </c>
      <c r="SG76" s="149">
        <f t="shared" si="933"/>
        <v>0.64859597252438994</v>
      </c>
      <c r="SH76" s="150">
        <f t="shared" si="934"/>
        <v>0.74046791028224224</v>
      </c>
      <c r="SI76" s="149">
        <f t="shared" si="935"/>
        <v>0.84554648004033561</v>
      </c>
      <c r="SJ76" s="149">
        <f t="shared" si="707"/>
        <v>0.95263914804654859</v>
      </c>
      <c r="SK76" s="149">
        <f t="shared" si="708"/>
        <v>1.023324544989481</v>
      </c>
      <c r="SL76" s="149">
        <f t="shared" si="709"/>
        <v>1.0889260336133335</v>
      </c>
      <c r="SM76" s="149">
        <f t="shared" si="710"/>
        <v>1.1705817233735811</v>
      </c>
      <c r="SN76" s="81"/>
      <c r="SO76" s="122">
        <v>74</v>
      </c>
      <c r="SP76" s="149">
        <f t="shared" si="711"/>
        <v>0.31243084327673026</v>
      </c>
      <c r="SQ76" s="149">
        <f t="shared" si="712"/>
        <v>0.3311770411474651</v>
      </c>
      <c r="SR76" s="149">
        <f t="shared" si="713"/>
        <v>0.3479609783603434</v>
      </c>
      <c r="SS76" s="149">
        <f t="shared" si="714"/>
        <v>0.36809143338353334</v>
      </c>
      <c r="ST76" s="149">
        <f t="shared" si="936"/>
        <v>0.4035927014374594</v>
      </c>
      <c r="SU76" s="150">
        <f t="shared" si="937"/>
        <v>0.44611021329850681</v>
      </c>
      <c r="SV76" s="149">
        <f t="shared" si="938"/>
        <v>0.49188766895545644</v>
      </c>
      <c r="SW76" s="149">
        <f t="shared" si="715"/>
        <v>0.53586556873606439</v>
      </c>
      <c r="SX76" s="149">
        <f t="shared" si="716"/>
        <v>0.56359790423928902</v>
      </c>
      <c r="SY76" s="149">
        <f t="shared" si="717"/>
        <v>0.58850765930254079</v>
      </c>
      <c r="SZ76" s="149">
        <f t="shared" si="718"/>
        <v>0.61849450626304148</v>
      </c>
      <c r="TA76" s="81"/>
      <c r="TB76" s="122">
        <v>74</v>
      </c>
      <c r="TC76" s="149">
        <f t="shared" si="719"/>
        <v>0.33345164346345113</v>
      </c>
      <c r="TD76" s="149">
        <f t="shared" si="720"/>
        <v>0.35386556363653154</v>
      </c>
      <c r="TE76" s="149">
        <f t="shared" si="721"/>
        <v>0.37223820428367305</v>
      </c>
      <c r="TF76" s="149">
        <f t="shared" si="722"/>
        <v>0.39439151997877575</v>
      </c>
      <c r="TG76" s="149">
        <f t="shared" si="939"/>
        <v>0.43376635160512439</v>
      </c>
      <c r="TH76" s="150">
        <f t="shared" si="940"/>
        <v>0.48142390872906543</v>
      </c>
      <c r="TI76" s="149">
        <f t="shared" si="941"/>
        <v>0.5333261900066727</v>
      </c>
      <c r="TJ76" s="149">
        <f t="shared" si="723"/>
        <v>0.58374546786376058</v>
      </c>
      <c r="TK76" s="149">
        <f t="shared" si="724"/>
        <v>0.61581226738930073</v>
      </c>
      <c r="TL76" s="149">
        <f t="shared" si="725"/>
        <v>0.64479081421043505</v>
      </c>
      <c r="TM76" s="149">
        <f t="shared" si="726"/>
        <v>0.67989174055246726</v>
      </c>
      <c r="TN76" s="81"/>
      <c r="TO76" s="122">
        <v>76</v>
      </c>
      <c r="TP76" s="149">
        <f t="shared" si="727"/>
        <v>0.3206446275685278</v>
      </c>
      <c r="TQ76" s="149">
        <f t="shared" si="728"/>
        <v>0.3360534584474697</v>
      </c>
      <c r="TR76" s="149">
        <f t="shared" si="729"/>
        <v>0.34963243520336734</v>
      </c>
      <c r="TS76" s="149">
        <f t="shared" si="730"/>
        <v>0.36566500449978323</v>
      </c>
      <c r="TT76" s="149">
        <f t="shared" si="942"/>
        <v>0.39331443289372192</v>
      </c>
      <c r="TU76" s="150">
        <f t="shared" si="943"/>
        <v>0.42547580556180642</v>
      </c>
      <c r="TV76" s="149">
        <f t="shared" si="944"/>
        <v>0.45906716274707071</v>
      </c>
      <c r="TW76" s="149">
        <f t="shared" si="731"/>
        <v>0.49043333286756985</v>
      </c>
      <c r="TX76" s="149">
        <f t="shared" si="732"/>
        <v>0.50979717865829388</v>
      </c>
      <c r="TY76" s="149">
        <f t="shared" si="733"/>
        <v>0.52693503177609524</v>
      </c>
      <c r="TZ76" s="149">
        <f t="shared" si="734"/>
        <v>0.54726354641709629</v>
      </c>
      <c r="UA76" s="81"/>
      <c r="UB76" s="122">
        <v>74</v>
      </c>
      <c r="UC76" s="149">
        <f t="shared" si="735"/>
        <v>-5.2045707730587907</v>
      </c>
      <c r="UD76" s="149">
        <f t="shared" si="736"/>
        <v>-2.4409848024672627</v>
      </c>
      <c r="UE76" s="149">
        <f t="shared" si="737"/>
        <v>-0.10523392032136059</v>
      </c>
      <c r="UF76" s="149">
        <f t="shared" si="738"/>
        <v>2.5440330326201632</v>
      </c>
      <c r="UG76" s="149">
        <f t="shared" si="945"/>
        <v>6.8679630143046353</v>
      </c>
      <c r="UH76" s="150">
        <f t="shared" si="946"/>
        <v>11.560445266593646</v>
      </c>
      <c r="UI76" s="149">
        <f t="shared" si="947"/>
        <v>16.133520908271919</v>
      </c>
      <c r="UJ76" s="149">
        <f t="shared" si="739"/>
        <v>20.144945409381435</v>
      </c>
      <c r="UK76" s="149">
        <f t="shared" si="740"/>
        <v>22.511420314368067</v>
      </c>
      <c r="UL76" s="149">
        <f t="shared" si="741"/>
        <v>24.542163295717572</v>
      </c>
      <c r="UM76" s="149">
        <f t="shared" si="742"/>
        <v>26.879034572818384</v>
      </c>
      <c r="UN76" s="81"/>
      <c r="UO76" s="122">
        <v>74</v>
      </c>
      <c r="UP76" s="149">
        <f t="shared" si="743"/>
        <v>-1.0106578162168702</v>
      </c>
      <c r="UQ76" s="149">
        <f t="shared" si="744"/>
        <v>1.4295557171415183</v>
      </c>
      <c r="UR76" s="149">
        <f t="shared" si="745"/>
        <v>3.5255751451814419</v>
      </c>
      <c r="US76" s="149">
        <f t="shared" si="746"/>
        <v>5.9392577032848735</v>
      </c>
      <c r="UT76" s="149">
        <f t="shared" si="948"/>
        <v>9.9593049042024901</v>
      </c>
      <c r="UU76" s="150">
        <f t="shared" si="949"/>
        <v>14.431381458727948</v>
      </c>
      <c r="UV76" s="149">
        <f t="shared" si="950"/>
        <v>18.895202453308791</v>
      </c>
      <c r="UW76" s="149">
        <f t="shared" si="747"/>
        <v>22.893671589681595</v>
      </c>
      <c r="UX76" s="149">
        <f t="shared" si="748"/>
        <v>25.287862630544588</v>
      </c>
      <c r="UY76" s="149">
        <f t="shared" si="749"/>
        <v>27.362896367111269</v>
      </c>
      <c r="UZ76" s="149">
        <f t="shared" si="750"/>
        <v>29.773814673595972</v>
      </c>
      <c r="VA76" s="81"/>
      <c r="VB76" s="122">
        <v>77</v>
      </c>
      <c r="VC76" s="149">
        <f t="shared" si="751"/>
        <v>-5.0605558373709769</v>
      </c>
      <c r="VD76" s="149">
        <f t="shared" si="752"/>
        <v>-2.5547650673731823</v>
      </c>
      <c r="VE76" s="149">
        <f t="shared" si="753"/>
        <v>-0.45087101788189443</v>
      </c>
      <c r="VF76" s="149">
        <f t="shared" si="754"/>
        <v>1.9207882348059542</v>
      </c>
      <c r="VG76" s="149">
        <f t="shared" si="951"/>
        <v>5.7603178820160963</v>
      </c>
      <c r="VH76" s="150">
        <f t="shared" si="952"/>
        <v>9.886394424873572</v>
      </c>
      <c r="VI76" s="149">
        <f t="shared" si="953"/>
        <v>13.869946316610452</v>
      </c>
      <c r="VJ76" s="149">
        <f t="shared" si="755"/>
        <v>17.335971290271672</v>
      </c>
      <c r="VK76" s="149">
        <f t="shared" si="756"/>
        <v>19.369011275808887</v>
      </c>
      <c r="VL76" s="149">
        <f t="shared" si="757"/>
        <v>21.107002457549143</v>
      </c>
      <c r="VM76" s="149">
        <f t="shared" si="758"/>
        <v>23.099669779579216</v>
      </c>
      <c r="VN76" s="81"/>
      <c r="VO76" s="122">
        <v>74</v>
      </c>
      <c r="VP76" s="149">
        <f t="shared" si="759"/>
        <v>-7.6261110146928246</v>
      </c>
      <c r="VQ76" s="149">
        <f t="shared" si="760"/>
        <v>-2.7636997370828524</v>
      </c>
      <c r="VR76" s="149">
        <f t="shared" si="761"/>
        <v>1.5747448352405655</v>
      </c>
      <c r="VS76" s="149">
        <f t="shared" si="762"/>
        <v>6.7536524362899257</v>
      </c>
      <c r="VT76" s="149">
        <f t="shared" si="954"/>
        <v>15.807509640370078</v>
      </c>
      <c r="VU76" s="150">
        <f t="shared" si="955"/>
        <v>26.49709234136602</v>
      </c>
      <c r="VV76" s="149">
        <f t="shared" si="956"/>
        <v>37.8029537079994</v>
      </c>
      <c r="VW76" s="149">
        <f t="shared" si="763"/>
        <v>48.459854458001594</v>
      </c>
      <c r="VX76" s="149">
        <f t="shared" si="764"/>
        <v>55.077093582819622</v>
      </c>
      <c r="VY76" s="149">
        <f t="shared" si="765"/>
        <v>60.953766617020371</v>
      </c>
      <c r="VZ76" s="149">
        <f t="shared" si="766"/>
        <v>67.945381972170992</v>
      </c>
      <c r="WA76" s="81"/>
      <c r="WB76" s="122">
        <v>74</v>
      </c>
      <c r="WC76" s="149">
        <f t="shared" si="767"/>
        <v>0.70920008740394991</v>
      </c>
      <c r="WD76" s="149">
        <f t="shared" si="768"/>
        <v>5.4582283075724902</v>
      </c>
      <c r="WE76" s="149">
        <f t="shared" si="769"/>
        <v>9.6861813338252247</v>
      </c>
      <c r="WF76" s="149">
        <f t="shared" si="770"/>
        <v>14.723235038834083</v>
      </c>
      <c r="WG76" s="149">
        <f t="shared" si="957"/>
        <v>23.5071107715982</v>
      </c>
      <c r="WH76" s="150">
        <f t="shared" si="958"/>
        <v>33.84854486185106</v>
      </c>
      <c r="WI76" s="149">
        <f t="shared" si="959"/>
        <v>44.758573625375085</v>
      </c>
      <c r="WJ76" s="149">
        <f t="shared" si="771"/>
        <v>55.021327696643759</v>
      </c>
      <c r="WK76" s="149">
        <f t="shared" si="772"/>
        <v>61.385142021689525</v>
      </c>
      <c r="WL76" s="149">
        <f t="shared" si="773"/>
        <v>67.031829282137068</v>
      </c>
      <c r="WM76" s="149">
        <f t="shared" si="774"/>
        <v>73.744355122484393</v>
      </c>
      <c r="WN76" s="81"/>
      <c r="WO76" s="122">
        <v>77</v>
      </c>
      <c r="WP76" s="149">
        <f t="shared" si="775"/>
        <v>-10.270735001551628</v>
      </c>
      <c r="WQ76" s="149">
        <f t="shared" si="776"/>
        <v>-5.6422713792377266</v>
      </c>
      <c r="WR76" s="149">
        <f t="shared" si="777"/>
        <v>-1.5411952842047612</v>
      </c>
      <c r="WS76" s="149">
        <f t="shared" si="778"/>
        <v>3.321246232740819</v>
      </c>
      <c r="WT76" s="149">
        <f t="shared" si="960"/>
        <v>11.741919881500202</v>
      </c>
      <c r="WU76" s="150">
        <f t="shared" si="961"/>
        <v>21.565465080205676</v>
      </c>
      <c r="WV76" s="149">
        <f t="shared" si="962"/>
        <v>31.830931060130062</v>
      </c>
      <c r="WW76" s="149">
        <f t="shared" si="779"/>
        <v>41.402270399838493</v>
      </c>
      <c r="WX76" s="149">
        <f t="shared" si="780"/>
        <v>47.298588497218226</v>
      </c>
      <c r="WY76" s="149">
        <f t="shared" si="781"/>
        <v>52.506882620524287</v>
      </c>
      <c r="WZ76" s="149">
        <f t="shared" si="782"/>
        <v>58.670620167691588</v>
      </c>
      <c r="XA76" s="81"/>
      <c r="XB76" s="122">
        <v>74</v>
      </c>
      <c r="XC76" s="149">
        <f t="shared" si="783"/>
        <v>-13.164131563507397</v>
      </c>
      <c r="XD76" s="149">
        <f t="shared" si="784"/>
        <v>-8.1024320269571319</v>
      </c>
      <c r="XE76" s="149">
        <f t="shared" si="785"/>
        <v>-3.6446888118418457</v>
      </c>
      <c r="XF76" s="149">
        <f t="shared" si="786"/>
        <v>1.6085883263056928</v>
      </c>
      <c r="XG76" s="149">
        <f t="shared" si="963"/>
        <v>10.627815578096452</v>
      </c>
      <c r="XH76" s="150">
        <f t="shared" si="964"/>
        <v>21.032695655909613</v>
      </c>
      <c r="XI76" s="149">
        <f t="shared" si="965"/>
        <v>31.782420238040764</v>
      </c>
      <c r="XJ76" s="149">
        <f t="shared" si="787"/>
        <v>41.70150681550313</v>
      </c>
      <c r="XK76" s="149">
        <f t="shared" si="788"/>
        <v>47.765781865405238</v>
      </c>
      <c r="XL76" s="149">
        <f t="shared" si="789"/>
        <v>53.094726695206326</v>
      </c>
      <c r="XM76" s="149">
        <f t="shared" si="790"/>
        <v>59.369172740060925</v>
      </c>
      <c r="XN76" s="81"/>
      <c r="XO76" s="122">
        <v>74</v>
      </c>
      <c r="XP76" s="149">
        <f t="shared" si="791"/>
        <v>0.82402374031767067</v>
      </c>
      <c r="XQ76" s="149">
        <f t="shared" si="792"/>
        <v>5.0378833288251315</v>
      </c>
      <c r="XR76" s="149">
        <f t="shared" si="793"/>
        <v>8.7170864765629119</v>
      </c>
      <c r="XS76" s="149">
        <f t="shared" si="794"/>
        <v>13.019740337987379</v>
      </c>
      <c r="XT76" s="149">
        <f t="shared" si="966"/>
        <v>20.335774699750012</v>
      </c>
      <c r="XU76" s="150">
        <f t="shared" si="967"/>
        <v>28.683452468890557</v>
      </c>
      <c r="XV76" s="149">
        <f t="shared" si="968"/>
        <v>37.223098774688857</v>
      </c>
      <c r="XW76" s="149">
        <f t="shared" si="795"/>
        <v>45.039387307695712</v>
      </c>
      <c r="XX76" s="149">
        <f t="shared" si="796"/>
        <v>49.792030517229655</v>
      </c>
      <c r="XY76" s="149">
        <f t="shared" si="797"/>
        <v>53.953685124585967</v>
      </c>
      <c r="XZ76" s="149">
        <f t="shared" si="798"/>
        <v>58.837450919821599</v>
      </c>
      <c r="YA76" s="81"/>
      <c r="YB76" s="122">
        <v>77</v>
      </c>
      <c r="YC76" s="149">
        <f t="shared" si="799"/>
        <v>-17.147753336163724</v>
      </c>
      <c r="YD76" s="149">
        <f t="shared" si="800"/>
        <v>-12.299051001168621</v>
      </c>
      <c r="YE76" s="149">
        <f t="shared" si="801"/>
        <v>-8.0445434534390472</v>
      </c>
      <c r="YF76" s="149">
        <f t="shared" si="802"/>
        <v>-3.0485061821913391</v>
      </c>
      <c r="YG76" s="149">
        <f t="shared" si="969"/>
        <v>5.4875037304162788</v>
      </c>
      <c r="YH76" s="150">
        <f t="shared" si="970"/>
        <v>15.275467478166526</v>
      </c>
      <c r="YI76" s="149">
        <f t="shared" si="971"/>
        <v>25.327716653328501</v>
      </c>
      <c r="YJ76" s="149">
        <f t="shared" si="803"/>
        <v>34.554282266448745</v>
      </c>
      <c r="YK76" s="149">
        <f t="shared" si="804"/>
        <v>40.173845023339403</v>
      </c>
      <c r="YL76" s="149">
        <f t="shared" si="805"/>
        <v>45.099437809958239</v>
      </c>
      <c r="YM76" s="149">
        <f t="shared" si="806"/>
        <v>50.884606049918467</v>
      </c>
      <c r="YN76" s="81"/>
      <c r="YO76" s="122">
        <v>74</v>
      </c>
      <c r="YP76" s="149">
        <v>19.785206489919126</v>
      </c>
      <c r="YQ76" s="149">
        <v>21.569044782133005</v>
      </c>
      <c r="YR76" s="149">
        <v>23.23135886239621</v>
      </c>
      <c r="YS76" s="149">
        <v>25.307519035038631</v>
      </c>
      <c r="YT76" s="149">
        <v>29.192008646000115</v>
      </c>
      <c r="YU76" s="150">
        <v>34.228247839900718</v>
      </c>
      <c r="YV76" s="149">
        <v>40.133344861495061</v>
      </c>
      <c r="YW76" s="149">
        <v>46.293473041257329</v>
      </c>
      <c r="YX76" s="149">
        <v>50.430668181276815</v>
      </c>
      <c r="YY76" s="149">
        <v>54.317331250577944</v>
      </c>
      <c r="YZ76" s="149">
        <v>59.214593023661543</v>
      </c>
      <c r="ZA76" s="81"/>
      <c r="ZB76" s="122">
        <v>74</v>
      </c>
      <c r="ZC76" s="149">
        <v>21.115693523049085</v>
      </c>
      <c r="ZD76" s="149">
        <v>22.576906932184755</v>
      </c>
      <c r="ZE76" s="149">
        <v>23.914253560836485</v>
      </c>
      <c r="ZF76" s="149">
        <v>25.554740733280738</v>
      </c>
      <c r="ZG76" s="149">
        <v>28.545615481369992</v>
      </c>
      <c r="ZH76" s="150">
        <v>32.293527584219703</v>
      </c>
      <c r="ZI76" s="149">
        <v>36.533523844086616</v>
      </c>
      <c r="ZJ76" s="149">
        <v>40.809332981202758</v>
      </c>
      <c r="ZK76" s="149">
        <v>43.608800967998143</v>
      </c>
      <c r="ZL76" s="149">
        <v>46.191975143684601</v>
      </c>
      <c r="ZM76" s="149">
        <v>49.388476049550519</v>
      </c>
      <c r="ZN76" s="81"/>
      <c r="ZO76" s="122">
        <v>77</v>
      </c>
      <c r="ZP76" s="149">
        <v>19.30231683735045</v>
      </c>
      <c r="ZQ76" s="149">
        <v>21.252556246334059</v>
      </c>
      <c r="ZR76" s="149">
        <v>23.086756378792241</v>
      </c>
      <c r="ZS76" s="149">
        <v>25.398789610564098</v>
      </c>
      <c r="ZT76" s="149">
        <v>29.782360783612543</v>
      </c>
      <c r="ZU76" s="150">
        <v>35.56548445938558</v>
      </c>
      <c r="ZV76" s="149">
        <v>42.471572150411852</v>
      </c>
      <c r="ZW76" s="149">
        <v>49.801730878729991</v>
      </c>
      <c r="ZX76" s="149">
        <v>54.789146819808444</v>
      </c>
      <c r="ZY76" s="149">
        <v>59.517719664851398</v>
      </c>
      <c r="ZZ76" s="149">
        <v>65.531184442231179</v>
      </c>
      <c r="AAA76" s="81"/>
      <c r="AAB76" s="122">
        <v>74</v>
      </c>
      <c r="AAC76" s="149">
        <v>11.942510118489084</v>
      </c>
      <c r="AAD76" s="149">
        <v>13.127552368766141</v>
      </c>
      <c r="AAE76" s="149">
        <v>14.240386515575246</v>
      </c>
      <c r="AAF76" s="149">
        <v>15.640991779064535</v>
      </c>
      <c r="AAG76" s="149">
        <v>18.29068634210785</v>
      </c>
      <c r="AAH76" s="150">
        <v>21.776293650373162</v>
      </c>
      <c r="AAI76" s="149">
        <v>25.926143845985067</v>
      </c>
      <c r="AAJ76" s="149">
        <v>30.318215867999388</v>
      </c>
      <c r="AAK76" s="149">
        <v>33.300147059114202</v>
      </c>
      <c r="AAL76" s="149">
        <v>36.12302977937793</v>
      </c>
      <c r="AAM76" s="149">
        <v>39.707478615666204</v>
      </c>
      <c r="AAN76" s="81"/>
      <c r="AAO76" s="122">
        <v>74</v>
      </c>
      <c r="AAP76" s="149">
        <v>12.993349657110759</v>
      </c>
      <c r="AAQ76" s="149">
        <v>14.235030641365556</v>
      </c>
      <c r="AAR76" s="149">
        <v>15.397443012837158</v>
      </c>
      <c r="AAS76" s="149">
        <v>16.855919932098239</v>
      </c>
      <c r="AAT76" s="149">
        <v>19.602805955036089</v>
      </c>
      <c r="AAU76" s="150">
        <v>23.195153948398914</v>
      </c>
      <c r="AAV76" s="149">
        <v>27.445824231694036</v>
      </c>
      <c r="AAW76" s="149">
        <v>31.918469526270041</v>
      </c>
      <c r="AAX76" s="149">
        <v>34.941851464647172</v>
      </c>
      <c r="AAY76" s="149">
        <v>37.795153396193463</v>
      </c>
      <c r="AAZ76" s="149">
        <v>41.406964400091454</v>
      </c>
      <c r="ABA76" s="81"/>
      <c r="ABB76" s="122">
        <v>77</v>
      </c>
      <c r="ABC76" s="149">
        <v>10.106239223253613</v>
      </c>
      <c r="ABD76" s="149">
        <v>11.279008867862858</v>
      </c>
      <c r="ABE76" s="149">
        <v>12.395940492052302</v>
      </c>
      <c r="ABF76" s="149">
        <v>13.82164562758159</v>
      </c>
      <c r="ABG76" s="149">
        <v>16.574163153997606</v>
      </c>
      <c r="ABH76" s="150">
        <v>20.292775772588087</v>
      </c>
      <c r="ABI76" s="149">
        <v>24.845703805999683</v>
      </c>
      <c r="ABJ76" s="149">
        <v>29.793612110469905</v>
      </c>
      <c r="ABK76" s="149">
        <v>33.220290854135925</v>
      </c>
      <c r="ABL76" s="149">
        <v>36.510011950594851</v>
      </c>
      <c r="ABM76" s="149">
        <v>40.746784185459248</v>
      </c>
      <c r="ABN76" s="81"/>
      <c r="ABO76" s="122">
        <v>74</v>
      </c>
      <c r="ABP76" s="149">
        <f t="shared" si="807"/>
        <v>0.35138005678338263</v>
      </c>
      <c r="ABQ76" s="149">
        <f t="shared" si="808"/>
        <v>0.39364975441006023</v>
      </c>
      <c r="ABR76" s="149">
        <f t="shared" si="809"/>
        <v>0.43286962381614108</v>
      </c>
      <c r="ABS76" s="149">
        <f t="shared" si="810"/>
        <v>0.48153861016610178</v>
      </c>
      <c r="ABT76" s="149">
        <f t="shared" si="972"/>
        <v>0.57143833471233396</v>
      </c>
      <c r="ABU76" s="150">
        <f t="shared" si="973"/>
        <v>0.68541702054105436</v>
      </c>
      <c r="ABV76" s="149">
        <f t="shared" si="974"/>
        <v>0.81513514099242834</v>
      </c>
      <c r="ABW76" s="149">
        <f t="shared" si="811"/>
        <v>0.94597995796563727</v>
      </c>
      <c r="ABX76" s="149">
        <f t="shared" si="812"/>
        <v>1.0313917691406136</v>
      </c>
      <c r="ABY76" s="149">
        <f t="shared" si="813"/>
        <v>1.1099109693744516</v>
      </c>
      <c r="ABZ76" s="149">
        <f t="shared" si="814"/>
        <v>1.2065854525338537</v>
      </c>
      <c r="ACA76" s="81"/>
      <c r="ACB76" s="122">
        <v>74</v>
      </c>
      <c r="ACC76" s="149">
        <f t="shared" si="815"/>
        <v>0.45375569635231849</v>
      </c>
      <c r="ACD76" s="149">
        <f t="shared" si="816"/>
        <v>0.49563254849332472</v>
      </c>
      <c r="ACE76" s="149">
        <f t="shared" si="817"/>
        <v>0.53426275746068008</v>
      </c>
      <c r="ACF76" s="149">
        <f t="shared" si="818"/>
        <v>0.58198502355130377</v>
      </c>
      <c r="ACG76" s="149">
        <f t="shared" si="975"/>
        <v>0.6697544472290381</v>
      </c>
      <c r="ACH76" s="150">
        <f t="shared" si="976"/>
        <v>0.78075667927947734</v>
      </c>
      <c r="ACI76" s="149">
        <f t="shared" si="977"/>
        <v>0.90720652206465136</v>
      </c>
      <c r="ACJ76" s="149">
        <f t="shared" si="819"/>
        <v>1.0352441906555432</v>
      </c>
      <c r="ACK76" s="149">
        <f t="shared" si="820"/>
        <v>1.1192029401598873</v>
      </c>
      <c r="ACL76" s="149">
        <f t="shared" si="821"/>
        <v>1.1966964353185154</v>
      </c>
      <c r="ACM76" s="149">
        <f t="shared" si="822"/>
        <v>1.2925539660145513</v>
      </c>
      <c r="ACN76" s="81"/>
      <c r="ACO76" s="122">
        <v>77</v>
      </c>
      <c r="ACP76" s="149">
        <f t="shared" si="823"/>
        <v>0.31755533037442718</v>
      </c>
      <c r="ACQ76" s="149">
        <f t="shared" si="824"/>
        <v>0.35857995735427051</v>
      </c>
      <c r="ACR76" s="149">
        <f t="shared" si="825"/>
        <v>0.39592355092684073</v>
      </c>
      <c r="ACS76" s="149">
        <f t="shared" si="826"/>
        <v>0.44135120951685741</v>
      </c>
      <c r="ACT76" s="149">
        <f t="shared" si="978"/>
        <v>0.52288160225838098</v>
      </c>
      <c r="ACU76" s="150">
        <f t="shared" si="979"/>
        <v>0.62201523877691012</v>
      </c>
      <c r="ACV76" s="149">
        <f t="shared" si="980"/>
        <v>0.73004798149447436</v>
      </c>
      <c r="ACW76" s="149">
        <f t="shared" si="827"/>
        <v>0.83475475698199075</v>
      </c>
      <c r="ACX76" s="149">
        <f t="shared" si="828"/>
        <v>0.90094187077913912</v>
      </c>
      <c r="ACY76" s="149">
        <f t="shared" si="829"/>
        <v>0.96046168014557243</v>
      </c>
      <c r="ACZ76" s="149">
        <f t="shared" si="830"/>
        <v>1.0321393100657998</v>
      </c>
      <c r="ADA76" s="81"/>
      <c r="ADB76" s="122">
        <v>74</v>
      </c>
      <c r="ADC76" s="149">
        <f t="shared" si="831"/>
        <v>0.26287185913203642</v>
      </c>
      <c r="ADD76" s="149">
        <f t="shared" si="832"/>
        <v>0.28447975829285677</v>
      </c>
      <c r="ADE76" s="149">
        <f t="shared" si="833"/>
        <v>0.30336501523321024</v>
      </c>
      <c r="ADF76" s="149">
        <f t="shared" si="834"/>
        <v>0.32547107107348539</v>
      </c>
      <c r="ADG76" s="149">
        <f t="shared" si="981"/>
        <v>0.36310562000382685</v>
      </c>
      <c r="ADH76" s="150">
        <f t="shared" si="982"/>
        <v>0.4061108294501638</v>
      </c>
      <c r="ADI76" s="149">
        <f t="shared" si="983"/>
        <v>0.45016713010247739</v>
      </c>
      <c r="ADJ76" s="149">
        <f t="shared" si="835"/>
        <v>0.49054074671343895</v>
      </c>
      <c r="ADK76" s="149">
        <f t="shared" si="836"/>
        <v>0.51511066824295337</v>
      </c>
      <c r="ADL76" s="149">
        <f t="shared" si="837"/>
        <v>0.53663755320538531</v>
      </c>
      <c r="ADM76" s="149">
        <f t="shared" si="838"/>
        <v>0.56191351581011739</v>
      </c>
      <c r="ADN76" s="81"/>
      <c r="ADO76" s="122">
        <v>74</v>
      </c>
      <c r="ADP76" s="149">
        <f t="shared" si="839"/>
        <v>0.31372263293086122</v>
      </c>
      <c r="ADQ76" s="149">
        <f t="shared" si="840"/>
        <v>0.33225072312766307</v>
      </c>
      <c r="ADR76" s="149">
        <f t="shared" si="841"/>
        <v>0.34851736278469708</v>
      </c>
      <c r="ADS76" s="149">
        <f t="shared" si="842"/>
        <v>0.36764790717854262</v>
      </c>
      <c r="ADT76" s="149">
        <f t="shared" si="984"/>
        <v>0.40044555332787124</v>
      </c>
      <c r="ADU76" s="150">
        <f t="shared" si="985"/>
        <v>0.43828346317871653</v>
      </c>
      <c r="ADV76" s="149">
        <f t="shared" si="986"/>
        <v>0.47744760658608837</v>
      </c>
      <c r="ADW76" s="149">
        <f t="shared" si="843"/>
        <v>0.51369399766246193</v>
      </c>
      <c r="ADX76" s="149">
        <f t="shared" si="844"/>
        <v>0.53591767096108267</v>
      </c>
      <c r="ADY76" s="149">
        <f t="shared" si="845"/>
        <v>0.55549092641768194</v>
      </c>
      <c r="ADZ76" s="149">
        <f t="shared" si="846"/>
        <v>0.57859367534925199</v>
      </c>
      <c r="AEA76" s="81"/>
      <c r="AEB76" s="122">
        <v>77</v>
      </c>
      <c r="AEC76" s="149">
        <f t="shared" si="847"/>
        <v>0.24452009061423219</v>
      </c>
      <c r="AED76" s="149">
        <f t="shared" si="848"/>
        <v>0.26650927263740931</v>
      </c>
      <c r="AEE76" s="149">
        <f t="shared" si="849"/>
        <v>0.2853629967461605</v>
      </c>
      <c r="AEF76" s="149">
        <f t="shared" si="850"/>
        <v>0.30703864629944616</v>
      </c>
      <c r="AEG76" s="149">
        <f t="shared" si="987"/>
        <v>0.34306368221243672</v>
      </c>
      <c r="AEH76" s="150">
        <f t="shared" si="988"/>
        <v>0.38303966118810456</v>
      </c>
      <c r="AEI76" s="149">
        <f t="shared" si="989"/>
        <v>0.42284913119402839</v>
      </c>
      <c r="AEJ76" s="149">
        <f t="shared" si="851"/>
        <v>0.45843806562152728</v>
      </c>
      <c r="AEK76" s="149">
        <f t="shared" si="852"/>
        <v>0.47971864575564455</v>
      </c>
      <c r="AEL76" s="149">
        <f t="shared" si="853"/>
        <v>0.49814575824555896</v>
      </c>
      <c r="AEM76" s="149">
        <f t="shared" si="854"/>
        <v>0.51953712279169528</v>
      </c>
      <c r="AEN76" s="81"/>
    </row>
    <row r="77" spans="1:820">
      <c r="A77" s="81"/>
      <c r="B77" s="81">
        <v>76</v>
      </c>
      <c r="C77" s="133">
        <f t="shared" si="495"/>
        <v>2.6355959139690879</v>
      </c>
      <c r="D77" s="133">
        <f t="shared" si="496"/>
        <v>3.2016032705253354</v>
      </c>
      <c r="E77" s="133">
        <f t="shared" si="497"/>
        <v>3.8065609789405186</v>
      </c>
      <c r="F77" s="133">
        <f t="shared" si="498"/>
        <v>4.6802909232918388</v>
      </c>
      <c r="G77" s="133">
        <f t="shared" si="855"/>
        <v>6.7299663466763322</v>
      </c>
      <c r="H77" s="134">
        <f t="shared" si="856"/>
        <v>10.404510600663915</v>
      </c>
      <c r="I77" s="133">
        <f t="shared" si="857"/>
        <v>16.708223453134206</v>
      </c>
      <c r="J77" s="133">
        <f t="shared" si="499"/>
        <v>26.552559133584204</v>
      </c>
      <c r="K77" s="133">
        <f t="shared" si="500"/>
        <v>35.766194058994174</v>
      </c>
      <c r="L77" s="133">
        <f t="shared" si="501"/>
        <v>46.959547157664076</v>
      </c>
      <c r="M77" s="133">
        <f t="shared" si="502"/>
        <v>65.630536012732023</v>
      </c>
      <c r="N77" s="81"/>
      <c r="O77" s="75">
        <v>76</v>
      </c>
      <c r="P77" s="151">
        <f t="shared" si="503"/>
        <v>3.3553978436174301</v>
      </c>
      <c r="Q77" s="151">
        <f t="shared" si="504"/>
        <v>3.9350525431503578</v>
      </c>
      <c r="R77" s="151">
        <f t="shared" si="505"/>
        <v>4.5524765258918753</v>
      </c>
      <c r="S77" s="151">
        <f t="shared" si="506"/>
        <v>5.4470459216978488</v>
      </c>
      <c r="T77" s="151">
        <f t="shared" si="858"/>
        <v>7.5884551469332049</v>
      </c>
      <c r="U77" s="134">
        <f t="shared" si="859"/>
        <v>11.673310385903751</v>
      </c>
      <c r="V77" s="151">
        <f t="shared" si="860"/>
        <v>19.663483917232369</v>
      </c>
      <c r="W77" s="151">
        <f t="shared" si="507"/>
        <v>35.272651643736957</v>
      </c>
      <c r="X77" s="151">
        <f t="shared" si="508"/>
        <v>54.233933715816306</v>
      </c>
      <c r="Y77" s="151">
        <f t="shared" si="509"/>
        <v>84.636703868155863</v>
      </c>
      <c r="Z77" s="151">
        <f t="shared" si="510"/>
        <v>161.06692178518938</v>
      </c>
      <c r="AA77" s="81"/>
      <c r="AB77" s="75"/>
      <c r="AC77" s="137"/>
      <c r="AD77" s="137"/>
      <c r="AE77" s="137"/>
      <c r="AF77" s="137"/>
      <c r="AG77" s="137"/>
      <c r="AH77" s="84"/>
      <c r="AI77" s="137"/>
      <c r="AJ77" s="137"/>
      <c r="AK77" s="137"/>
      <c r="AL77" s="137"/>
      <c r="AM77" s="137"/>
      <c r="AN77" s="81"/>
      <c r="AO77" s="81">
        <v>76</v>
      </c>
      <c r="AP77" s="133">
        <f t="shared" si="519"/>
        <v>2.8478369590212393</v>
      </c>
      <c r="AQ77" s="133">
        <f t="shared" si="520"/>
        <v>6.1161194757899251</v>
      </c>
      <c r="AR77" s="133">
        <f t="shared" si="521"/>
        <v>9.3221113788885752</v>
      </c>
      <c r="AS77" s="133">
        <f t="shared" si="522"/>
        <v>13.477401016773811</v>
      </c>
      <c r="AT77" s="133">
        <f t="shared" si="864"/>
        <v>21.517638252106046</v>
      </c>
      <c r="AU77" s="134">
        <f t="shared" si="865"/>
        <v>32.136871449007003</v>
      </c>
      <c r="AV77" s="133">
        <f t="shared" si="866"/>
        <v>44.530488487302826</v>
      </c>
      <c r="AW77" s="133">
        <f t="shared" si="523"/>
        <v>57.180354122852201</v>
      </c>
      <c r="AX77" s="133">
        <f t="shared" si="524"/>
        <v>65.464362448559427</v>
      </c>
      <c r="AY77" s="133">
        <f t="shared" si="525"/>
        <v>73.078088358102306</v>
      </c>
      <c r="AZ77" s="133">
        <f t="shared" si="526"/>
        <v>82.434069476754971</v>
      </c>
      <c r="BA77" s="81"/>
      <c r="BB77" s="81">
        <v>76</v>
      </c>
      <c r="BC77" s="133">
        <f t="shared" si="527"/>
        <v>5.5938482557995526</v>
      </c>
      <c r="BD77" s="133">
        <f t="shared" si="528"/>
        <v>9.4344489071723778</v>
      </c>
      <c r="BE77" s="133">
        <f t="shared" si="529"/>
        <v>13.068076184020448</v>
      </c>
      <c r="BF77" s="133">
        <f t="shared" si="530"/>
        <v>17.622393784327887</v>
      </c>
      <c r="BG77" s="133">
        <f t="shared" si="867"/>
        <v>26.054767852455459</v>
      </c>
      <c r="BH77" s="134">
        <f t="shared" si="868"/>
        <v>36.629102894095666</v>
      </c>
      <c r="BI77" s="133">
        <f t="shared" si="869"/>
        <v>48.386323826059353</v>
      </c>
      <c r="BJ77" s="133">
        <f t="shared" si="531"/>
        <v>59.901632106082779</v>
      </c>
      <c r="BK77" s="133">
        <f t="shared" si="532"/>
        <v>67.229878719019467</v>
      </c>
      <c r="BL77" s="133">
        <f t="shared" si="533"/>
        <v>73.838685837375237</v>
      </c>
      <c r="BM77" s="133">
        <f t="shared" si="534"/>
        <v>81.813157924345006</v>
      </c>
      <c r="BN77" s="81"/>
      <c r="BO77" s="75"/>
      <c r="BP77" s="137"/>
      <c r="BQ77" s="137"/>
      <c r="BR77" s="137"/>
      <c r="BS77" s="137"/>
      <c r="BT77" s="137"/>
      <c r="BU77" s="84"/>
      <c r="BV77" s="137"/>
      <c r="BW77" s="137"/>
      <c r="BX77" s="137"/>
      <c r="BY77" s="137"/>
      <c r="BZ77" s="137"/>
      <c r="CA77" s="81"/>
      <c r="CB77" s="81">
        <v>76</v>
      </c>
      <c r="CC77" s="133">
        <f t="shared" si="543"/>
        <v>-7.0004217057123341E-2</v>
      </c>
      <c r="CD77" s="133">
        <f t="shared" si="544"/>
        <v>3.2539416017484379</v>
      </c>
      <c r="CE77" s="133">
        <f t="shared" si="545"/>
        <v>6.3950461750145964</v>
      </c>
      <c r="CF77" s="133">
        <f t="shared" si="546"/>
        <v>10.302490464600346</v>
      </c>
      <c r="CG77" s="133">
        <f t="shared" si="873"/>
        <v>17.423936210657399</v>
      </c>
      <c r="CH77" s="134">
        <f t="shared" si="874"/>
        <v>26.144134719931454</v>
      </c>
      <c r="CI77" s="133">
        <f t="shared" si="875"/>
        <v>35.59333935377515</v>
      </c>
      <c r="CJ77" s="133">
        <f t="shared" si="547"/>
        <v>44.630993721823629</v>
      </c>
      <c r="CK77" s="133">
        <f t="shared" si="548"/>
        <v>50.284297229793381</v>
      </c>
      <c r="CL77" s="133">
        <f t="shared" si="549"/>
        <v>55.323439451115824</v>
      </c>
      <c r="CM77" s="133">
        <f t="shared" si="550"/>
        <v>61.33503184115812</v>
      </c>
      <c r="CN77" s="81"/>
      <c r="CO77" s="81">
        <v>76</v>
      </c>
      <c r="CP77" s="133">
        <f t="shared" si="551"/>
        <v>5.7694099177884004</v>
      </c>
      <c r="CQ77" s="133">
        <f t="shared" si="552"/>
        <v>8.9447028361225875</v>
      </c>
      <c r="CR77" s="133">
        <f t="shared" si="553"/>
        <v>11.851950896651044</v>
      </c>
      <c r="CS77" s="133">
        <f t="shared" si="554"/>
        <v>15.391044438113791</v>
      </c>
      <c r="CT77" s="133">
        <f t="shared" si="876"/>
        <v>21.705998841881062</v>
      </c>
      <c r="CU77" s="134">
        <f t="shared" si="877"/>
        <v>29.298098615848371</v>
      </c>
      <c r="CV77" s="133">
        <f t="shared" si="878"/>
        <v>37.42225463359059</v>
      </c>
      <c r="CW77" s="133">
        <f t="shared" si="555"/>
        <v>45.129349759996501</v>
      </c>
      <c r="CX77" s="133">
        <f t="shared" si="556"/>
        <v>49.928091471218984</v>
      </c>
      <c r="CY77" s="133">
        <f t="shared" si="557"/>
        <v>54.194240385113872</v>
      </c>
      <c r="CZ77" s="133">
        <f t="shared" si="558"/>
        <v>59.27216508147793</v>
      </c>
      <c r="DA77" s="81"/>
      <c r="DB77" s="81"/>
      <c r="DC77" s="83"/>
      <c r="DD77" s="83"/>
      <c r="DE77" s="83"/>
      <c r="DF77" s="83"/>
      <c r="DG77" s="83"/>
      <c r="DH77" s="84"/>
      <c r="DI77" s="83"/>
      <c r="DJ77" s="83"/>
      <c r="DK77" s="83"/>
      <c r="DL77" s="83"/>
      <c r="DM77" s="83"/>
      <c r="DN77" s="81"/>
      <c r="DO77" s="122">
        <v>76</v>
      </c>
      <c r="DP77" s="149">
        <v>14.768319253264513</v>
      </c>
      <c r="DQ77" s="149">
        <v>16.006264180547962</v>
      </c>
      <c r="DR77" s="149">
        <v>17.153649316476482</v>
      </c>
      <c r="DS77" s="149">
        <v>18.578958450819549</v>
      </c>
      <c r="DT77" s="149">
        <v>21.225036323422849</v>
      </c>
      <c r="DU77" s="150">
        <v>24.620789414817189</v>
      </c>
      <c r="DV77" s="149">
        <v>28.559822568587151</v>
      </c>
      <c r="DW77" s="149">
        <v>32.62740874378963</v>
      </c>
      <c r="DX77" s="149">
        <v>35.338443745991746</v>
      </c>
      <c r="DY77" s="149">
        <v>37.871627293610118</v>
      </c>
      <c r="DZ77" s="149">
        <v>41.046192258796012</v>
      </c>
      <c r="EA77" s="81"/>
      <c r="EB77" s="122">
        <v>76</v>
      </c>
      <c r="EC77" s="149">
        <v>13.839389570742972</v>
      </c>
      <c r="ED77" s="149">
        <v>15.3067797982778</v>
      </c>
      <c r="EE77" s="149">
        <v>16.692666966035915</v>
      </c>
      <c r="EF77" s="149">
        <v>18.446945483112806</v>
      </c>
      <c r="EG77" s="149">
        <v>21.793211399930549</v>
      </c>
      <c r="EH77" s="150">
        <v>26.24303166567994</v>
      </c>
      <c r="EI77" s="149">
        <v>31.601433050297249</v>
      </c>
      <c r="EJ77" s="149">
        <v>37.333915885225835</v>
      </c>
      <c r="EK77" s="149">
        <v>41.257440312392937</v>
      </c>
      <c r="EL77" s="149">
        <v>44.992919482866483</v>
      </c>
      <c r="EM77" s="149">
        <v>49.763517927251144</v>
      </c>
      <c r="EN77" s="122"/>
      <c r="EO77" s="122"/>
      <c r="EP77" s="126"/>
      <c r="EQ77" s="126"/>
      <c r="ER77" s="126"/>
      <c r="ES77" s="126"/>
      <c r="ET77" s="126"/>
      <c r="EU77" s="127"/>
      <c r="EV77" s="126"/>
      <c r="EW77" s="126"/>
      <c r="EX77" s="126"/>
      <c r="EY77" s="126"/>
      <c r="EZ77" s="126"/>
      <c r="FA77" s="81"/>
      <c r="FB77" s="122">
        <v>76</v>
      </c>
      <c r="FC77" s="149">
        <v>10.792439456966939</v>
      </c>
      <c r="FD77" s="149">
        <v>11.581705686083923</v>
      </c>
      <c r="FE77" s="149">
        <v>12.306531696178986</v>
      </c>
      <c r="FF77" s="149">
        <v>13.19868693063898</v>
      </c>
      <c r="FG77" s="149">
        <v>14.833206837352574</v>
      </c>
      <c r="FH77" s="150">
        <v>16.894666694239547</v>
      </c>
      <c r="FI77" s="149">
        <v>19.242620010575578</v>
      </c>
      <c r="FJ77" s="149">
        <v>21.625618079239391</v>
      </c>
      <c r="FK77" s="149">
        <v>23.193355346256421</v>
      </c>
      <c r="FL77" s="149">
        <v>24.644881371178951</v>
      </c>
      <c r="FM77" s="149">
        <v>26.447196099413013</v>
      </c>
      <c r="FN77" s="81"/>
      <c r="FO77" s="122">
        <v>76</v>
      </c>
      <c r="FP77" s="149">
        <v>10.70627540469148</v>
      </c>
      <c r="FQ77" s="149">
        <v>11.562461180475392</v>
      </c>
      <c r="FR77" s="149">
        <v>12.353394303014838</v>
      </c>
      <c r="FS77" s="149">
        <v>13.332669752239275</v>
      </c>
      <c r="FT77" s="149">
        <v>15.14206781828134</v>
      </c>
      <c r="FU77" s="150">
        <v>17.449639752670436</v>
      </c>
      <c r="FV77" s="149">
        <v>20.108873580024476</v>
      </c>
      <c r="FW77" s="149">
        <v>22.83788117131126</v>
      </c>
      <c r="FX77" s="149">
        <v>24.64828046682408</v>
      </c>
      <c r="FY77" s="149">
        <v>26.334352413839387</v>
      </c>
      <c r="FZ77" s="149">
        <v>28.440322706863036</v>
      </c>
      <c r="GA77" s="81"/>
      <c r="GB77" s="122"/>
      <c r="GC77" s="126"/>
      <c r="GD77" s="126"/>
      <c r="GE77" s="126"/>
      <c r="GF77" s="126"/>
      <c r="GG77" s="126"/>
      <c r="GH77" s="127"/>
      <c r="GI77" s="126"/>
      <c r="GJ77" s="126"/>
      <c r="GK77" s="126"/>
      <c r="GL77" s="126"/>
      <c r="GM77" s="126"/>
      <c r="GN77" s="81"/>
      <c r="GO77" s="122">
        <v>76</v>
      </c>
      <c r="GP77" s="149">
        <f t="shared" si="567"/>
        <v>0.54112222770383911</v>
      </c>
      <c r="GQ77" s="149">
        <f t="shared" si="568"/>
        <v>0.57180760523232388</v>
      </c>
      <c r="GR77" s="149">
        <f t="shared" si="569"/>
        <v>0.59686635626457152</v>
      </c>
      <c r="GS77" s="149">
        <f t="shared" si="570"/>
        <v>0.62443947355832319</v>
      </c>
      <c r="GT77" s="149">
        <f t="shared" si="882"/>
        <v>0.66899299611079122</v>
      </c>
      <c r="GU77" s="150">
        <f t="shared" si="883"/>
        <v>0.71278677088366083</v>
      </c>
      <c r="GV77" s="149">
        <f t="shared" si="884"/>
        <v>0.75389810076407582</v>
      </c>
      <c r="GW77" s="149">
        <f t="shared" si="571"/>
        <v>0.79080914323270624</v>
      </c>
      <c r="GX77" s="149">
        <f t="shared" si="572"/>
        <v>0.81148645829752608</v>
      </c>
      <c r="GY77" s="149">
        <f t="shared" si="573"/>
        <v>0.82897891838299176</v>
      </c>
      <c r="GZ77" s="149">
        <f t="shared" si="574"/>
        <v>0.8488380800604115</v>
      </c>
      <c r="HA77" s="81"/>
      <c r="HB77" s="122">
        <v>76</v>
      </c>
      <c r="HC77" s="149">
        <f t="shared" si="575"/>
        <v>0.54267863219874246</v>
      </c>
      <c r="HD77" s="149">
        <f t="shared" si="576"/>
        <v>0.57375199465391302</v>
      </c>
      <c r="HE77" s="149">
        <f t="shared" si="577"/>
        <v>0.59914016843916484</v>
      </c>
      <c r="HF77" s="149">
        <f t="shared" si="578"/>
        <v>0.62708819254124015</v>
      </c>
      <c r="HG77" s="149">
        <f t="shared" si="885"/>
        <v>0.67102812455059901</v>
      </c>
      <c r="HH77" s="150">
        <f t="shared" si="886"/>
        <v>0.71671787653852981</v>
      </c>
      <c r="HI77" s="149">
        <f t="shared" si="887"/>
        <v>0.75956154059544789</v>
      </c>
      <c r="HJ77" s="149">
        <f t="shared" si="579"/>
        <v>0.79596599474349949</v>
      </c>
      <c r="HK77" s="149">
        <f t="shared" si="580"/>
        <v>0.81698157150289241</v>
      </c>
      <c r="HL77" s="149">
        <f t="shared" si="581"/>
        <v>0.83476436378356522</v>
      </c>
      <c r="HM77" s="149">
        <f t="shared" si="582"/>
        <v>0.85495766339399681</v>
      </c>
      <c r="HN77" s="81"/>
      <c r="HO77" s="122"/>
      <c r="HP77" s="126"/>
      <c r="HQ77" s="126"/>
      <c r="HR77" s="126"/>
      <c r="HS77" s="126"/>
      <c r="HT77" s="126"/>
      <c r="HU77" s="127"/>
      <c r="HV77" s="126"/>
      <c r="HW77" s="126"/>
      <c r="HX77" s="126"/>
      <c r="HY77" s="126"/>
      <c r="HZ77" s="126"/>
      <c r="IA77" s="81"/>
      <c r="IB77" s="122">
        <v>76</v>
      </c>
      <c r="IC77" s="126">
        <f t="shared" si="591"/>
        <v>0.35200304524093068</v>
      </c>
      <c r="ID77" s="126">
        <f t="shared" si="592"/>
        <v>0.36413738213492053</v>
      </c>
      <c r="IE77" s="126">
        <f t="shared" si="593"/>
        <v>0.37378917516925331</v>
      </c>
      <c r="IF77" s="126">
        <f t="shared" si="594"/>
        <v>0.38416574277593757</v>
      </c>
      <c r="IG77" s="126">
        <f t="shared" si="891"/>
        <v>0.40000331682602591</v>
      </c>
      <c r="IH77" s="127">
        <f t="shared" si="892"/>
        <v>0.41591875935678907</v>
      </c>
      <c r="II77" s="126">
        <f t="shared" si="893"/>
        <v>0.43038657421263515</v>
      </c>
      <c r="IJ77" s="126">
        <f t="shared" si="595"/>
        <v>0.44236607608787853</v>
      </c>
      <c r="IK77" s="126">
        <f t="shared" si="596"/>
        <v>0.4491598729831634</v>
      </c>
      <c r="IL77" s="126">
        <f t="shared" si="597"/>
        <v>0.45484263618384713</v>
      </c>
      <c r="IM77" s="126">
        <f t="shared" si="598"/>
        <v>0.46122530946693263</v>
      </c>
      <c r="IN77" s="81"/>
      <c r="IO77" s="122">
        <v>76</v>
      </c>
      <c r="IP77" s="149">
        <f t="shared" si="599"/>
        <v>0.35223632783766495</v>
      </c>
      <c r="IQ77" s="149">
        <f t="shared" si="600"/>
        <v>0.36457093733311302</v>
      </c>
      <c r="IR77" s="149">
        <f t="shared" si="601"/>
        <v>0.37438219812105034</v>
      </c>
      <c r="IS77" s="149">
        <f t="shared" si="602"/>
        <v>0.38493067152229143</v>
      </c>
      <c r="IT77" s="149">
        <f t="shared" si="894"/>
        <v>0.40103207852494349</v>
      </c>
      <c r="IU77" s="150">
        <f t="shared" si="895"/>
        <v>0.41721502383157455</v>
      </c>
      <c r="IV77" s="149">
        <f t="shared" si="896"/>
        <v>0.43192851599529586</v>
      </c>
      <c r="IW77" s="149">
        <f t="shared" si="603"/>
        <v>0.44411346968724846</v>
      </c>
      <c r="IX77" s="149">
        <f t="shared" si="604"/>
        <v>0.45102465407079118</v>
      </c>
      <c r="IY77" s="149">
        <f t="shared" si="605"/>
        <v>0.45680611102865082</v>
      </c>
      <c r="IZ77" s="149">
        <f t="shared" si="606"/>
        <v>0.46330019370800118</v>
      </c>
      <c r="JA77" s="81"/>
      <c r="JB77" s="122"/>
      <c r="JC77" s="126"/>
      <c r="JD77" s="126"/>
      <c r="JE77" s="126"/>
      <c r="JF77" s="126"/>
      <c r="JG77" s="126"/>
      <c r="JH77" s="127"/>
      <c r="JI77" s="126"/>
      <c r="JJ77" s="126"/>
      <c r="JK77" s="126"/>
      <c r="JL77" s="126"/>
      <c r="JM77" s="126"/>
      <c r="JN77" s="81"/>
      <c r="JO77" s="122">
        <v>75</v>
      </c>
      <c r="JP77" s="149">
        <f t="shared" si="615"/>
        <v>3.8565265518467804</v>
      </c>
      <c r="JQ77" s="149">
        <f t="shared" si="616"/>
        <v>5.258471393054343</v>
      </c>
      <c r="JR77" s="149">
        <f t="shared" si="617"/>
        <v>6.4748771834994798</v>
      </c>
      <c r="JS77" s="149">
        <f t="shared" si="618"/>
        <v>7.8891579386685429</v>
      </c>
      <c r="JT77" s="149">
        <f t="shared" si="900"/>
        <v>10.275602075217144</v>
      </c>
      <c r="JU77" s="150">
        <f t="shared" si="901"/>
        <v>12.973749505517073</v>
      </c>
      <c r="JV77" s="149">
        <f t="shared" si="902"/>
        <v>15.710175375881935</v>
      </c>
      <c r="JW77" s="149">
        <f t="shared" si="619"/>
        <v>18.196301175604095</v>
      </c>
      <c r="JX77" s="149">
        <f t="shared" si="620"/>
        <v>19.700161292670277</v>
      </c>
      <c r="JY77" s="149">
        <f t="shared" si="621"/>
        <v>21.012515738659882</v>
      </c>
      <c r="JZ77" s="149">
        <f t="shared" si="622"/>
        <v>22.54752626209817</v>
      </c>
      <c r="KA77" s="81"/>
      <c r="KB77" s="122">
        <v>75</v>
      </c>
      <c r="KC77" s="149">
        <f t="shared" si="623"/>
        <v>5.3593433229409673</v>
      </c>
      <c r="KD77" s="149">
        <f t="shared" si="624"/>
        <v>6.8206677066973374</v>
      </c>
      <c r="KE77" s="149">
        <f t="shared" si="625"/>
        <v>8.1071320117643584</v>
      </c>
      <c r="KF77" s="149">
        <f t="shared" si="626"/>
        <v>9.6234765954052772</v>
      </c>
      <c r="KG77" s="149">
        <f t="shared" si="903"/>
        <v>12.229581530588719</v>
      </c>
      <c r="KH77" s="150">
        <f t="shared" si="904"/>
        <v>15.243051570914941</v>
      </c>
      <c r="KI77" s="149">
        <f t="shared" si="905"/>
        <v>18.366520196035125</v>
      </c>
      <c r="KJ77" s="149">
        <f t="shared" si="627"/>
        <v>21.258965475707043</v>
      </c>
      <c r="KK77" s="149">
        <f t="shared" si="628"/>
        <v>23.032496762928865</v>
      </c>
      <c r="KL77" s="149">
        <f t="shared" si="629"/>
        <v>24.594293782002865</v>
      </c>
      <c r="KM77" s="149">
        <f t="shared" si="630"/>
        <v>26.437221681526665</v>
      </c>
      <c r="KN77" s="81"/>
      <c r="KO77" s="122">
        <v>77</v>
      </c>
      <c r="KP77" s="149">
        <f t="shared" si="631"/>
        <v>5.0099127254497198</v>
      </c>
      <c r="KQ77" s="149">
        <f t="shared" si="632"/>
        <v>6.062387487234858</v>
      </c>
      <c r="KR77" s="149">
        <f t="shared" si="633"/>
        <v>6.9656083457193674</v>
      </c>
      <c r="KS77" s="149">
        <f t="shared" si="634"/>
        <v>8.0048006303040466</v>
      </c>
      <c r="KT77" s="149">
        <f t="shared" si="906"/>
        <v>9.7334381382630539</v>
      </c>
      <c r="KU77" s="150">
        <f t="shared" si="907"/>
        <v>11.653322209228467</v>
      </c>
      <c r="KV77" s="149">
        <f t="shared" si="908"/>
        <v>13.566453185733916</v>
      </c>
      <c r="KW77" s="149">
        <f t="shared" si="635"/>
        <v>15.277492592628082</v>
      </c>
      <c r="KX77" s="149">
        <f t="shared" si="636"/>
        <v>16.300855119021559</v>
      </c>
      <c r="KY77" s="149">
        <f t="shared" si="637"/>
        <v>17.187104690835259</v>
      </c>
      <c r="KZ77" s="149">
        <f t="shared" si="638"/>
        <v>18.216015385607374</v>
      </c>
      <c r="LA77" s="81"/>
      <c r="LB77" s="122">
        <v>75</v>
      </c>
      <c r="LC77" s="149">
        <f t="shared" si="639"/>
        <v>12.84237521810428</v>
      </c>
      <c r="LD77" s="149">
        <f t="shared" si="640"/>
        <v>16.480501662705954</v>
      </c>
      <c r="LE77" s="149">
        <f t="shared" si="641"/>
        <v>19.651541211652102</v>
      </c>
      <c r="LF77" s="149">
        <f t="shared" si="642"/>
        <v>23.354004003949434</v>
      </c>
      <c r="LG77" s="149">
        <f t="shared" si="909"/>
        <v>29.636298698880843</v>
      </c>
      <c r="LH77" s="150">
        <f t="shared" si="910"/>
        <v>36.786512277862364</v>
      </c>
      <c r="LI77" s="149">
        <f t="shared" si="911"/>
        <v>44.083852166549285</v>
      </c>
      <c r="LJ77" s="149">
        <f t="shared" si="643"/>
        <v>50.749508928436647</v>
      </c>
      <c r="LK77" s="149">
        <f t="shared" si="644"/>
        <v>54.796767240171043</v>
      </c>
      <c r="LL77" s="149">
        <f t="shared" si="645"/>
        <v>58.337424759866003</v>
      </c>
      <c r="LM77" s="149">
        <f t="shared" si="646"/>
        <v>62.488691964571025</v>
      </c>
      <c r="LN77" s="81"/>
      <c r="LO77" s="122">
        <v>75</v>
      </c>
      <c r="LP77" s="149">
        <f t="shared" si="647"/>
        <v>18.361883571237232</v>
      </c>
      <c r="LQ77" s="149">
        <f t="shared" si="648"/>
        <v>22.173124517729104</v>
      </c>
      <c r="LR77" s="149">
        <f t="shared" si="649"/>
        <v>25.501991018241188</v>
      </c>
      <c r="LS77" s="149">
        <f t="shared" si="650"/>
        <v>29.396398788680489</v>
      </c>
      <c r="LT77" s="149">
        <f t="shared" si="912"/>
        <v>36.021931844000832</v>
      </c>
      <c r="LU77" s="150">
        <f t="shared" si="913"/>
        <v>43.587385671759165</v>
      </c>
      <c r="LV77" s="149">
        <f t="shared" si="914"/>
        <v>51.332964851748116</v>
      </c>
      <c r="LW77" s="149">
        <f t="shared" si="651"/>
        <v>58.427766117977995</v>
      </c>
      <c r="LX77" s="149">
        <f t="shared" si="652"/>
        <v>62.744135816850402</v>
      </c>
      <c r="LY77" s="149">
        <f t="shared" si="653"/>
        <v>66.525238446689087</v>
      </c>
      <c r="LZ77" s="149">
        <f t="shared" si="654"/>
        <v>70.964139192506465</v>
      </c>
      <c r="MA77" s="81"/>
      <c r="MB77" s="122">
        <v>77</v>
      </c>
      <c r="MC77" s="149">
        <f t="shared" si="655"/>
        <v>14.875068124515238</v>
      </c>
      <c r="MD77" s="149">
        <f t="shared" si="656"/>
        <v>17.518132470967359</v>
      </c>
      <c r="ME77" s="149">
        <f t="shared" si="657"/>
        <v>19.804257364794751</v>
      </c>
      <c r="MF77" s="149">
        <f t="shared" si="658"/>
        <v>22.454365716434253</v>
      </c>
      <c r="MG77" s="149">
        <f t="shared" si="915"/>
        <v>26.908051764342872</v>
      </c>
      <c r="MH77" s="150">
        <f t="shared" si="916"/>
        <v>31.918134381368183</v>
      </c>
      <c r="MI77" s="149">
        <f t="shared" si="917"/>
        <v>36.974125356319995</v>
      </c>
      <c r="MJ77" s="149">
        <f t="shared" si="659"/>
        <v>41.547385768021989</v>
      </c>
      <c r="MK77" s="149">
        <f t="shared" si="660"/>
        <v>44.304979222387693</v>
      </c>
      <c r="ML77" s="149">
        <f t="shared" si="661"/>
        <v>46.706262363536034</v>
      </c>
      <c r="MM77" s="149">
        <f t="shared" si="662"/>
        <v>49.509085999349516</v>
      </c>
      <c r="MN77" s="81"/>
      <c r="MO77" s="122">
        <v>75</v>
      </c>
      <c r="MP77" s="149">
        <f t="shared" si="663"/>
        <v>6.726128274233993</v>
      </c>
      <c r="MQ77" s="149">
        <f t="shared" si="664"/>
        <v>10.657926890988215</v>
      </c>
      <c r="MR77" s="149">
        <f t="shared" si="665"/>
        <v>14.047848413319777</v>
      </c>
      <c r="MS77" s="149">
        <f t="shared" si="666"/>
        <v>17.965152749006755</v>
      </c>
      <c r="MT77" s="149">
        <f t="shared" si="918"/>
        <v>24.519571655218733</v>
      </c>
      <c r="MU77" s="150">
        <f t="shared" si="919"/>
        <v>31.851442871386119</v>
      </c>
      <c r="MV77" s="149">
        <f t="shared" si="920"/>
        <v>39.208429052937497</v>
      </c>
      <c r="MW77" s="149">
        <f t="shared" si="667"/>
        <v>45.828534288462869</v>
      </c>
      <c r="MX77" s="149">
        <f t="shared" si="668"/>
        <v>49.805227311011954</v>
      </c>
      <c r="MY77" s="149">
        <f t="shared" si="669"/>
        <v>53.259150431898568</v>
      </c>
      <c r="MZ77" s="149">
        <f t="shared" si="670"/>
        <v>57.280403575052922</v>
      </c>
      <c r="NA77" s="81"/>
      <c r="NB77" s="122">
        <v>75</v>
      </c>
      <c r="NC77" s="149">
        <f t="shared" si="671"/>
        <v>18.273817524921444</v>
      </c>
      <c r="ND77" s="149">
        <f t="shared" si="672"/>
        <v>21.457239130793415</v>
      </c>
      <c r="NE77" s="149">
        <f t="shared" si="673"/>
        <v>24.202409408857857</v>
      </c>
      <c r="NF77" s="149">
        <f t="shared" si="674"/>
        <v>27.375304007771117</v>
      </c>
      <c r="NG77" s="149">
        <f t="shared" si="921"/>
        <v>32.685910206825511</v>
      </c>
      <c r="NH77" s="150">
        <f t="shared" si="922"/>
        <v>38.629211341459126</v>
      </c>
      <c r="NI77" s="149">
        <f t="shared" si="923"/>
        <v>44.59595955756869</v>
      </c>
      <c r="NJ77" s="149">
        <f t="shared" si="675"/>
        <v>49.967764282184859</v>
      </c>
      <c r="NK77" s="149">
        <f t="shared" si="676"/>
        <v>53.195830228696323</v>
      </c>
      <c r="NL77" s="149">
        <f t="shared" si="677"/>
        <v>56.00028256904119</v>
      </c>
      <c r="NM77" s="149">
        <f t="shared" si="678"/>
        <v>59.266249001189749</v>
      </c>
      <c r="NN77" s="81"/>
      <c r="NO77" s="122">
        <v>77</v>
      </c>
      <c r="NP77" s="149">
        <f t="shared" si="679"/>
        <v>3.9347234285607868</v>
      </c>
      <c r="NQ77" s="149">
        <f t="shared" si="680"/>
        <v>7.4510583794588001</v>
      </c>
      <c r="NR77" s="149">
        <f t="shared" si="681"/>
        <v>10.476414067814268</v>
      </c>
      <c r="NS77" s="149">
        <f t="shared" si="682"/>
        <v>13.96565256474338</v>
      </c>
      <c r="NT77" s="149">
        <f t="shared" si="924"/>
        <v>19.788942598062796</v>
      </c>
      <c r="NU77" s="150">
        <f t="shared" si="925"/>
        <v>26.283041661280649</v>
      </c>
      <c r="NV77" s="149">
        <f t="shared" si="926"/>
        <v>32.780480338871918</v>
      </c>
      <c r="NW77" s="149">
        <f t="shared" si="683"/>
        <v>38.612506004160942</v>
      </c>
      <c r="NX77" s="149">
        <f t="shared" si="684"/>
        <v>42.109643997801378</v>
      </c>
      <c r="NY77" s="149">
        <f t="shared" si="685"/>
        <v>45.14351423261612</v>
      </c>
      <c r="NZ77" s="149">
        <f t="shared" si="686"/>
        <v>48.671752437133414</v>
      </c>
      <c r="OA77" s="81"/>
      <c r="OB77" s="122">
        <v>75</v>
      </c>
      <c r="OC77" s="149">
        <v>15.834656909307833</v>
      </c>
      <c r="OD77" s="149">
        <v>17.132969544540821</v>
      </c>
      <c r="OE77" s="149">
        <v>18.33441746329623</v>
      </c>
      <c r="OF77" s="149">
        <v>19.824544185701328</v>
      </c>
      <c r="OG77" s="149">
        <v>22.584715275039621</v>
      </c>
      <c r="OH77" s="150">
        <v>26.116391912343438</v>
      </c>
      <c r="OI77" s="149">
        <v>30.200333199370881</v>
      </c>
      <c r="OJ77" s="149">
        <v>34.405125289642996</v>
      </c>
      <c r="OK77" s="149">
        <v>37.201396111141754</v>
      </c>
      <c r="OL77" s="149">
        <v>39.810140603235261</v>
      </c>
      <c r="OM77" s="149">
        <v>43.074247230338763</v>
      </c>
      <c r="ON77" s="81"/>
      <c r="OO77" s="122">
        <v>75</v>
      </c>
      <c r="OP77" s="149">
        <v>18.966194717815647</v>
      </c>
      <c r="OQ77" s="149">
        <v>19.991739913162547</v>
      </c>
      <c r="OR77" s="149">
        <v>20.918009715388479</v>
      </c>
      <c r="OS77" s="149">
        <v>22.039328805144773</v>
      </c>
      <c r="OT77" s="149">
        <v>24.659886214678544</v>
      </c>
      <c r="OU77" s="150">
        <v>26.496913291428882</v>
      </c>
      <c r="OV77" s="149">
        <v>29.198549874365462</v>
      </c>
      <c r="OW77" s="149">
        <v>31.856070580951997</v>
      </c>
      <c r="OX77" s="149">
        <v>33.563729223101255</v>
      </c>
      <c r="OY77" s="149">
        <v>35.118824925850873</v>
      </c>
      <c r="OZ77" s="149">
        <v>37.017779497645073</v>
      </c>
      <c r="PA77" s="81"/>
      <c r="PB77" s="122">
        <v>77</v>
      </c>
      <c r="PC77" s="149">
        <v>12.520516771185772</v>
      </c>
      <c r="PD77" s="149">
        <v>13.992084668673826</v>
      </c>
      <c r="PE77" s="149">
        <v>15.395321887437072</v>
      </c>
      <c r="PF77" s="149">
        <v>17.188698037253015</v>
      </c>
      <c r="PG77" s="149">
        <v>20.657238651363713</v>
      </c>
      <c r="PH77" s="150">
        <v>25.354161678919208</v>
      </c>
      <c r="PI77" s="149">
        <v>31.11904380299822</v>
      </c>
      <c r="PJ77" s="149">
        <v>37.398615825792277</v>
      </c>
      <c r="PK77" s="149">
        <v>41.755120103421923</v>
      </c>
      <c r="PL77" s="149">
        <v>45.942654698193962</v>
      </c>
      <c r="PM77" s="149">
        <v>51.342410715839399</v>
      </c>
      <c r="PN77" s="81"/>
      <c r="PO77" s="122">
        <v>75</v>
      </c>
      <c r="PP77" s="149">
        <v>11.448115414956211</v>
      </c>
      <c r="PQ77" s="149">
        <v>12.402022267948158</v>
      </c>
      <c r="PR77" s="149">
        <v>13.2857690275208</v>
      </c>
      <c r="PS77" s="149">
        <v>14.383110572345348</v>
      </c>
      <c r="PT77" s="149">
        <v>16.419064388405936</v>
      </c>
      <c r="PU77" s="150">
        <v>19.029722692117303</v>
      </c>
      <c r="PV77" s="149">
        <v>22.055479969650214</v>
      </c>
      <c r="PW77" s="149">
        <v>25.177470750670476</v>
      </c>
      <c r="PX77" s="149">
        <v>27.25701048909923</v>
      </c>
      <c r="PY77" s="149">
        <v>29.199298139850594</v>
      </c>
      <c r="PZ77" s="149">
        <v>31.632310875009587</v>
      </c>
      <c r="QA77" s="81"/>
      <c r="QB77" s="122">
        <v>75</v>
      </c>
      <c r="QC77" s="149">
        <v>12.024772591627674</v>
      </c>
      <c r="QD77" s="149">
        <v>12.999590372253559</v>
      </c>
      <c r="QE77" s="149">
        <v>13.900963326164716</v>
      </c>
      <c r="QF77" s="149">
        <v>15.018028548377069</v>
      </c>
      <c r="QG77" s="149">
        <v>17.084817107376967</v>
      </c>
      <c r="QH77" s="150">
        <v>19.725341550406974</v>
      </c>
      <c r="QI77" s="149">
        <v>22.773969240338484</v>
      </c>
      <c r="QJ77" s="149">
        <v>25.908134215276803</v>
      </c>
      <c r="QK77" s="149">
        <v>27.990081705190835</v>
      </c>
      <c r="QL77" s="149">
        <v>29.930873830508308</v>
      </c>
      <c r="QM77" s="149">
        <v>32.357293771286585</v>
      </c>
      <c r="QN77" s="81"/>
      <c r="QO77" s="122">
        <v>77</v>
      </c>
      <c r="QP77" s="149">
        <v>9.1863546987727496</v>
      </c>
      <c r="QQ77" s="149">
        <v>10.157180160586615</v>
      </c>
      <c r="QR77" s="149">
        <v>11.073814951216942</v>
      </c>
      <c r="QS77" s="149">
        <v>12.233766725193895</v>
      </c>
      <c r="QT77" s="149">
        <v>14.445428206996569</v>
      </c>
      <c r="QU77" s="150">
        <v>17.384839723095709</v>
      </c>
      <c r="QV77" s="149">
        <v>20.922374045744217</v>
      </c>
      <c r="QW77" s="149">
        <v>24.704791172396369</v>
      </c>
      <c r="QX77" s="149">
        <v>27.292550356777735</v>
      </c>
      <c r="QY77" s="149">
        <v>29.755566743858115</v>
      </c>
      <c r="QZ77" s="149">
        <v>32.900172278140232</v>
      </c>
      <c r="RA77" s="81"/>
      <c r="RB77" s="122">
        <v>75</v>
      </c>
      <c r="RC77" s="149">
        <f t="shared" si="687"/>
        <v>0.45827123181284596</v>
      </c>
      <c r="RD77" s="149">
        <f t="shared" si="688"/>
        <v>0.50023345061938995</v>
      </c>
      <c r="RE77" s="149">
        <f t="shared" si="689"/>
        <v>0.53990038421332731</v>
      </c>
      <c r="RF77" s="149">
        <f t="shared" si="690"/>
        <v>0.59021837684148215</v>
      </c>
      <c r="RG77" s="149">
        <f t="shared" si="927"/>
        <v>0.6867133359129729</v>
      </c>
      <c r="RH77" s="150">
        <f t="shared" si="928"/>
        <v>0.81644680105182432</v>
      </c>
      <c r="RI77" s="149">
        <f t="shared" si="929"/>
        <v>0.97529947755148527</v>
      </c>
      <c r="RJ77" s="149">
        <f t="shared" si="691"/>
        <v>1.1488316592852028</v>
      </c>
      <c r="RK77" s="149">
        <f t="shared" si="692"/>
        <v>1.2698862498358636</v>
      </c>
      <c r="RL77" s="149">
        <f t="shared" si="693"/>
        <v>1.3869257435238369</v>
      </c>
      <c r="RM77" s="149">
        <f t="shared" si="694"/>
        <v>1.5389886072109176</v>
      </c>
      <c r="RN77" s="81"/>
      <c r="RO77" s="122">
        <v>75</v>
      </c>
      <c r="RP77" s="149">
        <f t="shared" si="695"/>
        <v>0.5045998226771149</v>
      </c>
      <c r="RQ77" s="149">
        <f t="shared" si="696"/>
        <v>0.55360052975199081</v>
      </c>
      <c r="RR77" s="149">
        <f t="shared" si="697"/>
        <v>0.60043565097892226</v>
      </c>
      <c r="RS77" s="149">
        <f t="shared" si="698"/>
        <v>0.66055634052084533</v>
      </c>
      <c r="RT77" s="149">
        <f t="shared" si="930"/>
        <v>0.77802779067461603</v>
      </c>
      <c r="RU77" s="150">
        <f t="shared" si="931"/>
        <v>0.94035219092347277</v>
      </c>
      <c r="RV77" s="149">
        <f t="shared" si="932"/>
        <v>1.1457283980098578</v>
      </c>
      <c r="RW77" s="149">
        <f t="shared" si="699"/>
        <v>1.378103448666443</v>
      </c>
      <c r="RX77" s="149">
        <f t="shared" si="700"/>
        <v>1.5450078593448546</v>
      </c>
      <c r="RY77" s="149">
        <f t="shared" si="701"/>
        <v>1.710033330878302</v>
      </c>
      <c r="RZ77" s="149">
        <f t="shared" si="702"/>
        <v>1.9296973297928188</v>
      </c>
      <c r="SA77" s="81"/>
      <c r="SB77" s="122">
        <v>77</v>
      </c>
      <c r="SC77" s="149">
        <f t="shared" si="703"/>
        <v>0.4767484289384385</v>
      </c>
      <c r="SD77" s="149">
        <f t="shared" si="704"/>
        <v>0.51187926788923654</v>
      </c>
      <c r="SE77" s="149">
        <f t="shared" si="705"/>
        <v>0.54418600088286506</v>
      </c>
      <c r="SF77" s="149">
        <f t="shared" si="706"/>
        <v>0.58400760255486583</v>
      </c>
      <c r="SG77" s="149">
        <f t="shared" si="933"/>
        <v>0.65712218729709382</v>
      </c>
      <c r="SH77" s="150">
        <f t="shared" si="934"/>
        <v>0.74961229820264985</v>
      </c>
      <c r="SI77" s="149">
        <f t="shared" si="935"/>
        <v>0.85531354267710402</v>
      </c>
      <c r="SJ77" s="149">
        <f t="shared" si="707"/>
        <v>0.96295924266047195</v>
      </c>
      <c r="SK77" s="149">
        <f t="shared" si="708"/>
        <v>1.0339690840117062</v>
      </c>
      <c r="SL77" s="149">
        <f t="shared" si="709"/>
        <v>1.0998451093742738</v>
      </c>
      <c r="SM77" s="149">
        <f t="shared" si="710"/>
        <v>1.1818091397908257</v>
      </c>
      <c r="SN77" s="81"/>
      <c r="SO77" s="122">
        <v>75</v>
      </c>
      <c r="SP77" s="149">
        <f t="shared" si="711"/>
        <v>0.315309010667426</v>
      </c>
      <c r="SQ77" s="149">
        <f t="shared" si="712"/>
        <v>0.33415127455046045</v>
      </c>
      <c r="SR77" s="149">
        <f t="shared" si="713"/>
        <v>0.35101857336107584</v>
      </c>
      <c r="SS77" s="149">
        <f t="shared" si="714"/>
        <v>0.37124592942192841</v>
      </c>
      <c r="ST77" s="149">
        <f t="shared" si="936"/>
        <v>0.40691055152925354</v>
      </c>
      <c r="SU77" s="150">
        <f t="shared" si="937"/>
        <v>0.44961230026724053</v>
      </c>
      <c r="SV77" s="149">
        <f t="shared" si="938"/>
        <v>0.49557581404798295</v>
      </c>
      <c r="SW77" s="149">
        <f t="shared" si="715"/>
        <v>0.53972178213889466</v>
      </c>
      <c r="SX77" s="149">
        <f t="shared" si="716"/>
        <v>0.5675552201604902</v>
      </c>
      <c r="SY77" s="149">
        <f t="shared" si="717"/>
        <v>0.5925528004318904</v>
      </c>
      <c r="SZ77" s="149">
        <f t="shared" si="718"/>
        <v>0.62264184135455991</v>
      </c>
      <c r="TA77" s="81"/>
      <c r="TB77" s="122">
        <v>75</v>
      </c>
      <c r="TC77" s="149">
        <f t="shared" si="719"/>
        <v>0.33640772711976036</v>
      </c>
      <c r="TD77" s="149">
        <f t="shared" si="720"/>
        <v>0.35699323224592283</v>
      </c>
      <c r="TE77" s="149">
        <f t="shared" si="721"/>
        <v>0.37551993002088752</v>
      </c>
      <c r="TF77" s="149">
        <f t="shared" si="722"/>
        <v>0.39785856749043474</v>
      </c>
      <c r="TG77" s="149">
        <f t="shared" si="939"/>
        <v>0.43756169817873164</v>
      </c>
      <c r="TH77" s="150">
        <f t="shared" si="940"/>
        <v>0.48561493099823444</v>
      </c>
      <c r="TI77" s="149">
        <f t="shared" si="941"/>
        <v>0.53794626682661417</v>
      </c>
      <c r="TJ77" s="149">
        <f t="shared" si="723"/>
        <v>0.58878068371152836</v>
      </c>
      <c r="TK77" s="149">
        <f t="shared" si="724"/>
        <v>0.62111074112965248</v>
      </c>
      <c r="TL77" s="149">
        <f t="shared" si="725"/>
        <v>0.65032671292306909</v>
      </c>
      <c r="TM77" s="149">
        <f t="shared" si="726"/>
        <v>0.68571465147150179</v>
      </c>
      <c r="TN77" s="81"/>
      <c r="TO77" s="122">
        <v>77</v>
      </c>
      <c r="TP77" s="149">
        <f t="shared" si="727"/>
        <v>0.32391274381385693</v>
      </c>
      <c r="TQ77" s="149">
        <f t="shared" si="728"/>
        <v>0.33930639148315139</v>
      </c>
      <c r="TR77" s="149">
        <f t="shared" si="729"/>
        <v>0.35286845196263811</v>
      </c>
      <c r="TS77" s="149">
        <f t="shared" si="730"/>
        <v>0.3688770437611244</v>
      </c>
      <c r="TT77" s="149">
        <f t="shared" si="942"/>
        <v>0.39647567650045801</v>
      </c>
      <c r="TU77" s="150">
        <f t="shared" si="943"/>
        <v>0.42856427928236562</v>
      </c>
      <c r="TV77" s="149">
        <f t="shared" si="944"/>
        <v>0.46206554149981738</v>
      </c>
      <c r="TW77" s="149">
        <f t="shared" si="731"/>
        <v>0.49333589047452747</v>
      </c>
      <c r="TX77" s="149">
        <f t="shared" si="732"/>
        <v>0.51263540900039739</v>
      </c>
      <c r="TY77" s="149">
        <f t="shared" si="733"/>
        <v>0.52971324568987499</v>
      </c>
      <c r="TZ77" s="149">
        <f t="shared" si="734"/>
        <v>0.54996700768222873</v>
      </c>
      <c r="UA77" s="81"/>
      <c r="UB77" s="122">
        <v>75</v>
      </c>
      <c r="UC77" s="149">
        <f t="shared" si="735"/>
        <v>-4.7291579440565457</v>
      </c>
      <c r="UD77" s="149">
        <f t="shared" si="736"/>
        <v>-1.9871397725540163</v>
      </c>
      <c r="UE77" s="149">
        <f t="shared" si="737"/>
        <v>0.33098796054417789</v>
      </c>
      <c r="UF77" s="149">
        <f t="shared" si="738"/>
        <v>2.9608747628445826</v>
      </c>
      <c r="UG77" s="149">
        <f t="shared" si="945"/>
        <v>7.2544152300578162</v>
      </c>
      <c r="UH77" s="150">
        <f t="shared" si="946"/>
        <v>11.915440865037226</v>
      </c>
      <c r="UI77" s="149">
        <f t="shared" si="947"/>
        <v>16.459175218155295</v>
      </c>
      <c r="UJ77" s="149">
        <f t="shared" si="739"/>
        <v>20.44579357179154</v>
      </c>
      <c r="UK77" s="149">
        <f t="shared" si="740"/>
        <v>22.798000917987281</v>
      </c>
      <c r="UL77" s="149">
        <f t="shared" si="741"/>
        <v>24.816700641244083</v>
      </c>
      <c r="UM77" s="149">
        <f t="shared" si="742"/>
        <v>27.139928277892238</v>
      </c>
      <c r="UN77" s="81"/>
      <c r="UO77" s="122">
        <v>75</v>
      </c>
      <c r="UP77" s="149">
        <f t="shared" si="743"/>
        <v>-0.51609708433299772</v>
      </c>
      <c r="UQ77" s="149">
        <f t="shared" si="744"/>
        <v>1.9087327361387949</v>
      </c>
      <c r="UR77" s="149">
        <f t="shared" si="745"/>
        <v>3.9915909186755911</v>
      </c>
      <c r="US77" s="149">
        <f t="shared" si="746"/>
        <v>6.3901705714699162</v>
      </c>
      <c r="UT77" s="149">
        <f t="shared" si="948"/>
        <v>10.385172514949637</v>
      </c>
      <c r="UU77" s="150">
        <f t="shared" si="949"/>
        <v>14.829522546965798</v>
      </c>
      <c r="UV77" s="149">
        <f t="shared" si="950"/>
        <v>19.265785672233832</v>
      </c>
      <c r="UW77" s="149">
        <f t="shared" si="747"/>
        <v>23.239653730771956</v>
      </c>
      <c r="UX77" s="149">
        <f t="shared" si="748"/>
        <v>25.619147377175011</v>
      </c>
      <c r="UY77" s="149">
        <f t="shared" si="749"/>
        <v>27.681461152823431</v>
      </c>
      <c r="UZ77" s="149">
        <f t="shared" si="750"/>
        <v>30.077620188745662</v>
      </c>
      <c r="VA77" s="81"/>
      <c r="VB77" s="122">
        <v>78</v>
      </c>
      <c r="VC77" s="149">
        <f t="shared" si="751"/>
        <v>-4.5881095107924708</v>
      </c>
      <c r="VD77" s="149">
        <f t="shared" si="752"/>
        <v>-2.1107641631818765</v>
      </c>
      <c r="VE77" s="149">
        <f t="shared" si="753"/>
        <v>-2.9837932761743957E-2</v>
      </c>
      <c r="VF77" s="149">
        <f t="shared" si="754"/>
        <v>2.3168395586271373</v>
      </c>
      <c r="VG77" s="149">
        <f t="shared" si="951"/>
        <v>6.1177553491929615</v>
      </c>
      <c r="VH77" s="150">
        <f t="shared" si="952"/>
        <v>10.204548329101016</v>
      </c>
      <c r="VI77" s="149">
        <f t="shared" si="953"/>
        <v>14.152054827991293</v>
      </c>
      <c r="VJ77" s="149">
        <f t="shared" si="755"/>
        <v>17.588032948947401</v>
      </c>
      <c r="VK77" s="149">
        <f t="shared" si="756"/>
        <v>19.603961436478741</v>
      </c>
      <c r="VL77" s="149">
        <f t="shared" si="757"/>
        <v>21.327602728758535</v>
      </c>
      <c r="VM77" s="149">
        <f t="shared" si="758"/>
        <v>23.304114749289681</v>
      </c>
      <c r="VN77" s="81"/>
      <c r="VO77" s="122">
        <v>75</v>
      </c>
      <c r="VP77" s="149">
        <f t="shared" si="759"/>
        <v>-6.5673590718718557</v>
      </c>
      <c r="VQ77" s="149">
        <f t="shared" si="760"/>
        <v>-1.7097308001908758</v>
      </c>
      <c r="VR77" s="149">
        <f t="shared" si="761"/>
        <v>2.6210685023240075</v>
      </c>
      <c r="VS77" s="149">
        <f t="shared" si="762"/>
        <v>7.7872223608713824</v>
      </c>
      <c r="VT77" s="149">
        <f t="shared" si="954"/>
        <v>16.810713762333926</v>
      </c>
      <c r="VU77" s="150">
        <f t="shared" si="955"/>
        <v>27.453555332308873</v>
      </c>
      <c r="VV77" s="149">
        <f t="shared" si="956"/>
        <v>38.69962851228231</v>
      </c>
      <c r="VW77" s="149">
        <f t="shared" si="763"/>
        <v>49.292189631216381</v>
      </c>
      <c r="VX77" s="149">
        <f t="shared" si="764"/>
        <v>55.866146663647065</v>
      </c>
      <c r="VY77" s="149">
        <f t="shared" si="765"/>
        <v>61.702477364431381</v>
      </c>
      <c r="VZ77" s="149">
        <f t="shared" si="766"/>
        <v>68.643966164876161</v>
      </c>
      <c r="WA77" s="81"/>
      <c r="WB77" s="122">
        <v>75</v>
      </c>
      <c r="WC77" s="149">
        <f t="shared" si="767"/>
        <v>1.9457968888370232</v>
      </c>
      <c r="WD77" s="149">
        <f t="shared" si="768"/>
        <v>6.6836990171890349</v>
      </c>
      <c r="WE77" s="149">
        <f t="shared" si="769"/>
        <v>10.898132577727168</v>
      </c>
      <c r="WF77" s="149">
        <f t="shared" si="770"/>
        <v>15.915179647940356</v>
      </c>
      <c r="WG77" s="149">
        <f t="shared" si="957"/>
        <v>24.655449079910845</v>
      </c>
      <c r="WH77" s="150">
        <f t="shared" si="958"/>
        <v>34.933712679979671</v>
      </c>
      <c r="WI77" s="149">
        <f t="shared" si="959"/>
        <v>45.765778137991397</v>
      </c>
      <c r="WJ77" s="149">
        <f t="shared" si="771"/>
        <v>55.946416217814225</v>
      </c>
      <c r="WK77" s="149">
        <f t="shared" si="772"/>
        <v>62.255632269832951</v>
      </c>
      <c r="WL77" s="149">
        <f t="shared" si="773"/>
        <v>67.851764574778258</v>
      </c>
      <c r="WM77" s="149">
        <f t="shared" si="774"/>
        <v>74.501828121718034</v>
      </c>
      <c r="WN77" s="81"/>
      <c r="WO77" s="122">
        <v>78</v>
      </c>
      <c r="WP77" s="149">
        <f t="shared" si="775"/>
        <v>-9.3315708902134702</v>
      </c>
      <c r="WQ77" s="149">
        <f t="shared" si="776"/>
        <v>-4.7159768035622704</v>
      </c>
      <c r="WR77" s="149">
        <f t="shared" si="777"/>
        <v>-0.62893061430554553</v>
      </c>
      <c r="WS77" s="149">
        <f t="shared" si="778"/>
        <v>4.2141141049945006</v>
      </c>
      <c r="WT77" s="149">
        <f t="shared" si="960"/>
        <v>12.595203218691047</v>
      </c>
      <c r="WU77" s="150">
        <f t="shared" si="961"/>
        <v>22.364704569846104</v>
      </c>
      <c r="WV77" s="149">
        <f t="shared" si="962"/>
        <v>32.56643261266661</v>
      </c>
      <c r="WW77" s="149">
        <f t="shared" si="779"/>
        <v>42.072883900198896</v>
      </c>
      <c r="WX77" s="149">
        <f t="shared" si="780"/>
        <v>47.926991631602085</v>
      </c>
      <c r="WY77" s="149">
        <f t="shared" si="781"/>
        <v>53.096739566619625</v>
      </c>
      <c r="WZ77" s="149">
        <f t="shared" si="782"/>
        <v>59.213464422946565</v>
      </c>
      <c r="XA77" s="81"/>
      <c r="XB77" s="122">
        <v>75</v>
      </c>
      <c r="XC77" s="149">
        <f t="shared" si="783"/>
        <v>-12.13111722072194</v>
      </c>
      <c r="XD77" s="149">
        <f t="shared" si="784"/>
        <v>-7.0815047308186152</v>
      </c>
      <c r="XE77" s="149">
        <f t="shared" si="785"/>
        <v>-2.6368965183787765</v>
      </c>
      <c r="XF77" s="149">
        <f t="shared" si="786"/>
        <v>2.5983825807065486</v>
      </c>
      <c r="XG77" s="149">
        <f t="shared" si="963"/>
        <v>11.581473466760066</v>
      </c>
      <c r="XH77" s="150">
        <f t="shared" si="964"/>
        <v>21.938112916472654</v>
      </c>
      <c r="XI77" s="149">
        <f t="shared" si="965"/>
        <v>32.632232214504548</v>
      </c>
      <c r="XJ77" s="149">
        <f t="shared" si="787"/>
        <v>42.495851091309653</v>
      </c>
      <c r="XK77" s="149">
        <f t="shared" si="788"/>
        <v>48.524560716490022</v>
      </c>
      <c r="XL77" s="149">
        <f t="shared" si="789"/>
        <v>53.821339735339386</v>
      </c>
      <c r="XM77" s="149">
        <f t="shared" si="790"/>
        <v>60.056919615146647</v>
      </c>
      <c r="XN77" s="81"/>
      <c r="XO77" s="122">
        <v>75</v>
      </c>
      <c r="XP77" s="149">
        <f t="shared" si="791"/>
        <v>2.0889282497871662</v>
      </c>
      <c r="XQ77" s="149">
        <f t="shared" si="792"/>
        <v>6.265666027211374</v>
      </c>
      <c r="XR77" s="149">
        <f t="shared" si="793"/>
        <v>9.9108061984183493</v>
      </c>
      <c r="XS77" s="149">
        <f t="shared" si="794"/>
        <v>14.171896925157078</v>
      </c>
      <c r="XT77" s="149">
        <f t="shared" si="966"/>
        <v>21.413543085475972</v>
      </c>
      <c r="XU77" s="150">
        <f t="shared" si="967"/>
        <v>29.671512085360099</v>
      </c>
      <c r="XV77" s="149">
        <f t="shared" si="968"/>
        <v>38.114965119015672</v>
      </c>
      <c r="XW77" s="149">
        <f t="shared" si="795"/>
        <v>45.839911334094815</v>
      </c>
      <c r="XX77" s="149">
        <f t="shared" si="796"/>
        <v>50.535670338081154</v>
      </c>
      <c r="XY77" s="149">
        <f t="shared" si="797"/>
        <v>54.646759741900546</v>
      </c>
      <c r="XZ77" s="149">
        <f t="shared" si="798"/>
        <v>59.470355875251137</v>
      </c>
      <c r="YA77" s="81"/>
      <c r="YB77" s="122">
        <v>78</v>
      </c>
      <c r="YC77" s="149">
        <f t="shared" si="799"/>
        <v>-16.231883737137984</v>
      </c>
      <c r="YD77" s="149">
        <f t="shared" si="800"/>
        <v>-11.400176259842716</v>
      </c>
      <c r="YE77" s="149">
        <f t="shared" si="801"/>
        <v>-7.1626178435905743</v>
      </c>
      <c r="YF77" s="149">
        <f t="shared" si="802"/>
        <v>-2.1885042244767092</v>
      </c>
      <c r="YG77" s="149">
        <f t="shared" si="969"/>
        <v>6.3059365269884893</v>
      </c>
      <c r="YH77" s="150">
        <f t="shared" si="970"/>
        <v>16.041205281787988</v>
      </c>
      <c r="YI77" s="149">
        <f t="shared" si="971"/>
        <v>26.035010875643316</v>
      </c>
      <c r="YJ77" s="149">
        <f t="shared" si="803"/>
        <v>35.20487187181876</v>
      </c>
      <c r="YK77" s="149">
        <f t="shared" si="804"/>
        <v>40.788696724662152</v>
      </c>
      <c r="YL77" s="149">
        <f t="shared" si="805"/>
        <v>45.682308186330197</v>
      </c>
      <c r="YM77" s="149">
        <f t="shared" si="806"/>
        <v>51.429204694713825</v>
      </c>
      <c r="YN77" s="81"/>
      <c r="YO77" s="122">
        <v>75</v>
      </c>
      <c r="YP77" s="149">
        <v>19.975218273915285</v>
      </c>
      <c r="YQ77" s="149">
        <v>21.7498862497517</v>
      </c>
      <c r="YR77" s="149">
        <v>23.401800681645806</v>
      </c>
      <c r="YS77" s="149">
        <v>25.46266059725891</v>
      </c>
      <c r="YT77" s="149">
        <v>29.312305580478597</v>
      </c>
      <c r="YU77" s="150">
        <v>34.29280195031108</v>
      </c>
      <c r="YV77" s="149">
        <v>40.119541684447022</v>
      </c>
      <c r="YW77" s="149">
        <v>46.185129048527536</v>
      </c>
      <c r="YX77" s="149">
        <v>50.252383634973953</v>
      </c>
      <c r="YY77" s="149">
        <v>54.069076596512566</v>
      </c>
      <c r="YZ77" s="149">
        <v>58.872761712893954</v>
      </c>
      <c r="ZA77" s="81"/>
      <c r="ZB77" s="122">
        <v>75</v>
      </c>
      <c r="ZC77" s="149">
        <v>21.653193774519512</v>
      </c>
      <c r="ZD77" s="149">
        <v>23.08486820567343</v>
      </c>
      <c r="ZE77" s="149">
        <v>24.391672200953096</v>
      </c>
      <c r="ZF77" s="149">
        <v>25.990409026966073</v>
      </c>
      <c r="ZG77" s="149">
        <v>28.893976757689245</v>
      </c>
      <c r="ZH77" s="150">
        <v>32.514122516921276</v>
      </c>
      <c r="ZI77" s="149">
        <v>36.587838770377424</v>
      </c>
      <c r="ZJ77" s="149">
        <v>40.675318420287788</v>
      </c>
      <c r="ZK77" s="149">
        <v>43.341356604655346</v>
      </c>
      <c r="ZL77" s="149">
        <v>45.794853738240214</v>
      </c>
      <c r="ZM77" s="149">
        <v>48.822735992387152</v>
      </c>
      <c r="ZN77" s="81"/>
      <c r="ZO77" s="122">
        <v>78</v>
      </c>
      <c r="ZP77" s="149">
        <v>19.273773327259931</v>
      </c>
      <c r="ZQ77" s="149">
        <v>21.225997818266052</v>
      </c>
      <c r="ZR77" s="149">
        <v>23.062455830129295</v>
      </c>
      <c r="ZS77" s="149">
        <v>25.37782791480992</v>
      </c>
      <c r="ZT77" s="149">
        <v>29.769076140435413</v>
      </c>
      <c r="ZU77" s="150">
        <v>35.564659901465653</v>
      </c>
      <c r="ZV77" s="149">
        <v>42.488555168458092</v>
      </c>
      <c r="ZW77" s="149">
        <v>49.840555233995609</v>
      </c>
      <c r="ZX77" s="149">
        <v>54.844334151721092</v>
      </c>
      <c r="ZY77" s="149">
        <v>59.589426359897978</v>
      </c>
      <c r="ZZ77" s="149">
        <v>65.62518985931942</v>
      </c>
      <c r="AAA77" s="81"/>
      <c r="AAB77" s="122">
        <v>75</v>
      </c>
      <c r="AAC77" s="149">
        <v>12.063953855535415</v>
      </c>
      <c r="AAD77" s="149">
        <v>13.254426200542582</v>
      </c>
      <c r="AAE77" s="149">
        <v>14.371841624491744</v>
      </c>
      <c r="AAF77" s="149">
        <v>15.777561442127757</v>
      </c>
      <c r="AAG77" s="149">
        <v>18.435157312628657</v>
      </c>
      <c r="AAH77" s="150">
        <v>21.928097526969573</v>
      </c>
      <c r="AAI77" s="149">
        <v>26.082850989445991</v>
      </c>
      <c r="AAJ77" s="149">
        <v>30.47628512910692</v>
      </c>
      <c r="AAK77" s="149">
        <v>33.457191758421821</v>
      </c>
      <c r="AAL77" s="149">
        <v>36.27780289218444</v>
      </c>
      <c r="AAM77" s="149">
        <v>39.857700627034475</v>
      </c>
      <c r="AAN77" s="81"/>
      <c r="AAO77" s="122">
        <v>75</v>
      </c>
      <c r="AAP77" s="149">
        <v>13.254729457081067</v>
      </c>
      <c r="AAQ77" s="149">
        <v>14.501661426293808</v>
      </c>
      <c r="AAR77" s="149">
        <v>15.66751776143365</v>
      </c>
      <c r="AAS77" s="149">
        <v>17.128472280749872</v>
      </c>
      <c r="AAT77" s="149">
        <v>19.875031474180627</v>
      </c>
      <c r="AAU77" s="150">
        <v>23.458398000888788</v>
      </c>
      <c r="AAV77" s="149">
        <v>27.687827185732278</v>
      </c>
      <c r="AAW77" s="149">
        <v>32.127584278871339</v>
      </c>
      <c r="AAX77" s="149">
        <v>35.123396389100286</v>
      </c>
      <c r="AAY77" s="149">
        <v>37.94713037296048</v>
      </c>
      <c r="AAZ77" s="149">
        <v>41.51698746850834</v>
      </c>
      <c r="ABA77" s="81"/>
      <c r="ABB77" s="122">
        <v>78</v>
      </c>
      <c r="ABC77" s="149">
        <v>10.084160778293009</v>
      </c>
      <c r="ABD77" s="149">
        <v>11.263476295181533</v>
      </c>
      <c r="ABE77" s="149">
        <v>12.387485286550932</v>
      </c>
      <c r="ABF77" s="149">
        <v>13.823301855055441</v>
      </c>
      <c r="ABG77" s="149">
        <v>16.598345036378227</v>
      </c>
      <c r="ABH77" s="150">
        <v>20.352715849026769</v>
      </c>
      <c r="ABI77" s="149">
        <v>24.956285793755942</v>
      </c>
      <c r="ABJ77" s="149">
        <v>29.966287850375821</v>
      </c>
      <c r="ABK77" s="149">
        <v>33.43963951109248</v>
      </c>
      <c r="ABL77" s="149">
        <v>36.77666038223321</v>
      </c>
      <c r="ABM77" s="149">
        <v>41.077592031544803</v>
      </c>
      <c r="ABN77" s="81"/>
      <c r="ABO77" s="122">
        <v>75</v>
      </c>
      <c r="ABP77" s="149">
        <f t="shared" si="807"/>
        <v>0.35557002529255405</v>
      </c>
      <c r="ABQ77" s="149">
        <f t="shared" si="808"/>
        <v>0.39821534900020683</v>
      </c>
      <c r="ABR77" s="149">
        <f t="shared" si="809"/>
        <v>0.43777534918113609</v>
      </c>
      <c r="ABS77" s="149">
        <f t="shared" si="810"/>
        <v>0.4868565834686453</v>
      </c>
      <c r="ABT77" s="149">
        <f t="shared" si="972"/>
        <v>0.5774933995938929</v>
      </c>
      <c r="ABU77" s="150">
        <f t="shared" si="973"/>
        <v>0.6923692258909333</v>
      </c>
      <c r="ABV77" s="149">
        <f t="shared" si="974"/>
        <v>0.82306770351902792</v>
      </c>
      <c r="ABW77" s="149">
        <f t="shared" si="811"/>
        <v>0.95486593491584493</v>
      </c>
      <c r="ABX77" s="149">
        <f t="shared" si="812"/>
        <v>1.0408839190832515</v>
      </c>
      <c r="ABY77" s="149">
        <f t="shared" si="813"/>
        <v>1.1199504633266733</v>
      </c>
      <c r="ABZ77" s="149">
        <f t="shared" si="814"/>
        <v>1.2172870839212053</v>
      </c>
      <c r="ACA77" s="81"/>
      <c r="ACB77" s="122">
        <v>75</v>
      </c>
      <c r="ACC77" s="149">
        <f t="shared" si="815"/>
        <v>0.46094994286383267</v>
      </c>
      <c r="ACD77" s="149">
        <f t="shared" si="816"/>
        <v>0.50320596385024186</v>
      </c>
      <c r="ACE77" s="149">
        <f t="shared" si="817"/>
        <v>0.54216856046702033</v>
      </c>
      <c r="ACF77" s="149">
        <f t="shared" si="818"/>
        <v>0.59028049709090358</v>
      </c>
      <c r="ACG77" s="149">
        <f t="shared" si="975"/>
        <v>0.67871276749151155</v>
      </c>
      <c r="ACH77" s="150">
        <f t="shared" si="976"/>
        <v>0.79046703691222187</v>
      </c>
      <c r="ACI77" s="149">
        <f t="shared" si="977"/>
        <v>0.91767450526497252</v>
      </c>
      <c r="ACJ77" s="149">
        <f t="shared" si="819"/>
        <v>1.046388219554973</v>
      </c>
      <c r="ACK77" s="149">
        <f t="shared" si="820"/>
        <v>1.1307468403917191</v>
      </c>
      <c r="ACL77" s="149">
        <f t="shared" si="821"/>
        <v>1.2085819162994034</v>
      </c>
      <c r="ACM77" s="149">
        <f t="shared" si="822"/>
        <v>1.3048284187279289</v>
      </c>
      <c r="ACN77" s="81"/>
      <c r="ACO77" s="122">
        <v>78</v>
      </c>
      <c r="ACP77" s="149">
        <f t="shared" si="823"/>
        <v>0.32066479929281072</v>
      </c>
      <c r="ACQ77" s="149">
        <f t="shared" si="824"/>
        <v>0.36192988630815809</v>
      </c>
      <c r="ACR77" s="149">
        <f t="shared" si="825"/>
        <v>0.39948475868541516</v>
      </c>
      <c r="ACS77" s="149">
        <f t="shared" si="826"/>
        <v>0.44516112800841984</v>
      </c>
      <c r="ACT77" s="149">
        <f t="shared" si="978"/>
        <v>0.52711894974073448</v>
      </c>
      <c r="ACU77" s="150">
        <f t="shared" si="979"/>
        <v>0.62674614168107001</v>
      </c>
      <c r="ACV77" s="149">
        <f t="shared" si="980"/>
        <v>0.73529125271917772</v>
      </c>
      <c r="ACW77" s="149">
        <f t="shared" si="827"/>
        <v>0.84047446798836822</v>
      </c>
      <c r="ACX77" s="149">
        <f t="shared" si="828"/>
        <v>0.90695421148287303</v>
      </c>
      <c r="ACY77" s="149">
        <f t="shared" si="829"/>
        <v>0.96673223638744055</v>
      </c>
      <c r="ACZ77" s="149">
        <f t="shared" si="830"/>
        <v>1.0387152400443036</v>
      </c>
      <c r="ADA77" s="81"/>
      <c r="ADB77" s="122">
        <v>75</v>
      </c>
      <c r="ADC77" s="149">
        <f t="shared" si="831"/>
        <v>0.26518109901698744</v>
      </c>
      <c r="ADD77" s="149">
        <f t="shared" si="832"/>
        <v>0.28682633016640852</v>
      </c>
      <c r="ADE77" s="149">
        <f t="shared" si="833"/>
        <v>0.30574222304239973</v>
      </c>
      <c r="ADF77" s="149">
        <f t="shared" si="834"/>
        <v>0.32788205856835917</v>
      </c>
      <c r="ADG77" s="149">
        <f t="shared" si="981"/>
        <v>0.36556964838174971</v>
      </c>
      <c r="ADH77" s="150">
        <f t="shared" si="982"/>
        <v>0.408629671829006</v>
      </c>
      <c r="ADI77" s="149">
        <f t="shared" si="983"/>
        <v>0.45273683265066539</v>
      </c>
      <c r="ADJ77" s="149">
        <f t="shared" si="835"/>
        <v>0.4931531177036676</v>
      </c>
      <c r="ADK77" s="149">
        <f t="shared" si="836"/>
        <v>0.51774740170065103</v>
      </c>
      <c r="ADL77" s="149">
        <f t="shared" si="837"/>
        <v>0.53929473221643676</v>
      </c>
      <c r="ADM77" s="149">
        <f t="shared" si="838"/>
        <v>0.56459371140900816</v>
      </c>
      <c r="ADN77" s="81"/>
      <c r="ADO77" s="122">
        <v>75</v>
      </c>
      <c r="ADP77" s="149">
        <f t="shared" si="839"/>
        <v>0.31710255191561076</v>
      </c>
      <c r="ADQ77" s="149">
        <f t="shared" si="840"/>
        <v>0.33561458448343012</v>
      </c>
      <c r="ADR77" s="149">
        <f t="shared" si="841"/>
        <v>0.35186343913157248</v>
      </c>
      <c r="ADS77" s="149">
        <f t="shared" si="842"/>
        <v>0.37096901462318904</v>
      </c>
      <c r="ADT77" s="149">
        <f t="shared" si="984"/>
        <v>0.40371463433808491</v>
      </c>
      <c r="ADU77" s="150">
        <f t="shared" si="985"/>
        <v>0.44147973146147312</v>
      </c>
      <c r="ADV77" s="149">
        <f t="shared" si="986"/>
        <v>0.48055596159595204</v>
      </c>
      <c r="ADW77" s="149">
        <f t="shared" si="843"/>
        <v>0.51671103248645001</v>
      </c>
      <c r="ADX77" s="149">
        <f t="shared" si="844"/>
        <v>0.53887446244072068</v>
      </c>
      <c r="ADY77" s="149">
        <f t="shared" si="845"/>
        <v>0.55839218955401893</v>
      </c>
      <c r="ADZ77" s="149">
        <f t="shared" si="846"/>
        <v>0.58142660446273764</v>
      </c>
      <c r="AEA77" s="81"/>
      <c r="AEB77" s="122">
        <v>78</v>
      </c>
      <c r="AEC77" s="149">
        <f t="shared" si="847"/>
        <v>0.24634311159885344</v>
      </c>
      <c r="AED77" s="149">
        <f t="shared" si="848"/>
        <v>0.26833532861177756</v>
      </c>
      <c r="AEE77" s="149">
        <f t="shared" si="849"/>
        <v>0.28719204393879466</v>
      </c>
      <c r="AEF77" s="149">
        <f t="shared" si="850"/>
        <v>0.30887151281049496</v>
      </c>
      <c r="AEG77" s="149">
        <f t="shared" si="987"/>
        <v>0.34490365447178195</v>
      </c>
      <c r="AEH77" s="150">
        <f t="shared" si="988"/>
        <v>0.38488842541843171</v>
      </c>
      <c r="AEI77" s="149">
        <f t="shared" si="989"/>
        <v>0.4247074140489871</v>
      </c>
      <c r="AEJ77" s="149">
        <f t="shared" si="851"/>
        <v>0.4603053878987865</v>
      </c>
      <c r="AEK77" s="149">
        <f t="shared" si="852"/>
        <v>0.48159157849592699</v>
      </c>
      <c r="AEL77" s="149">
        <f t="shared" si="853"/>
        <v>0.50002366025432654</v>
      </c>
      <c r="AEM77" s="149">
        <f t="shared" si="854"/>
        <v>0.5214209122494442</v>
      </c>
      <c r="AEN77" s="81"/>
    </row>
    <row r="78" spans="1:820">
      <c r="A78" s="81"/>
      <c r="B78" s="81">
        <v>77</v>
      </c>
      <c r="C78" s="133">
        <f t="shared" si="495"/>
        <v>2.6597774684476723</v>
      </c>
      <c r="D78" s="133">
        <f t="shared" si="496"/>
        <v>3.2320447926823452</v>
      </c>
      <c r="E78" s="133">
        <f t="shared" si="497"/>
        <v>3.8439222826567008</v>
      </c>
      <c r="F78" s="133">
        <f t="shared" si="498"/>
        <v>4.7280036895133959</v>
      </c>
      <c r="G78" s="133">
        <f t="shared" si="855"/>
        <v>6.8033079545111939</v>
      </c>
      <c r="H78" s="134">
        <f t="shared" si="856"/>
        <v>10.527353830224811</v>
      </c>
      <c r="I78" s="133">
        <f t="shared" si="857"/>
        <v>16.923466899881593</v>
      </c>
      <c r="J78" s="133">
        <f t="shared" si="499"/>
        <v>26.925110622659453</v>
      </c>
      <c r="K78" s="133">
        <f t="shared" si="500"/>
        <v>36.296370752228171</v>
      </c>
      <c r="L78" s="133">
        <f t="shared" si="501"/>
        <v>47.691537506145259</v>
      </c>
      <c r="M78" s="133">
        <f t="shared" si="502"/>
        <v>66.718844397328894</v>
      </c>
      <c r="N78" s="81"/>
      <c r="O78" s="75">
        <v>77</v>
      </c>
      <c r="P78" s="151">
        <f t="shared" si="503"/>
        <v>3.3796535876201452</v>
      </c>
      <c r="Q78" s="151">
        <f t="shared" si="504"/>
        <v>3.9670481312533923</v>
      </c>
      <c r="R78" s="151">
        <f t="shared" si="505"/>
        <v>4.5934912196170306</v>
      </c>
      <c r="S78" s="151">
        <f t="shared" si="506"/>
        <v>5.5024177381016006</v>
      </c>
      <c r="T78" s="151">
        <f t="shared" si="858"/>
        <v>7.6836217059014889</v>
      </c>
      <c r="U78" s="134">
        <f t="shared" si="859"/>
        <v>11.861900884391513</v>
      </c>
      <c r="V78" s="151">
        <f t="shared" si="860"/>
        <v>20.086130570170685</v>
      </c>
      <c r="W78" s="151">
        <f t="shared" si="507"/>
        <v>36.296936300520962</v>
      </c>
      <c r="X78" s="151">
        <f t="shared" si="508"/>
        <v>56.18168181048155</v>
      </c>
      <c r="Y78" s="151">
        <f t="shared" si="509"/>
        <v>88.402002861044181</v>
      </c>
      <c r="Z78" s="151">
        <f t="shared" si="510"/>
        <v>170.76310623132144</v>
      </c>
      <c r="AA78" s="81"/>
      <c r="AB78" s="75"/>
      <c r="AC78" s="137"/>
      <c r="AD78" s="137"/>
      <c r="AE78" s="137"/>
      <c r="AF78" s="137"/>
      <c r="AG78" s="137"/>
      <c r="AH78" s="84"/>
      <c r="AI78" s="137"/>
      <c r="AJ78" s="137"/>
      <c r="AK78" s="137"/>
      <c r="AL78" s="137"/>
      <c r="AM78" s="137"/>
      <c r="AN78" s="81"/>
      <c r="AO78" s="81">
        <v>77</v>
      </c>
      <c r="AP78" s="133">
        <f t="shared" si="519"/>
        <v>2.9082368730928811</v>
      </c>
      <c r="AQ78" s="133">
        <f t="shared" si="520"/>
        <v>6.2126027939873767</v>
      </c>
      <c r="AR78" s="133">
        <f t="shared" si="521"/>
        <v>9.4556879598599295</v>
      </c>
      <c r="AS78" s="133">
        <f t="shared" si="522"/>
        <v>13.660804574815209</v>
      </c>
      <c r="AT78" s="133">
        <f t="shared" si="864"/>
        <v>21.801263491046164</v>
      </c>
      <c r="AU78" s="134">
        <f t="shared" si="865"/>
        <v>32.557849342894521</v>
      </c>
      <c r="AV78" s="133">
        <f t="shared" si="866"/>
        <v>45.116341404814293</v>
      </c>
      <c r="AW78" s="133">
        <f t="shared" si="523"/>
        <v>57.937915860921144</v>
      </c>
      <c r="AX78" s="133">
        <f t="shared" si="524"/>
        <v>66.335764131425265</v>
      </c>
      <c r="AY78" s="133">
        <f t="shared" si="525"/>
        <v>74.054904356530415</v>
      </c>
      <c r="AZ78" s="133">
        <f t="shared" si="526"/>
        <v>83.541297263671339</v>
      </c>
      <c r="BA78" s="81"/>
      <c r="BB78" s="81">
        <v>77</v>
      </c>
      <c r="BC78" s="133">
        <f t="shared" si="527"/>
        <v>5.6464678815212972</v>
      </c>
      <c r="BD78" s="133">
        <f t="shared" si="528"/>
        <v>9.5312813564756915</v>
      </c>
      <c r="BE78" s="133">
        <f t="shared" si="529"/>
        <v>13.208833226808078</v>
      </c>
      <c r="BF78" s="133">
        <f t="shared" si="530"/>
        <v>17.820226953212078</v>
      </c>
      <c r="BG78" s="133">
        <f t="shared" si="867"/>
        <v>26.362363298009196</v>
      </c>
      <c r="BH78" s="134">
        <f t="shared" si="868"/>
        <v>37.07929533424425</v>
      </c>
      <c r="BI78" s="133">
        <f t="shared" si="869"/>
        <v>48.999290058264101</v>
      </c>
      <c r="BJ78" s="133">
        <f t="shared" si="531"/>
        <v>60.677004277730482</v>
      </c>
      <c r="BK78" s="133">
        <f t="shared" si="532"/>
        <v>68.109769493825894</v>
      </c>
      <c r="BL78" s="133">
        <f t="shared" si="533"/>
        <v>74.813471866183264</v>
      </c>
      <c r="BM78" s="133">
        <f t="shared" si="534"/>
        <v>82.903141750168047</v>
      </c>
      <c r="BN78" s="81"/>
      <c r="BO78" s="75"/>
      <c r="BP78" s="137"/>
      <c r="BQ78" s="137"/>
      <c r="BR78" s="137"/>
      <c r="BS78" s="137"/>
      <c r="BT78" s="137"/>
      <c r="BU78" s="84"/>
      <c r="BV78" s="137"/>
      <c r="BW78" s="137"/>
      <c r="BX78" s="137"/>
      <c r="BY78" s="137"/>
      <c r="BZ78" s="137"/>
      <c r="CA78" s="81"/>
      <c r="CB78" s="81">
        <v>77</v>
      </c>
      <c r="CC78" s="133">
        <f t="shared" si="543"/>
        <v>0.17422352356055715</v>
      </c>
      <c r="CD78" s="133">
        <f t="shared" si="544"/>
        <v>3.5343222237503342</v>
      </c>
      <c r="CE78" s="133">
        <f t="shared" si="545"/>
        <v>6.7043882538176574</v>
      </c>
      <c r="CF78" s="133">
        <f t="shared" si="546"/>
        <v>10.643629067296377</v>
      </c>
      <c r="CG78" s="133">
        <f t="shared" si="873"/>
        <v>17.815684758482533</v>
      </c>
      <c r="CH78" s="134">
        <f t="shared" si="874"/>
        <v>26.590160516771757</v>
      </c>
      <c r="CI78" s="133">
        <f t="shared" si="875"/>
        <v>36.092419835018198</v>
      </c>
      <c r="CJ78" s="133">
        <f t="shared" si="547"/>
        <v>45.177136983681763</v>
      </c>
      <c r="CK78" s="133">
        <f t="shared" si="548"/>
        <v>50.858532501053567</v>
      </c>
      <c r="CL78" s="133">
        <f t="shared" si="549"/>
        <v>55.922009344805709</v>
      </c>
      <c r="CM78" s="133">
        <f t="shared" si="550"/>
        <v>61.961890623328379</v>
      </c>
      <c r="CN78" s="81"/>
      <c r="CO78" s="81">
        <v>77</v>
      </c>
      <c r="CP78" s="133">
        <f t="shared" si="551"/>
        <v>5.9972996110169392</v>
      </c>
      <c r="CQ78" s="133">
        <f t="shared" si="552"/>
        <v>9.1992937885004942</v>
      </c>
      <c r="CR78" s="133">
        <f t="shared" si="553"/>
        <v>12.12935616125236</v>
      </c>
      <c r="CS78" s="133">
        <f t="shared" si="554"/>
        <v>15.694715569601598</v>
      </c>
      <c r="CT78" s="133">
        <f t="shared" si="876"/>
        <v>22.053645797714005</v>
      </c>
      <c r="CU78" s="134">
        <f t="shared" si="877"/>
        <v>29.695285546921529</v>
      </c>
      <c r="CV78" s="133">
        <f t="shared" si="878"/>
        <v>37.869748235369457</v>
      </c>
      <c r="CW78" s="133">
        <f t="shared" si="555"/>
        <v>45.622733549595559</v>
      </c>
      <c r="CX78" s="133">
        <f t="shared" si="556"/>
        <v>50.449350545337559</v>
      </c>
      <c r="CY78" s="133">
        <f t="shared" si="557"/>
        <v>54.739906453426073</v>
      </c>
      <c r="CZ78" s="133">
        <f t="shared" si="558"/>
        <v>59.846482050621709</v>
      </c>
      <c r="DA78" s="81"/>
      <c r="DB78" s="81"/>
      <c r="DC78" s="83"/>
      <c r="DD78" s="83"/>
      <c r="DE78" s="83"/>
      <c r="DF78" s="83"/>
      <c r="DG78" s="83"/>
      <c r="DH78" s="84"/>
      <c r="DI78" s="83"/>
      <c r="DJ78" s="83"/>
      <c r="DK78" s="83"/>
      <c r="DL78" s="83"/>
      <c r="DM78" s="83"/>
      <c r="DN78" s="81"/>
      <c r="DO78" s="81">
        <v>77</v>
      </c>
      <c r="DP78" s="133">
        <v>14.87677557105139</v>
      </c>
      <c r="DQ78" s="133">
        <v>16.122292463338052</v>
      </c>
      <c r="DR78" s="133">
        <v>17.276594673508352</v>
      </c>
      <c r="DS78" s="133">
        <v>18.71037104990852</v>
      </c>
      <c r="DT78" s="133">
        <v>21.371833569368125</v>
      </c>
      <c r="DU78" s="134">
        <v>24.786765744135955</v>
      </c>
      <c r="DV78" s="133">
        <v>28.747358248908366</v>
      </c>
      <c r="DW78" s="133">
        <v>32.836535118189204</v>
      </c>
      <c r="DX78" s="133">
        <v>35.561623552861221</v>
      </c>
      <c r="DY78" s="133">
        <v>38.107716843108669</v>
      </c>
      <c r="DZ78" s="133">
        <v>41.298180047173439</v>
      </c>
      <c r="EA78" s="81"/>
      <c r="EB78" s="81">
        <v>77</v>
      </c>
      <c r="EC78" s="133">
        <v>13.925990569762659</v>
      </c>
      <c r="ED78" s="133">
        <v>15.423569638867408</v>
      </c>
      <c r="EE78" s="133">
        <v>16.839758568512753</v>
      </c>
      <c r="EF78" s="133">
        <v>18.6346619696197</v>
      </c>
      <c r="EG78" s="133">
        <v>22.064667020464661</v>
      </c>
      <c r="EH78" s="134">
        <v>26.636762408697614</v>
      </c>
      <c r="EI78" s="133">
        <v>32.156257375619568</v>
      </c>
      <c r="EJ78" s="133">
        <v>38.075126491381511</v>
      </c>
      <c r="EK78" s="133">
        <v>42.133449166193685</v>
      </c>
      <c r="EL78" s="133">
        <v>46.002133632503785</v>
      </c>
      <c r="EM78" s="133">
        <v>50.94913055290823</v>
      </c>
      <c r="EN78" s="122"/>
      <c r="EO78" s="122"/>
      <c r="EP78" s="126"/>
      <c r="EQ78" s="126"/>
      <c r="ER78" s="126"/>
      <c r="ES78" s="126"/>
      <c r="ET78" s="126"/>
      <c r="EU78" s="127"/>
      <c r="EV78" s="126"/>
      <c r="EW78" s="126"/>
      <c r="EX78" s="126"/>
      <c r="EY78" s="126"/>
      <c r="EZ78" s="126"/>
      <c r="FA78" s="81"/>
      <c r="FB78" s="81">
        <v>77</v>
      </c>
      <c r="FC78" s="133">
        <v>10.897581220428314</v>
      </c>
      <c r="FD78" s="133">
        <v>11.688843367291826</v>
      </c>
      <c r="FE78" s="133">
        <v>12.415173865418421</v>
      </c>
      <c r="FF78" s="133">
        <v>13.308777332857746</v>
      </c>
      <c r="FG78" s="133">
        <v>14.944888093712221</v>
      </c>
      <c r="FH78" s="134">
        <v>17.006593871706414</v>
      </c>
      <c r="FI78" s="133">
        <v>19.352720027314735</v>
      </c>
      <c r="FJ78" s="133">
        <v>21.731841166438535</v>
      </c>
      <c r="FK78" s="133">
        <v>23.296027768308221</v>
      </c>
      <c r="FL78" s="133">
        <v>24.743614575799729</v>
      </c>
      <c r="FM78" s="133">
        <v>26.540222941857053</v>
      </c>
      <c r="FN78" s="81"/>
      <c r="FO78" s="81">
        <v>77</v>
      </c>
      <c r="FP78" s="133">
        <v>10.806510544397597</v>
      </c>
      <c r="FQ78" s="133">
        <v>11.674451630376653</v>
      </c>
      <c r="FR78" s="133">
        <v>12.476482650179449</v>
      </c>
      <c r="FS78" s="133">
        <v>13.469793771384033</v>
      </c>
      <c r="FT78" s="133">
        <v>15.305910011802739</v>
      </c>
      <c r="FU78" s="134">
        <v>17.64887188211457</v>
      </c>
      <c r="FV78" s="133">
        <v>20.350484124831695</v>
      </c>
      <c r="FW78" s="133">
        <v>23.124532119639809</v>
      </c>
      <c r="FX78" s="133">
        <v>24.965584247160738</v>
      </c>
      <c r="FY78" s="133">
        <v>26.680711743309942</v>
      </c>
      <c r="FZ78" s="133">
        <v>28.82361308320527</v>
      </c>
      <c r="GA78" s="81"/>
      <c r="GB78" s="81"/>
      <c r="GC78" s="83"/>
      <c r="GD78" s="83"/>
      <c r="GE78" s="83"/>
      <c r="GF78" s="83"/>
      <c r="GG78" s="83"/>
      <c r="GH78" s="84"/>
      <c r="GI78" s="83"/>
      <c r="GJ78" s="83"/>
      <c r="GK78" s="83"/>
      <c r="GL78" s="83"/>
      <c r="GM78" s="83"/>
      <c r="GN78" s="81"/>
      <c r="GO78" s="81">
        <v>77</v>
      </c>
      <c r="GP78" s="133">
        <f t="shared" si="567"/>
        <v>0.54307869852389745</v>
      </c>
      <c r="GQ78" s="133">
        <f t="shared" si="568"/>
        <v>0.57368143966529384</v>
      </c>
      <c r="GR78" s="133">
        <f t="shared" si="569"/>
        <v>0.5986802623708507</v>
      </c>
      <c r="GS78" s="133">
        <f t="shared" si="570"/>
        <v>0.62619422639945543</v>
      </c>
      <c r="GT78" s="133">
        <f t="shared" si="882"/>
        <v>0.67066498532312513</v>
      </c>
      <c r="GU78" s="134">
        <f t="shared" si="883"/>
        <v>0.71439029596584669</v>
      </c>
      <c r="GV78" s="133">
        <f t="shared" si="884"/>
        <v>0.75544695712941878</v>
      </c>
      <c r="GW78" s="133">
        <f t="shared" si="571"/>
        <v>0.79231559964316733</v>
      </c>
      <c r="GX78" s="133">
        <f t="shared" si="572"/>
        <v>0.81297158455931273</v>
      </c>
      <c r="GY78" s="133">
        <f t="shared" si="573"/>
        <v>0.83044723296619494</v>
      </c>
      <c r="GZ78" s="133">
        <f t="shared" si="574"/>
        <v>0.85028858306148036</v>
      </c>
      <c r="HA78" s="81"/>
      <c r="HB78" s="81">
        <v>77</v>
      </c>
      <c r="HC78" s="133">
        <f t="shared" si="575"/>
        <v>0.54520688468455569</v>
      </c>
      <c r="HD78" s="133">
        <f t="shared" si="576"/>
        <v>0.57612319433226533</v>
      </c>
      <c r="HE78" s="133">
        <f t="shared" si="577"/>
        <v>0.60139468367765891</v>
      </c>
      <c r="HF78" s="133">
        <f t="shared" si="578"/>
        <v>0.62922472095746285</v>
      </c>
      <c r="HG78" s="133">
        <f t="shared" si="885"/>
        <v>0.67299809492348595</v>
      </c>
      <c r="HH78" s="134">
        <f t="shared" si="886"/>
        <v>0.71853516077252999</v>
      </c>
      <c r="HI78" s="133">
        <f t="shared" si="887"/>
        <v>0.76125130839662258</v>
      </c>
      <c r="HJ78" s="133">
        <f t="shared" si="579"/>
        <v>0.79755743824065417</v>
      </c>
      <c r="HK78" s="133">
        <f t="shared" si="580"/>
        <v>0.81851992959343178</v>
      </c>
      <c r="HL78" s="133">
        <f t="shared" si="581"/>
        <v>0.83625971295913737</v>
      </c>
      <c r="HM78" s="133">
        <f t="shared" si="582"/>
        <v>0.85640614935051451</v>
      </c>
      <c r="HN78" s="81"/>
      <c r="HO78" s="81"/>
      <c r="HP78" s="83"/>
      <c r="HQ78" s="83"/>
      <c r="HR78" s="83"/>
      <c r="HS78" s="83"/>
      <c r="HT78" s="83"/>
      <c r="HU78" s="84"/>
      <c r="HV78" s="83"/>
      <c r="HW78" s="83"/>
      <c r="HX78" s="83"/>
      <c r="HY78" s="83"/>
      <c r="HZ78" s="83"/>
      <c r="IA78" s="81"/>
      <c r="IB78" s="81">
        <v>77</v>
      </c>
      <c r="IC78" s="83">
        <f t="shared" si="591"/>
        <v>0.35281767844499451</v>
      </c>
      <c r="ID78" s="83">
        <f t="shared" si="592"/>
        <v>0.36489005739891384</v>
      </c>
      <c r="IE78" s="83">
        <f t="shared" si="593"/>
        <v>0.37449776681813129</v>
      </c>
      <c r="IF78" s="83">
        <f t="shared" si="594"/>
        <v>0.38483143727457314</v>
      </c>
      <c r="IG78" s="83">
        <f t="shared" si="891"/>
        <v>0.40061132475685252</v>
      </c>
      <c r="IH78" s="84">
        <f t="shared" si="892"/>
        <v>0.41647685209410135</v>
      </c>
      <c r="II78" s="83">
        <f t="shared" si="893"/>
        <v>0.43090518156587754</v>
      </c>
      <c r="IJ78" s="83">
        <f t="shared" si="595"/>
        <v>0.44285562792644823</v>
      </c>
      <c r="IK78" s="83">
        <f t="shared" si="596"/>
        <v>0.44963424887482828</v>
      </c>
      <c r="IL78" s="83">
        <f t="shared" si="597"/>
        <v>0.45530498293776672</v>
      </c>
      <c r="IM78" s="83">
        <f t="shared" si="598"/>
        <v>0.46167482310465002</v>
      </c>
      <c r="IN78" s="81"/>
      <c r="IO78" s="81">
        <v>77</v>
      </c>
      <c r="IP78" s="133">
        <f t="shared" si="599"/>
        <v>0.35328279176815452</v>
      </c>
      <c r="IQ78" s="133">
        <f t="shared" si="600"/>
        <v>0.3655187026251499</v>
      </c>
      <c r="IR78" s="133">
        <f t="shared" si="601"/>
        <v>0.37525923975381825</v>
      </c>
      <c r="IS78" s="133">
        <f t="shared" si="602"/>
        <v>0.38573840713611529</v>
      </c>
      <c r="IT78" s="133">
        <f t="shared" si="894"/>
        <v>0.4017456790557436</v>
      </c>
      <c r="IU78" s="134">
        <f t="shared" si="895"/>
        <v>0.41784606819894948</v>
      </c>
      <c r="IV78" s="133">
        <f t="shared" si="896"/>
        <v>0.43249331483008635</v>
      </c>
      <c r="IW78" s="133">
        <f t="shared" si="603"/>
        <v>0.44462885307189781</v>
      </c>
      <c r="IX78" s="133">
        <f t="shared" si="604"/>
        <v>0.45151395798238053</v>
      </c>
      <c r="IY78" s="133">
        <f t="shared" si="605"/>
        <v>0.45727459372320933</v>
      </c>
      <c r="IZ78" s="133">
        <f t="shared" si="606"/>
        <v>0.46374630283191448</v>
      </c>
      <c r="JA78" s="81"/>
      <c r="JB78" s="81"/>
      <c r="JC78" s="83"/>
      <c r="JD78" s="83"/>
      <c r="JE78" s="83"/>
      <c r="JF78" s="83"/>
      <c r="JG78" s="83"/>
      <c r="JH78" s="84"/>
      <c r="JI78" s="83"/>
      <c r="JJ78" s="83"/>
      <c r="JK78" s="83"/>
      <c r="JL78" s="83"/>
      <c r="JM78" s="83"/>
      <c r="JN78" s="81"/>
      <c r="JO78" s="122">
        <v>76</v>
      </c>
      <c r="JP78" s="149">
        <f t="shared" si="615"/>
        <v>4.1285792901399603</v>
      </c>
      <c r="JQ78" s="149">
        <f t="shared" si="616"/>
        <v>5.5270578729247966</v>
      </c>
      <c r="JR78" s="149">
        <f t="shared" si="617"/>
        <v>6.7403209308499612</v>
      </c>
      <c r="JS78" s="149">
        <f t="shared" si="618"/>
        <v>8.1508035039097351</v>
      </c>
      <c r="JT78" s="149">
        <f t="shared" si="900"/>
        <v>10.530522470400626</v>
      </c>
      <c r="JU78" s="150">
        <f t="shared" si="901"/>
        <v>13.220646003088174</v>
      </c>
      <c r="JV78" s="149">
        <f t="shared" si="902"/>
        <v>15.948540045616948</v>
      </c>
      <c r="JW78" s="149">
        <f t="shared" si="619"/>
        <v>18.426614253634764</v>
      </c>
      <c r="JX78" s="149">
        <f t="shared" si="620"/>
        <v>19.925479564440526</v>
      </c>
      <c r="JY78" s="149">
        <f t="shared" si="621"/>
        <v>21.233404635655919</v>
      </c>
      <c r="JZ78" s="149">
        <f t="shared" si="622"/>
        <v>22.763155935009575</v>
      </c>
      <c r="KA78" s="81"/>
      <c r="KB78" s="122">
        <v>76</v>
      </c>
      <c r="KC78" s="149">
        <f t="shared" si="623"/>
        <v>5.6407436635557193</v>
      </c>
      <c r="KD78" s="149">
        <f t="shared" si="624"/>
        <v>7.1054812323488168</v>
      </c>
      <c r="KE78" s="149">
        <f t="shared" si="625"/>
        <v>8.3945654146174515</v>
      </c>
      <c r="KF78" s="149">
        <f t="shared" si="626"/>
        <v>9.9135887081822265</v>
      </c>
      <c r="KG78" s="149">
        <f t="shared" si="903"/>
        <v>12.523399753209178</v>
      </c>
      <c r="KH78" s="150">
        <f t="shared" si="904"/>
        <v>15.539962240272837</v>
      </c>
      <c r="KI78" s="149">
        <f t="shared" si="905"/>
        <v>18.6655193201643</v>
      </c>
      <c r="KJ78" s="149">
        <f t="shared" si="627"/>
        <v>21.559048933420968</v>
      </c>
      <c r="KK78" s="149">
        <f t="shared" si="628"/>
        <v>23.332893752904198</v>
      </c>
      <c r="KL78" s="149">
        <f t="shared" si="629"/>
        <v>24.894767528294054</v>
      </c>
      <c r="KM78" s="149">
        <f t="shared" si="630"/>
        <v>26.737564552124496</v>
      </c>
      <c r="KN78" s="81"/>
      <c r="KO78" s="122">
        <v>78</v>
      </c>
      <c r="KP78" s="149">
        <f t="shared" si="631"/>
        <v>5.3161542888670184</v>
      </c>
      <c r="KQ78" s="149">
        <f t="shared" si="632"/>
        <v>6.3549303839773188</v>
      </c>
      <c r="KR78" s="149">
        <f t="shared" si="633"/>
        <v>7.2464409175594078</v>
      </c>
      <c r="KS78" s="149">
        <f t="shared" si="634"/>
        <v>8.2722085035887076</v>
      </c>
      <c r="KT78" s="149">
        <f t="shared" si="906"/>
        <v>9.9786202364394043</v>
      </c>
      <c r="KU78" s="150">
        <f t="shared" si="907"/>
        <v>11.873958539653142</v>
      </c>
      <c r="KV78" s="149">
        <f t="shared" si="908"/>
        <v>13.762759203351184</v>
      </c>
      <c r="KW78" s="149">
        <f t="shared" si="635"/>
        <v>15.45213596267131</v>
      </c>
      <c r="KX78" s="149">
        <f t="shared" si="636"/>
        <v>16.462582411865842</v>
      </c>
      <c r="KY78" s="149">
        <f t="shared" si="637"/>
        <v>17.33766917494145</v>
      </c>
      <c r="KZ78" s="149">
        <f t="shared" si="638"/>
        <v>18.353645271244783</v>
      </c>
      <c r="LA78" s="81"/>
      <c r="LB78" s="122">
        <v>76</v>
      </c>
      <c r="LC78" s="149">
        <f t="shared" si="639"/>
        <v>13.632630937353227</v>
      </c>
      <c r="LD78" s="149">
        <f t="shared" si="640"/>
        <v>17.264239972686021</v>
      </c>
      <c r="LE78" s="149">
        <f t="shared" si="641"/>
        <v>20.428895211226447</v>
      </c>
      <c r="LF78" s="149">
        <f t="shared" si="642"/>
        <v>24.123165204930011</v>
      </c>
      <c r="LG78" s="149">
        <f t="shared" si="909"/>
        <v>30.389965886070591</v>
      </c>
      <c r="LH78" s="150">
        <f t="shared" si="910"/>
        <v>37.520467952521919</v>
      </c>
      <c r="LI78" s="149">
        <f t="shared" si="911"/>
        <v>44.795783286960621</v>
      </c>
      <c r="LJ78" s="149">
        <f t="shared" si="643"/>
        <v>51.439895385400426</v>
      </c>
      <c r="LK78" s="149">
        <f t="shared" si="644"/>
        <v>55.473489262302003</v>
      </c>
      <c r="LL78" s="149">
        <f t="shared" si="645"/>
        <v>59.001865007041225</v>
      </c>
      <c r="LM78" s="149">
        <f t="shared" si="646"/>
        <v>63.138371222095351</v>
      </c>
      <c r="LN78" s="81"/>
      <c r="LO78" s="122">
        <v>76</v>
      </c>
      <c r="LP78" s="149">
        <f t="shared" si="647"/>
        <v>19.207818254664243</v>
      </c>
      <c r="LQ78" s="149">
        <f t="shared" si="648"/>
        <v>23.020035008495835</v>
      </c>
      <c r="LR78" s="149">
        <f t="shared" si="649"/>
        <v>26.348951771249357</v>
      </c>
      <c r="LS78" s="149">
        <f t="shared" si="650"/>
        <v>30.242575145266262</v>
      </c>
      <c r="LT78" s="149">
        <f t="shared" si="912"/>
        <v>36.864951313204514</v>
      </c>
      <c r="LU78" s="150">
        <f t="shared" si="913"/>
        <v>44.424417747294072</v>
      </c>
      <c r="LV78" s="149">
        <f t="shared" si="914"/>
        <v>52.161673240160141</v>
      </c>
      <c r="LW78" s="149">
        <f t="shared" si="651"/>
        <v>59.247205728824866</v>
      </c>
      <c r="LX78" s="149">
        <f t="shared" si="652"/>
        <v>63.557263496161909</v>
      </c>
      <c r="LY78" s="149">
        <f t="shared" si="653"/>
        <v>67.33245812338231</v>
      </c>
      <c r="LZ78" s="149">
        <f t="shared" si="654"/>
        <v>71.76400515133767</v>
      </c>
      <c r="MA78" s="81"/>
      <c r="MB78" s="122">
        <v>78</v>
      </c>
      <c r="MC78" s="149">
        <f t="shared" si="655"/>
        <v>15.699438832204564</v>
      </c>
      <c r="MD78" s="149">
        <f t="shared" si="656"/>
        <v>18.316369851491693</v>
      </c>
      <c r="ME78" s="149">
        <f t="shared" si="657"/>
        <v>20.57957480093161</v>
      </c>
      <c r="MF78" s="149">
        <f t="shared" si="658"/>
        <v>23.202777575426794</v>
      </c>
      <c r="MG78" s="149">
        <f t="shared" si="915"/>
        <v>27.61051107045629</v>
      </c>
      <c r="MH78" s="150">
        <f t="shared" si="916"/>
        <v>32.567924276876603</v>
      </c>
      <c r="MI78" s="149">
        <f t="shared" si="917"/>
        <v>37.569850270699327</v>
      </c>
      <c r="MJ78" s="149">
        <f t="shared" si="659"/>
        <v>42.093513786754592</v>
      </c>
      <c r="MK78" s="149">
        <f t="shared" si="660"/>
        <v>44.820914050434716</v>
      </c>
      <c r="ML78" s="149">
        <f t="shared" si="661"/>
        <v>47.195742441687052</v>
      </c>
      <c r="MM78" s="149">
        <f t="shared" si="662"/>
        <v>49.967507146810611</v>
      </c>
      <c r="MN78" s="81"/>
      <c r="MO78" s="122">
        <v>76</v>
      </c>
      <c r="MP78" s="149">
        <f t="shared" si="663"/>
        <v>7.5146473163456164</v>
      </c>
      <c r="MQ78" s="149">
        <f t="shared" si="664"/>
        <v>11.433407160653474</v>
      </c>
      <c r="MR78" s="149">
        <f t="shared" si="665"/>
        <v>14.811924964106645</v>
      </c>
      <c r="MS78" s="149">
        <f t="shared" si="666"/>
        <v>18.715890482881129</v>
      </c>
      <c r="MT78" s="149">
        <f t="shared" si="918"/>
        <v>25.247664216152806</v>
      </c>
      <c r="MU78" s="150">
        <f t="shared" si="919"/>
        <v>32.553805601969607</v>
      </c>
      <c r="MV78" s="149">
        <f t="shared" si="920"/>
        <v>39.884631792358427</v>
      </c>
      <c r="MW78" s="149">
        <f t="shared" si="667"/>
        <v>46.480955882937373</v>
      </c>
      <c r="MX78" s="149">
        <f t="shared" si="668"/>
        <v>50.443269017535037</v>
      </c>
      <c r="MY78" s="149">
        <f t="shared" si="669"/>
        <v>53.884651011065067</v>
      </c>
      <c r="MZ78" s="149">
        <f t="shared" si="670"/>
        <v>57.891247526478146</v>
      </c>
      <c r="NA78" s="81"/>
      <c r="NB78" s="122">
        <v>76</v>
      </c>
      <c r="NC78" s="149">
        <f t="shared" si="671"/>
        <v>19.212786581941355</v>
      </c>
      <c r="ND78" s="149">
        <f t="shared" si="672"/>
        <v>22.370211324510709</v>
      </c>
      <c r="NE78" s="149">
        <f t="shared" si="673"/>
        <v>25.092774262687708</v>
      </c>
      <c r="NF78" s="149">
        <f t="shared" si="674"/>
        <v>28.239344430582197</v>
      </c>
      <c r="NG78" s="149">
        <f t="shared" si="921"/>
        <v>33.505481205611872</v>
      </c>
      <c r="NH78" s="150">
        <f t="shared" si="922"/>
        <v>39.398496253898799</v>
      </c>
      <c r="NI78" s="149">
        <f t="shared" si="923"/>
        <v>45.314297280630385</v>
      </c>
      <c r="NJ78" s="149">
        <f t="shared" si="675"/>
        <v>50.639897340573896</v>
      </c>
      <c r="NK78" s="149">
        <f t="shared" si="676"/>
        <v>53.840062226876839</v>
      </c>
      <c r="NL78" s="149">
        <f t="shared" si="677"/>
        <v>56.62019980924245</v>
      </c>
      <c r="NM78" s="149">
        <f t="shared" si="678"/>
        <v>59.857768301727717</v>
      </c>
      <c r="NN78" s="81"/>
      <c r="NO78" s="122">
        <v>78</v>
      </c>
      <c r="NP78" s="149">
        <f t="shared" si="679"/>
        <v>4.6513433900714674</v>
      </c>
      <c r="NQ78" s="149">
        <f t="shared" si="680"/>
        <v>8.1566638709462467</v>
      </c>
      <c r="NR78" s="149">
        <f t="shared" si="681"/>
        <v>11.172522048188831</v>
      </c>
      <c r="NS78" s="149">
        <f t="shared" si="682"/>
        <v>14.650785914928072</v>
      </c>
      <c r="NT78" s="149">
        <f t="shared" si="924"/>
        <v>20.455717775889894</v>
      </c>
      <c r="NU78" s="150">
        <f t="shared" si="925"/>
        <v>26.929292330765996</v>
      </c>
      <c r="NV78" s="149">
        <f t="shared" si="926"/>
        <v>33.406151703702697</v>
      </c>
      <c r="NW78" s="149">
        <f t="shared" si="683"/>
        <v>39.219674418188127</v>
      </c>
      <c r="NX78" s="149">
        <f t="shared" si="684"/>
        <v>42.705705008129762</v>
      </c>
      <c r="NY78" s="149">
        <f t="shared" si="685"/>
        <v>45.729932575605282</v>
      </c>
      <c r="NZ78" s="149">
        <f t="shared" si="686"/>
        <v>49.246949670822666</v>
      </c>
      <c r="OA78" s="81"/>
      <c r="OB78" s="122">
        <v>76</v>
      </c>
      <c r="OC78" s="149">
        <v>15.985753678985189</v>
      </c>
      <c r="OD78" s="149">
        <v>17.284794849953165</v>
      </c>
      <c r="OE78" s="149">
        <v>18.486164622410111</v>
      </c>
      <c r="OF78" s="149">
        <v>19.975262828173342</v>
      </c>
      <c r="OG78" s="149">
        <v>22.731047964519416</v>
      </c>
      <c r="OH78" s="150">
        <v>26.252946209783037</v>
      </c>
      <c r="OI78" s="149">
        <v>30.320519571713145</v>
      </c>
      <c r="OJ78" s="149">
        <v>34.503535228666991</v>
      </c>
      <c r="OK78" s="149">
        <v>37.282865254713137</v>
      </c>
      <c r="OL78" s="149">
        <v>39.874189464020688</v>
      </c>
      <c r="OM78" s="149">
        <v>43.114462948331543</v>
      </c>
      <c r="ON78" s="81"/>
      <c r="OO78" s="122">
        <v>76</v>
      </c>
      <c r="OP78" s="149">
        <v>19.42862903324701</v>
      </c>
      <c r="OQ78" s="149">
        <v>20.452367231354401</v>
      </c>
      <c r="OR78" s="149">
        <v>21.37588041841553</v>
      </c>
      <c r="OS78" s="149">
        <v>22.492505693109873</v>
      </c>
      <c r="OT78" s="149">
        <v>24.529597331206009</v>
      </c>
      <c r="OU78" s="150">
        <v>26.918113627245791</v>
      </c>
      <c r="OV78" s="149">
        <v>29.591135355464619</v>
      </c>
      <c r="OW78" s="149">
        <v>32.214500737962574</v>
      </c>
      <c r="OX78" s="149">
        <v>33.897309821450833</v>
      </c>
      <c r="OY78" s="149">
        <v>35.427920545964682</v>
      </c>
      <c r="OZ78" s="149">
        <v>37.294697428695486</v>
      </c>
      <c r="PA78" s="81"/>
      <c r="PB78" s="122">
        <v>78</v>
      </c>
      <c r="PC78" s="149">
        <v>12.328734411122603</v>
      </c>
      <c r="PD78" s="149">
        <v>13.815006947341349</v>
      </c>
      <c r="PE78" s="149">
        <v>15.235819498026826</v>
      </c>
      <c r="PF78" s="149">
        <v>17.05621278291191</v>
      </c>
      <c r="PG78" s="149">
        <v>20.58975959385608</v>
      </c>
      <c r="PH78" s="150">
        <v>25.397436658219092</v>
      </c>
      <c r="PI78" s="149">
        <v>31.327698891672615</v>
      </c>
      <c r="PJ78" s="149">
        <v>37.817878858458322</v>
      </c>
      <c r="PK78" s="149">
        <v>42.336402639305867</v>
      </c>
      <c r="PL78" s="149">
        <v>46.69051497888568</v>
      </c>
      <c r="PM78" s="149">
        <v>52.319221689642752</v>
      </c>
      <c r="PN78" s="81"/>
      <c r="PO78" s="122">
        <v>76</v>
      </c>
      <c r="PP78" s="149">
        <v>11.576605435148071</v>
      </c>
      <c r="PQ78" s="149">
        <v>12.539475057665245</v>
      </c>
      <c r="PR78" s="149">
        <v>13.431410245482619</v>
      </c>
      <c r="PS78" s="149">
        <v>14.538776495092181</v>
      </c>
      <c r="PT78" s="149">
        <v>16.592948467878156</v>
      </c>
      <c r="PU78" s="150">
        <v>19.226325467836421</v>
      </c>
      <c r="PV78" s="149">
        <v>22.277631471632304</v>
      </c>
      <c r="PW78" s="149">
        <v>25.425220005270578</v>
      </c>
      <c r="PX78" s="149">
        <v>27.521428073384936</v>
      </c>
      <c r="PY78" s="149">
        <v>29.479032359429702</v>
      </c>
      <c r="PZ78" s="149">
        <v>31.930913864686566</v>
      </c>
      <c r="QA78" s="81"/>
      <c r="QB78" s="122">
        <v>76</v>
      </c>
      <c r="QC78" s="149">
        <v>12.202876163142729</v>
      </c>
      <c r="QD78" s="149">
        <v>13.189192066240796</v>
      </c>
      <c r="QE78" s="149">
        <v>14.101008145863972</v>
      </c>
      <c r="QF78" s="149">
        <v>15.230781886173848</v>
      </c>
      <c r="QG78" s="149">
        <v>17.320462100895721</v>
      </c>
      <c r="QH78" s="150">
        <v>19.989189721101557</v>
      </c>
      <c r="QI78" s="149">
        <v>23.069113478532909</v>
      </c>
      <c r="QJ78" s="149">
        <v>26.234221505654311</v>
      </c>
      <c r="QK78" s="149">
        <v>28.336109132976496</v>
      </c>
      <c r="QL78" s="149">
        <v>30.295085832355877</v>
      </c>
      <c r="QM78" s="149">
        <v>32.743731917319337</v>
      </c>
      <c r="QN78" s="81"/>
      <c r="QO78" s="122">
        <v>78</v>
      </c>
      <c r="QP78" s="149">
        <v>9.1686475316332281</v>
      </c>
      <c r="QQ78" s="149">
        <v>10.1476383313141</v>
      </c>
      <c r="QR78" s="149">
        <v>11.072831748362809</v>
      </c>
      <c r="QS78" s="149">
        <v>12.244689478570089</v>
      </c>
      <c r="QT78" s="149">
        <v>14.482011283227576</v>
      </c>
      <c r="QU78" s="150">
        <v>17.460693670167949</v>
      </c>
      <c r="QV78" s="149">
        <v>21.052036038429044</v>
      </c>
      <c r="QW78" s="149">
        <v>24.898616169647923</v>
      </c>
      <c r="QX78" s="149">
        <v>27.53368157052698</v>
      </c>
      <c r="QY78" s="149">
        <v>30.044017483618997</v>
      </c>
      <c r="QZ78" s="149">
        <v>33.251995170669943</v>
      </c>
      <c r="RA78" s="81"/>
      <c r="RB78" s="122">
        <v>76</v>
      </c>
      <c r="RC78" s="149">
        <f t="shared" si="687"/>
        <v>0.46445386060026173</v>
      </c>
      <c r="RD78" s="149">
        <f t="shared" si="688"/>
        <v>0.50701036848556391</v>
      </c>
      <c r="RE78" s="149">
        <f t="shared" si="689"/>
        <v>0.54724150777834157</v>
      </c>
      <c r="RF78" s="149">
        <f t="shared" si="690"/>
        <v>0.59827835802957252</v>
      </c>
      <c r="RG78" s="149">
        <f t="shared" si="927"/>
        <v>0.69616089209842646</v>
      </c>
      <c r="RH78" s="150">
        <f t="shared" si="928"/>
        <v>0.82777649621723726</v>
      </c>
      <c r="RI78" s="149">
        <f t="shared" si="929"/>
        <v>0.98895626107748158</v>
      </c>
      <c r="RJ78" s="149">
        <f t="shared" si="691"/>
        <v>1.1650550670133892</v>
      </c>
      <c r="RK78" s="149">
        <f t="shared" si="692"/>
        <v>1.2879135063641038</v>
      </c>
      <c r="RL78" s="149">
        <f t="shared" si="693"/>
        <v>1.4067065097928182</v>
      </c>
      <c r="RM78" s="149">
        <f t="shared" si="694"/>
        <v>1.5610604442060447</v>
      </c>
      <c r="RN78" s="81"/>
      <c r="RO78" s="122">
        <v>76</v>
      </c>
      <c r="RP78" s="149">
        <f t="shared" si="695"/>
        <v>0.51136034847870449</v>
      </c>
      <c r="RQ78" s="149">
        <f t="shared" si="696"/>
        <v>0.56123624600009092</v>
      </c>
      <c r="RR78" s="149">
        <f t="shared" si="697"/>
        <v>0.60892921829034163</v>
      </c>
      <c r="RS78" s="149">
        <f t="shared" si="698"/>
        <v>0.67017960858669656</v>
      </c>
      <c r="RT78" s="149">
        <f t="shared" si="930"/>
        <v>0.78994296077438864</v>
      </c>
      <c r="RU78" s="150">
        <f t="shared" si="931"/>
        <v>0.95559786555439041</v>
      </c>
      <c r="RV78" s="149">
        <f t="shared" si="932"/>
        <v>1.1654233595437813</v>
      </c>
      <c r="RW78" s="149">
        <f t="shared" si="699"/>
        <v>1.4031061060100762</v>
      </c>
      <c r="RX78" s="149">
        <f t="shared" si="700"/>
        <v>1.573980643871377</v>
      </c>
      <c r="RY78" s="149">
        <f t="shared" si="701"/>
        <v>1.7430486904635629</v>
      </c>
      <c r="RZ78" s="149">
        <f t="shared" si="702"/>
        <v>1.9682593239314838</v>
      </c>
      <c r="SA78" s="81"/>
      <c r="SB78" s="122">
        <v>78</v>
      </c>
      <c r="SC78" s="149">
        <f t="shared" si="703"/>
        <v>0.4839392799304148</v>
      </c>
      <c r="SD78" s="149">
        <f t="shared" si="704"/>
        <v>0.51937990993524363</v>
      </c>
      <c r="SE78" s="149">
        <f t="shared" si="705"/>
        <v>0.55195853497850844</v>
      </c>
      <c r="SF78" s="149">
        <f t="shared" si="706"/>
        <v>0.59209925401029562</v>
      </c>
      <c r="SG78" s="149">
        <f t="shared" si="933"/>
        <v>0.66575739009343027</v>
      </c>
      <c r="SH78" s="150">
        <f t="shared" si="934"/>
        <v>0.75886449125780087</v>
      </c>
      <c r="SI78" s="149">
        <f t="shared" si="935"/>
        <v>0.86518577375275585</v>
      </c>
      <c r="SJ78" s="149">
        <f t="shared" si="707"/>
        <v>0.97338070569969237</v>
      </c>
      <c r="SK78" s="149">
        <f t="shared" si="708"/>
        <v>1.0447119834520802</v>
      </c>
      <c r="SL78" s="149">
        <f t="shared" si="709"/>
        <v>1.1108594540750061</v>
      </c>
      <c r="SM78" s="149">
        <f t="shared" si="710"/>
        <v>1.1931276287686057</v>
      </c>
      <c r="SN78" s="81"/>
      <c r="SO78" s="122">
        <v>76</v>
      </c>
      <c r="SP78" s="149">
        <f t="shared" si="711"/>
        <v>0.31820661831536501</v>
      </c>
      <c r="SQ78" s="149">
        <f t="shared" si="712"/>
        <v>0.33714469549676351</v>
      </c>
      <c r="SR78" s="149">
        <f t="shared" si="713"/>
        <v>0.35409510199136379</v>
      </c>
      <c r="SS78" s="149">
        <f t="shared" si="714"/>
        <v>0.37441902302322477</v>
      </c>
      <c r="ST78" s="149">
        <f t="shared" si="936"/>
        <v>0.41024633130317117</v>
      </c>
      <c r="SU78" s="150">
        <f t="shared" si="937"/>
        <v>0.45313140679429187</v>
      </c>
      <c r="SV78" s="149">
        <f t="shared" si="938"/>
        <v>0.4992798841462196</v>
      </c>
      <c r="SW78" s="149">
        <f t="shared" si="715"/>
        <v>0.5435927731428345</v>
      </c>
      <c r="SX78" s="149">
        <f t="shared" si="716"/>
        <v>0.57152654762011901</v>
      </c>
      <c r="SY78" s="149">
        <f t="shared" si="717"/>
        <v>0.59661123959860907</v>
      </c>
      <c r="SZ78" s="149">
        <f t="shared" si="718"/>
        <v>0.62680158608721404</v>
      </c>
      <c r="TA78" s="81"/>
      <c r="TB78" s="122">
        <v>76</v>
      </c>
      <c r="TC78" s="149">
        <f t="shared" si="719"/>
        <v>0.33938343897561901</v>
      </c>
      <c r="TD78" s="149">
        <f t="shared" si="720"/>
        <v>0.36014126516880218</v>
      </c>
      <c r="TE78" s="149">
        <f t="shared" si="721"/>
        <v>0.37882266456715924</v>
      </c>
      <c r="TF78" s="149">
        <f t="shared" si="722"/>
        <v>0.40134737969546896</v>
      </c>
      <c r="TG78" s="149">
        <f t="shared" si="939"/>
        <v>0.441380100100769</v>
      </c>
      <c r="TH78" s="150">
        <f t="shared" si="940"/>
        <v>0.48983048911379312</v>
      </c>
      <c r="TI78" s="149">
        <f t="shared" si="941"/>
        <v>0.54259240158253252</v>
      </c>
      <c r="TJ78" s="149">
        <f t="shared" si="723"/>
        <v>0.59384335593246385</v>
      </c>
      <c r="TK78" s="149">
        <f t="shared" si="724"/>
        <v>0.62643752333773839</v>
      </c>
      <c r="TL78" s="149">
        <f t="shared" si="725"/>
        <v>0.65589166697111179</v>
      </c>
      <c r="TM78" s="149">
        <f t="shared" si="726"/>
        <v>0.69156749465574818</v>
      </c>
      <c r="TN78" s="81"/>
      <c r="TO78" s="122">
        <v>78</v>
      </c>
      <c r="TP78" s="149">
        <f t="shared" si="727"/>
        <v>0.32719895695394202</v>
      </c>
      <c r="TQ78" s="149">
        <f t="shared" si="728"/>
        <v>0.34257617915016125</v>
      </c>
      <c r="TR78" s="149">
        <f t="shared" si="729"/>
        <v>0.3561202626519463</v>
      </c>
      <c r="TS78" s="149">
        <f t="shared" si="730"/>
        <v>0.37210366360457742</v>
      </c>
      <c r="TT78" s="149">
        <f t="shared" si="942"/>
        <v>0.39964950146375616</v>
      </c>
      <c r="TU78" s="150">
        <f t="shared" si="943"/>
        <v>0.43166314632735986</v>
      </c>
      <c r="TV78" s="149">
        <f t="shared" si="944"/>
        <v>0.46507217237264653</v>
      </c>
      <c r="TW78" s="149">
        <f t="shared" si="731"/>
        <v>0.49624482249426466</v>
      </c>
      <c r="TX78" s="149">
        <f t="shared" si="732"/>
        <v>0.51547890908387761</v>
      </c>
      <c r="TY78" s="149">
        <f t="shared" si="733"/>
        <v>0.53249578449462276</v>
      </c>
      <c r="TZ78" s="149">
        <f t="shared" si="734"/>
        <v>0.55267371129532927</v>
      </c>
      <c r="UA78" s="81"/>
      <c r="UB78" s="122">
        <v>76</v>
      </c>
      <c r="UC78" s="149">
        <f t="shared" si="735"/>
        <v>-4.255433208760131</v>
      </c>
      <c r="UD78" s="149">
        <f t="shared" si="736"/>
        <v>-1.5348726223235687</v>
      </c>
      <c r="UE78" s="149">
        <f t="shared" si="737"/>
        <v>0.76570459229334631</v>
      </c>
      <c r="UF78" s="149">
        <f t="shared" si="738"/>
        <v>3.3762743109363385</v>
      </c>
      <c r="UG78" s="149">
        <f t="shared" si="945"/>
        <v>7.6394916256583656</v>
      </c>
      <c r="UH78" s="150">
        <f t="shared" si="946"/>
        <v>12.269091644769702</v>
      </c>
      <c r="UI78" s="149">
        <f t="shared" si="947"/>
        <v>16.783482949931852</v>
      </c>
      <c r="UJ78" s="149">
        <f t="shared" si="739"/>
        <v>20.745273042886438</v>
      </c>
      <c r="UK78" s="149">
        <f t="shared" si="740"/>
        <v>23.083192297714945</v>
      </c>
      <c r="UL78" s="149">
        <f t="shared" si="741"/>
        <v>25.089827283560339</v>
      </c>
      <c r="UM78" s="149">
        <f t="shared" si="742"/>
        <v>27.399382596883655</v>
      </c>
      <c r="UN78" s="81"/>
      <c r="UO78" s="122">
        <v>76</v>
      </c>
      <c r="UP78" s="149">
        <f t="shared" si="743"/>
        <v>-2.2035989970049741E-2</v>
      </c>
      <c r="UQ78" s="149">
        <f t="shared" si="744"/>
        <v>2.3873565093047304</v>
      </c>
      <c r="UR78" s="149">
        <f t="shared" si="745"/>
        <v>4.4570053641019882</v>
      </c>
      <c r="US78" s="149">
        <f t="shared" si="746"/>
        <v>6.8404248188369294</v>
      </c>
      <c r="UT78" s="149">
        <f t="shared" si="948"/>
        <v>10.810282403473565</v>
      </c>
      <c r="UU78" s="150">
        <f t="shared" si="949"/>
        <v>15.226791491041482</v>
      </c>
      <c r="UV78" s="149">
        <f t="shared" si="950"/>
        <v>19.635379233185311</v>
      </c>
      <c r="UW78" s="149">
        <f t="shared" si="747"/>
        <v>23.584538793152227</v>
      </c>
      <c r="UX78" s="149">
        <f t="shared" si="748"/>
        <v>25.949269929212534</v>
      </c>
      <c r="UY78" s="149">
        <f t="shared" si="749"/>
        <v>27.998806894224607</v>
      </c>
      <c r="UZ78" s="149">
        <f t="shared" si="750"/>
        <v>30.380140177698117</v>
      </c>
      <c r="VA78" s="81"/>
      <c r="VB78" s="122">
        <v>79</v>
      </c>
      <c r="VC78" s="149">
        <f t="shared" si="751"/>
        <v>-4.1182001708949016</v>
      </c>
      <c r="VD78" s="149">
        <f t="shared" si="752"/>
        <v>-1.6690112174236802</v>
      </c>
      <c r="VE78" s="149">
        <f t="shared" si="753"/>
        <v>0.38914952914269918</v>
      </c>
      <c r="VF78" s="149">
        <f t="shared" si="754"/>
        <v>2.7110359148517063</v>
      </c>
      <c r="VG78" s="149">
        <f t="shared" si="951"/>
        <v>6.4735767936352602</v>
      </c>
      <c r="VH78" s="150">
        <f t="shared" si="952"/>
        <v>10.521266223953575</v>
      </c>
      <c r="VI78" s="149">
        <f t="shared" si="953"/>
        <v>14.432842411645538</v>
      </c>
      <c r="VJ78" s="149">
        <f t="shared" si="755"/>
        <v>17.838836658648802</v>
      </c>
      <c r="VK78" s="149">
        <f t="shared" si="756"/>
        <v>19.83767722829144</v>
      </c>
      <c r="VL78" s="149">
        <f t="shared" si="757"/>
        <v>21.546981962907779</v>
      </c>
      <c r="VM78" s="149">
        <f t="shared" si="758"/>
        <v>23.507347005274539</v>
      </c>
      <c r="VN78" s="81"/>
      <c r="VO78" s="122">
        <v>76</v>
      </c>
      <c r="VP78" s="149">
        <f t="shared" si="759"/>
        <v>-5.5002726603195597</v>
      </c>
      <c r="VQ78" s="149">
        <f t="shared" si="760"/>
        <v>-0.64853438593698343</v>
      </c>
      <c r="VR78" s="149">
        <f t="shared" si="761"/>
        <v>3.6737204786718038</v>
      </c>
      <c r="VS78" s="149">
        <f t="shared" si="762"/>
        <v>8.8261401369434083</v>
      </c>
      <c r="VT78" s="149">
        <f t="shared" si="954"/>
        <v>17.817753086783092</v>
      </c>
      <c r="VU78" s="150">
        <f t="shared" si="955"/>
        <v>28.412331353933006</v>
      </c>
      <c r="VV78" s="149">
        <f t="shared" si="956"/>
        <v>39.59724921881341</v>
      </c>
      <c r="VW78" s="149">
        <f t="shared" si="763"/>
        <v>50.124363970248304</v>
      </c>
      <c r="VX78" s="149">
        <f t="shared" si="764"/>
        <v>56.654425957141761</v>
      </c>
      <c r="VY78" s="149">
        <f t="shared" si="765"/>
        <v>62.44991174670664</v>
      </c>
      <c r="VZ78" s="149">
        <f t="shared" si="766"/>
        <v>69.340722247896906</v>
      </c>
      <c r="WA78" s="81"/>
      <c r="WB78" s="122">
        <v>76</v>
      </c>
      <c r="WC78" s="149">
        <f t="shared" si="767"/>
        <v>3.1932013255791887</v>
      </c>
      <c r="WD78" s="149">
        <f t="shared" si="768"/>
        <v>7.9185629587942685</v>
      </c>
      <c r="WE78" s="149">
        <f t="shared" si="769"/>
        <v>12.118333411335648</v>
      </c>
      <c r="WF78" s="149">
        <f t="shared" si="770"/>
        <v>17.114133557084465</v>
      </c>
      <c r="WG78" s="149">
        <f t="shared" si="957"/>
        <v>25.808900876943206</v>
      </c>
      <c r="WH78" s="150">
        <f t="shared" si="958"/>
        <v>36.022115042130231</v>
      </c>
      <c r="WI78" s="149">
        <f t="shared" si="959"/>
        <v>46.77456318381234</v>
      </c>
      <c r="WJ78" s="149">
        <f t="shared" si="771"/>
        <v>56.871777494275598</v>
      </c>
      <c r="WK78" s="149">
        <f t="shared" si="772"/>
        <v>63.125686293265595</v>
      </c>
      <c r="WL78" s="149">
        <f t="shared" si="773"/>
        <v>68.670692185871047</v>
      </c>
      <c r="WM78" s="149">
        <f t="shared" si="774"/>
        <v>75.257678039325839</v>
      </c>
      <c r="WN78" s="81"/>
      <c r="WO78" s="122">
        <v>79</v>
      </c>
      <c r="WP78" s="149">
        <f t="shared" si="775"/>
        <v>-8.3871645206238554</v>
      </c>
      <c r="WQ78" s="149">
        <f t="shared" si="776"/>
        <v>-3.7853168182749286</v>
      </c>
      <c r="WR78" s="149">
        <f t="shared" si="777"/>
        <v>0.28700408227167884</v>
      </c>
      <c r="WS78" s="149">
        <f t="shared" si="778"/>
        <v>5.1099100254167595</v>
      </c>
      <c r="WT78" s="149">
        <f t="shared" si="960"/>
        <v>13.450301135138467</v>
      </c>
      <c r="WU78" s="150">
        <f t="shared" si="961"/>
        <v>23.164673659267216</v>
      </c>
      <c r="WV78" s="149">
        <f t="shared" si="962"/>
        <v>33.301717133583374</v>
      </c>
      <c r="WW78" s="149">
        <f t="shared" si="779"/>
        <v>42.742531724197683</v>
      </c>
      <c r="WX78" s="149">
        <f t="shared" si="780"/>
        <v>48.554020753587928</v>
      </c>
      <c r="WY78" s="149">
        <f t="shared" si="781"/>
        <v>53.684890817338264</v>
      </c>
      <c r="WZ78" s="149">
        <f t="shared" si="782"/>
        <v>59.754241891283563</v>
      </c>
      <c r="XA78" s="81"/>
      <c r="XB78" s="122">
        <v>76</v>
      </c>
      <c r="XC78" s="149">
        <f t="shared" si="783"/>
        <v>-11.092280601819311</v>
      </c>
      <c r="XD78" s="149">
        <f t="shared" si="784"/>
        <v>-6.0556178104482186</v>
      </c>
      <c r="XE78" s="149">
        <f t="shared" si="785"/>
        <v>-1.624814105143237</v>
      </c>
      <c r="XF78" s="149">
        <f t="shared" si="786"/>
        <v>3.5917635249053674</v>
      </c>
      <c r="XG78" s="149">
        <f t="shared" si="963"/>
        <v>12.537675991852645</v>
      </c>
      <c r="XH78" s="150">
        <f t="shared" si="964"/>
        <v>22.845063543468676</v>
      </c>
      <c r="XI78" s="149">
        <f t="shared" si="965"/>
        <v>33.48268631342038</v>
      </c>
      <c r="XJ78" s="149">
        <f t="shared" si="787"/>
        <v>43.290117261901806</v>
      </c>
      <c r="XK78" s="149">
        <f t="shared" si="788"/>
        <v>49.282859293451089</v>
      </c>
      <c r="XL78" s="149">
        <f t="shared" si="789"/>
        <v>54.547139231543561</v>
      </c>
      <c r="XM78" s="149">
        <f t="shared" si="790"/>
        <v>60.74348171663798</v>
      </c>
      <c r="XN78" s="81"/>
      <c r="XO78" s="122">
        <v>76</v>
      </c>
      <c r="XP78" s="149">
        <f t="shared" si="791"/>
        <v>3.3595601544113194</v>
      </c>
      <c r="XQ78" s="149">
        <f t="shared" si="792"/>
        <v>7.4982871156507542</v>
      </c>
      <c r="XR78" s="149">
        <f t="shared" si="793"/>
        <v>11.108672181366941</v>
      </c>
      <c r="XS78" s="149">
        <f t="shared" si="794"/>
        <v>15.32747460579845</v>
      </c>
      <c r="XT78" s="149">
        <f t="shared" si="966"/>
        <v>22.493671975243025</v>
      </c>
      <c r="XU78" s="150">
        <f t="shared" si="967"/>
        <v>30.660933497802226</v>
      </c>
      <c r="XV78" s="149">
        <f t="shared" si="968"/>
        <v>39.007352941529142</v>
      </c>
      <c r="XW78" s="149">
        <f t="shared" si="795"/>
        <v>46.640315100953906</v>
      </c>
      <c r="XX78" s="149">
        <f t="shared" si="796"/>
        <v>51.278849250600253</v>
      </c>
      <c r="XY78" s="149">
        <f t="shared" si="797"/>
        <v>55.339102040195449</v>
      </c>
      <c r="XZ78" s="149">
        <f t="shared" si="798"/>
        <v>60.102238828819587</v>
      </c>
      <c r="YA78" s="81"/>
      <c r="YB78" s="122">
        <v>79</v>
      </c>
      <c r="YC78" s="149">
        <f t="shared" si="799"/>
        <v>-15.311871227119887</v>
      </c>
      <c r="YD78" s="149">
        <f t="shared" si="800"/>
        <v>-10.497869354579763</v>
      </c>
      <c r="YE78" s="149">
        <f t="shared" si="801"/>
        <v>-6.2778042281380095</v>
      </c>
      <c r="YF78" s="149">
        <f t="shared" si="802"/>
        <v>-1.3261800929424652</v>
      </c>
      <c r="YG78" s="149">
        <f t="shared" si="969"/>
        <v>7.1258619827517364</v>
      </c>
      <c r="YH78" s="150">
        <f t="shared" si="970"/>
        <v>16.807637327473564</v>
      </c>
      <c r="YI78" s="149">
        <f t="shared" si="971"/>
        <v>26.742297977827214</v>
      </c>
      <c r="YJ78" s="149">
        <f t="shared" si="803"/>
        <v>35.854887173671123</v>
      </c>
      <c r="YK78" s="149">
        <f t="shared" si="804"/>
        <v>41.40265665514783</v>
      </c>
      <c r="YL78" s="149">
        <f t="shared" si="805"/>
        <v>46.264023065456449</v>
      </c>
      <c r="YM78" s="149">
        <f t="shared" si="806"/>
        <v>51.972353196724463</v>
      </c>
      <c r="YN78" s="81"/>
      <c r="YO78" s="122">
        <v>76</v>
      </c>
      <c r="YP78" s="149">
        <v>20.173786690912429</v>
      </c>
      <c r="YQ78" s="149">
        <v>21.939204385952742</v>
      </c>
      <c r="YR78" s="149">
        <v>23.580640954601165</v>
      </c>
      <c r="YS78" s="149">
        <v>25.626103700589383</v>
      </c>
      <c r="YT78" s="149">
        <v>29.440742698740596</v>
      </c>
      <c r="YU78" s="150">
        <v>34.365359846311485</v>
      </c>
      <c r="YV78" s="149">
        <v>40.113728429038495</v>
      </c>
      <c r="YW78" s="149">
        <v>46.084959741239011</v>
      </c>
      <c r="YX78" s="149">
        <v>50.082521490410961</v>
      </c>
      <c r="YY78" s="149">
        <v>53.829570871887931</v>
      </c>
      <c r="YZ78" s="149">
        <v>58.540222292449741</v>
      </c>
      <c r="ZA78" s="81"/>
      <c r="ZB78" s="122">
        <v>76</v>
      </c>
      <c r="ZC78" s="149">
        <v>22.219493647810701</v>
      </c>
      <c r="ZD78" s="149">
        <v>23.619160174365547</v>
      </c>
      <c r="ZE78" s="149">
        <v>24.893269145461822</v>
      </c>
      <c r="ZF78" s="149">
        <v>26.447769858196981</v>
      </c>
      <c r="ZG78" s="149">
        <v>29.259977694804938</v>
      </c>
      <c r="ZH78" s="150">
        <v>32.748222705505498</v>
      </c>
      <c r="ZI78" s="149">
        <v>36.652320844379759</v>
      </c>
      <c r="ZJ78" s="149">
        <v>40.549584941166657</v>
      </c>
      <c r="ZK78" s="149">
        <v>43.081769778916282</v>
      </c>
      <c r="ZL78" s="149">
        <v>45.405767286058627</v>
      </c>
      <c r="ZM78" s="149">
        <v>48.266000448442014</v>
      </c>
      <c r="ZN78" s="81"/>
      <c r="ZO78" s="122">
        <v>79</v>
      </c>
      <c r="ZP78" s="149">
        <v>19.247014225639489</v>
      </c>
      <c r="ZQ78" s="149">
        <v>21.201662490576417</v>
      </c>
      <c r="ZR78" s="149">
        <v>23.040813821678856</v>
      </c>
      <c r="ZS78" s="149">
        <v>25.360102674379494</v>
      </c>
      <c r="ZT78" s="149">
        <v>29.760203813298702</v>
      </c>
      <c r="ZU78" s="150">
        <v>35.569939477488028</v>
      </c>
      <c r="ZV78" s="149">
        <v>42.513841718610209</v>
      </c>
      <c r="ZW78" s="149">
        <v>49.890199999480807</v>
      </c>
      <c r="ZX78" s="149">
        <v>54.912148686420458</v>
      </c>
      <c r="ZY78" s="149">
        <v>59.675537000672385</v>
      </c>
      <c r="ZZ78" s="149">
        <v>65.735941149080958</v>
      </c>
      <c r="AAA78" s="81"/>
      <c r="AAB78" s="122">
        <v>76</v>
      </c>
      <c r="AAC78" s="149">
        <v>12.188193066496824</v>
      </c>
      <c r="AAD78" s="149">
        <v>13.384116997124766</v>
      </c>
      <c r="AAE78" s="149">
        <v>14.506119811725339</v>
      </c>
      <c r="AAF78" s="149">
        <v>15.916944823215115</v>
      </c>
      <c r="AAG78" s="149">
        <v>18.582379983330597</v>
      </c>
      <c r="AAH78" s="150">
        <v>22.082499832450981</v>
      </c>
      <c r="AAI78" s="149">
        <v>26.241891473946517</v>
      </c>
      <c r="AAJ78" s="149">
        <v>30.636331548939687</v>
      </c>
      <c r="AAK78" s="149">
        <v>33.615936251680438</v>
      </c>
      <c r="AAL78" s="149">
        <v>36.433991047370093</v>
      </c>
      <c r="AAM78" s="149">
        <v>40.008949332335774</v>
      </c>
      <c r="AAN78" s="81"/>
      <c r="AAO78" s="122">
        <v>76</v>
      </c>
      <c r="AAP78" s="149">
        <v>13.525614996455261</v>
      </c>
      <c r="AAQ78" s="149">
        <v>14.777501651779588</v>
      </c>
      <c r="AAR78" s="149">
        <v>15.946483431928216</v>
      </c>
      <c r="AAS78" s="149">
        <v>17.409469311023052</v>
      </c>
      <c r="AAT78" s="149">
        <v>20.154751512691146</v>
      </c>
      <c r="AAU78" s="150">
        <v>23.727742115973033</v>
      </c>
      <c r="AAV78" s="149">
        <v>27.934144738405923</v>
      </c>
      <c r="AAW78" s="149">
        <v>32.339052722626363</v>
      </c>
      <c r="AAX78" s="149">
        <v>35.305949949746548</v>
      </c>
      <c r="AAY78" s="149">
        <v>38.098845067922554</v>
      </c>
      <c r="AAZ78" s="149">
        <v>41.625149471552348</v>
      </c>
      <c r="ABA78" s="81"/>
      <c r="ABB78" s="122">
        <v>79</v>
      </c>
      <c r="ABC78" s="149">
        <v>10.061458418316306</v>
      </c>
      <c r="ABD78" s="149">
        <v>11.247382923077899</v>
      </c>
      <c r="ABE78" s="149">
        <v>12.378555245254184</v>
      </c>
      <c r="ABF78" s="149">
        <v>13.824627729010773</v>
      </c>
      <c r="ABG78" s="149">
        <v>16.62257832648919</v>
      </c>
      <c r="ABH78" s="150">
        <v>20.413418859537785</v>
      </c>
      <c r="ABI78" s="149">
        <v>25.068774611871216</v>
      </c>
      <c r="ABJ78" s="149">
        <v>30.142415239180583</v>
      </c>
      <c r="ABK78" s="149">
        <v>33.663675710030411</v>
      </c>
      <c r="ABL78" s="149">
        <v>37.049300480373333</v>
      </c>
      <c r="ABM78" s="149">
        <v>41.416229358592851</v>
      </c>
      <c r="ABN78" s="81"/>
      <c r="ABO78" s="122">
        <v>76</v>
      </c>
      <c r="ABP78" s="149">
        <f t="shared" si="807"/>
        <v>0.3597881097479621</v>
      </c>
      <c r="ABQ78" s="149">
        <f t="shared" si="808"/>
        <v>0.40280999530064004</v>
      </c>
      <c r="ABR78" s="149">
        <f t="shared" si="809"/>
        <v>0.44271088374130019</v>
      </c>
      <c r="ABS78" s="149">
        <f t="shared" si="810"/>
        <v>0.49220517885093584</v>
      </c>
      <c r="ABT78" s="149">
        <f t="shared" si="972"/>
        <v>0.58358028005488694</v>
      </c>
      <c r="ABU78" s="150">
        <f t="shared" si="973"/>
        <v>0.69935430169825352</v>
      </c>
      <c r="ABV78" s="149">
        <f t="shared" si="974"/>
        <v>0.83103385451426692</v>
      </c>
      <c r="ABW78" s="149">
        <f t="shared" si="811"/>
        <v>0.96378581676011721</v>
      </c>
      <c r="ABX78" s="149">
        <f t="shared" si="812"/>
        <v>1.0504099988411546</v>
      </c>
      <c r="ABY78" s="149">
        <f t="shared" si="813"/>
        <v>1.1300238008463694</v>
      </c>
      <c r="ABZ78" s="149">
        <f t="shared" si="814"/>
        <v>1.2280223249979774</v>
      </c>
      <c r="ACA78" s="81"/>
      <c r="ACB78" s="122">
        <v>76</v>
      </c>
      <c r="ACC78" s="149">
        <f t="shared" si="815"/>
        <v>0.46822822499407069</v>
      </c>
      <c r="ACD78" s="149">
        <f t="shared" si="816"/>
        <v>0.51086344487718716</v>
      </c>
      <c r="ACE78" s="149">
        <f t="shared" si="817"/>
        <v>0.55015821814628374</v>
      </c>
      <c r="ACF78" s="149">
        <f t="shared" si="818"/>
        <v>0.5986592928541673</v>
      </c>
      <c r="ACG78" s="149">
        <f t="shared" si="975"/>
        <v>0.68775278117860372</v>
      </c>
      <c r="ACH78" s="150">
        <f t="shared" si="976"/>
        <v>0.80025608397455728</v>
      </c>
      <c r="ACI78" s="149">
        <f t="shared" si="977"/>
        <v>0.92821679915582855</v>
      </c>
      <c r="ACJ78" s="149">
        <f t="shared" si="819"/>
        <v>1.0576013581681798</v>
      </c>
      <c r="ACK78" s="149">
        <f t="shared" si="820"/>
        <v>1.1423561174247987</v>
      </c>
      <c r="ACL78" s="149">
        <f t="shared" si="821"/>
        <v>1.2205291452978035</v>
      </c>
      <c r="ACM78" s="149">
        <f t="shared" si="822"/>
        <v>1.317159927221824</v>
      </c>
      <c r="ACN78" s="81"/>
      <c r="ACO78" s="122">
        <v>79</v>
      </c>
      <c r="ACP78" s="149">
        <f t="shared" si="823"/>
        <v>0.32378295215512298</v>
      </c>
      <c r="ACQ78" s="149">
        <f t="shared" si="824"/>
        <v>0.36528800768797892</v>
      </c>
      <c r="ACR78" s="149">
        <f t="shared" si="825"/>
        <v>0.40305369121604306</v>
      </c>
      <c r="ACS78" s="149">
        <f t="shared" si="826"/>
        <v>0.44897818048200128</v>
      </c>
      <c r="ACT78" s="149">
        <f t="shared" si="978"/>
        <v>0.53136232145252216</v>
      </c>
      <c r="ACU78" s="150">
        <f t="shared" si="979"/>
        <v>0.63148165193138228</v>
      </c>
      <c r="ACV78" s="149">
        <f t="shared" si="980"/>
        <v>0.74053752218809565</v>
      </c>
      <c r="ACW78" s="149">
        <f t="shared" si="827"/>
        <v>0.8461955667944534</v>
      </c>
      <c r="ACX78" s="149">
        <f t="shared" si="828"/>
        <v>0.91296690060816277</v>
      </c>
      <c r="ACY78" s="149">
        <f t="shared" si="829"/>
        <v>0.97300219407468069</v>
      </c>
      <c r="ACZ78" s="149">
        <f t="shared" si="830"/>
        <v>1.045289417196283</v>
      </c>
      <c r="ADA78" s="81"/>
      <c r="ADB78" s="122">
        <v>76</v>
      </c>
      <c r="ADC78" s="149">
        <f t="shared" si="831"/>
        <v>0.26749037873915599</v>
      </c>
      <c r="ADD78" s="149">
        <f t="shared" si="832"/>
        <v>0.28917241130278376</v>
      </c>
      <c r="ADE78" s="149">
        <f t="shared" si="833"/>
        <v>0.30811849560908905</v>
      </c>
      <c r="ADF78" s="149">
        <f t="shared" si="834"/>
        <v>0.33029160955793768</v>
      </c>
      <c r="ADG78" s="149">
        <f t="shared" si="981"/>
        <v>0.36803142542128459</v>
      </c>
      <c r="ADH78" s="150">
        <f t="shared" si="982"/>
        <v>0.41114537834881715</v>
      </c>
      <c r="ADI78" s="149">
        <f t="shared" si="983"/>
        <v>0.45530253253072434</v>
      </c>
      <c r="ADJ78" s="149">
        <f t="shared" si="835"/>
        <v>0.49576071888958623</v>
      </c>
      <c r="ADK78" s="149">
        <f t="shared" si="836"/>
        <v>0.52037890896110706</v>
      </c>
      <c r="ADL78" s="149">
        <f t="shared" si="837"/>
        <v>0.54194629078419443</v>
      </c>
      <c r="ADM78" s="149">
        <f t="shared" si="838"/>
        <v>0.56726782964419076</v>
      </c>
      <c r="ADN78" s="81"/>
      <c r="ADO78" s="122">
        <v>76</v>
      </c>
      <c r="ADP78" s="149">
        <f t="shared" si="839"/>
        <v>0.32049022241289493</v>
      </c>
      <c r="ADQ78" s="149">
        <f t="shared" si="840"/>
        <v>0.33898502448612289</v>
      </c>
      <c r="ADR78" s="149">
        <f t="shared" si="841"/>
        <v>0.35521511882164891</v>
      </c>
      <c r="ADS78" s="149">
        <f t="shared" si="842"/>
        <v>0.37429463720878953</v>
      </c>
      <c r="ADT78" s="149">
        <f t="shared" si="984"/>
        <v>0.40698649611347704</v>
      </c>
      <c r="ADU78" s="150">
        <f t="shared" si="985"/>
        <v>0.44467695753728442</v>
      </c>
      <c r="ADV78" s="149">
        <f t="shared" si="986"/>
        <v>0.4836635576486944</v>
      </c>
      <c r="ADW78" s="149">
        <f t="shared" si="843"/>
        <v>0.51972585128012394</v>
      </c>
      <c r="ADX78" s="149">
        <f t="shared" si="844"/>
        <v>0.54182819974179841</v>
      </c>
      <c r="ADY78" s="149">
        <f t="shared" si="845"/>
        <v>0.5612896919480882</v>
      </c>
      <c r="ADZ78" s="149">
        <f t="shared" si="846"/>
        <v>0.58425497423806017</v>
      </c>
      <c r="AEA78" s="81"/>
      <c r="AEB78" s="122">
        <v>79</v>
      </c>
      <c r="AEC78" s="149">
        <f t="shared" si="847"/>
        <v>0.24816154526346876</v>
      </c>
      <c r="AED78" s="149">
        <f t="shared" si="848"/>
        <v>0.27015662360309289</v>
      </c>
      <c r="AEE78" s="149">
        <f t="shared" si="849"/>
        <v>0.28901617550992953</v>
      </c>
      <c r="AEF78" s="149">
        <f t="shared" si="850"/>
        <v>0.31069928069910058</v>
      </c>
      <c r="AEG78" s="149">
        <f t="shared" si="987"/>
        <v>0.34673821435994751</v>
      </c>
      <c r="AEH78" s="150">
        <f t="shared" si="988"/>
        <v>0.38673141864698024</v>
      </c>
      <c r="AEI78" s="149">
        <f t="shared" si="989"/>
        <v>0.4265595607947506</v>
      </c>
      <c r="AEJ78" s="149">
        <f t="shared" si="851"/>
        <v>0.4621662426126989</v>
      </c>
      <c r="AEK78" s="149">
        <f t="shared" si="852"/>
        <v>0.4834578436524799</v>
      </c>
      <c r="AEL78" s="149">
        <f t="shared" si="853"/>
        <v>0.50189472053997952</v>
      </c>
      <c r="AEM78" s="149">
        <f t="shared" si="854"/>
        <v>0.52329765686513674</v>
      </c>
      <c r="AEN78" s="81"/>
    </row>
    <row r="79" spans="1:820">
      <c r="A79" s="81"/>
      <c r="B79" s="81">
        <v>78</v>
      </c>
      <c r="C79" s="133">
        <f t="shared" si="495"/>
        <v>2.6841797873546298</v>
      </c>
      <c r="D79" s="133">
        <f t="shared" si="496"/>
        <v>3.2627644149690829</v>
      </c>
      <c r="E79" s="133">
        <f t="shared" si="497"/>
        <v>3.8816259711783054</v>
      </c>
      <c r="F79" s="133">
        <f t="shared" si="498"/>
        <v>4.7761567004256289</v>
      </c>
      <c r="G79" s="133">
        <f t="shared" si="855"/>
        <v>6.8773399638725152</v>
      </c>
      <c r="H79" s="134">
        <f t="shared" si="856"/>
        <v>10.651396830898763</v>
      </c>
      <c r="I79" s="133">
        <f t="shared" si="857"/>
        <v>17.14093037673436</v>
      </c>
      <c r="J79" s="133">
        <f t="shared" si="499"/>
        <v>27.301767098688856</v>
      </c>
      <c r="K79" s="133">
        <f t="shared" si="500"/>
        <v>36.832677743269031</v>
      </c>
      <c r="L79" s="133">
        <f t="shared" si="501"/>
        <v>48.432402796118978</v>
      </c>
      <c r="M79" s="133">
        <f t="shared" si="502"/>
        <v>67.821193512948213</v>
      </c>
      <c r="N79" s="81"/>
      <c r="O79" s="75">
        <v>78</v>
      </c>
      <c r="P79" s="151">
        <f t="shared" si="503"/>
        <v>3.4041025969670446</v>
      </c>
      <c r="Q79" s="151">
        <f t="shared" si="504"/>
        <v>3.9993337928157389</v>
      </c>
      <c r="R79" s="151">
        <f t="shared" si="505"/>
        <v>4.6349229804062757</v>
      </c>
      <c r="S79" s="151">
        <f t="shared" si="506"/>
        <v>5.5584349697614401</v>
      </c>
      <c r="T79" s="151">
        <f t="shared" si="858"/>
        <v>7.7801964120523026</v>
      </c>
      <c r="U79" s="134">
        <f t="shared" si="859"/>
        <v>12.054207211945604</v>
      </c>
      <c r="V79" s="151">
        <f t="shared" si="860"/>
        <v>20.520229508833374</v>
      </c>
      <c r="W79" s="151">
        <f t="shared" si="507"/>
        <v>37.359844335257847</v>
      </c>
      <c r="X79" s="151">
        <f t="shared" si="508"/>
        <v>58.221912169778811</v>
      </c>
      <c r="Y79" s="151">
        <f t="shared" si="509"/>
        <v>92.392390045943003</v>
      </c>
      <c r="Z79" s="151">
        <f t="shared" si="510"/>
        <v>181.2600370505929</v>
      </c>
      <c r="AA79" s="81"/>
      <c r="AB79" s="75"/>
      <c r="AC79" s="137"/>
      <c r="AD79" s="137"/>
      <c r="AE79" s="137"/>
      <c r="AF79" s="137"/>
      <c r="AG79" s="137"/>
      <c r="AH79" s="84"/>
      <c r="AI79" s="137"/>
      <c r="AJ79" s="137"/>
      <c r="AK79" s="137"/>
      <c r="AL79" s="137"/>
      <c r="AM79" s="137"/>
      <c r="AN79" s="81"/>
      <c r="AO79" s="81">
        <v>78</v>
      </c>
      <c r="AP79" s="133">
        <f t="shared" si="519"/>
        <v>2.9691043642449904</v>
      </c>
      <c r="AQ79" s="133">
        <f t="shared" si="520"/>
        <v>6.3096946417832145</v>
      </c>
      <c r="AR79" s="133">
        <f t="shared" si="521"/>
        <v>9.5900240587404504</v>
      </c>
      <c r="AS79" s="133">
        <f t="shared" si="522"/>
        <v>13.845176624494691</v>
      </c>
      <c r="AT79" s="133">
        <f t="shared" si="864"/>
        <v>22.086290795649749</v>
      </c>
      <c r="AU79" s="134">
        <f t="shared" si="865"/>
        <v>32.980840601206758</v>
      </c>
      <c r="AV79" s="133">
        <f t="shared" si="866"/>
        <v>45.704956939952211</v>
      </c>
      <c r="AW79" s="133">
        <f t="shared" si="523"/>
        <v>58.699031991653349</v>
      </c>
      <c r="AX79" s="133">
        <f t="shared" si="524"/>
        <v>67.211249767283377</v>
      </c>
      <c r="AY79" s="133">
        <f t="shared" si="525"/>
        <v>75.03629727186167</v>
      </c>
      <c r="AZ79" s="133">
        <f t="shared" si="526"/>
        <v>84.653714720785686</v>
      </c>
      <c r="BA79" s="81"/>
      <c r="BB79" s="81">
        <v>78</v>
      </c>
      <c r="BC79" s="133">
        <f t="shared" si="527"/>
        <v>5.699410191255958</v>
      </c>
      <c r="BD79" s="133">
        <f t="shared" si="528"/>
        <v>9.6285189105278199</v>
      </c>
      <c r="BE79" s="133">
        <f t="shared" si="529"/>
        <v>13.350098088852135</v>
      </c>
      <c r="BF79" s="133">
        <f t="shared" si="530"/>
        <v>18.01871967815601</v>
      </c>
      <c r="BG79" s="133">
        <f t="shared" si="867"/>
        <v>26.670944099865476</v>
      </c>
      <c r="BH79" s="134">
        <f t="shared" si="868"/>
        <v>37.530934206400687</v>
      </c>
      <c r="BI79" s="133">
        <f t="shared" si="869"/>
        <v>49.614258737150536</v>
      </c>
      <c r="BJ79" s="133">
        <f t="shared" si="531"/>
        <v>61.454953305122238</v>
      </c>
      <c r="BK79" s="133">
        <f t="shared" si="532"/>
        <v>68.992614131591225</v>
      </c>
      <c r="BL79" s="133">
        <f t="shared" si="533"/>
        <v>75.791557954634186</v>
      </c>
      <c r="BM79" s="133">
        <f t="shared" si="534"/>
        <v>83.996850059276497</v>
      </c>
      <c r="BN79" s="81"/>
      <c r="BO79" s="75"/>
      <c r="BP79" s="137"/>
      <c r="BQ79" s="137"/>
      <c r="BR79" s="137"/>
      <c r="BS79" s="137"/>
      <c r="BT79" s="137"/>
      <c r="BU79" s="84"/>
      <c r="BV79" s="137"/>
      <c r="BW79" s="137"/>
      <c r="BX79" s="137"/>
      <c r="BY79" s="137"/>
      <c r="BZ79" s="137"/>
      <c r="CA79" s="81"/>
      <c r="CB79" s="81">
        <v>78</v>
      </c>
      <c r="CC79" s="133">
        <f t="shared" si="543"/>
        <v>0.42188283677242033</v>
      </c>
      <c r="CD79" s="133">
        <f t="shared" si="544"/>
        <v>3.8179288952080475</v>
      </c>
      <c r="CE79" s="133">
        <f t="shared" si="545"/>
        <v>7.0168341935646721</v>
      </c>
      <c r="CF79" s="133">
        <f t="shared" si="546"/>
        <v>10.987761429204937</v>
      </c>
      <c r="CG79" s="133">
        <f t="shared" si="873"/>
        <v>18.210277059404746</v>
      </c>
      <c r="CH79" s="134">
        <f t="shared" si="874"/>
        <v>27.038879678970734</v>
      </c>
      <c r="CI79" s="133">
        <f t="shared" si="875"/>
        <v>36.594043500021009</v>
      </c>
      <c r="CJ79" s="133">
        <f t="shared" si="547"/>
        <v>45.72568262142287</v>
      </c>
      <c r="CK79" s="133">
        <f t="shared" si="548"/>
        <v>51.435081875986597</v>
      </c>
      <c r="CL79" s="133">
        <f t="shared" si="549"/>
        <v>56.522814158263216</v>
      </c>
      <c r="CM79" s="133">
        <f t="shared" si="550"/>
        <v>62.590889048970332</v>
      </c>
      <c r="CN79" s="81"/>
      <c r="CO79" s="81">
        <v>78</v>
      </c>
      <c r="CP79" s="133">
        <f t="shared" si="551"/>
        <v>6.2273032795520473</v>
      </c>
      <c r="CQ79" s="133">
        <f t="shared" si="552"/>
        <v>9.4560069416683525</v>
      </c>
      <c r="CR79" s="133">
        <f t="shared" si="553"/>
        <v>12.408894852421543</v>
      </c>
      <c r="CS79" s="133">
        <f t="shared" si="554"/>
        <v>16.000535251911717</v>
      </c>
      <c r="CT79" s="133">
        <f t="shared" si="876"/>
        <v>22.40346775979657</v>
      </c>
      <c r="CU79" s="134">
        <f t="shared" si="877"/>
        <v>30.094675011120831</v>
      </c>
      <c r="CV79" s="133">
        <f t="shared" si="878"/>
        <v>38.319467681499987</v>
      </c>
      <c r="CW79" s="133">
        <f t="shared" si="555"/>
        <v>46.118359783858232</v>
      </c>
      <c r="CX79" s="133">
        <f t="shared" si="556"/>
        <v>50.972859960613839</v>
      </c>
      <c r="CY79" s="133">
        <f t="shared" si="557"/>
        <v>55.287828455111459</v>
      </c>
      <c r="CZ79" s="133">
        <f t="shared" si="558"/>
        <v>60.423059995201363</v>
      </c>
      <c r="DA79" s="81"/>
      <c r="DB79" s="81"/>
      <c r="DC79" s="83"/>
      <c r="DD79" s="83"/>
      <c r="DE79" s="83"/>
      <c r="DF79" s="83"/>
      <c r="DG79" s="83"/>
      <c r="DH79" s="84"/>
      <c r="DI79" s="83"/>
      <c r="DJ79" s="83"/>
      <c r="DK79" s="83"/>
      <c r="DL79" s="83"/>
      <c r="DM79" s="83"/>
      <c r="DN79" s="81"/>
      <c r="DO79" s="81">
        <v>78</v>
      </c>
      <c r="DP79" s="133">
        <v>14.988573387155673</v>
      </c>
      <c r="DQ79" s="133">
        <v>16.242107303187812</v>
      </c>
      <c r="DR79" s="133">
        <v>17.403750255959359</v>
      </c>
      <c r="DS79" s="133">
        <v>18.84653404244397</v>
      </c>
      <c r="DT79" s="133">
        <v>21.524421157764593</v>
      </c>
      <c r="DU79" s="134">
        <v>24.959929722746349</v>
      </c>
      <c r="DV79" s="133">
        <v>28.943779124099702</v>
      </c>
      <c r="DW79" s="133">
        <v>33.056374735078251</v>
      </c>
      <c r="DX79" s="133">
        <v>35.796772684158178</v>
      </c>
      <c r="DY79" s="133">
        <v>38.356974260486645</v>
      </c>
      <c r="DZ79" s="133">
        <v>41.564869162151865</v>
      </c>
      <c r="EA79" s="81"/>
      <c r="EB79" s="81">
        <v>78</v>
      </c>
      <c r="EC79" s="133">
        <v>14.015923091222334</v>
      </c>
      <c r="ED79" s="133">
        <v>15.54470771078091</v>
      </c>
      <c r="EE79" s="133">
        <v>16.992266868330606</v>
      </c>
      <c r="EF79" s="133">
        <v>18.829290975677051</v>
      </c>
      <c r="EG79" s="133">
        <v>22.346304252084018</v>
      </c>
      <c r="EH79" s="134">
        <v>27.045795976379843</v>
      </c>
      <c r="EI79" s="133">
        <v>32.733604257077396</v>
      </c>
      <c r="EJ79" s="133">
        <v>38.847722993970159</v>
      </c>
      <c r="EK79" s="133">
        <v>43.047527776252927</v>
      </c>
      <c r="EL79" s="133">
        <v>47.056213188791922</v>
      </c>
      <c r="EM79" s="133">
        <v>52.188862284358606</v>
      </c>
      <c r="EN79" s="122"/>
      <c r="EO79" s="122"/>
      <c r="EP79" s="126"/>
      <c r="EQ79" s="126"/>
      <c r="ER79" s="126"/>
      <c r="ES79" s="126"/>
      <c r="ET79" s="126"/>
      <c r="EU79" s="127"/>
      <c r="EV79" s="126"/>
      <c r="EW79" s="126"/>
      <c r="EX79" s="126"/>
      <c r="EY79" s="126"/>
      <c r="EZ79" s="126"/>
      <c r="FA79" s="81"/>
      <c r="FB79" s="81">
        <v>78</v>
      </c>
      <c r="FC79" s="133">
        <v>11.004516365334453</v>
      </c>
      <c r="FD79" s="133">
        <v>11.797973167257185</v>
      </c>
      <c r="FE79" s="133">
        <v>12.525999101654044</v>
      </c>
      <c r="FF79" s="133">
        <v>13.421296554903252</v>
      </c>
      <c r="FG79" s="133">
        <v>15.059477806310904</v>
      </c>
      <c r="FH79" s="134">
        <v>17.122085589434267</v>
      </c>
      <c r="FI79" s="133">
        <v>19.467196585598547</v>
      </c>
      <c r="FJ79" s="133">
        <v>21.843330391564095</v>
      </c>
      <c r="FK79" s="133">
        <v>23.404585339080896</v>
      </c>
      <c r="FL79" s="133">
        <v>24.848828758615362</v>
      </c>
      <c r="FM79" s="133">
        <v>26.640499700234006</v>
      </c>
      <c r="FN79" s="81"/>
      <c r="FO79" s="81">
        <v>78</v>
      </c>
      <c r="FP79" s="133">
        <v>10.908151896321026</v>
      </c>
      <c r="FQ79" s="133">
        <v>11.788293587208484</v>
      </c>
      <c r="FR79" s="133">
        <v>12.601857377297016</v>
      </c>
      <c r="FS79" s="133">
        <v>13.609771893620714</v>
      </c>
      <c r="FT79" s="133">
        <v>15.473733844659499</v>
      </c>
      <c r="FU79" s="134">
        <v>17.853656775075979</v>
      </c>
      <c r="FV79" s="133">
        <v>20.599621490337878</v>
      </c>
      <c r="FW79" s="133">
        <v>23.4208965979529</v>
      </c>
      <c r="FX79" s="133">
        <v>25.294133293118247</v>
      </c>
      <c r="FY79" s="133">
        <v>27.039796547661179</v>
      </c>
      <c r="FZ79" s="133">
        <v>29.221545800963924</v>
      </c>
      <c r="GA79" s="122"/>
      <c r="GB79" s="122"/>
      <c r="GC79" s="126"/>
      <c r="GD79" s="126"/>
      <c r="GE79" s="126"/>
      <c r="GF79" s="126"/>
      <c r="GG79" s="126"/>
      <c r="GH79" s="127"/>
      <c r="GI79" s="126"/>
      <c r="GJ79" s="126"/>
      <c r="GK79" s="126"/>
      <c r="GL79" s="126"/>
      <c r="GM79" s="126"/>
      <c r="GN79" s="122"/>
      <c r="GO79" s="122">
        <v>78</v>
      </c>
      <c r="GP79" s="149">
        <f t="shared" si="567"/>
        <v>0.54501751030896028</v>
      </c>
      <c r="GQ79" s="149">
        <f t="shared" si="568"/>
        <v>0.57553906620894446</v>
      </c>
      <c r="GR79" s="149">
        <f t="shared" si="569"/>
        <v>0.60047896555930969</v>
      </c>
      <c r="GS79" s="149">
        <f t="shared" si="570"/>
        <v>0.62793473129265842</v>
      </c>
      <c r="GT79" s="149">
        <f t="shared" si="882"/>
        <v>0.67232400503726275</v>
      </c>
      <c r="GU79" s="150">
        <f t="shared" si="883"/>
        <v>0.71598186274884923</v>
      </c>
      <c r="GV79" s="149">
        <f t="shared" si="884"/>
        <v>0.75698463620561784</v>
      </c>
      <c r="GW79" s="149">
        <f t="shared" si="571"/>
        <v>0.79381147088091786</v>
      </c>
      <c r="GX79" s="149">
        <f t="shared" si="572"/>
        <v>0.81444641985697819</v>
      </c>
      <c r="GY79" s="149">
        <f t="shared" si="573"/>
        <v>0.83190548709596968</v>
      </c>
      <c r="GZ79" s="149">
        <f t="shared" si="574"/>
        <v>0.85172926881325395</v>
      </c>
      <c r="HA79" s="122"/>
      <c r="HB79" s="122">
        <v>78</v>
      </c>
      <c r="HC79" s="149">
        <f t="shared" si="575"/>
        <v>0.54771477657602985</v>
      </c>
      <c r="HD79" s="149">
        <f t="shared" si="576"/>
        <v>0.57847617565963527</v>
      </c>
      <c r="HE79" s="149">
        <f t="shared" si="577"/>
        <v>0.60363240263790807</v>
      </c>
      <c r="HF79" s="149">
        <f t="shared" si="578"/>
        <v>0.63134574922227071</v>
      </c>
      <c r="HG79" s="149">
        <f t="shared" si="885"/>
        <v>0.67495416063315061</v>
      </c>
      <c r="HH79" s="150">
        <f t="shared" si="886"/>
        <v>0.72033977093855373</v>
      </c>
      <c r="HI79" s="149">
        <f t="shared" si="887"/>
        <v>0.76292926577079789</v>
      </c>
      <c r="HJ79" s="149">
        <f t="shared" si="579"/>
        <v>0.79913763797472293</v>
      </c>
      <c r="HK79" s="149">
        <f t="shared" si="580"/>
        <v>0.82004731454737723</v>
      </c>
      <c r="HL79" s="149">
        <f t="shared" si="581"/>
        <v>0.83774429028193942</v>
      </c>
      <c r="HM79" s="149">
        <f t="shared" si="582"/>
        <v>0.85784406457844264</v>
      </c>
      <c r="HN79" s="122"/>
      <c r="HO79" s="122"/>
      <c r="HP79" s="126"/>
      <c r="HQ79" s="126"/>
      <c r="HR79" s="126"/>
      <c r="HS79" s="126"/>
      <c r="HT79" s="126"/>
      <c r="HU79" s="127"/>
      <c r="HV79" s="126"/>
      <c r="HW79" s="126"/>
      <c r="HX79" s="126"/>
      <c r="HY79" s="126"/>
      <c r="HZ79" s="126"/>
      <c r="IA79" s="122"/>
      <c r="IB79" s="122">
        <v>78</v>
      </c>
      <c r="IC79" s="126">
        <f t="shared" si="591"/>
        <v>0.35362314674733619</v>
      </c>
      <c r="ID79" s="126">
        <f t="shared" si="592"/>
        <v>0.36563475588887301</v>
      </c>
      <c r="IE79" s="126">
        <f t="shared" si="593"/>
        <v>0.37519917206726722</v>
      </c>
      <c r="IF79" s="126">
        <f t="shared" si="594"/>
        <v>0.38549067171647067</v>
      </c>
      <c r="IG79" s="126">
        <f t="shared" si="891"/>
        <v>0.40121378473950503</v>
      </c>
      <c r="IH79" s="127">
        <f t="shared" si="892"/>
        <v>0.41703012819459623</v>
      </c>
      <c r="II79" s="126">
        <f t="shared" si="893"/>
        <v>0.43141951407689688</v>
      </c>
      <c r="IJ79" s="126">
        <f t="shared" si="595"/>
        <v>0.44334128358163316</v>
      </c>
      <c r="IK79" s="126">
        <f t="shared" si="596"/>
        <v>0.45010491979099426</v>
      </c>
      <c r="IL79" s="126">
        <f t="shared" si="597"/>
        <v>0.45576377313780148</v>
      </c>
      <c r="IM79" s="126">
        <f t="shared" si="598"/>
        <v>0.46212093551794198</v>
      </c>
      <c r="IN79" s="122"/>
      <c r="IO79" s="122">
        <v>78</v>
      </c>
      <c r="IP79" s="149">
        <f t="shared" si="599"/>
        <v>0.3543178981485865</v>
      </c>
      <c r="IQ79" s="149">
        <f t="shared" si="600"/>
        <v>0.36645691257647994</v>
      </c>
      <c r="IR79" s="149">
        <f t="shared" si="601"/>
        <v>0.37612788245977963</v>
      </c>
      <c r="IS79" s="149">
        <f t="shared" si="602"/>
        <v>0.38653877049431346</v>
      </c>
      <c r="IT79" s="149">
        <f t="shared" si="894"/>
        <v>0.40245313732177385</v>
      </c>
      <c r="IU79" s="150">
        <f t="shared" si="895"/>
        <v>0.41847189759617348</v>
      </c>
      <c r="IV79" s="149">
        <f t="shared" si="896"/>
        <v>0.43305354354606018</v>
      </c>
      <c r="IW79" s="149">
        <f t="shared" si="603"/>
        <v>0.4451400912720761</v>
      </c>
      <c r="IX79" s="149">
        <f t="shared" si="604"/>
        <v>0.4519993220011489</v>
      </c>
      <c r="IY79" s="149">
        <f t="shared" si="605"/>
        <v>0.45773929112970208</v>
      </c>
      <c r="IZ79" s="149">
        <f t="shared" si="606"/>
        <v>0.46418878367912114</v>
      </c>
      <c r="JA79" s="122"/>
      <c r="JB79" s="122"/>
      <c r="JC79" s="126"/>
      <c r="JD79" s="126"/>
      <c r="JE79" s="126"/>
      <c r="JF79" s="126"/>
      <c r="JG79" s="126"/>
      <c r="JH79" s="127"/>
      <c r="JI79" s="126"/>
      <c r="JJ79" s="126"/>
      <c r="JK79" s="126"/>
      <c r="JL79" s="126"/>
      <c r="JM79" s="126"/>
      <c r="JN79" s="122"/>
      <c r="JO79" s="122">
        <v>77</v>
      </c>
      <c r="JP79" s="149">
        <f t="shared" si="615"/>
        <v>4.401032176794871</v>
      </c>
      <c r="JQ79" s="149">
        <f t="shared" si="616"/>
        <v>5.795958812565587</v>
      </c>
      <c r="JR79" s="149">
        <f t="shared" si="617"/>
        <v>7.0060074551237648</v>
      </c>
      <c r="JS79" s="149">
        <f t="shared" si="618"/>
        <v>8.4126112316931447</v>
      </c>
      <c r="JT79" s="149">
        <f t="shared" si="900"/>
        <v>10.785474707027031</v>
      </c>
      <c r="JU79" s="150">
        <f t="shared" si="901"/>
        <v>13.467434162416072</v>
      </c>
      <c r="JV79" s="149">
        <f t="shared" si="902"/>
        <v>16.186660500331772</v>
      </c>
      <c r="JW79" s="149">
        <f t="shared" si="619"/>
        <v>18.656564173542858</v>
      </c>
      <c r="JX79" s="149">
        <f t="shared" si="620"/>
        <v>20.150364505764994</v>
      </c>
      <c r="JY79" s="149">
        <f t="shared" si="621"/>
        <v>21.453799937660943</v>
      </c>
      <c r="JZ79" s="149">
        <f t="shared" si="622"/>
        <v>22.978222571395872</v>
      </c>
      <c r="KA79" s="122"/>
      <c r="KB79" s="122">
        <v>77</v>
      </c>
      <c r="KC79" s="149">
        <f t="shared" si="623"/>
        <v>5.9233448738138055</v>
      </c>
      <c r="KD79" s="149">
        <f t="shared" si="624"/>
        <v>7.3913697054181231</v>
      </c>
      <c r="KE79" s="149">
        <f t="shared" si="625"/>
        <v>8.682968569654884</v>
      </c>
      <c r="KF79" s="149">
        <f t="shared" si="626"/>
        <v>10.204552332832064</v>
      </c>
      <c r="KG79" s="149">
        <f t="shared" si="903"/>
        <v>12.817878252715049</v>
      </c>
      <c r="KH79" s="150">
        <f t="shared" si="904"/>
        <v>15.837327026921633</v>
      </c>
      <c r="KI79" s="149">
        <f t="shared" si="905"/>
        <v>18.964771954152212</v>
      </c>
      <c r="KJ79" s="149">
        <f t="shared" si="627"/>
        <v>21.85920946104055</v>
      </c>
      <c r="KK79" s="149">
        <f t="shared" si="628"/>
        <v>23.633263293569556</v>
      </c>
      <c r="KL79" s="149">
        <f t="shared" si="629"/>
        <v>25.195123787954394</v>
      </c>
      <c r="KM79" s="149">
        <f t="shared" si="630"/>
        <v>27.03768585418797</v>
      </c>
      <c r="KN79" s="122"/>
      <c r="KO79" s="122">
        <v>79</v>
      </c>
      <c r="KP79" s="149">
        <f t="shared" si="631"/>
        <v>5.6220371767897639</v>
      </c>
      <c r="KQ79" s="149">
        <f t="shared" si="632"/>
        <v>6.6471122760088655</v>
      </c>
      <c r="KR79" s="149">
        <f t="shared" si="633"/>
        <v>7.5269083053593278</v>
      </c>
      <c r="KS79" s="149">
        <f t="shared" si="634"/>
        <v>8.5392441576236244</v>
      </c>
      <c r="KT79" s="149">
        <f t="shared" si="906"/>
        <v>10.22341378457725</v>
      </c>
      <c r="KU79" s="150">
        <f t="shared" si="907"/>
        <v>12.094182410956353</v>
      </c>
      <c r="KV79" s="149">
        <f t="shared" si="908"/>
        <v>13.958623900249894</v>
      </c>
      <c r="KW79" s="149">
        <f t="shared" si="635"/>
        <v>15.626308614867728</v>
      </c>
      <c r="KX79" s="149">
        <f t="shared" si="636"/>
        <v>16.623819996690674</v>
      </c>
      <c r="KY79" s="149">
        <f t="shared" si="637"/>
        <v>17.487726737826652</v>
      </c>
      <c r="KZ79" s="149">
        <f t="shared" si="638"/>
        <v>18.490747427988307</v>
      </c>
      <c r="LA79" s="122"/>
      <c r="LB79" s="122">
        <v>77</v>
      </c>
      <c r="LC79" s="149">
        <f t="shared" si="639"/>
        <v>14.424735617896907</v>
      </c>
      <c r="LD79" s="149">
        <f t="shared" si="640"/>
        <v>18.049588910702177</v>
      </c>
      <c r="LE79" s="149">
        <f t="shared" si="641"/>
        <v>21.207671552784547</v>
      </c>
      <c r="LF79" s="149">
        <f t="shared" si="642"/>
        <v>24.893548433679861</v>
      </c>
      <c r="LG79" s="149">
        <f t="shared" si="909"/>
        <v>31.144555241259333</v>
      </c>
      <c r="LH79" s="150">
        <f t="shared" si="910"/>
        <v>38.255053662766677</v>
      </c>
      <c r="LI79" s="149">
        <f t="shared" si="911"/>
        <v>45.508088514115222</v>
      </c>
      <c r="LJ79" s="149">
        <f t="shared" si="643"/>
        <v>52.130451848921631</v>
      </c>
      <c r="LK79" s="149">
        <f t="shared" si="644"/>
        <v>56.150268911612706</v>
      </c>
      <c r="LL79" s="149">
        <f t="shared" si="645"/>
        <v>59.666270830927495</v>
      </c>
      <c r="LM79" s="149">
        <f t="shared" si="646"/>
        <v>63.787914843815592</v>
      </c>
      <c r="LN79" s="122"/>
      <c r="LO79" s="122">
        <v>77</v>
      </c>
      <c r="LP79" s="149">
        <f t="shared" si="647"/>
        <v>20.055969698400258</v>
      </c>
      <c r="LQ79" s="149">
        <f t="shared" si="648"/>
        <v>23.868915782560332</v>
      </c>
      <c r="LR79" s="149">
        <f t="shared" si="649"/>
        <v>27.197687395824698</v>
      </c>
      <c r="LS79" s="149">
        <f t="shared" si="650"/>
        <v>31.090317749608342</v>
      </c>
      <c r="LT79" s="149">
        <f t="shared" si="912"/>
        <v>37.709223183531108</v>
      </c>
      <c r="LU79" s="150">
        <f t="shared" si="913"/>
        <v>45.26239445171025</v>
      </c>
      <c r="LV79" s="149">
        <f t="shared" si="914"/>
        <v>52.991054749069875</v>
      </c>
      <c r="LW79" s="149">
        <f t="shared" si="651"/>
        <v>60.067100495285075</v>
      </c>
      <c r="LX79" s="149">
        <f t="shared" si="652"/>
        <v>64.370725707236204</v>
      </c>
      <c r="LY79" s="149">
        <f t="shared" si="653"/>
        <v>68.139913176173664</v>
      </c>
      <c r="LZ79" s="149">
        <f t="shared" si="654"/>
        <v>72.563997069216782</v>
      </c>
      <c r="MA79" s="122"/>
      <c r="MB79" s="122">
        <v>79</v>
      </c>
      <c r="MC79" s="149">
        <f t="shared" si="655"/>
        <v>16.524587596064798</v>
      </c>
      <c r="MD79" s="149">
        <f t="shared" si="656"/>
        <v>19.115239501313376</v>
      </c>
      <c r="ME79" s="149">
        <f t="shared" si="657"/>
        <v>21.355413112285952</v>
      </c>
      <c r="MF79" s="149">
        <f t="shared" si="658"/>
        <v>23.95159630422269</v>
      </c>
      <c r="MG79" s="149">
        <f t="shared" si="915"/>
        <v>28.313217420192451</v>
      </c>
      <c r="MH79" s="150">
        <f t="shared" si="916"/>
        <v>33.2178215374582</v>
      </c>
      <c r="MI79" s="149">
        <f t="shared" si="917"/>
        <v>38.165577089812253</v>
      </c>
      <c r="MJ79" s="149">
        <f t="shared" si="659"/>
        <v>42.639573927668529</v>
      </c>
      <c r="MK79" s="149">
        <f t="shared" si="660"/>
        <v>45.33674908837417</v>
      </c>
      <c r="ML79" s="149">
        <f t="shared" si="661"/>
        <v>47.685100529246959</v>
      </c>
      <c r="MM79" s="149">
        <f t="shared" si="662"/>
        <v>50.425786436096296</v>
      </c>
      <c r="MN79" s="122"/>
      <c r="MO79" s="122">
        <v>77</v>
      </c>
      <c r="MP79" s="149">
        <f t="shared" si="663"/>
        <v>8.3038712646592501</v>
      </c>
      <c r="MQ79" s="149">
        <f t="shared" si="664"/>
        <v>12.209516443521473</v>
      </c>
      <c r="MR79" s="149">
        <f t="shared" si="665"/>
        <v>15.576571060034311</v>
      </c>
      <c r="MS79" s="149">
        <f t="shared" si="666"/>
        <v>19.467134560850219</v>
      </c>
      <c r="MT79" s="149">
        <f t="shared" si="918"/>
        <v>25.976167714391558</v>
      </c>
      <c r="MU79" s="150">
        <f t="shared" si="919"/>
        <v>33.256484030866041</v>
      </c>
      <c r="MV79" s="149">
        <f t="shared" si="920"/>
        <v>40.561063547145999</v>
      </c>
      <c r="MW79" s="149">
        <f t="shared" si="667"/>
        <v>47.133534191008799</v>
      </c>
      <c r="MX79" s="149">
        <f t="shared" si="668"/>
        <v>51.081426078322387</v>
      </c>
      <c r="MY79" s="149">
        <f t="shared" si="669"/>
        <v>54.5102320927815</v>
      </c>
      <c r="MZ79" s="149">
        <f t="shared" si="670"/>
        <v>58.502132509483836</v>
      </c>
      <c r="NA79" s="122"/>
      <c r="NB79" s="122">
        <v>77</v>
      </c>
      <c r="NC79" s="149">
        <f t="shared" si="671"/>
        <v>20.152315115171103</v>
      </c>
      <c r="ND79" s="149">
        <f t="shared" si="672"/>
        <v>23.283662294828556</v>
      </c>
      <c r="NE79" s="149">
        <f t="shared" si="673"/>
        <v>25.98355794711858</v>
      </c>
      <c r="NF79" s="149">
        <f t="shared" si="674"/>
        <v>29.103743797068244</v>
      </c>
      <c r="NG79" s="149">
        <f t="shared" si="921"/>
        <v>34.325329513933895</v>
      </c>
      <c r="NH79" s="150">
        <f t="shared" si="922"/>
        <v>40.167989059749601</v>
      </c>
      <c r="NI79" s="149">
        <f t="shared" si="923"/>
        <v>46.032791270769337</v>
      </c>
      <c r="NJ79" s="149">
        <f t="shared" si="675"/>
        <v>51.312152411384346</v>
      </c>
      <c r="NK79" s="149">
        <f t="shared" si="676"/>
        <v>54.484400276552691</v>
      </c>
      <c r="NL79" s="149">
        <f t="shared" si="677"/>
        <v>57.24021168984271</v>
      </c>
      <c r="NM79" s="149">
        <f t="shared" si="678"/>
        <v>60.449371540651526</v>
      </c>
      <c r="NN79" s="122"/>
      <c r="NO79" s="122">
        <v>79</v>
      </c>
      <c r="NP79" s="149">
        <f t="shared" si="679"/>
        <v>5.3682666567319188</v>
      </c>
      <c r="NQ79" s="149">
        <f t="shared" si="680"/>
        <v>8.8625681079889134</v>
      </c>
      <c r="NR79" s="149">
        <f t="shared" si="681"/>
        <v>11.868925622898658</v>
      </c>
      <c r="NS79" s="149">
        <f t="shared" si="682"/>
        <v>15.33621193997557</v>
      </c>
      <c r="NT79" s="149">
        <f t="shared" si="924"/>
        <v>21.122782096979329</v>
      </c>
      <c r="NU79" s="150">
        <f t="shared" si="925"/>
        <v>27.575829695649269</v>
      </c>
      <c r="NV79" s="149">
        <f t="shared" si="926"/>
        <v>34.032108468916256</v>
      </c>
      <c r="NW79" s="149">
        <f t="shared" si="683"/>
        <v>39.827127811352433</v>
      </c>
      <c r="NX79" s="149">
        <f t="shared" si="684"/>
        <v>43.302051014713562</v>
      </c>
      <c r="NY79" s="149">
        <f t="shared" si="685"/>
        <v>46.31663606909968</v>
      </c>
      <c r="NZ79" s="149">
        <f t="shared" si="686"/>
        <v>49.822432378344693</v>
      </c>
      <c r="OA79" s="122"/>
      <c r="OB79" s="122">
        <v>77</v>
      </c>
      <c r="OC79" s="149">
        <v>16.1436583752422</v>
      </c>
      <c r="OD79" s="149">
        <v>17.443715216258106</v>
      </c>
      <c r="OE79" s="149">
        <v>18.645268726503009</v>
      </c>
      <c r="OF79" s="149">
        <v>20.133659686230548</v>
      </c>
      <c r="OG79" s="149">
        <v>22.885648491731608</v>
      </c>
      <c r="OH79" s="150">
        <v>26.398522084160625</v>
      </c>
      <c r="OI79" s="149">
        <v>30.450610498526785</v>
      </c>
      <c r="OJ79" s="149">
        <v>34.612781734088571</v>
      </c>
      <c r="OK79" s="149">
        <v>37.375807152478565</v>
      </c>
      <c r="OL79" s="149">
        <v>39.950317898930152</v>
      </c>
      <c r="OM79" s="149">
        <v>43.167536876068276</v>
      </c>
      <c r="ON79" s="122"/>
      <c r="OO79" s="122">
        <v>77</v>
      </c>
      <c r="OP79" s="149">
        <v>19.91485447917724</v>
      </c>
      <c r="OQ79" s="149">
        <v>20.93650704491985</v>
      </c>
      <c r="OR79" s="149">
        <v>21.857007286470505</v>
      </c>
      <c r="OS79" s="149">
        <v>22.968626223164705</v>
      </c>
      <c r="OT79" s="149">
        <v>24.386133437760453</v>
      </c>
      <c r="OU79" s="150">
        <v>27.361056927666393</v>
      </c>
      <c r="OV79" s="149">
        <v>30.004816613622655</v>
      </c>
      <c r="OW79" s="149">
        <v>32.59347898848138</v>
      </c>
      <c r="OX79" s="149">
        <v>34.251140898983088</v>
      </c>
      <c r="OY79" s="149">
        <v>35.757036003799513</v>
      </c>
      <c r="OZ79" s="149">
        <v>37.59140881404673</v>
      </c>
      <c r="PA79" s="122"/>
      <c r="PB79" s="122">
        <v>79</v>
      </c>
      <c r="PC79" s="149">
        <v>12.138625388621314</v>
      </c>
      <c r="PD79" s="149">
        <v>13.640043860878894</v>
      </c>
      <c r="PE79" s="149">
        <v>15.079060379488686</v>
      </c>
      <c r="PF79" s="149">
        <v>16.927565579309668</v>
      </c>
      <c r="PG79" s="149">
        <v>20.529138432820073</v>
      </c>
      <c r="PH79" s="150">
        <v>25.453465948493402</v>
      </c>
      <c r="PI79" s="149">
        <v>31.55899264410164</v>
      </c>
      <c r="PJ79" s="149">
        <v>38.273603239381714</v>
      </c>
      <c r="PK79" s="149">
        <v>42.965470824189495</v>
      </c>
      <c r="PL79" s="149">
        <v>47.498302454092475</v>
      </c>
      <c r="PM79" s="149">
        <v>53.373335781367082</v>
      </c>
      <c r="PN79" s="122"/>
      <c r="PO79" s="122">
        <v>77</v>
      </c>
      <c r="PP79" s="149">
        <v>11.708142569803593</v>
      </c>
      <c r="PQ79" s="149">
        <v>12.680203353912704</v>
      </c>
      <c r="PR79" s="149">
        <v>13.580537294669607</v>
      </c>
      <c r="PS79" s="149">
        <v>14.698187871109802</v>
      </c>
      <c r="PT79" s="149">
        <v>16.771055713403381</v>
      </c>
      <c r="PU79" s="150">
        <v>19.427757539099694</v>
      </c>
      <c r="PV79" s="149">
        <v>22.50530732519109</v>
      </c>
      <c r="PW79" s="149">
        <v>25.679203879270187</v>
      </c>
      <c r="PX79" s="149">
        <v>27.792550089029984</v>
      </c>
      <c r="PY79" s="149">
        <v>29.765907727463993</v>
      </c>
      <c r="PZ79" s="149">
        <v>32.237202506526742</v>
      </c>
      <c r="QA79" s="122"/>
      <c r="QB79" s="122">
        <v>77</v>
      </c>
      <c r="QC79" s="149">
        <v>12.385838935515022</v>
      </c>
      <c r="QD79" s="149">
        <v>13.38396333735894</v>
      </c>
      <c r="QE79" s="149">
        <v>14.306505307888216</v>
      </c>
      <c r="QF79" s="149">
        <v>15.449332863455412</v>
      </c>
      <c r="QG79" s="149">
        <v>17.562530273052541</v>
      </c>
      <c r="QH79" s="150">
        <v>20.260238596840086</v>
      </c>
      <c r="QI79" s="149">
        <v>23.372330844076238</v>
      </c>
      <c r="QJ79" s="149">
        <v>26.569255231198444</v>
      </c>
      <c r="QK79" s="149">
        <v>28.691651746325693</v>
      </c>
      <c r="QL79" s="149">
        <v>30.669335954852393</v>
      </c>
      <c r="QM79" s="149">
        <v>33.140853044995659</v>
      </c>
      <c r="QN79" s="122"/>
      <c r="QO79" s="122">
        <v>79</v>
      </c>
      <c r="QP79" s="149">
        <v>9.1505890621171471</v>
      </c>
      <c r="QQ79" s="149">
        <v>10.137856123250749</v>
      </c>
      <c r="QR79" s="149">
        <v>11.071743206265552</v>
      </c>
      <c r="QS79" s="149">
        <v>12.255718263769561</v>
      </c>
      <c r="QT79" s="149">
        <v>14.519221964390072</v>
      </c>
      <c r="QU79" s="150">
        <v>17.538091425350519</v>
      </c>
      <c r="QV79" s="149">
        <v>21.184651050747583</v>
      </c>
      <c r="QW79" s="149">
        <v>25.097235773870327</v>
      </c>
      <c r="QX79" s="149">
        <v>27.781049931675593</v>
      </c>
      <c r="QY79" s="149">
        <v>30.340206756191851</v>
      </c>
      <c r="QZ79" s="149">
        <v>33.613644843623703</v>
      </c>
      <c r="RA79" s="122"/>
      <c r="RB79" s="122">
        <v>77</v>
      </c>
      <c r="RC79" s="149">
        <f t="shared" si="687"/>
        <v>0.47073186613764439</v>
      </c>
      <c r="RD79" s="149">
        <f t="shared" si="688"/>
        <v>0.5138913679687962</v>
      </c>
      <c r="RE79" s="149">
        <f t="shared" si="689"/>
        <v>0.55469494237982009</v>
      </c>
      <c r="RF79" s="149">
        <f t="shared" si="690"/>
        <v>0.60646109071835008</v>
      </c>
      <c r="RG79" s="149">
        <f t="shared" si="927"/>
        <v>0.70575122693012282</v>
      </c>
      <c r="RH79" s="150">
        <f t="shared" si="928"/>
        <v>0.83927590961093601</v>
      </c>
      <c r="RI79" s="149">
        <f t="shared" si="929"/>
        <v>1.002815774511556</v>
      </c>
      <c r="RJ79" s="149">
        <f t="shared" si="691"/>
        <v>1.1815173020318623</v>
      </c>
      <c r="RK79" s="149">
        <f t="shared" si="692"/>
        <v>1.3062047941707791</v>
      </c>
      <c r="RL79" s="149">
        <f t="shared" si="693"/>
        <v>1.4267756935487292</v>
      </c>
      <c r="RM79" s="149">
        <f t="shared" si="694"/>
        <v>1.5834524092702895</v>
      </c>
      <c r="RN79" s="122"/>
      <c r="RO79" s="122">
        <v>77</v>
      </c>
      <c r="RP79" s="149">
        <f t="shared" si="695"/>
        <v>0.51822636489242224</v>
      </c>
      <c r="RQ79" s="149">
        <f t="shared" si="696"/>
        <v>0.56899394714651164</v>
      </c>
      <c r="RR79" s="149">
        <f t="shared" si="697"/>
        <v>0.61756133864602136</v>
      </c>
      <c r="RS79" s="149">
        <f t="shared" si="698"/>
        <v>0.67996380213029073</v>
      </c>
      <c r="RT79" s="149">
        <f t="shared" si="930"/>
        <v>0.80206617048480089</v>
      </c>
      <c r="RU79" s="150">
        <f t="shared" si="931"/>
        <v>0.97112358502197416</v>
      </c>
      <c r="RV79" s="149">
        <f t="shared" si="932"/>
        <v>1.1855000025681013</v>
      </c>
      <c r="RW79" s="149">
        <f t="shared" si="699"/>
        <v>1.4286184228452921</v>
      </c>
      <c r="RX79" s="149">
        <f t="shared" si="700"/>
        <v>1.6035628840265856</v>
      </c>
      <c r="RY79" s="149">
        <f t="shared" si="701"/>
        <v>1.7767782602841899</v>
      </c>
      <c r="RZ79" s="149">
        <f t="shared" si="702"/>
        <v>2.0076838578922551</v>
      </c>
      <c r="SA79" s="122"/>
      <c r="SB79" s="122">
        <v>79</v>
      </c>
      <c r="SC79" s="149">
        <f t="shared" si="703"/>
        <v>0.49123828514440099</v>
      </c>
      <c r="SD79" s="149">
        <f t="shared" si="704"/>
        <v>0.52698955829562533</v>
      </c>
      <c r="SE79" s="149">
        <f t="shared" si="705"/>
        <v>0.5598406026953815</v>
      </c>
      <c r="SF79" s="149">
        <f t="shared" si="706"/>
        <v>0.60030078654757724</v>
      </c>
      <c r="SG79" s="149">
        <f t="shared" si="933"/>
        <v>0.67450235585482854</v>
      </c>
      <c r="SH79" s="150">
        <f t="shared" si="934"/>
        <v>0.76822513179247065</v>
      </c>
      <c r="SI79" s="149">
        <f t="shared" si="935"/>
        <v>0.87516367819183516</v>
      </c>
      <c r="SJ79" s="149">
        <f t="shared" si="707"/>
        <v>0.98390391902893304</v>
      </c>
      <c r="SK79" s="149">
        <f t="shared" si="708"/>
        <v>1.0555535536362721</v>
      </c>
      <c r="SL79" s="149">
        <f t="shared" si="709"/>
        <v>1.1219693185713797</v>
      </c>
      <c r="SM79" s="149">
        <f t="shared" si="710"/>
        <v>1.2045373763927845</v>
      </c>
      <c r="SN79" s="122"/>
      <c r="SO79" s="122">
        <v>77</v>
      </c>
      <c r="SP79" s="149">
        <f t="shared" si="711"/>
        <v>0.32112350703972686</v>
      </c>
      <c r="SQ79" s="149">
        <f t="shared" si="712"/>
        <v>0.34015714021766946</v>
      </c>
      <c r="SR79" s="149">
        <f t="shared" si="713"/>
        <v>0.35719039713478334</v>
      </c>
      <c r="SS79" s="149">
        <f t="shared" si="714"/>
        <v>0.37761054395004878</v>
      </c>
      <c r="ST79" s="149">
        <f t="shared" si="936"/>
        <v>0.41359986723369174</v>
      </c>
      <c r="SU79" s="150">
        <f t="shared" si="937"/>
        <v>0.45666735882140863</v>
      </c>
      <c r="SV79" s="149">
        <f t="shared" si="938"/>
        <v>0.50299970835781982</v>
      </c>
      <c r="SW79" s="149">
        <f t="shared" si="715"/>
        <v>0.54747837719383818</v>
      </c>
      <c r="SX79" s="149">
        <f t="shared" si="716"/>
        <v>0.57551172758739699</v>
      </c>
      <c r="SY79" s="149">
        <f t="shared" si="717"/>
        <v>0.60068282367586223</v>
      </c>
      <c r="SZ79" s="149">
        <f t="shared" si="718"/>
        <v>0.63097359556419075</v>
      </c>
      <c r="TA79" s="122"/>
      <c r="TB79" s="122">
        <v>77</v>
      </c>
      <c r="TC79" s="149">
        <f t="shared" si="719"/>
        <v>0.34237866569134345</v>
      </c>
      <c r="TD79" s="149">
        <f t="shared" si="720"/>
        <v>0.36330954557245654</v>
      </c>
      <c r="TE79" s="149">
        <f t="shared" si="721"/>
        <v>0.38214628812332507</v>
      </c>
      <c r="TF79" s="149">
        <f t="shared" si="722"/>
        <v>0.40485783342871356</v>
      </c>
      <c r="TG79" s="149">
        <f t="shared" si="939"/>
        <v>0.44522142875369924</v>
      </c>
      <c r="TH79" s="150">
        <f t="shared" si="940"/>
        <v>0.49407044868910743</v>
      </c>
      <c r="TI79" s="149">
        <f t="shared" si="941"/>
        <v>0.54726445453638384</v>
      </c>
      <c r="TJ79" s="149">
        <f t="shared" si="723"/>
        <v>0.5989333404289765</v>
      </c>
      <c r="TK79" s="149">
        <f t="shared" si="724"/>
        <v>0.63179246753829055</v>
      </c>
      <c r="TL79" s="149">
        <f t="shared" si="725"/>
        <v>0.66148552797792537</v>
      </c>
      <c r="TM79" s="149">
        <f t="shared" si="726"/>
        <v>0.69745011972358806</v>
      </c>
      <c r="TN79" s="122"/>
      <c r="TO79" s="122">
        <v>79</v>
      </c>
      <c r="TP79" s="149">
        <f t="shared" si="727"/>
        <v>0.33050302776215562</v>
      </c>
      <c r="TQ79" s="149">
        <f t="shared" si="728"/>
        <v>0.34586258530090008</v>
      </c>
      <c r="TR79" s="149">
        <f t="shared" si="729"/>
        <v>0.35938763465977486</v>
      </c>
      <c r="TS79" s="149">
        <f t="shared" si="730"/>
        <v>0.3753446365135325</v>
      </c>
      <c r="TT79" s="149">
        <f t="shared" si="942"/>
        <v>0.40283569119105173</v>
      </c>
      <c r="TU79" s="150">
        <f t="shared" si="943"/>
        <v>0.43477220585289283</v>
      </c>
      <c r="TV79" s="149">
        <f t="shared" si="944"/>
        <v>0.46808687404008997</v>
      </c>
      <c r="TW79" s="149">
        <f t="shared" si="731"/>
        <v>0.49915996832718323</v>
      </c>
      <c r="TX79" s="149">
        <f t="shared" si="732"/>
        <v>0.5183275321938392</v>
      </c>
      <c r="TY79" s="149">
        <f t="shared" si="733"/>
        <v>0.53528251440662156</v>
      </c>
      <c r="TZ79" s="149">
        <f t="shared" si="734"/>
        <v>0.55538353954738473</v>
      </c>
      <c r="UA79" s="122"/>
      <c r="UB79" s="122">
        <v>77</v>
      </c>
      <c r="UC79" s="149">
        <f t="shared" si="735"/>
        <v>-3.783410134674611</v>
      </c>
      <c r="UD79" s="149">
        <f t="shared" si="736"/>
        <v>-1.0841959524773515</v>
      </c>
      <c r="UE79" s="149">
        <f t="shared" si="737"/>
        <v>1.1989047765286216</v>
      </c>
      <c r="UF79" s="149">
        <f t="shared" si="738"/>
        <v>3.7902225587183977</v>
      </c>
      <c r="UG79" s="149">
        <f t="shared" si="945"/>
        <v>8.0231872811148719</v>
      </c>
      <c r="UH79" s="150">
        <f t="shared" si="946"/>
        <v>12.621397983507208</v>
      </c>
      <c r="UI79" s="149">
        <f t="shared" si="947"/>
        <v>17.106450089588364</v>
      </c>
      <c r="UJ79" s="149">
        <f t="shared" si="739"/>
        <v>21.043394938651531</v>
      </c>
      <c r="UK79" s="149">
        <f t="shared" si="740"/>
        <v>23.367008651241278</v>
      </c>
      <c r="UL79" s="149">
        <f t="shared" si="741"/>
        <v>25.361560085487696</v>
      </c>
      <c r="UM79" s="149">
        <f t="shared" si="742"/>
        <v>27.657417474586225</v>
      </c>
      <c r="UN79" s="122"/>
      <c r="UO79" s="122">
        <v>77</v>
      </c>
      <c r="UP79" s="149">
        <f t="shared" si="743"/>
        <v>0.47149688143207413</v>
      </c>
      <c r="UQ79" s="149">
        <f t="shared" si="744"/>
        <v>2.8654016875468074</v>
      </c>
      <c r="UR79" s="149">
        <f t="shared" si="745"/>
        <v>4.9217959856977842</v>
      </c>
      <c r="US79" s="149">
        <f t="shared" si="746"/>
        <v>7.2900012975855049</v>
      </c>
      <c r="UT79" s="149">
        <f t="shared" si="948"/>
        <v>11.234621102460579</v>
      </c>
      <c r="UU79" s="150">
        <f t="shared" si="949"/>
        <v>15.623181242895484</v>
      </c>
      <c r="UV79" s="149">
        <f t="shared" si="950"/>
        <v>20.003982559350625</v>
      </c>
      <c r="UW79" s="149">
        <f t="shared" si="747"/>
        <v>23.928332029722256</v>
      </c>
      <c r="UX79" s="149">
        <f t="shared" si="748"/>
        <v>26.278239040069941</v>
      </c>
      <c r="UY79" s="149">
        <f t="shared" si="749"/>
        <v>28.314945382848656</v>
      </c>
      <c r="UZ79" s="149">
        <f t="shared" si="750"/>
        <v>30.681389965626074</v>
      </c>
      <c r="VA79" s="122"/>
      <c r="VB79" s="122">
        <v>80</v>
      </c>
      <c r="VC79" s="149">
        <f t="shared" si="751"/>
        <v>-3.6508157982069918</v>
      </c>
      <c r="VD79" s="149">
        <f t="shared" si="752"/>
        <v>-1.2294988473218709</v>
      </c>
      <c r="VE79" s="149">
        <f t="shared" si="753"/>
        <v>0.80609640731091758</v>
      </c>
      <c r="VF79" s="149">
        <f t="shared" si="754"/>
        <v>3.1033809920198365</v>
      </c>
      <c r="VG79" s="149">
        <f t="shared" si="951"/>
        <v>6.827785828399513</v>
      </c>
      <c r="VH79" s="150">
        <f t="shared" si="952"/>
        <v>10.836553604452916</v>
      </c>
      <c r="VI79" s="149">
        <f t="shared" si="953"/>
        <v>14.712317588279504</v>
      </c>
      <c r="VJ79" s="149">
        <f t="shared" si="755"/>
        <v>18.088394175371008</v>
      </c>
      <c r="VK79" s="149">
        <f t="shared" si="756"/>
        <v>20.070172477516607</v>
      </c>
      <c r="VL79" s="149">
        <f t="shared" si="757"/>
        <v>21.76515582822492</v>
      </c>
      <c r="VM79" s="149">
        <f t="shared" si="758"/>
        <v>23.709384389038078</v>
      </c>
      <c r="VN79" s="122"/>
      <c r="VO79" s="122">
        <v>77</v>
      </c>
      <c r="VP79" s="149">
        <f t="shared" si="759"/>
        <v>-4.424972906558466</v>
      </c>
      <c r="VQ79" s="149">
        <f t="shared" si="760"/>
        <v>0.41978024600314257</v>
      </c>
      <c r="VR79" s="149">
        <f t="shared" si="761"/>
        <v>4.7326013185062621</v>
      </c>
      <c r="VS79" s="149">
        <f t="shared" si="762"/>
        <v>9.8703173584458099</v>
      </c>
      <c r="VT79" s="149">
        <f t="shared" si="954"/>
        <v>18.828557359351386</v>
      </c>
      <c r="VU79" s="150">
        <f t="shared" si="955"/>
        <v>29.373370537820357</v>
      </c>
      <c r="VV79" s="149">
        <f t="shared" si="956"/>
        <v>40.495786989617564</v>
      </c>
      <c r="VW79" s="149">
        <f t="shared" si="763"/>
        <v>50.956368335934947</v>
      </c>
      <c r="VX79" s="149">
        <f t="shared" si="764"/>
        <v>57.441934586341297</v>
      </c>
      <c r="VY79" s="149">
        <f t="shared" si="765"/>
        <v>63.196083825554119</v>
      </c>
      <c r="VZ79" s="149">
        <f t="shared" si="766"/>
        <v>70.035677376424673</v>
      </c>
      <c r="WA79" s="122"/>
      <c r="WB79" s="122">
        <v>77</v>
      </c>
      <c r="WC79" s="149">
        <f t="shared" si="767"/>
        <v>4.4512587299100161</v>
      </c>
      <c r="WD79" s="149">
        <f t="shared" si="768"/>
        <v>9.1626818635904641</v>
      </c>
      <c r="WE79" s="149">
        <f t="shared" si="769"/>
        <v>13.34665879893118</v>
      </c>
      <c r="WF79" s="149">
        <f t="shared" si="770"/>
        <v>18.319986231767409</v>
      </c>
      <c r="WG79" s="149">
        <f t="shared" si="957"/>
        <v>26.967378576460781</v>
      </c>
      <c r="WH79" s="150">
        <f t="shared" si="958"/>
        <v>37.113688909485269</v>
      </c>
      <c r="WI79" s="149">
        <f t="shared" si="959"/>
        <v>47.784889918847362</v>
      </c>
      <c r="WJ79" s="149">
        <f t="shared" si="771"/>
        <v>57.797394536341976</v>
      </c>
      <c r="WK79" s="149">
        <f t="shared" si="772"/>
        <v>63.995300396680456</v>
      </c>
      <c r="WL79" s="149">
        <f t="shared" si="773"/>
        <v>69.488620115900545</v>
      </c>
      <c r="WM79" s="149">
        <f t="shared" si="774"/>
        <v>76.01192670429586</v>
      </c>
      <c r="WN79" s="122"/>
      <c r="WO79" s="122">
        <v>80</v>
      </c>
      <c r="WP79" s="149">
        <f t="shared" si="775"/>
        <v>-7.4376217620395835</v>
      </c>
      <c r="WQ79" s="149">
        <f t="shared" si="776"/>
        <v>-2.8503827894325795</v>
      </c>
      <c r="WR79" s="149">
        <f t="shared" si="777"/>
        <v>1.2065287493427661</v>
      </c>
      <c r="WS79" s="149">
        <f t="shared" si="778"/>
        <v>6.0085659881010045</v>
      </c>
      <c r="WT79" s="149">
        <f t="shared" si="960"/>
        <v>14.307164105787031</v>
      </c>
      <c r="WU79" s="150">
        <f t="shared" si="961"/>
        <v>23.965342006876803</v>
      </c>
      <c r="WV79" s="149">
        <f t="shared" si="962"/>
        <v>34.036772789407387</v>
      </c>
      <c r="WW79" s="149">
        <f t="shared" si="779"/>
        <v>43.411218520634939</v>
      </c>
      <c r="WX79" s="149">
        <f t="shared" si="780"/>
        <v>49.179690454370949</v>
      </c>
      <c r="WY79" s="149">
        <f t="shared" si="781"/>
        <v>54.271359665862782</v>
      </c>
      <c r="WZ79" s="149">
        <f t="shared" si="782"/>
        <v>60.292986105472856</v>
      </c>
      <c r="XA79" s="122"/>
      <c r="XB79" s="122">
        <v>77</v>
      </c>
      <c r="XC79" s="149">
        <f t="shared" si="783"/>
        <v>-10.047783432030393</v>
      </c>
      <c r="XD79" s="149">
        <f t="shared" si="784"/>
        <v>-5.0249134551641319</v>
      </c>
      <c r="XE79" s="149">
        <f t="shared" si="785"/>
        <v>-0.6085693538570851</v>
      </c>
      <c r="XF79" s="149">
        <f t="shared" si="786"/>
        <v>4.5886180682993256</v>
      </c>
      <c r="XG79" s="149">
        <f t="shared" si="963"/>
        <v>13.496331584175415</v>
      </c>
      <c r="XH79" s="150">
        <f t="shared" si="964"/>
        <v>23.753477444159977</v>
      </c>
      <c r="XI79" s="149">
        <f t="shared" si="965"/>
        <v>34.333732682543136</v>
      </c>
      <c r="XJ79" s="149">
        <f t="shared" si="787"/>
        <v>44.084273274252872</v>
      </c>
      <c r="XK79" s="149">
        <f t="shared" si="788"/>
        <v>50.040656211752825</v>
      </c>
      <c r="XL79" s="149">
        <f t="shared" si="789"/>
        <v>55.272113103138615</v>
      </c>
      <c r="XM79" s="149">
        <f t="shared" si="790"/>
        <v>61.428857875680613</v>
      </c>
      <c r="XN79" s="122"/>
      <c r="XO79" s="122">
        <v>77</v>
      </c>
      <c r="XP79" s="149">
        <f t="shared" si="791"/>
        <v>4.6357376293298671</v>
      </c>
      <c r="XQ79" s="149">
        <f t="shared" si="792"/>
        <v>8.7355884867354803</v>
      </c>
      <c r="XR79" s="149">
        <f t="shared" si="793"/>
        <v>12.310543997305196</v>
      </c>
      <c r="XS79" s="149">
        <f t="shared" si="794"/>
        <v>16.486350906606027</v>
      </c>
      <c r="XT79" s="149">
        <f t="shared" si="966"/>
        <v>23.576064548711408</v>
      </c>
      <c r="XU79" s="150">
        <f t="shared" si="967"/>
        <v>31.651644133278658</v>
      </c>
      <c r="XV79" s="149">
        <f t="shared" si="968"/>
        <v>39.900211023967593</v>
      </c>
      <c r="XW79" s="149">
        <f t="shared" si="795"/>
        <v>47.440565033503368</v>
      </c>
      <c r="XX79" s="149">
        <f t="shared" si="796"/>
        <v>52.021543819173623</v>
      </c>
      <c r="XY79" s="149">
        <f t="shared" si="797"/>
        <v>56.030697200297389</v>
      </c>
      <c r="XZ79" s="149">
        <f t="shared" si="798"/>
        <v>60.733094837490718</v>
      </c>
      <c r="YA79" s="122"/>
      <c r="YB79" s="122">
        <v>80</v>
      </c>
      <c r="YC79" s="149">
        <f t="shared" si="799"/>
        <v>-14.387848348100761</v>
      </c>
      <c r="YD79" s="149">
        <f t="shared" si="800"/>
        <v>-9.5922446651760112</v>
      </c>
      <c r="YE79" s="149">
        <f t="shared" si="801"/>
        <v>-5.3902038291960253</v>
      </c>
      <c r="YF79" s="149">
        <f t="shared" si="802"/>
        <v>-0.4616217507477316</v>
      </c>
      <c r="YG79" s="149">
        <f t="shared" si="969"/>
        <v>7.947211371141961</v>
      </c>
      <c r="YH79" s="150">
        <f t="shared" si="970"/>
        <v>17.574713974427702</v>
      </c>
      <c r="YI79" s="149">
        <f t="shared" si="971"/>
        <v>27.449546262655169</v>
      </c>
      <c r="YJ79" s="149">
        <f t="shared" si="803"/>
        <v>36.504312223778122</v>
      </c>
      <c r="YK79" s="149">
        <f t="shared" si="804"/>
        <v>42.01571828792742</v>
      </c>
      <c r="YL79" s="149">
        <f t="shared" si="805"/>
        <v>46.844584122692133</v>
      </c>
      <c r="YM79" s="149">
        <f t="shared" si="806"/>
        <v>52.514062831952749</v>
      </c>
      <c r="YN79" s="122"/>
      <c r="YO79" s="122">
        <v>77</v>
      </c>
      <c r="YP79" s="149">
        <v>20.381057190013127</v>
      </c>
      <c r="YQ79" s="149">
        <v>22.13712022491951</v>
      </c>
      <c r="YR79" s="149">
        <v>23.767979125567201</v>
      </c>
      <c r="YS79" s="149">
        <v>25.797922382828933</v>
      </c>
      <c r="YT79" s="149">
        <v>29.577350984269739</v>
      </c>
      <c r="YU79" s="150">
        <v>34.445904740444583</v>
      </c>
      <c r="YV79" s="149">
        <v>40.115842491060661</v>
      </c>
      <c r="YW79" s="149">
        <v>45.992864688108739</v>
      </c>
      <c r="YX79" s="149">
        <v>49.920960764873932</v>
      </c>
      <c r="YY79" s="149">
        <v>53.598676852833378</v>
      </c>
      <c r="YZ79" s="149">
        <v>58.216820762820241</v>
      </c>
      <c r="ZA79" s="122"/>
      <c r="ZB79" s="122">
        <v>77</v>
      </c>
      <c r="ZC79" s="149">
        <v>22.815935711938209</v>
      </c>
      <c r="ZD79" s="149">
        <v>24.180888955211323</v>
      </c>
      <c r="ZE79" s="149">
        <v>25.419958947315916</v>
      </c>
      <c r="ZF79" s="149">
        <v>26.927532351825278</v>
      </c>
      <c r="ZG79" s="149">
        <v>29.64402679699478</v>
      </c>
      <c r="ZH79" s="150">
        <v>32.995972469795994</v>
      </c>
      <c r="ZI79" s="149">
        <v>36.726933445422056</v>
      </c>
      <c r="ZJ79" s="149">
        <v>40.432007842476338</v>
      </c>
      <c r="ZK79" s="149">
        <v>42.829896046802787</v>
      </c>
      <c r="ZL79" s="149">
        <v>45.02457296934476</v>
      </c>
      <c r="ZM79" s="149">
        <v>47.718148094967937</v>
      </c>
      <c r="ZN79" s="122"/>
      <c r="ZO79" s="122">
        <v>80</v>
      </c>
      <c r="ZP79" s="149">
        <v>19.222028008451385</v>
      </c>
      <c r="ZQ79" s="149">
        <v>21.179534829401138</v>
      </c>
      <c r="ZR79" s="149">
        <v>23.021811353468365</v>
      </c>
      <c r="ZS79" s="149">
        <v>25.345590573021731</v>
      </c>
      <c r="ZT79" s="149">
        <v>29.755712923151471</v>
      </c>
      <c r="ZU79" s="150">
        <v>35.581283700927244</v>
      </c>
      <c r="ZV79" s="149">
        <v>42.547384197299365</v>
      </c>
      <c r="ZW79" s="149">
        <v>49.950611573180382</v>
      </c>
      <c r="ZX79" s="149">
        <v>54.992534269686672</v>
      </c>
      <c r="ZY79" s="149">
        <v>59.775994137906594</v>
      </c>
      <c r="ZZ79" s="149">
        <v>65.863380765506875</v>
      </c>
      <c r="AAA79" s="122"/>
      <c r="AAB79" s="122">
        <v>77</v>
      </c>
      <c r="AAC79" s="149">
        <v>12.315275490985487</v>
      </c>
      <c r="AAD79" s="149">
        <v>13.516670803958093</v>
      </c>
      <c r="AAE79" s="149">
        <v>14.643265530433395</v>
      </c>
      <c r="AAF79" s="149">
        <v>16.059184412169717</v>
      </c>
      <c r="AAG79" s="149">
        <v>18.732393379806386</v>
      </c>
      <c r="AAH79" s="150">
        <v>22.23953576348709</v>
      </c>
      <c r="AAI79" s="149">
        <v>26.403297269456196</v>
      </c>
      <c r="AAJ79" s="149">
        <v>30.798385414928891</v>
      </c>
      <c r="AAK79" s="149">
        <v>33.776410729388907</v>
      </c>
      <c r="AAL79" s="149">
        <v>36.591625123442988</v>
      </c>
      <c r="AAM79" s="149">
        <v>40.161257564839325</v>
      </c>
      <c r="AAN79" s="122"/>
      <c r="AAO79" s="122">
        <v>77</v>
      </c>
      <c r="AAP79" s="149">
        <v>13.806320539503234</v>
      </c>
      <c r="AAQ79" s="149">
        <v>15.062834798898271</v>
      </c>
      <c r="AAR79" s="149">
        <v>16.234596072820661</v>
      </c>
      <c r="AAS79" s="149">
        <v>17.699134729571814</v>
      </c>
      <c r="AAT79" s="149">
        <v>20.442135556461174</v>
      </c>
      <c r="AAU79" s="150">
        <v>24.00329845501857</v>
      </c>
      <c r="AAV79" s="149">
        <v>28.184840822004514</v>
      </c>
      <c r="AAW79" s="149">
        <v>32.552909818695731</v>
      </c>
      <c r="AAX79" s="149">
        <v>35.489539384677322</v>
      </c>
      <c r="AAY79" s="149">
        <v>38.25032567992038</v>
      </c>
      <c r="AAZ79" s="149">
        <v>41.731490665609854</v>
      </c>
      <c r="ABA79" s="122"/>
      <c r="ABB79" s="122">
        <v>80</v>
      </c>
      <c r="ABC79" s="149">
        <v>10.038153689633623</v>
      </c>
      <c r="ABD79" s="149">
        <v>11.230748118160568</v>
      </c>
      <c r="ABE79" s="149">
        <v>12.369167891194712</v>
      </c>
      <c r="ABF79" s="149">
        <v>13.825638843426521</v>
      </c>
      <c r="ABG79" s="149">
        <v>16.64687653363595</v>
      </c>
      <c r="ABH79" s="150">
        <v>20.474899490486447</v>
      </c>
      <c r="ABI79" s="149">
        <v>25.183193273432508</v>
      </c>
      <c r="ABJ79" s="149">
        <v>30.322035306516312</v>
      </c>
      <c r="ABK79" s="149">
        <v>33.892458476851559</v>
      </c>
      <c r="ABL79" s="149">
        <v>37.328012767700152</v>
      </c>
      <c r="ABM79" s="149">
        <v>41.76281038399037</v>
      </c>
      <c r="ABN79" s="122"/>
      <c r="ABO79" s="122">
        <v>77</v>
      </c>
      <c r="ABP79" s="149">
        <f t="shared" si="807"/>
        <v>0.36403419605858206</v>
      </c>
      <c r="ABQ79" s="149">
        <f t="shared" si="808"/>
        <v>0.40743356786138157</v>
      </c>
      <c r="ABR79" s="149">
        <f t="shared" si="809"/>
        <v>0.44767609271460046</v>
      </c>
      <c r="ABS79" s="149">
        <f t="shared" si="810"/>
        <v>0.49758425139822199</v>
      </c>
      <c r="ABT79" s="149">
        <f t="shared" si="972"/>
        <v>0.58969881615205266</v>
      </c>
      <c r="ABU79" s="150">
        <f t="shared" si="973"/>
        <v>0.70637207478569841</v>
      </c>
      <c r="ABV79" s="149">
        <f t="shared" si="974"/>
        <v>0.83903341227066286</v>
      </c>
      <c r="ABW79" s="149">
        <f t="shared" si="811"/>
        <v>0.97273941903630712</v>
      </c>
      <c r="ABX79" s="149">
        <f t="shared" si="812"/>
        <v>1.0599698248790157</v>
      </c>
      <c r="ABY79" s="149">
        <f t="shared" si="813"/>
        <v>1.1401308009426281</v>
      </c>
      <c r="ABZ79" s="149">
        <f t="shared" si="814"/>
        <v>1.2387909999362858</v>
      </c>
      <c r="ACA79" s="122"/>
      <c r="ACB79" s="122">
        <v>77</v>
      </c>
      <c r="ACC79" s="149">
        <f t="shared" si="815"/>
        <v>0.47559090634695783</v>
      </c>
      <c r="ACD79" s="149">
        <f t="shared" si="816"/>
        <v>0.51860530928993975</v>
      </c>
      <c r="ACE79" s="149">
        <f t="shared" si="817"/>
        <v>0.55823200893981917</v>
      </c>
      <c r="ACF79" s="149">
        <f t="shared" si="818"/>
        <v>0.60712164466965668</v>
      </c>
      <c r="ACG79" s="149">
        <f t="shared" si="975"/>
        <v>0.69687465073664534</v>
      </c>
      <c r="ACH79" s="150">
        <f t="shared" si="976"/>
        <v>0.81012391087641633</v>
      </c>
      <c r="ACI79" s="149">
        <f t="shared" si="977"/>
        <v>0.93883343435713251</v>
      </c>
      <c r="ACJ79" s="149">
        <f t="shared" si="819"/>
        <v>1.068883598052851</v>
      </c>
      <c r="ACK79" s="149">
        <f t="shared" si="820"/>
        <v>1.1540307477735068</v>
      </c>
      <c r="ACL79" s="149">
        <f t="shared" si="821"/>
        <v>1.2325380917717164</v>
      </c>
      <c r="ACM79" s="149">
        <f t="shared" si="822"/>
        <v>1.3295484606725645</v>
      </c>
      <c r="ACN79" s="122"/>
      <c r="ACO79" s="122">
        <v>80</v>
      </c>
      <c r="ACP79" s="149">
        <f t="shared" si="823"/>
        <v>0.32690965801512245</v>
      </c>
      <c r="ACQ79" s="149">
        <f t="shared" si="824"/>
        <v>0.36865419195349036</v>
      </c>
      <c r="ACR79" s="149">
        <f t="shared" si="825"/>
        <v>0.40663022119786152</v>
      </c>
      <c r="ACS79" s="149">
        <f t="shared" si="826"/>
        <v>0.45280224334074604</v>
      </c>
      <c r="ACT79" s="149">
        <f t="shared" si="978"/>
        <v>0.53561160281186027</v>
      </c>
      <c r="ACU79" s="150">
        <f t="shared" si="979"/>
        <v>0.63622166912144518</v>
      </c>
      <c r="ACV79" s="149">
        <f t="shared" si="980"/>
        <v>0.74578670806932168</v>
      </c>
      <c r="ACW79" s="149">
        <f t="shared" si="827"/>
        <v>0.85191799203922247</v>
      </c>
      <c r="ACX79" s="149">
        <f t="shared" si="828"/>
        <v>0.91897989077844866</v>
      </c>
      <c r="ACY79" s="149">
        <f t="shared" si="829"/>
        <v>0.97927151901002607</v>
      </c>
      <c r="ACZ79" s="149">
        <f t="shared" si="830"/>
        <v>1.0518618238785153</v>
      </c>
      <c r="ADA79" s="122"/>
      <c r="ADB79" s="122">
        <v>77</v>
      </c>
      <c r="ADC79" s="149">
        <f t="shared" si="831"/>
        <v>0.26979959734194436</v>
      </c>
      <c r="ADD79" s="149">
        <f t="shared" si="832"/>
        <v>0.29151791019295553</v>
      </c>
      <c r="ADE79" s="149">
        <f t="shared" si="833"/>
        <v>0.31049374953627168</v>
      </c>
      <c r="ADF79" s="149">
        <f t="shared" si="834"/>
        <v>0.3326996500226887</v>
      </c>
      <c r="ADG79" s="149">
        <f t="shared" si="981"/>
        <v>0.37049089288712139</v>
      </c>
      <c r="ADH79" s="150">
        <f t="shared" si="982"/>
        <v>0.41365790867578611</v>
      </c>
      <c r="ADI79" s="149">
        <f t="shared" si="983"/>
        <v>0.45786420771126285</v>
      </c>
      <c r="ADJ79" s="149">
        <f t="shared" si="835"/>
        <v>0.49836354503648317</v>
      </c>
      <c r="ADK79" s="149">
        <f t="shared" si="836"/>
        <v>0.52300519503580145</v>
      </c>
      <c r="ADL79" s="149">
        <f t="shared" si="837"/>
        <v>0.54459224291637354</v>
      </c>
      <c r="ADM79" s="149">
        <f t="shared" si="838"/>
        <v>0.56993589511156351</v>
      </c>
      <c r="ADN79" s="122"/>
      <c r="ADO79" s="122">
        <v>77</v>
      </c>
      <c r="ADP79" s="149">
        <f t="shared" si="839"/>
        <v>0.32388544800392283</v>
      </c>
      <c r="ADQ79" s="149">
        <f t="shared" si="840"/>
        <v>0.34236186239909283</v>
      </c>
      <c r="ADR79" s="149">
        <f t="shared" si="841"/>
        <v>0.35857223467750921</v>
      </c>
      <c r="ADS79" s="149">
        <f t="shared" si="842"/>
        <v>0.37762462351469728</v>
      </c>
      <c r="ADT79" s="149">
        <f t="shared" si="984"/>
        <v>0.41026101391431335</v>
      </c>
      <c r="ADU79" s="150">
        <f t="shared" si="985"/>
        <v>0.44787504714071369</v>
      </c>
      <c r="ADV79" s="149">
        <f t="shared" si="986"/>
        <v>0.48677033187743463</v>
      </c>
      <c r="ADW79" s="149">
        <f t="shared" si="843"/>
        <v>0.52273842022894812</v>
      </c>
      <c r="ADX79" s="149">
        <f t="shared" si="844"/>
        <v>0.54477886689334831</v>
      </c>
      <c r="ADY79" s="149">
        <f t="shared" si="845"/>
        <v>0.56418343337600996</v>
      </c>
      <c r="ADZ79" s="149">
        <f t="shared" si="846"/>
        <v>0.58707880308511995</v>
      </c>
      <c r="AEA79" s="122"/>
      <c r="AEB79" s="122">
        <v>80</v>
      </c>
      <c r="AEC79" s="149">
        <f t="shared" si="847"/>
        <v>0.24997538110661974</v>
      </c>
      <c r="AED79" s="149">
        <f t="shared" si="848"/>
        <v>0.27197315289531915</v>
      </c>
      <c r="AEE79" s="149">
        <f t="shared" si="849"/>
        <v>0.29083539181496465</v>
      </c>
      <c r="AEF79" s="149">
        <f t="shared" si="850"/>
        <v>0.31252195624278289</v>
      </c>
      <c r="AEG79" s="149">
        <f t="shared" si="987"/>
        <v>0.34856737814805111</v>
      </c>
      <c r="AEH79" s="150">
        <f t="shared" si="988"/>
        <v>0.38856866837808057</v>
      </c>
      <c r="AEI79" s="149">
        <f t="shared" si="989"/>
        <v>0.42840561021468854</v>
      </c>
      <c r="AEJ79" s="149">
        <f t="shared" si="851"/>
        <v>0.46402067867952485</v>
      </c>
      <c r="AEK79" s="149">
        <f t="shared" si="852"/>
        <v>0.48531749621604536</v>
      </c>
      <c r="AEL79" s="149">
        <f t="shared" si="853"/>
        <v>0.50375899936029434</v>
      </c>
      <c r="AEM79" s="149">
        <f t="shared" si="854"/>
        <v>0.52516742301745345</v>
      </c>
      <c r="AEN79" s="122"/>
    </row>
    <row r="80" spans="1:820">
      <c r="A80" s="81"/>
      <c r="B80" s="81">
        <v>79</v>
      </c>
      <c r="C80" s="133">
        <f t="shared" si="495"/>
        <v>2.7088041280076087</v>
      </c>
      <c r="D80" s="133">
        <f t="shared" si="496"/>
        <v>3.2937639451175564</v>
      </c>
      <c r="E80" s="133">
        <f t="shared" si="497"/>
        <v>3.9196745016446002</v>
      </c>
      <c r="F80" s="133">
        <f t="shared" si="498"/>
        <v>4.824753448729294</v>
      </c>
      <c r="G80" s="133">
        <f t="shared" si="855"/>
        <v>6.9520686795786224</v>
      </c>
      <c r="H80" s="134">
        <f t="shared" si="856"/>
        <v>10.776652035541373</v>
      </c>
      <c r="I80" s="133">
        <f t="shared" si="857"/>
        <v>17.360639391324597</v>
      </c>
      <c r="J80" s="133">
        <f t="shared" si="499"/>
        <v>27.682579663915369</v>
      </c>
      <c r="K80" s="133">
        <f t="shared" si="500"/>
        <v>37.375194897162395</v>
      </c>
      <c r="L80" s="133">
        <f t="shared" si="501"/>
        <v>49.182263312211212</v>
      </c>
      <c r="M80" s="133">
        <f t="shared" si="502"/>
        <v>68.93778299001076</v>
      </c>
      <c r="N80" s="81"/>
      <c r="O80" s="75">
        <v>79</v>
      </c>
      <c r="P80" s="151">
        <f t="shared" si="503"/>
        <v>3.4287461572921938</v>
      </c>
      <c r="Q80" s="151">
        <f t="shared" si="504"/>
        <v>4.0319120737375291</v>
      </c>
      <c r="R80" s="151">
        <f t="shared" si="505"/>
        <v>4.6767762549266116</v>
      </c>
      <c r="S80" s="151">
        <f t="shared" si="506"/>
        <v>5.6151059959674976</v>
      </c>
      <c r="T80" s="151">
        <f t="shared" si="858"/>
        <v>7.8782038773689678</v>
      </c>
      <c r="U80" s="134">
        <f t="shared" si="859"/>
        <v>12.250318880071955</v>
      </c>
      <c r="V80" s="151">
        <f t="shared" si="860"/>
        <v>20.966167896963491</v>
      </c>
      <c r="W80" s="151">
        <f t="shared" si="507"/>
        <v>38.463217859930573</v>
      </c>
      <c r="X80" s="151">
        <f t="shared" si="508"/>
        <v>60.360223339975683</v>
      </c>
      <c r="Y80" s="151">
        <f t="shared" si="509"/>
        <v>96.625151424514812</v>
      </c>
      <c r="Z80" s="151">
        <f t="shared" si="510"/>
        <v>192.6436080234227</v>
      </c>
      <c r="AA80" s="122"/>
      <c r="AB80" s="139"/>
      <c r="AC80" s="140"/>
      <c r="AD80" s="140"/>
      <c r="AE80" s="140"/>
      <c r="AF80" s="140"/>
      <c r="AG80" s="140"/>
      <c r="AH80" s="127"/>
      <c r="AI80" s="140"/>
      <c r="AJ80" s="140"/>
      <c r="AK80" s="140"/>
      <c r="AL80" s="140"/>
      <c r="AM80" s="140"/>
      <c r="AN80" s="81"/>
      <c r="AO80" s="81">
        <v>79</v>
      </c>
      <c r="AP80" s="133">
        <f t="shared" si="519"/>
        <v>3.0304284004729505</v>
      </c>
      <c r="AQ80" s="133">
        <f t="shared" si="520"/>
        <v>6.4073823248086379</v>
      </c>
      <c r="AR80" s="133">
        <f t="shared" si="521"/>
        <v>9.7251052427783975</v>
      </c>
      <c r="AS80" s="133">
        <f t="shared" si="522"/>
        <v>14.030500367055197</v>
      </c>
      <c r="AT80" s="133">
        <f t="shared" si="864"/>
        <v>22.372698539288912</v>
      </c>
      <c r="AU80" s="134">
        <f t="shared" si="865"/>
        <v>33.405816888304074</v>
      </c>
      <c r="AV80" s="133">
        <f t="shared" si="866"/>
        <v>46.296298616785464</v>
      </c>
      <c r="AW80" s="133">
        <f t="shared" si="523"/>
        <v>59.463657494945188</v>
      </c>
      <c r="AX80" s="133">
        <f t="shared" si="524"/>
        <v>68.090768643985584</v>
      </c>
      <c r="AY80" s="133">
        <f t="shared" si="525"/>
        <v>76.022211105580226</v>
      </c>
      <c r="AZ80" s="133">
        <f t="shared" si="526"/>
        <v>85.77125929208789</v>
      </c>
      <c r="BA80" s="81"/>
      <c r="BB80" s="81">
        <v>79</v>
      </c>
      <c r="BC80" s="133">
        <f t="shared" si="527"/>
        <v>5.752664588571677</v>
      </c>
      <c r="BD80" s="133">
        <f t="shared" si="528"/>
        <v>9.7261491498161483</v>
      </c>
      <c r="BE80" s="133">
        <f t="shared" si="529"/>
        <v>13.491856290749205</v>
      </c>
      <c r="BF80" s="133">
        <f t="shared" si="530"/>
        <v>18.217854575322384</v>
      </c>
      <c r="BG80" s="133">
        <f t="shared" si="867"/>
        <v>26.980486850855055</v>
      </c>
      <c r="BH80" s="134">
        <f t="shared" si="868"/>
        <v>37.983987778734523</v>
      </c>
      <c r="BI80" s="133">
        <f t="shared" si="869"/>
        <v>50.231188229177235</v>
      </c>
      <c r="BJ80" s="133">
        <f t="shared" si="531"/>
        <v>62.235427408926746</v>
      </c>
      <c r="BK80" s="133">
        <f t="shared" si="532"/>
        <v>69.878354223650106</v>
      </c>
      <c r="BL80" s="133">
        <f t="shared" si="533"/>
        <v>76.77287962194336</v>
      </c>
      <c r="BM80" s="133">
        <f t="shared" si="534"/>
        <v>85.094210942958782</v>
      </c>
      <c r="BN80" s="122"/>
      <c r="BO80" s="139"/>
      <c r="BP80" s="140"/>
      <c r="BQ80" s="140"/>
      <c r="BR80" s="140"/>
      <c r="BS80" s="140"/>
      <c r="BT80" s="140"/>
      <c r="BU80" s="127"/>
      <c r="BV80" s="140"/>
      <c r="BW80" s="140"/>
      <c r="BX80" s="140"/>
      <c r="BY80" s="140"/>
      <c r="BZ80" s="140"/>
      <c r="CA80" s="81"/>
      <c r="CB80" s="81">
        <v>79</v>
      </c>
      <c r="CC80" s="133">
        <f t="shared" si="543"/>
        <v>0.67291589635564097</v>
      </c>
      <c r="CD80" s="133">
        <f t="shared" si="544"/>
        <v>4.1047045469478407</v>
      </c>
      <c r="CE80" s="133">
        <f t="shared" si="545"/>
        <v>7.3323257726040412</v>
      </c>
      <c r="CF80" s="133">
        <f t="shared" si="546"/>
        <v>11.334827432659978</v>
      </c>
      <c r="CG80" s="133">
        <f t="shared" si="873"/>
        <v>18.607649815943024</v>
      </c>
      <c r="CH80" s="134">
        <f t="shared" si="874"/>
        <v>27.490226059454667</v>
      </c>
      <c r="CI80" s="133">
        <f t="shared" si="875"/>
        <v>37.098142250084294</v>
      </c>
      <c r="CJ80" s="133">
        <f t="shared" si="547"/>
        <v>46.276561513365515</v>
      </c>
      <c r="CK80" s="133">
        <f t="shared" si="548"/>
        <v>52.013875922977064</v>
      </c>
      <c r="CL80" s="133">
        <f t="shared" si="549"/>
        <v>57.125784362121969</v>
      </c>
      <c r="CM80" s="133">
        <f t="shared" si="550"/>
        <v>63.221957663248723</v>
      </c>
      <c r="CN80" s="81"/>
      <c r="CO80" s="81">
        <v>79</v>
      </c>
      <c r="CP80" s="133">
        <f t="shared" si="551"/>
        <v>6.4593803192102106</v>
      </c>
      <c r="CQ80" s="133">
        <f t="shared" si="552"/>
        <v>9.7147987365996151</v>
      </c>
      <c r="CR80" s="133">
        <f t="shared" si="553"/>
        <v>12.690520937759995</v>
      </c>
      <c r="CS80" s="133">
        <f t="shared" si="554"/>
        <v>16.308454711684575</v>
      </c>
      <c r="CT80" s="133">
        <f t="shared" si="876"/>
        <v>22.75541165989355</v>
      </c>
      <c r="CU80" s="134">
        <f t="shared" si="877"/>
        <v>30.496209532156559</v>
      </c>
      <c r="CV80" s="133">
        <f t="shared" si="878"/>
        <v>38.771351431890487</v>
      </c>
      <c r="CW80" s="133">
        <f t="shared" si="555"/>
        <v>46.616163525498472</v>
      </c>
      <c r="CX80" s="133">
        <f t="shared" si="556"/>
        <v>51.498552841768451</v>
      </c>
      <c r="CY80" s="133">
        <f t="shared" si="557"/>
        <v>55.837937887950858</v>
      </c>
      <c r="CZ80" s="133">
        <f t="shared" si="558"/>
        <v>61.00182857956721</v>
      </c>
      <c r="DA80" s="81"/>
      <c r="DB80" s="81"/>
      <c r="DC80" s="83"/>
      <c r="DD80" s="83"/>
      <c r="DE80" s="83"/>
      <c r="DF80" s="83"/>
      <c r="DG80" s="83"/>
      <c r="DH80" s="84"/>
      <c r="DI80" s="83"/>
      <c r="DJ80" s="83"/>
      <c r="DK80" s="83"/>
      <c r="DL80" s="83"/>
      <c r="DM80" s="83"/>
      <c r="DN80" s="81"/>
      <c r="DO80" s="81">
        <v>79</v>
      </c>
      <c r="DP80" s="133">
        <v>15.103749900658176</v>
      </c>
      <c r="DQ80" s="133">
        <v>16.365751109757802</v>
      </c>
      <c r="DR80" s="133">
        <v>17.535163366610831</v>
      </c>
      <c r="DS80" s="133">
        <v>18.987500881696121</v>
      </c>
      <c r="DT80" s="133">
        <v>21.682864130036183</v>
      </c>
      <c r="DU80" s="134">
        <v>25.140361500120779</v>
      </c>
      <c r="DV80" s="133">
        <v>29.149183086067715</v>
      </c>
      <c r="DW80" s="133">
        <v>33.287043950372485</v>
      </c>
      <c r="DX80" s="133">
        <v>36.044019844162669</v>
      </c>
      <c r="DY80" s="133">
        <v>38.619539801012444</v>
      </c>
      <c r="DZ80" s="133">
        <v>41.846414335105798</v>
      </c>
      <c r="EA80" s="81"/>
      <c r="EB80" s="81">
        <v>79</v>
      </c>
      <c r="EC80" s="133">
        <v>14.109217216548519</v>
      </c>
      <c r="ED80" s="133">
        <v>15.6702470101526</v>
      </c>
      <c r="EE80" s="133">
        <v>17.150272055437032</v>
      </c>
      <c r="EF80" s="133">
        <v>19.030954882976179</v>
      </c>
      <c r="EG80" s="133">
        <v>22.638349960655482</v>
      </c>
      <c r="EH80" s="134">
        <v>27.470546258080265</v>
      </c>
      <c r="EI80" s="133">
        <v>33.33418349962983</v>
      </c>
      <c r="EJ80" s="133">
        <v>39.652813868649865</v>
      </c>
      <c r="EK80" s="133">
        <v>44.001104430182622</v>
      </c>
      <c r="EL80" s="133">
        <v>48.156925109630329</v>
      </c>
      <c r="EM80" s="133">
        <v>53.484959522221438</v>
      </c>
      <c r="EN80" s="122"/>
      <c r="EO80" s="122"/>
      <c r="EP80" s="126"/>
      <c r="EQ80" s="126"/>
      <c r="ER80" s="126"/>
      <c r="ES80" s="126"/>
      <c r="ET80" s="126"/>
      <c r="EU80" s="127"/>
      <c r="EV80" s="126"/>
      <c r="EW80" s="126"/>
      <c r="EX80" s="126"/>
      <c r="EY80" s="126"/>
      <c r="EZ80" s="126"/>
      <c r="FA80" s="81"/>
      <c r="FB80" s="81">
        <v>79</v>
      </c>
      <c r="FC80" s="133">
        <v>11.113272170996328</v>
      </c>
      <c r="FD80" s="133">
        <v>11.909125482879491</v>
      </c>
      <c r="FE80" s="133">
        <v>12.639040431507796</v>
      </c>
      <c r="FF80" s="133">
        <v>13.536280542936254</v>
      </c>
      <c r="FG80" s="133">
        <v>15.177016333800587</v>
      </c>
      <c r="FH80" s="134">
        <v>17.24118600052169</v>
      </c>
      <c r="FI80" s="133">
        <v>19.586095723081193</v>
      </c>
      <c r="FJ80" s="133">
        <v>21.960131053851857</v>
      </c>
      <c r="FK80" s="133">
        <v>23.519071429153051</v>
      </c>
      <c r="FL80" s="133">
        <v>24.960564495850079</v>
      </c>
      <c r="FM80" s="133">
        <v>26.748062148642155</v>
      </c>
      <c r="FN80" s="81"/>
      <c r="FO80" s="81">
        <v>79</v>
      </c>
      <c r="FP80" s="133">
        <v>11.011218960260608</v>
      </c>
      <c r="FQ80" s="133">
        <v>11.904014446189292</v>
      </c>
      <c r="FR80" s="133">
        <v>12.729554103849351</v>
      </c>
      <c r="FS80" s="133">
        <v>13.752651122002186</v>
      </c>
      <c r="FT80" s="133">
        <v>15.645610710270747</v>
      </c>
      <c r="FU80" s="134">
        <v>18.064102913926739</v>
      </c>
      <c r="FV80" s="133">
        <v>20.856444668582039</v>
      </c>
      <c r="FW80" s="133">
        <v>23.727193483653942</v>
      </c>
      <c r="FX80" s="133">
        <v>25.634190437688734</v>
      </c>
      <c r="FY80" s="133">
        <v>27.411913481791458</v>
      </c>
      <c r="FZ80" s="133">
        <v>29.634485996745031</v>
      </c>
      <c r="GA80" s="122"/>
      <c r="GB80" s="122"/>
      <c r="GC80" s="126"/>
      <c r="GD80" s="126"/>
      <c r="GE80" s="126"/>
      <c r="GF80" s="126"/>
      <c r="GG80" s="126"/>
      <c r="GH80" s="127"/>
      <c r="GI80" s="126"/>
      <c r="GJ80" s="126"/>
      <c r="GK80" s="126"/>
      <c r="GL80" s="126"/>
      <c r="GM80" s="126"/>
      <c r="GN80" s="122"/>
      <c r="GO80" s="122">
        <v>79</v>
      </c>
      <c r="GP80" s="149">
        <f t="shared" si="567"/>
        <v>0.54693902566556296</v>
      </c>
      <c r="GQ80" s="149">
        <f t="shared" si="568"/>
        <v>0.57738080623238475</v>
      </c>
      <c r="GR80" s="149">
        <f t="shared" si="569"/>
        <v>0.60226275983247557</v>
      </c>
      <c r="GS80" s="149">
        <f t="shared" si="570"/>
        <v>0.62966125712658894</v>
      </c>
      <c r="GT80" s="149">
        <f t="shared" si="882"/>
        <v>0.67397029184816326</v>
      </c>
      <c r="GU80" s="150">
        <f t="shared" si="883"/>
        <v>0.71756168331793169</v>
      </c>
      <c r="GV80" s="149">
        <f t="shared" si="884"/>
        <v>0.75851133173325347</v>
      </c>
      <c r="GW80" s="149">
        <f t="shared" si="571"/>
        <v>0.79529693709139249</v>
      </c>
      <c r="GX80" s="149">
        <f t="shared" si="572"/>
        <v>0.81591113767236534</v>
      </c>
      <c r="GY80" s="149">
        <f t="shared" si="573"/>
        <v>0.83335384907211707</v>
      </c>
      <c r="GZ80" s="149">
        <f t="shared" si="574"/>
        <v>0.85316030018218891</v>
      </c>
      <c r="HA80" s="122"/>
      <c r="HB80" s="122">
        <v>79</v>
      </c>
      <c r="HC80" s="149">
        <f t="shared" si="575"/>
        <v>0.55020265106336685</v>
      </c>
      <c r="HD80" s="149">
        <f t="shared" si="576"/>
        <v>0.5808112321147082</v>
      </c>
      <c r="HE80" s="149">
        <f t="shared" si="577"/>
        <v>0.60585358955454238</v>
      </c>
      <c r="HF80" s="149">
        <f t="shared" si="578"/>
        <v>0.63345151788520948</v>
      </c>
      <c r="HG80" s="149">
        <f t="shared" si="885"/>
        <v>0.6768965376621906</v>
      </c>
      <c r="HH80" s="150">
        <f t="shared" si="886"/>
        <v>0.72213190844780883</v>
      </c>
      <c r="HI80" s="149">
        <f t="shared" si="887"/>
        <v>0.76459560704512752</v>
      </c>
      <c r="HJ80" s="149">
        <f t="shared" si="579"/>
        <v>0.80070678564919495</v>
      </c>
      <c r="HK80" s="149">
        <f t="shared" si="580"/>
        <v>0.82156391760794856</v>
      </c>
      <c r="HL80" s="149">
        <f t="shared" si="581"/>
        <v>0.83921828709237267</v>
      </c>
      <c r="HM80" s="149">
        <f t="shared" si="582"/>
        <v>0.85927160098913558</v>
      </c>
      <c r="HN80" s="122"/>
      <c r="HO80" s="122"/>
      <c r="HP80" s="126"/>
      <c r="HQ80" s="126"/>
      <c r="HR80" s="126"/>
      <c r="HS80" s="126"/>
      <c r="HT80" s="126"/>
      <c r="HU80" s="127"/>
      <c r="HV80" s="126"/>
      <c r="HW80" s="126"/>
      <c r="HX80" s="126"/>
      <c r="HY80" s="126"/>
      <c r="HZ80" s="126"/>
      <c r="IA80" s="122"/>
      <c r="IB80" s="122">
        <v>79</v>
      </c>
      <c r="IC80" s="126">
        <f t="shared" si="591"/>
        <v>0.35441966472762143</v>
      </c>
      <c r="ID80" s="126">
        <f t="shared" si="592"/>
        <v>0.36637165512422576</v>
      </c>
      <c r="IE80" s="126">
        <f t="shared" si="593"/>
        <v>0.37589354517922763</v>
      </c>
      <c r="IF80" s="126">
        <f t="shared" si="594"/>
        <v>0.38614358000057841</v>
      </c>
      <c r="IG80" s="126">
        <f t="shared" si="891"/>
        <v>0.40181080649900641</v>
      </c>
      <c r="IH80" s="127">
        <f t="shared" si="892"/>
        <v>0.41757867914402069</v>
      </c>
      <c r="II80" s="126">
        <f t="shared" si="893"/>
        <v>0.43192965038064463</v>
      </c>
      <c r="IJ80" s="126">
        <f t="shared" si="595"/>
        <v>0.44382311304107758</v>
      </c>
      <c r="IK80" s="126">
        <f t="shared" si="596"/>
        <v>0.45057195145645107</v>
      </c>
      <c r="IL80" s="126">
        <f t="shared" si="597"/>
        <v>0.45621906924732031</v>
      </c>
      <c r="IM80" s="126">
        <f t="shared" si="598"/>
        <v>0.46256370580105732</v>
      </c>
      <c r="IN80" s="122"/>
      <c r="IO80" s="122">
        <v>79</v>
      </c>
      <c r="IP80" s="149">
        <f t="shared" si="599"/>
        <v>0.35534188985950915</v>
      </c>
      <c r="IQ80" s="149">
        <f t="shared" si="600"/>
        <v>0.36738575694252101</v>
      </c>
      <c r="IR80" s="149">
        <f t="shared" si="601"/>
        <v>0.37698828533431811</v>
      </c>
      <c r="IS80" s="149">
        <f t="shared" si="602"/>
        <v>0.38733189593270156</v>
      </c>
      <c r="IT80" s="149">
        <f t="shared" si="894"/>
        <v>0.40315456137066669</v>
      </c>
      <c r="IU80" s="150">
        <f t="shared" si="895"/>
        <v>0.41909260301595785</v>
      </c>
      <c r="IV80" s="149">
        <f t="shared" si="896"/>
        <v>0.43360928291646911</v>
      </c>
      <c r="IW80" s="149">
        <f t="shared" si="603"/>
        <v>0.44564725919467324</v>
      </c>
      <c r="IX80" s="149">
        <f t="shared" si="604"/>
        <v>0.45248081848620209</v>
      </c>
      <c r="IY80" s="149">
        <f t="shared" si="605"/>
        <v>0.45820027382729867</v>
      </c>
      <c r="IZ80" s="149">
        <f t="shared" si="606"/>
        <v>0.46462770515581669</v>
      </c>
      <c r="JA80" s="122"/>
      <c r="JB80" s="122"/>
      <c r="JC80" s="126"/>
      <c r="JD80" s="126"/>
      <c r="JE80" s="126"/>
      <c r="JF80" s="126"/>
      <c r="JG80" s="126"/>
      <c r="JH80" s="127"/>
      <c r="JI80" s="126"/>
      <c r="JJ80" s="126"/>
      <c r="JK80" s="126"/>
      <c r="JL80" s="126"/>
      <c r="JM80" s="126"/>
      <c r="JN80" s="122"/>
      <c r="JO80" s="122">
        <v>78</v>
      </c>
      <c r="JP80" s="149">
        <f t="shared" si="615"/>
        <v>4.6738617908611886</v>
      </c>
      <c r="JQ80" s="149">
        <f t="shared" si="616"/>
        <v>6.0651528633411615</v>
      </c>
      <c r="JR80" s="149">
        <f t="shared" si="617"/>
        <v>7.2719171832192337</v>
      </c>
      <c r="JS80" s="149">
        <f t="shared" si="618"/>
        <v>8.6745635949409063</v>
      </c>
      <c r="JT80" s="149">
        <f t="shared" si="900"/>
        <v>11.040444683266703</v>
      </c>
      <c r="JU80" s="150">
        <f t="shared" si="901"/>
        <v>13.714103736797956</v>
      </c>
      <c r="JV80" s="149">
        <f t="shared" si="902"/>
        <v>16.424530403972508</v>
      </c>
      <c r="JW80" s="149">
        <f t="shared" si="619"/>
        <v>18.88614816354217</v>
      </c>
      <c r="JX80" s="149">
        <f t="shared" si="620"/>
        <v>20.374815508697704</v>
      </c>
      <c r="JY80" s="149">
        <f t="shared" si="621"/>
        <v>21.673702930642921</v>
      </c>
      <c r="JZ80" s="149">
        <f t="shared" si="622"/>
        <v>23.192729679644284</v>
      </c>
      <c r="KA80" s="122"/>
      <c r="KB80" s="122">
        <v>78</v>
      </c>
      <c r="KC80" s="149">
        <f t="shared" si="623"/>
        <v>6.2071187743006622</v>
      </c>
      <c r="KD80" s="149">
        <f t="shared" si="624"/>
        <v>7.678306738877728</v>
      </c>
      <c r="KE80" s="149">
        <f t="shared" si="625"/>
        <v>8.9723166250010404</v>
      </c>
      <c r="KF80" s="149">
        <f t="shared" si="626"/>
        <v>10.496344394435832</v>
      </c>
      <c r="KG80" s="149">
        <f t="shared" si="903"/>
        <v>13.112996965893105</v>
      </c>
      <c r="KH80" s="150">
        <f t="shared" si="904"/>
        <v>16.13512933453574</v>
      </c>
      <c r="KI80" s="149">
        <f t="shared" si="905"/>
        <v>19.264265117242658</v>
      </c>
      <c r="KJ80" s="149">
        <f t="shared" si="627"/>
        <v>22.159437465064251</v>
      </c>
      <c r="KK80" s="149">
        <f t="shared" si="628"/>
        <v>23.933597890901389</v>
      </c>
      <c r="KL80" s="149">
        <f t="shared" si="629"/>
        <v>25.495356930986908</v>
      </c>
      <c r="KM80" s="149">
        <f t="shared" si="630"/>
        <v>27.337582176052457</v>
      </c>
      <c r="KN80" s="122"/>
      <c r="KO80" s="122">
        <v>80</v>
      </c>
      <c r="KP80" s="149">
        <f t="shared" si="631"/>
        <v>5.9275445721718434</v>
      </c>
      <c r="KQ80" s="149">
        <f t="shared" si="632"/>
        <v>6.9389178290893589</v>
      </c>
      <c r="KR80" s="149">
        <f t="shared" si="633"/>
        <v>7.8069965147640481</v>
      </c>
      <c r="KS80" s="149">
        <f t="shared" si="634"/>
        <v>8.805895202321409</v>
      </c>
      <c r="KT80" s="149">
        <f t="shared" si="906"/>
        <v>10.467809177231949</v>
      </c>
      <c r="KU80" s="150">
        <f t="shared" si="907"/>
        <v>12.31398743428532</v>
      </c>
      <c r="KV80" s="149">
        <f t="shared" si="908"/>
        <v>14.1540441810948</v>
      </c>
      <c r="KW80" s="149">
        <f t="shared" si="635"/>
        <v>15.800010449468214</v>
      </c>
      <c r="KX80" s="149">
        <f t="shared" si="636"/>
        <v>16.784569581113121</v>
      </c>
      <c r="KY80" s="149">
        <f t="shared" si="637"/>
        <v>17.637280659343642</v>
      </c>
      <c r="KZ80" s="149">
        <f t="shared" si="638"/>
        <v>18.627326967295421</v>
      </c>
      <c r="LA80" s="122"/>
      <c r="LB80" s="122">
        <v>78</v>
      </c>
      <c r="LC80" s="149">
        <f t="shared" si="639"/>
        <v>15.218614979808869</v>
      </c>
      <c r="LD80" s="149">
        <f t="shared" si="640"/>
        <v>18.836479500665135</v>
      </c>
      <c r="LE80" s="149">
        <f t="shared" si="641"/>
        <v>21.987805358745561</v>
      </c>
      <c r="LF80" s="149">
        <f t="shared" si="642"/>
        <v>25.665093113349002</v>
      </c>
      <c r="LG80" s="149">
        <f t="shared" si="909"/>
        <v>31.900012584337155</v>
      </c>
      <c r="LH80" s="150">
        <f t="shared" si="910"/>
        <v>38.990221532511875</v>
      </c>
      <c r="LI80" s="149">
        <f t="shared" si="911"/>
        <v>46.22072568456452</v>
      </c>
      <c r="LJ80" s="149">
        <f t="shared" si="643"/>
        <v>52.821140939042373</v>
      </c>
      <c r="LK80" s="149">
        <f t="shared" si="644"/>
        <v>56.827071564635808</v>
      </c>
      <c r="LL80" s="149">
        <f t="shared" si="645"/>
        <v>60.330609947394343</v>
      </c>
      <c r="LM80" s="149">
        <f t="shared" si="646"/>
        <v>64.437293217537331</v>
      </c>
      <c r="LN80" s="122"/>
      <c r="LO80" s="122">
        <v>78</v>
      </c>
      <c r="LP80" s="149">
        <f t="shared" si="647"/>
        <v>20.906258682878967</v>
      </c>
      <c r="LQ80" s="149">
        <f t="shared" si="648"/>
        <v>24.71969280897093</v>
      </c>
      <c r="LR80" s="149">
        <f t="shared" si="649"/>
        <v>28.048127833393043</v>
      </c>
      <c r="LS80" s="149">
        <f t="shared" si="650"/>
        <v>31.939560666818569</v>
      </c>
      <c r="LT80" s="149">
        <f t="shared" si="912"/>
        <v>38.554687546781579</v>
      </c>
      <c r="LU80" s="150">
        <f t="shared" si="913"/>
        <v>46.101261662552176</v>
      </c>
      <c r="LV80" s="149">
        <f t="shared" si="914"/>
        <v>53.821060346268936</v>
      </c>
      <c r="LW80" s="149">
        <f t="shared" si="651"/>
        <v>60.887405528628875</v>
      </c>
      <c r="LX80" s="149">
        <f t="shared" si="652"/>
        <v>65.18447989981469</v>
      </c>
      <c r="LY80" s="149">
        <f t="shared" si="653"/>
        <v>68.947563011915889</v>
      </c>
      <c r="LZ80" s="149">
        <f t="shared" si="654"/>
        <v>73.364076558638274</v>
      </c>
      <c r="MA80" s="122"/>
      <c r="MB80" s="122">
        <v>80</v>
      </c>
      <c r="MC80" s="149">
        <f t="shared" si="655"/>
        <v>17.350450659959961</v>
      </c>
      <c r="MD80" s="149">
        <f t="shared" si="656"/>
        <v>19.914682809143763</v>
      </c>
      <c r="ME80" s="149">
        <f t="shared" si="657"/>
        <v>22.131717619390677</v>
      </c>
      <c r="MF80" s="149">
        <f t="shared" si="658"/>
        <v>24.700771286275547</v>
      </c>
      <c r="MG80" s="149">
        <f t="shared" si="915"/>
        <v>29.016126074271462</v>
      </c>
      <c r="MH80" s="150">
        <f t="shared" si="916"/>
        <v>33.867786964764811</v>
      </c>
      <c r="MI80" s="149">
        <f t="shared" si="917"/>
        <v>38.761271383452957</v>
      </c>
      <c r="MJ80" s="149">
        <f t="shared" si="659"/>
        <v>43.18553555902654</v>
      </c>
      <c r="MK80" s="149">
        <f t="shared" si="660"/>
        <v>45.852455814846998</v>
      </c>
      <c r="ML80" s="149">
        <f t="shared" si="661"/>
        <v>48.174309853097178</v>
      </c>
      <c r="MM80" s="149">
        <f t="shared" si="662"/>
        <v>50.883899045629867</v>
      </c>
      <c r="MN80" s="122"/>
      <c r="MO80" s="122">
        <v>78</v>
      </c>
      <c r="MP80" s="149">
        <f t="shared" si="663"/>
        <v>9.0937185571343875</v>
      </c>
      <c r="MQ80" s="149">
        <f t="shared" si="664"/>
        <v>12.98617647450348</v>
      </c>
      <c r="MR80" s="149">
        <f t="shared" si="665"/>
        <v>16.341711033853954</v>
      </c>
      <c r="MS80" s="149">
        <f t="shared" si="666"/>
        <v>20.218812113524102</v>
      </c>
      <c r="MT80" s="149">
        <f t="shared" si="918"/>
        <v>26.705013622498456</v>
      </c>
      <c r="MU80" s="150">
        <f t="shared" si="919"/>
        <v>33.959414163137815</v>
      </c>
      <c r="MV80" s="149">
        <f t="shared" si="920"/>
        <v>41.237664661134211</v>
      </c>
      <c r="MW80" s="149">
        <f t="shared" si="667"/>
        <v>47.786213349183576</v>
      </c>
      <c r="MX80" s="149">
        <f t="shared" si="668"/>
        <v>51.71964487368664</v>
      </c>
      <c r="MY80" s="149">
        <f t="shared" si="669"/>
        <v>55.135841990598514</v>
      </c>
      <c r="MZ80" s="149">
        <f t="shared" si="670"/>
        <v>59.113009073958246</v>
      </c>
      <c r="NA80" s="122"/>
      <c r="NB80" s="122">
        <v>78</v>
      </c>
      <c r="NC80" s="149">
        <f t="shared" si="671"/>
        <v>21.09231717554017</v>
      </c>
      <c r="ND80" s="149">
        <f t="shared" si="672"/>
        <v>24.197510767349716</v>
      </c>
      <c r="NE80" s="149">
        <f t="shared" si="673"/>
        <v>26.874682751549077</v>
      </c>
      <c r="NF80" s="149">
        <f t="shared" si="674"/>
        <v>29.968428097956124</v>
      </c>
      <c r="NG80" s="149">
        <f t="shared" si="921"/>
        <v>35.145386570723772</v>
      </c>
      <c r="NH80" s="150">
        <f t="shared" si="922"/>
        <v>40.937626520133136</v>
      </c>
      <c r="NI80" s="149">
        <f t="shared" si="923"/>
        <v>46.751383085682349</v>
      </c>
      <c r="NJ80" s="149">
        <f t="shared" si="675"/>
        <v>51.984475054340066</v>
      </c>
      <c r="NK80" s="149">
        <f t="shared" si="676"/>
        <v>55.128792237900171</v>
      </c>
      <c r="NL80" s="149">
        <f t="shared" si="677"/>
        <v>57.860268019759687</v>
      </c>
      <c r="NM80" s="149">
        <f t="shared" si="678"/>
        <v>61.041010748213409</v>
      </c>
      <c r="NN80" s="122"/>
      <c r="NO80" s="122">
        <v>80</v>
      </c>
      <c r="NP80" s="149">
        <f t="shared" si="679"/>
        <v>6.0854274110456501</v>
      </c>
      <c r="NQ80" s="149">
        <f t="shared" si="680"/>
        <v>9.5687062802281062</v>
      </c>
      <c r="NR80" s="149">
        <f t="shared" si="681"/>
        <v>12.56556081500144</v>
      </c>
      <c r="NS80" s="149">
        <f t="shared" si="682"/>
        <v>16.021867596253614</v>
      </c>
      <c r="NT80" s="149">
        <f t="shared" si="924"/>
        <v>21.790074028372011</v>
      </c>
      <c r="NU80" s="150">
        <f t="shared" si="925"/>
        <v>28.222593861999563</v>
      </c>
      <c r="NV80" s="149">
        <f t="shared" si="926"/>
        <v>34.658292350288754</v>
      </c>
      <c r="NW80" s="149">
        <f t="shared" si="683"/>
        <v>40.434809327745505</v>
      </c>
      <c r="NX80" s="149">
        <f t="shared" si="684"/>
        <v>43.898626012865272</v>
      </c>
      <c r="NY80" s="149">
        <f t="shared" si="685"/>
        <v>46.903569444426189</v>
      </c>
      <c r="NZ80" s="149">
        <f t="shared" si="686"/>
        <v>50.398146144654426</v>
      </c>
      <c r="OA80" s="122"/>
      <c r="OB80" s="122">
        <v>78</v>
      </c>
      <c r="OC80" s="149">
        <v>16.308491160281562</v>
      </c>
      <c r="OD80" s="149">
        <v>17.609845631135389</v>
      </c>
      <c r="OE80" s="149">
        <v>18.811839563903536</v>
      </c>
      <c r="OF80" s="149">
        <v>20.299837606658961</v>
      </c>
      <c r="OG80" s="149">
        <v>23.048605576066389</v>
      </c>
      <c r="OH80" s="150">
        <v>26.553188115792903</v>
      </c>
      <c r="OI80" s="149">
        <v>30.590648826271302</v>
      </c>
      <c r="OJ80" s="149">
        <v>34.7328787931486</v>
      </c>
      <c r="OK80" s="149">
        <v>37.480215409958582</v>
      </c>
      <c r="OL80" s="149">
        <v>40.03849970530527</v>
      </c>
      <c r="OM80" s="149">
        <v>43.233417008548869</v>
      </c>
      <c r="ON80" s="122"/>
      <c r="OO80" s="122">
        <v>78</v>
      </c>
      <c r="OP80" s="149">
        <v>20.425941643211363</v>
      </c>
      <c r="OQ80" s="149">
        <v>21.445172318964946</v>
      </c>
      <c r="OR80" s="149">
        <v>22.362352592928794</v>
      </c>
      <c r="OS80" s="149">
        <v>23.468592992576312</v>
      </c>
      <c r="OT80" s="149">
        <v>24.229450540865926</v>
      </c>
      <c r="OU80" s="150">
        <v>27.826425817490556</v>
      </c>
      <c r="OV80" s="149">
        <v>30.440155091438001</v>
      </c>
      <c r="OW80" s="149">
        <v>32.993455296669801</v>
      </c>
      <c r="OX80" s="149">
        <v>34.625604374968567</v>
      </c>
      <c r="OY80" s="149">
        <v>36.106493445685544</v>
      </c>
      <c r="OZ80" s="149">
        <v>37.908165376241037</v>
      </c>
      <c r="PA80" s="122"/>
      <c r="PB80" s="122">
        <v>80</v>
      </c>
      <c r="PC80" s="149">
        <v>11.950240301146506</v>
      </c>
      <c r="PD80" s="149">
        <v>13.467216930722259</v>
      </c>
      <c r="PE80" s="149">
        <v>14.925046812940643</v>
      </c>
      <c r="PF80" s="149">
        <v>16.802748597704561</v>
      </c>
      <c r="PG80" s="149">
        <v>20.475401747316692</v>
      </c>
      <c r="PH80" s="150">
        <v>25.522452103517292</v>
      </c>
      <c r="PI80" s="149">
        <v>31.813566806409526</v>
      </c>
      <c r="PJ80" s="149">
        <v>38.767202734040907</v>
      </c>
      <c r="PK80" s="149">
        <v>43.644456834235648</v>
      </c>
      <c r="PL80" s="149">
        <v>48.36898111370953</v>
      </c>
      <c r="PM80" s="149">
        <v>54.508992703170939</v>
      </c>
      <c r="PN80" s="122"/>
      <c r="PO80" s="122">
        <v>78</v>
      </c>
      <c r="PP80" s="149">
        <v>11.842782027030248</v>
      </c>
      <c r="PQ80" s="149">
        <v>12.824266075321878</v>
      </c>
      <c r="PR80" s="149">
        <v>13.733212476774098</v>
      </c>
      <c r="PS80" s="149">
        <v>14.861411135322168</v>
      </c>
      <c r="PT80" s="149">
        <v>16.953460048880441</v>
      </c>
      <c r="PU80" s="150">
        <v>19.634102131210796</v>
      </c>
      <c r="PV80" s="149">
        <v>22.738601169751977</v>
      </c>
      <c r="PW80" s="149">
        <v>25.939526400866182</v>
      </c>
      <c r="PX80" s="149">
        <v>28.070487305921937</v>
      </c>
      <c r="PY80" s="149">
        <v>30.060041193362448</v>
      </c>
      <c r="PZ80" s="149">
        <v>32.551301342788065</v>
      </c>
      <c r="QA80" s="122"/>
      <c r="QB80" s="122">
        <v>78</v>
      </c>
      <c r="QC80" s="149">
        <v>12.573773099722631</v>
      </c>
      <c r="QD80" s="149">
        <v>13.584022511778684</v>
      </c>
      <c r="QE80" s="149">
        <v>14.51757866735308</v>
      </c>
      <c r="QF80" s="149">
        <v>15.67381201220916</v>
      </c>
      <c r="QG80" s="149">
        <v>17.811164053426911</v>
      </c>
      <c r="QH80" s="150">
        <v>20.538645063420805</v>
      </c>
      <c r="QI80" s="149">
        <v>23.683794039279409</v>
      </c>
      <c r="QJ80" s="149">
        <v>26.913423531722191</v>
      </c>
      <c r="QK80" s="149">
        <v>29.056907539946625</v>
      </c>
      <c r="QL80" s="149">
        <v>31.05383112221779</v>
      </c>
      <c r="QM80" s="149">
        <v>33.548874923668315</v>
      </c>
      <c r="QN80" s="122"/>
      <c r="QO80" s="122">
        <v>80</v>
      </c>
      <c r="QP80" s="149">
        <v>9.132194360727441</v>
      </c>
      <c r="QQ80" s="149">
        <v>10.127846025608916</v>
      </c>
      <c r="QR80" s="149">
        <v>11.070559893246628</v>
      </c>
      <c r="QS80" s="149">
        <v>12.266862041923678</v>
      </c>
      <c r="QT80" s="149">
        <v>14.557069017361968</v>
      </c>
      <c r="QU80" s="150">
        <v>17.617047929320758</v>
      </c>
      <c r="QV80" s="149">
        <v>21.320251856594442</v>
      </c>
      <c r="QW80" s="149">
        <v>25.300714778016246</v>
      </c>
      <c r="QX80" s="149">
        <v>28.034749889507744</v>
      </c>
      <c r="QY80" s="149">
        <v>30.644263050526099</v>
      </c>
      <c r="QZ80" s="149">
        <v>33.985301394665306</v>
      </c>
      <c r="RA80" s="122"/>
      <c r="RB80" s="122">
        <v>78</v>
      </c>
      <c r="RC80" s="149">
        <f t="shared" si="687"/>
        <v>0.47710640200649246</v>
      </c>
      <c r="RD80" s="149">
        <f t="shared" si="688"/>
        <v>0.52087771591801846</v>
      </c>
      <c r="RE80" s="149">
        <f t="shared" si="689"/>
        <v>0.56226206246136956</v>
      </c>
      <c r="RF80" s="149">
        <f t="shared" si="690"/>
        <v>0.6147680864996482</v>
      </c>
      <c r="RG80" s="149">
        <f t="shared" si="927"/>
        <v>0.71548611683991181</v>
      </c>
      <c r="RH80" s="150">
        <f t="shared" si="928"/>
        <v>0.85094717694324973</v>
      </c>
      <c r="RI80" s="149">
        <f t="shared" si="929"/>
        <v>1.0168805975760158</v>
      </c>
      <c r="RJ80" s="149">
        <f t="shared" si="691"/>
        <v>1.1982214332673864</v>
      </c>
      <c r="RK80" s="149">
        <f t="shared" si="692"/>
        <v>1.3247635255850159</v>
      </c>
      <c r="RL80" s="149">
        <f t="shared" si="693"/>
        <v>1.4471370405687811</v>
      </c>
      <c r="RM80" s="149">
        <f t="shared" si="694"/>
        <v>1.6061686832623325</v>
      </c>
      <c r="RN80" s="122"/>
      <c r="RO80" s="122">
        <v>78</v>
      </c>
      <c r="RP80" s="149">
        <f t="shared" si="695"/>
        <v>0.52519932689723614</v>
      </c>
      <c r="RQ80" s="149">
        <f t="shared" si="696"/>
        <v>0.57687539706986279</v>
      </c>
      <c r="RR80" s="149">
        <f t="shared" si="697"/>
        <v>0.62633409638447279</v>
      </c>
      <c r="RS80" s="149">
        <f t="shared" si="698"/>
        <v>0.68991145244659002</v>
      </c>
      <c r="RT80" s="149">
        <f t="shared" si="930"/>
        <v>0.81440093770861144</v>
      </c>
      <c r="RU80" s="150">
        <f t="shared" si="931"/>
        <v>0.98693447092457864</v>
      </c>
      <c r="RV80" s="149">
        <f t="shared" si="932"/>
        <v>1.2059658649193412</v>
      </c>
      <c r="RW80" s="149">
        <f t="shared" si="699"/>
        <v>1.4546511753259728</v>
      </c>
      <c r="RX80" s="149">
        <f t="shared" si="700"/>
        <v>1.6337680028906061</v>
      </c>
      <c r="RY80" s="149">
        <f t="shared" si="701"/>
        <v>1.8112383381482506</v>
      </c>
      <c r="RZ80" s="149">
        <f t="shared" si="702"/>
        <v>2.047991445179143</v>
      </c>
      <c r="SA80" s="122"/>
      <c r="SB80" s="122">
        <v>80</v>
      </c>
      <c r="SC80" s="149">
        <f t="shared" si="703"/>
        <v>0.49864652509149743</v>
      </c>
      <c r="SD80" s="149">
        <f t="shared" si="704"/>
        <v>0.53470923647517365</v>
      </c>
      <c r="SE80" s="149">
        <f t="shared" si="705"/>
        <v>0.56783317547943724</v>
      </c>
      <c r="SF80" s="149">
        <f t="shared" si="706"/>
        <v>0.60861310832734605</v>
      </c>
      <c r="SG80" s="149">
        <f t="shared" si="933"/>
        <v>0.68335788023275967</v>
      </c>
      <c r="SH80" s="150">
        <f t="shared" si="934"/>
        <v>0.77769488199663772</v>
      </c>
      <c r="SI80" s="149">
        <f t="shared" si="935"/>
        <v>0.88524777994352077</v>
      </c>
      <c r="SJ80" s="149">
        <f t="shared" si="707"/>
        <v>0.99452928279078112</v>
      </c>
      <c r="SK80" s="149">
        <f t="shared" si="708"/>
        <v>1.0664941226846472</v>
      </c>
      <c r="SL80" s="149">
        <f t="shared" si="709"/>
        <v>1.1331749710524994</v>
      </c>
      <c r="SM80" s="149">
        <f t="shared" si="710"/>
        <v>1.2160385854701461</v>
      </c>
      <c r="SN80" s="122"/>
      <c r="SO80" s="122">
        <v>78</v>
      </c>
      <c r="SP80" s="149">
        <f t="shared" si="711"/>
        <v>0.3240595254947165</v>
      </c>
      <c r="SQ80" s="149">
        <f t="shared" si="712"/>
        <v>0.34318845292165362</v>
      </c>
      <c r="SR80" s="149">
        <f t="shared" si="713"/>
        <v>0.36030429975530259</v>
      </c>
      <c r="SS80" s="149">
        <f t="shared" si="714"/>
        <v>0.38082033014054811</v>
      </c>
      <c r="ST80" s="149">
        <f t="shared" si="936"/>
        <v>0.41697099406654919</v>
      </c>
      <c r="SU80" s="150">
        <f t="shared" si="937"/>
        <v>0.46021999056364016</v>
      </c>
      <c r="SV80" s="149">
        <f t="shared" si="938"/>
        <v>0.50673512393992604</v>
      </c>
      <c r="SW80" s="149">
        <f t="shared" si="715"/>
        <v>0.5513784376553349</v>
      </c>
      <c r="SX80" s="149">
        <f t="shared" si="716"/>
        <v>0.57951060874963478</v>
      </c>
      <c r="SY80" s="149">
        <f t="shared" si="717"/>
        <v>0.60476740704268894</v>
      </c>
      <c r="SZ80" s="149">
        <f t="shared" si="718"/>
        <v>0.63515773209931947</v>
      </c>
      <c r="TA80" s="122"/>
      <c r="TB80" s="122">
        <v>78</v>
      </c>
      <c r="TC80" s="149">
        <f t="shared" si="719"/>
        <v>0.34539330070764102</v>
      </c>
      <c r="TD80" s="149">
        <f t="shared" si="720"/>
        <v>0.36649796358915249</v>
      </c>
      <c r="TE80" s="149">
        <f t="shared" si="721"/>
        <v>0.38549068801255604</v>
      </c>
      <c r="TF80" s="149">
        <f t="shared" si="722"/>
        <v>0.40838981282672604</v>
      </c>
      <c r="TG80" s="149">
        <f t="shared" si="939"/>
        <v>0.44908556311481629</v>
      </c>
      <c r="TH80" s="150">
        <f t="shared" si="940"/>
        <v>0.4983346832473784</v>
      </c>
      <c r="TI80" s="149">
        <f t="shared" si="941"/>
        <v>0.55196229415906728</v>
      </c>
      <c r="TJ80" s="149">
        <f t="shared" si="723"/>
        <v>0.60405050156395634</v>
      </c>
      <c r="TK80" s="149">
        <f t="shared" si="724"/>
        <v>0.63717543585833281</v>
      </c>
      <c r="TL80" s="149">
        <f t="shared" si="725"/>
        <v>0.66710815628604669</v>
      </c>
      <c r="TM80" s="149">
        <f t="shared" si="726"/>
        <v>0.70336238514065874</v>
      </c>
      <c r="TN80" s="122"/>
      <c r="TO80" s="122">
        <v>80</v>
      </c>
      <c r="TP80" s="149">
        <f t="shared" si="727"/>
        <v>0.33382472587341799</v>
      </c>
      <c r="TQ80" s="149">
        <f t="shared" si="728"/>
        <v>0.34916538273862535</v>
      </c>
      <c r="TR80" s="149">
        <f t="shared" si="729"/>
        <v>0.3626703443617274</v>
      </c>
      <c r="TS80" s="149">
        <f t="shared" si="730"/>
        <v>0.3785997439531309</v>
      </c>
      <c r="TT80" s="149">
        <f t="shared" si="942"/>
        <v>0.40603403794824711</v>
      </c>
      <c r="TU80" s="150">
        <f t="shared" si="943"/>
        <v>0.43789126556419528</v>
      </c>
      <c r="TV80" s="149">
        <f t="shared" si="944"/>
        <v>0.47110947323096447</v>
      </c>
      <c r="TW80" s="149">
        <f t="shared" si="731"/>
        <v>0.5020811748225914</v>
      </c>
      <c r="TX80" s="149">
        <f t="shared" si="732"/>
        <v>0.5211811386268923</v>
      </c>
      <c r="TY80" s="149">
        <f t="shared" si="733"/>
        <v>0.53807330822844202</v>
      </c>
      <c r="TZ80" s="149">
        <f t="shared" si="734"/>
        <v>0.55809638076715307</v>
      </c>
      <c r="UA80" s="122"/>
      <c r="UB80" s="122">
        <v>78</v>
      </c>
      <c r="UC80" s="149">
        <f t="shared" si="735"/>
        <v>-3.3131001898681944</v>
      </c>
      <c r="UD80" s="149">
        <f t="shared" si="736"/>
        <v>-0.63512045906703207</v>
      </c>
      <c r="UE80" s="149">
        <f t="shared" si="737"/>
        <v>1.6305790406598959</v>
      </c>
      <c r="UF80" s="149">
        <f t="shared" si="738"/>
        <v>4.2027119022384767</v>
      </c>
      <c r="UG80" s="149">
        <f t="shared" si="945"/>
        <v>8.405498437335936</v>
      </c>
      <c r="UH80" s="150">
        <f t="shared" si="946"/>
        <v>12.972361037228865</v>
      </c>
      <c r="UI80" s="149">
        <f t="shared" si="947"/>
        <v>17.428083036288783</v>
      </c>
      <c r="UJ80" s="149">
        <f t="shared" si="739"/>
        <v>21.340170476623172</v>
      </c>
      <c r="UK80" s="149">
        <f t="shared" si="740"/>
        <v>23.649464098001232</v>
      </c>
      <c r="UL80" s="149">
        <f t="shared" si="741"/>
        <v>25.631915679677974</v>
      </c>
      <c r="UM80" s="149">
        <f t="shared" si="742"/>
        <v>27.914052453474554</v>
      </c>
      <c r="UN80" s="122"/>
      <c r="UO80" s="122">
        <v>78</v>
      </c>
      <c r="UP80" s="149">
        <f t="shared" si="743"/>
        <v>0.96447488704340856</v>
      </c>
      <c r="UQ80" s="149">
        <f t="shared" si="744"/>
        <v>3.3428446992742735</v>
      </c>
      <c r="UR80" s="149">
        <f t="shared" si="745"/>
        <v>5.3859419202138596</v>
      </c>
      <c r="US80" s="149">
        <f t="shared" si="746"/>
        <v>7.7388823231631747</v>
      </c>
      <c r="UT80" s="149">
        <f t="shared" si="948"/>
        <v>11.658176322774928</v>
      </c>
      <c r="UU80" s="150">
        <f t="shared" si="949"/>
        <v>16.018685613350883</v>
      </c>
      <c r="UV80" s="149">
        <f t="shared" si="950"/>
        <v>20.37159561339196</v>
      </c>
      <c r="UW80" s="149">
        <f t="shared" si="747"/>
        <v>24.27103894678276</v>
      </c>
      <c r="UX80" s="149">
        <f t="shared" si="748"/>
        <v>26.606063545398982</v>
      </c>
      <c r="UY80" s="149">
        <f t="shared" si="749"/>
        <v>28.629888344231595</v>
      </c>
      <c r="UZ80" s="149">
        <f t="shared" si="750"/>
        <v>30.981384639611356</v>
      </c>
      <c r="VA80" s="122"/>
      <c r="VB80" s="122">
        <v>81</v>
      </c>
      <c r="VC80" s="149">
        <f t="shared" si="751"/>
        <v>-3.1859432091956208</v>
      </c>
      <c r="VD80" s="149">
        <f t="shared" si="752"/>
        <v>-0.79221848717266852</v>
      </c>
      <c r="VE80" s="149">
        <f t="shared" si="753"/>
        <v>1.2210088755452944</v>
      </c>
      <c r="VF80" s="149">
        <f t="shared" si="754"/>
        <v>3.493879512178637</v>
      </c>
      <c r="VG80" s="149">
        <f t="shared" si="951"/>
        <v>7.1803868755378915</v>
      </c>
      <c r="VH80" s="150">
        <f t="shared" si="952"/>
        <v>11.150416492549994</v>
      </c>
      <c r="VI80" s="149">
        <f t="shared" si="953"/>
        <v>14.990489120607592</v>
      </c>
      <c r="VJ80" s="149">
        <f t="shared" si="755"/>
        <v>18.336717249962632</v>
      </c>
      <c r="VK80" s="149">
        <f t="shared" si="756"/>
        <v>20.301460862613808</v>
      </c>
      <c r="VL80" s="149">
        <f t="shared" si="757"/>
        <v>21.982139724999342</v>
      </c>
      <c r="VM80" s="149">
        <f t="shared" si="758"/>
        <v>23.910244338725235</v>
      </c>
      <c r="VN80" s="122"/>
      <c r="VO80" s="122">
        <v>78</v>
      </c>
      <c r="VP80" s="149">
        <f t="shared" si="759"/>
        <v>-3.3415782171398263</v>
      </c>
      <c r="VQ80" s="149">
        <f t="shared" si="760"/>
        <v>1.4951064757500987</v>
      </c>
      <c r="VR80" s="149">
        <f t="shared" si="761"/>
        <v>5.7976141333025168</v>
      </c>
      <c r="VS80" s="149">
        <f t="shared" si="762"/>
        <v>10.919668058676741</v>
      </c>
      <c r="VT80" s="149">
        <f t="shared" si="954"/>
        <v>19.843058500643657</v>
      </c>
      <c r="VU80" s="150">
        <f t="shared" si="955"/>
        <v>30.336624780913318</v>
      </c>
      <c r="VV80" s="149">
        <f t="shared" si="956"/>
        <v>41.395214211730966</v>
      </c>
      <c r="VW80" s="149">
        <f t="shared" si="763"/>
        <v>51.788194215010797</v>
      </c>
      <c r="VX80" s="149">
        <f t="shared" si="764"/>
        <v>58.22867588904446</v>
      </c>
      <c r="VY80" s="149">
        <f t="shared" si="765"/>
        <v>63.941007489447848</v>
      </c>
      <c r="VZ80" s="149">
        <f t="shared" si="766"/>
        <v>70.728858044893002</v>
      </c>
      <c r="WA80" s="122"/>
      <c r="WB80" s="122">
        <v>78</v>
      </c>
      <c r="WC80" s="149">
        <f t="shared" si="767"/>
        <v>5.7198177385577722</v>
      </c>
      <c r="WD80" s="149">
        <f t="shared" si="768"/>
        <v>10.415920597806526</v>
      </c>
      <c r="WE80" s="149">
        <f t="shared" si="769"/>
        <v>14.582986698589835</v>
      </c>
      <c r="WF80" s="149">
        <f t="shared" si="770"/>
        <v>19.532629961540785</v>
      </c>
      <c r="WG80" s="149">
        <f t="shared" si="957"/>
        <v>28.130797092312569</v>
      </c>
      <c r="WH80" s="150">
        <f t="shared" si="958"/>
        <v>38.208373292466426</v>
      </c>
      <c r="WI80" s="149">
        <f t="shared" si="959"/>
        <v>48.796720981065427</v>
      </c>
      <c r="WJ80" s="149">
        <f t="shared" si="771"/>
        <v>58.723251218469066</v>
      </c>
      <c r="WK80" s="149">
        <f t="shared" si="772"/>
        <v>64.864471327322491</v>
      </c>
      <c r="WL80" s="149">
        <f t="shared" si="773"/>
        <v>70.305556410723113</v>
      </c>
      <c r="WM80" s="149">
        <f t="shared" si="774"/>
        <v>76.764595492228068</v>
      </c>
      <c r="WN80" s="122"/>
      <c r="WO80" s="122">
        <v>81</v>
      </c>
      <c r="WP80" s="149">
        <f t="shared" si="775"/>
        <v>-6.4830455605894244</v>
      </c>
      <c r="WQ80" s="149">
        <f t="shared" si="776"/>
        <v>-1.9112634570193876</v>
      </c>
      <c r="WR80" s="149">
        <f t="shared" si="777"/>
        <v>2.129565728927922</v>
      </c>
      <c r="WS80" s="149">
        <f t="shared" si="778"/>
        <v>6.9100161370602891</v>
      </c>
      <c r="WT80" s="149">
        <f t="shared" si="960"/>
        <v>15.16574434380346</v>
      </c>
      <c r="WU80" s="150">
        <f t="shared" si="961"/>
        <v>24.766680518775011</v>
      </c>
      <c r="WV80" s="149">
        <f t="shared" si="962"/>
        <v>34.771588447315999</v>
      </c>
      <c r="WW80" s="149">
        <f t="shared" si="779"/>
        <v>44.078949091198588</v>
      </c>
      <c r="WX80" s="149">
        <f t="shared" si="780"/>
        <v>49.804015122489254</v>
      </c>
      <c r="WY80" s="149">
        <f t="shared" si="781"/>
        <v>54.856168877653779</v>
      </c>
      <c r="WZ80" s="149">
        <f t="shared" si="782"/>
        <v>60.829729673174178</v>
      </c>
      <c r="XA80" s="122"/>
      <c r="XB80" s="122">
        <v>78</v>
      </c>
      <c r="XC80" s="149">
        <f t="shared" si="783"/>
        <v>-8.9977820092250127</v>
      </c>
      <c r="XD80" s="149">
        <f t="shared" si="784"/>
        <v>-3.9895289704760231</v>
      </c>
      <c r="XE80" s="149">
        <f t="shared" si="785"/>
        <v>0.4117144721723065</v>
      </c>
      <c r="XF80" s="149">
        <f t="shared" si="786"/>
        <v>5.5888372813713829</v>
      </c>
      <c r="XG80" s="149">
        <f t="shared" si="963"/>
        <v>14.457352304037123</v>
      </c>
      <c r="XH80" s="150">
        <f t="shared" si="964"/>
        <v>24.66328757118837</v>
      </c>
      <c r="XI80" s="149">
        <f t="shared" si="965"/>
        <v>35.185323889630958</v>
      </c>
      <c r="XJ80" s="149">
        <f t="shared" si="787"/>
        <v>44.878288882584407</v>
      </c>
      <c r="XK80" s="149">
        <f t="shared" si="788"/>
        <v>50.797931501243632</v>
      </c>
      <c r="XL80" s="149">
        <f t="shared" si="789"/>
        <v>55.996250327412021</v>
      </c>
      <c r="XM80" s="149">
        <f t="shared" si="790"/>
        <v>62.113047548891394</v>
      </c>
      <c r="XN80" s="122"/>
      <c r="XO80" s="122">
        <v>78</v>
      </c>
      <c r="XP80" s="149">
        <f t="shared" si="791"/>
        <v>5.9172854446339898</v>
      </c>
      <c r="XQ80" s="149">
        <f t="shared" si="792"/>
        <v>9.9774178204102526</v>
      </c>
      <c r="XR80" s="149">
        <f t="shared" si="793"/>
        <v>13.516286447038716</v>
      </c>
      <c r="XS80" s="149">
        <f t="shared" si="794"/>
        <v>17.648408044407297</v>
      </c>
      <c r="XT80" s="149">
        <f t="shared" si="966"/>
        <v>24.660627929082786</v>
      </c>
      <c r="XU80" s="150">
        <f t="shared" si="967"/>
        <v>32.643574640006641</v>
      </c>
      <c r="XV80" s="149">
        <f t="shared" si="968"/>
        <v>40.793490681002631</v>
      </c>
      <c r="XW80" s="149">
        <f t="shared" si="795"/>
        <v>48.240629465007778</v>
      </c>
      <c r="XX80" s="149">
        <f t="shared" si="796"/>
        <v>52.763732130727767</v>
      </c>
      <c r="XY80" s="149">
        <f t="shared" si="797"/>
        <v>56.721531582569931</v>
      </c>
      <c r="XZ80" s="149">
        <f t="shared" si="798"/>
        <v>61.362919727707954</v>
      </c>
      <c r="YA80" s="122"/>
      <c r="YB80" s="122">
        <v>81</v>
      </c>
      <c r="YC80" s="149">
        <f t="shared" si="799"/>
        <v>-13.459942896184451</v>
      </c>
      <c r="YD80" s="149">
        <f t="shared" si="800"/>
        <v>-8.6834124128203243</v>
      </c>
      <c r="YE80" s="149">
        <f t="shared" si="801"/>
        <v>-4.4999140973144875</v>
      </c>
      <c r="YF80" s="149">
        <f t="shared" si="802"/>
        <v>0.40508623780445419</v>
      </c>
      <c r="YG80" s="149">
        <f t="shared" si="969"/>
        <v>8.7699188212532349</v>
      </c>
      <c r="YH80" s="150">
        <f t="shared" si="970"/>
        <v>18.34238785760504</v>
      </c>
      <c r="YI80" s="149">
        <f t="shared" si="971"/>
        <v>28.15672570651676</v>
      </c>
      <c r="YJ80" s="149">
        <f t="shared" si="803"/>
        <v>37.153132173089169</v>
      </c>
      <c r="YK80" s="149">
        <f t="shared" si="804"/>
        <v>42.627875833616351</v>
      </c>
      <c r="YL80" s="149">
        <f t="shared" si="805"/>
        <v>47.423993446520434</v>
      </c>
      <c r="YM80" s="149">
        <f t="shared" si="806"/>
        <v>53.054344900159883</v>
      </c>
      <c r="YN80" s="122"/>
      <c r="YO80" s="122">
        <v>78</v>
      </c>
      <c r="YP80" s="149">
        <v>20.597183970017699</v>
      </c>
      <c r="YQ80" s="149">
        <v>22.343762796824532</v>
      </c>
      <c r="YR80" s="149">
        <v>23.963922026955299</v>
      </c>
      <c r="YS80" s="149">
        <v>25.978197418842328</v>
      </c>
      <c r="YT80" s="149">
        <v>29.72216719492177</v>
      </c>
      <c r="YU80" s="150">
        <v>34.534424719937114</v>
      </c>
      <c r="YV80" s="149">
        <v>40.125825378600673</v>
      </c>
      <c r="YW80" s="149">
        <v>45.908746919906619</v>
      </c>
      <c r="YX80" s="149">
        <v>49.767583511392822</v>
      </c>
      <c r="YY80" s="149">
        <v>53.376259924604035</v>
      </c>
      <c r="YZ80" s="149">
        <v>57.902405128441423</v>
      </c>
      <c r="ZA80" s="122"/>
      <c r="ZB80" s="122">
        <v>78</v>
      </c>
      <c r="ZC80" s="149">
        <v>23.44394824103119</v>
      </c>
      <c r="ZD80" s="149">
        <v>24.771228921588197</v>
      </c>
      <c r="ZE80" s="149">
        <v>25.972711400732418</v>
      </c>
      <c r="ZF80" s="149">
        <v>27.430448092189007</v>
      </c>
      <c r="ZG80" s="149">
        <v>30.04655869782863</v>
      </c>
      <c r="ZH80" s="150">
        <v>33.257530519784105</v>
      </c>
      <c r="ZI80" s="149">
        <v>36.811647796268375</v>
      </c>
      <c r="ZJ80" s="149">
        <v>40.322466937364041</v>
      </c>
      <c r="ZK80" s="149">
        <v>42.585593749106266</v>
      </c>
      <c r="ZL80" s="149">
        <v>44.651128927658263</v>
      </c>
      <c r="ZM80" s="149">
        <v>47.17905554571044</v>
      </c>
      <c r="ZN80" s="122"/>
      <c r="ZO80" s="122">
        <v>81</v>
      </c>
      <c r="ZP80" s="149">
        <v>19.198803086418831</v>
      </c>
      <c r="ZQ80" s="149">
        <v>21.159599542005278</v>
      </c>
      <c r="ZR80" s="149">
        <v>23.005429789935295</v>
      </c>
      <c r="ZS80" s="149">
        <v>25.334268979107712</v>
      </c>
      <c r="ZT80" s="149">
        <v>29.755573995493375</v>
      </c>
      <c r="ZU80" s="150">
        <v>35.598655650820071</v>
      </c>
      <c r="ZV80" s="149">
        <v>42.589139242872527</v>
      </c>
      <c r="ZW80" s="149">
        <v>50.021742691321897</v>
      </c>
      <c r="ZX80" s="149">
        <v>55.085442685364747</v>
      </c>
      <c r="ZY80" s="149">
        <v>59.890749899587497</v>
      </c>
      <c r="ZZ80" s="149">
        <v>66.007462988259007</v>
      </c>
      <c r="AAA80" s="122"/>
      <c r="AAB80" s="122">
        <v>78</v>
      </c>
      <c r="AAC80" s="149">
        <v>12.445250011140503</v>
      </c>
      <c r="AAD80" s="149">
        <v>13.652134685979503</v>
      </c>
      <c r="AAE80" s="149">
        <v>14.78332413954322</v>
      </c>
      <c r="AAF80" s="149">
        <v>16.204323464278851</v>
      </c>
      <c r="AAG80" s="149">
        <v>18.885237036537109</v>
      </c>
      <c r="AAH80" s="150">
        <v>22.399240705148458</v>
      </c>
      <c r="AAI80" s="149">
        <v>26.567100174411074</v>
      </c>
      <c r="AAJ80" s="149">
        <v>30.962476481859593</v>
      </c>
      <c r="AAK80" s="149">
        <v>33.938644612759063</v>
      </c>
      <c r="AAL80" s="149">
        <v>36.750735010140438</v>
      </c>
      <c r="AAM80" s="149">
        <v>40.314656894642873</v>
      </c>
      <c r="AAN80" s="122"/>
      <c r="AAO80" s="122">
        <v>78</v>
      </c>
      <c r="AAP80" s="149">
        <v>14.097173758044292</v>
      </c>
      <c r="AAQ80" s="149">
        <v>15.357955815663853</v>
      </c>
      <c r="AAR80" s="149">
        <v>16.532121585881349</v>
      </c>
      <c r="AAS80" s="149">
        <v>17.997700319577696</v>
      </c>
      <c r="AAT80" s="149">
        <v>20.737358461408437</v>
      </c>
      <c r="AAU80" s="150">
        <v>24.285182011528992</v>
      </c>
      <c r="AAV80" s="149">
        <v>28.43998026222263</v>
      </c>
      <c r="AAW80" s="149">
        <v>32.769190222127776</v>
      </c>
      <c r="AAX80" s="149">
        <v>35.674191135683564</v>
      </c>
      <c r="AAY80" s="149">
        <v>38.401599302139836</v>
      </c>
      <c r="AAZ80" s="149">
        <v>41.836049938488557</v>
      </c>
      <c r="ABA80" s="122"/>
      <c r="ABB80" s="122">
        <v>81</v>
      </c>
      <c r="ABC80" s="149">
        <v>10.014267448665263</v>
      </c>
      <c r="ABD80" s="149">
        <v>11.213590555540936</v>
      </c>
      <c r="ABE80" s="149">
        <v>12.359340053502418</v>
      </c>
      <c r="ABF80" s="149">
        <v>13.826350097389133</v>
      </c>
      <c r="ABG80" s="149">
        <v>16.671252489523731</v>
      </c>
      <c r="ABH80" s="150">
        <v>20.537171845100456</v>
      </c>
      <c r="ABI80" s="149">
        <v>25.299564484446016</v>
      </c>
      <c r="ABJ80" s="149">
        <v>30.505189325043347</v>
      </c>
      <c r="ABK80" s="149">
        <v>34.126047634368881</v>
      </c>
      <c r="ABL80" s="149">
        <v>37.612879238468039</v>
      </c>
      <c r="ABM80" s="149">
        <v>42.117451881255931</v>
      </c>
      <c r="ABN80" s="122"/>
      <c r="ABO80" s="122">
        <v>78</v>
      </c>
      <c r="ABP80" s="149">
        <f t="shared" si="807"/>
        <v>0.36830817532660004</v>
      </c>
      <c r="ABQ80" s="149">
        <f t="shared" si="808"/>
        <v>0.41208594682519378</v>
      </c>
      <c r="ABR80" s="149">
        <f t="shared" si="809"/>
        <v>0.4526708472453293</v>
      </c>
      <c r="ABS80" s="149">
        <f t="shared" si="810"/>
        <v>0.50299366249094402</v>
      </c>
      <c r="ABT80" s="149">
        <f t="shared" si="972"/>
        <v>0.59584885480214089</v>
      </c>
      <c r="ABU80" s="150">
        <f t="shared" si="973"/>
        <v>0.7134223793651342</v>
      </c>
      <c r="ABV80" s="149">
        <f t="shared" si="974"/>
        <v>0.84706620285868195</v>
      </c>
      <c r="ABW80" s="149">
        <f t="shared" si="811"/>
        <v>0.98172656525820412</v>
      </c>
      <c r="ABX80" s="149">
        <f t="shared" si="812"/>
        <v>1.0695632216751951</v>
      </c>
      <c r="ABY80" s="149">
        <f t="shared" si="813"/>
        <v>1.1502712906155925</v>
      </c>
      <c r="ABZ80" s="149">
        <f t="shared" si="814"/>
        <v>1.2495929408022528</v>
      </c>
      <c r="ACA80" s="122"/>
      <c r="ACB80" s="122">
        <v>78</v>
      </c>
      <c r="ACC80" s="149">
        <f t="shared" si="815"/>
        <v>0.4830383571600026</v>
      </c>
      <c r="ACD80" s="149">
        <f t="shared" si="816"/>
        <v>0.52643188166785682</v>
      </c>
      <c r="ACE80" s="149">
        <f t="shared" si="817"/>
        <v>0.5663902183630446</v>
      </c>
      <c r="ACF80" s="149">
        <f t="shared" si="818"/>
        <v>0.61566779368802416</v>
      </c>
      <c r="ACG80" s="149">
        <f t="shared" si="975"/>
        <v>0.70607854632813771</v>
      </c>
      <c r="ACH80" s="150">
        <f t="shared" si="976"/>
        <v>0.82007061607966214</v>
      </c>
      <c r="ACI80" s="149">
        <f t="shared" si="977"/>
        <v>0.94952444965216087</v>
      </c>
      <c r="ACJ80" s="149">
        <f t="shared" si="819"/>
        <v>1.080234938718267</v>
      </c>
      <c r="ACK80" s="149">
        <f t="shared" si="820"/>
        <v>1.1657707155808223</v>
      </c>
      <c r="ACL80" s="149">
        <f t="shared" si="821"/>
        <v>1.2446087323788773</v>
      </c>
      <c r="ACM80" s="149">
        <f t="shared" si="822"/>
        <v>1.3419939947524073</v>
      </c>
      <c r="ACN80" s="122"/>
      <c r="ACO80" s="122">
        <v>81</v>
      </c>
      <c r="ACP80" s="149">
        <f t="shared" si="823"/>
        <v>0.33004479051387114</v>
      </c>
      <c r="ACQ80" s="149">
        <f t="shared" si="824"/>
        <v>0.37202831427489647</v>
      </c>
      <c r="ACR80" s="149">
        <f t="shared" si="825"/>
        <v>0.41021422609127606</v>
      </c>
      <c r="ACS80" s="149">
        <f t="shared" si="826"/>
        <v>0.45663319781011302</v>
      </c>
      <c r="ACT80" s="149">
        <f t="shared" si="978"/>
        <v>0.53986668402988336</v>
      </c>
      <c r="ACU80" s="150">
        <f t="shared" si="979"/>
        <v>0.64096609745987665</v>
      </c>
      <c r="ACV80" s="149">
        <f t="shared" si="980"/>
        <v>0.75103873281306954</v>
      </c>
      <c r="ACW80" s="149">
        <f t="shared" si="827"/>
        <v>0.85764168621116321</v>
      </c>
      <c r="ACX80" s="149">
        <f t="shared" si="828"/>
        <v>0.92499313814660611</v>
      </c>
      <c r="ACY80" s="149">
        <f t="shared" si="829"/>
        <v>0.98554018021083822</v>
      </c>
      <c r="ACZ80" s="149">
        <f t="shared" si="830"/>
        <v>1.0584324452527567</v>
      </c>
      <c r="ADA80" s="122"/>
      <c r="ADB80" s="122">
        <v>78</v>
      </c>
      <c r="ADC80" s="149">
        <f t="shared" si="831"/>
        <v>0.27210865937085627</v>
      </c>
      <c r="ADD80" s="149">
        <f t="shared" si="832"/>
        <v>0.29386274059173878</v>
      </c>
      <c r="ADE80" s="149">
        <f t="shared" si="833"/>
        <v>0.31286790647532592</v>
      </c>
      <c r="ADF80" s="149">
        <f t="shared" si="834"/>
        <v>0.33510611073082619</v>
      </c>
      <c r="ADG80" s="149">
        <f t="shared" si="981"/>
        <v>0.37294799686809554</v>
      </c>
      <c r="ADH80" s="150">
        <f t="shared" si="982"/>
        <v>0.41616722624256336</v>
      </c>
      <c r="ADI80" s="149">
        <f t="shared" si="983"/>
        <v>0.46042183932889386</v>
      </c>
      <c r="ADJ80" s="149">
        <f t="shared" si="835"/>
        <v>0.50096159350819169</v>
      </c>
      <c r="ADK80" s="149">
        <f t="shared" si="836"/>
        <v>0.52562626717944971</v>
      </c>
      <c r="ADL80" s="149">
        <f t="shared" si="837"/>
        <v>0.54723260454764311</v>
      </c>
      <c r="ADM80" s="149">
        <f t="shared" si="838"/>
        <v>0.57259793395709724</v>
      </c>
      <c r="ADN80" s="122"/>
      <c r="ADO80" s="122">
        <v>78</v>
      </c>
      <c r="ADP80" s="149">
        <f t="shared" si="839"/>
        <v>0.32728803984464949</v>
      </c>
      <c r="ADQ80" s="149">
        <f t="shared" si="840"/>
        <v>0.34574492476698898</v>
      </c>
      <c r="ADR80" s="149">
        <f t="shared" si="841"/>
        <v>0.36193462652345237</v>
      </c>
      <c r="ADS80" s="149">
        <f t="shared" si="842"/>
        <v>0.38095882876803805</v>
      </c>
      <c r="ADT80" s="149">
        <f t="shared" si="984"/>
        <v>0.41353806898233819</v>
      </c>
      <c r="ADU80" s="150">
        <f t="shared" si="985"/>
        <v>0.45107391113330686</v>
      </c>
      <c r="ADV80" s="149">
        <f t="shared" si="986"/>
        <v>0.48987622557072019</v>
      </c>
      <c r="ADW80" s="149">
        <f t="shared" si="843"/>
        <v>0.52574870870380541</v>
      </c>
      <c r="ADX80" s="149">
        <f t="shared" si="844"/>
        <v>0.5477264504843572</v>
      </c>
      <c r="ADY80" s="149">
        <f t="shared" si="845"/>
        <v>0.56707341560498159</v>
      </c>
      <c r="ADZ80" s="149">
        <f t="shared" si="846"/>
        <v>0.58989811071294707</v>
      </c>
      <c r="AEA80" s="122"/>
      <c r="AEB80" s="122">
        <v>81</v>
      </c>
      <c r="AEC80" s="149">
        <f t="shared" si="847"/>
        <v>0.25178461143241271</v>
      </c>
      <c r="AED80" s="149">
        <f t="shared" si="848"/>
        <v>0.27378491432531243</v>
      </c>
      <c r="AEE80" s="149">
        <f t="shared" si="849"/>
        <v>0.29264969554360443</v>
      </c>
      <c r="AEF80" s="149">
        <f t="shared" si="850"/>
        <v>0.31433954780083634</v>
      </c>
      <c r="AEG80" s="149">
        <f t="shared" si="987"/>
        <v>0.3503911637679889</v>
      </c>
      <c r="AEH80" s="150">
        <f t="shared" si="988"/>
        <v>0.39040020330936398</v>
      </c>
      <c r="AEI80" s="149">
        <f t="shared" si="989"/>
        <v>0.43024560182052274</v>
      </c>
      <c r="AEJ80" s="149">
        <f t="shared" si="851"/>
        <v>0.46586874532901629</v>
      </c>
      <c r="AEK80" s="149">
        <f t="shared" si="852"/>
        <v>0.48717059124318696</v>
      </c>
      <c r="AEL80" s="149">
        <f t="shared" si="853"/>
        <v>0.5056165568246529</v>
      </c>
      <c r="AEM80" s="149">
        <f t="shared" si="854"/>
        <v>0.5270302766882855</v>
      </c>
      <c r="AEN80" s="122"/>
    </row>
    <row r="81" spans="1:820">
      <c r="A81" s="81"/>
      <c r="B81" s="81">
        <v>80</v>
      </c>
      <c r="C81" s="133">
        <f t="shared" si="495"/>
        <v>2.7336517926424904</v>
      </c>
      <c r="D81" s="133">
        <f t="shared" si="496"/>
        <v>3.3250452420666199</v>
      </c>
      <c r="E81" s="133">
        <f t="shared" si="497"/>
        <v>3.9580703890704463</v>
      </c>
      <c r="F81" s="133">
        <f t="shared" si="498"/>
        <v>4.8737974947731972</v>
      </c>
      <c r="G81" s="133">
        <f t="shared" si="855"/>
        <v>7.027500498689113</v>
      </c>
      <c r="H81" s="134">
        <f t="shared" si="856"/>
        <v>10.903132022024852</v>
      </c>
      <c r="I81" s="133">
        <f t="shared" si="857"/>
        <v>17.582619717291522</v>
      </c>
      <c r="J81" s="133">
        <f t="shared" si="499"/>
        <v>28.067599954307912</v>
      </c>
      <c r="K81" s="133">
        <f t="shared" si="500"/>
        <v>37.92400294750027</v>
      </c>
      <c r="L81" s="133">
        <f t="shared" si="501"/>
        <v>49.941240719064012</v>
      </c>
      <c r="M81" s="133">
        <f t="shared" si="502"/>
        <v>70.068814935401122</v>
      </c>
      <c r="N81" s="81"/>
      <c r="O81" s="75">
        <v>80</v>
      </c>
      <c r="P81" s="151">
        <f t="shared" si="503"/>
        <v>3.4535855984021588</v>
      </c>
      <c r="Q81" s="151">
        <f t="shared" si="504"/>
        <v>4.06478558684109</v>
      </c>
      <c r="R81" s="151">
        <f t="shared" si="505"/>
        <v>4.7190555935026737</v>
      </c>
      <c r="S81" s="151">
        <f t="shared" si="506"/>
        <v>5.6724393832246216</v>
      </c>
      <c r="T81" s="151">
        <f t="shared" si="858"/>
        <v>7.9776693127452605</v>
      </c>
      <c r="U81" s="134">
        <f t="shared" si="859"/>
        <v>12.450328138313047</v>
      </c>
      <c r="V81" s="151">
        <f t="shared" si="860"/>
        <v>21.424349045167023</v>
      </c>
      <c r="W81" s="151">
        <f t="shared" si="507"/>
        <v>39.609006873111888</v>
      </c>
      <c r="X81" s="151">
        <f t="shared" si="508"/>
        <v>62.602630882131869</v>
      </c>
      <c r="Y81" s="151">
        <f t="shared" si="509"/>
        <v>101.11921296242933</v>
      </c>
      <c r="Z81" s="151">
        <f t="shared" si="510"/>
        <v>205.01118640477975</v>
      </c>
      <c r="AA81" s="122"/>
      <c r="AB81" s="139"/>
      <c r="AC81" s="140"/>
      <c r="AD81" s="140"/>
      <c r="AE81" s="140"/>
      <c r="AF81" s="140"/>
      <c r="AG81" s="140"/>
      <c r="AH81" s="127"/>
      <c r="AI81" s="140"/>
      <c r="AJ81" s="140"/>
      <c r="AK81" s="140"/>
      <c r="AL81" s="140"/>
      <c r="AM81" s="140"/>
      <c r="AN81" s="81"/>
      <c r="AO81" s="81">
        <v>80</v>
      </c>
      <c r="AP81" s="133">
        <f t="shared" si="519"/>
        <v>3.0921984325041718</v>
      </c>
      <c r="AQ81" s="133">
        <f t="shared" si="520"/>
        <v>6.5056536865467125</v>
      </c>
      <c r="AR81" s="133">
        <f t="shared" si="521"/>
        <v>9.8609176715806903</v>
      </c>
      <c r="AS81" s="133">
        <f t="shared" si="522"/>
        <v>14.216759667221957</v>
      </c>
      <c r="AT81" s="133">
        <f t="shared" si="864"/>
        <v>22.660465897547716</v>
      </c>
      <c r="AU81" s="134">
        <f t="shared" si="865"/>
        <v>33.832750855552362</v>
      </c>
      <c r="AV81" s="133">
        <f t="shared" si="866"/>
        <v>46.89033116360887</v>
      </c>
      <c r="AW81" s="133">
        <f t="shared" si="523"/>
        <v>60.231748777865484</v>
      </c>
      <c r="AX81" s="133">
        <f t="shared" si="524"/>
        <v>68.974271623081975</v>
      </c>
      <c r="AY81" s="133">
        <f t="shared" si="525"/>
        <v>77.012591567843529</v>
      </c>
      <c r="AZ81" s="133">
        <f t="shared" si="526"/>
        <v>86.89387029644989</v>
      </c>
      <c r="BA81" s="81"/>
      <c r="BB81" s="81">
        <v>80</v>
      </c>
      <c r="BC81" s="133">
        <f t="shared" si="527"/>
        <v>5.8062209523015644</v>
      </c>
      <c r="BD81" s="133">
        <f t="shared" si="528"/>
        <v>9.8241602042993286</v>
      </c>
      <c r="BE81" s="133">
        <f t="shared" si="529"/>
        <v>13.634093977967972</v>
      </c>
      <c r="BF81" s="133">
        <f t="shared" si="530"/>
        <v>18.417614985567752</v>
      </c>
      <c r="BG81" s="133">
        <f t="shared" si="867"/>
        <v>27.290969064483701</v>
      </c>
      <c r="BH81" s="134">
        <f t="shared" si="868"/>
        <v>38.438425499717532</v>
      </c>
      <c r="BI81" s="133">
        <f t="shared" si="869"/>
        <v>50.850038381727174</v>
      </c>
      <c r="BJ81" s="133">
        <f t="shared" si="531"/>
        <v>63.018376593609723</v>
      </c>
      <c r="BK81" s="133">
        <f t="shared" si="532"/>
        <v>70.766933341163067</v>
      </c>
      <c r="BL81" s="133">
        <f t="shared" si="533"/>
        <v>77.757374545725796</v>
      </c>
      <c r="BM81" s="133">
        <f t="shared" si="534"/>
        <v>86.195154868315228</v>
      </c>
      <c r="BN81" s="122"/>
      <c r="BO81" s="139"/>
      <c r="BP81" s="140"/>
      <c r="BQ81" s="140"/>
      <c r="BR81" s="140"/>
      <c r="BS81" s="140"/>
      <c r="BT81" s="140"/>
      <c r="BU81" s="127"/>
      <c r="BV81" s="140"/>
      <c r="BW81" s="140"/>
      <c r="BX81" s="140"/>
      <c r="BY81" s="140"/>
      <c r="BZ81" s="140"/>
      <c r="CA81" s="81"/>
      <c r="CB81" s="81">
        <v>80</v>
      </c>
      <c r="CC81" s="133">
        <f t="shared" si="543"/>
        <v>0.92726598088814161</v>
      </c>
      <c r="CD81" s="133">
        <f t="shared" si="544"/>
        <v>4.3945934048190969</v>
      </c>
      <c r="CE81" s="133">
        <f t="shared" si="545"/>
        <v>7.6508062856598551</v>
      </c>
      <c r="CF81" s="133">
        <f t="shared" si="546"/>
        <v>11.684768719253139</v>
      </c>
      <c r="CG81" s="133">
        <f t="shared" si="873"/>
        <v>19.007741829757315</v>
      </c>
      <c r="CH81" s="134">
        <f t="shared" si="874"/>
        <v>27.944135898777549</v>
      </c>
      <c r="CI81" s="133">
        <f t="shared" si="875"/>
        <v>37.604650587714204</v>
      </c>
      <c r="CJ81" s="133">
        <f t="shared" si="547"/>
        <v>46.829707280986682</v>
      </c>
      <c r="CK81" s="133">
        <f t="shared" si="548"/>
        <v>52.594848020081621</v>
      </c>
      <c r="CL81" s="133">
        <f t="shared" si="549"/>
        <v>57.730853284528699</v>
      </c>
      <c r="CM81" s="133">
        <f t="shared" si="550"/>
        <v>63.855029914060303</v>
      </c>
      <c r="CN81" s="81"/>
      <c r="CO81" s="81">
        <v>80</v>
      </c>
      <c r="CP81" s="133">
        <f t="shared" si="551"/>
        <v>6.6934913068554378</v>
      </c>
      <c r="CQ81" s="133">
        <f t="shared" si="552"/>
        <v>9.9756269952180929</v>
      </c>
      <c r="CR81" s="133">
        <f t="shared" si="553"/>
        <v>12.974189923466362</v>
      </c>
      <c r="CS81" s="133">
        <f t="shared" si="554"/>
        <v>16.618426882046602</v>
      </c>
      <c r="CT81" s="133">
        <f t="shared" si="876"/>
        <v>23.10942638988811</v>
      </c>
      <c r="CU81" s="134">
        <f t="shared" si="877"/>
        <v>30.899833846996334</v>
      </c>
      <c r="CV81" s="133">
        <f t="shared" si="878"/>
        <v>39.225340389840902</v>
      </c>
      <c r="CW81" s="133">
        <f t="shared" si="555"/>
        <v>47.116082472181013</v>
      </c>
      <c r="CX81" s="133">
        <f t="shared" si="556"/>
        <v>52.026365057809898</v>
      </c>
      <c r="CY81" s="133">
        <f t="shared" si="557"/>
        <v>56.390169085973938</v>
      </c>
      <c r="CZ81" s="133">
        <f t="shared" si="558"/>
        <v>61.582720408246765</v>
      </c>
      <c r="DA81" s="81"/>
      <c r="DB81" s="81"/>
      <c r="DC81" s="83"/>
      <c r="DD81" s="83"/>
      <c r="DE81" s="83"/>
      <c r="DF81" s="83"/>
      <c r="DG81" s="83"/>
      <c r="DH81" s="84"/>
      <c r="DI81" s="83"/>
      <c r="DJ81" s="83"/>
      <c r="DK81" s="83"/>
      <c r="DL81" s="83"/>
      <c r="DM81" s="83"/>
      <c r="DN81" s="81"/>
      <c r="DO81" s="81">
        <v>80</v>
      </c>
      <c r="DP81" s="133">
        <v>15.222343959205531</v>
      </c>
      <c r="DQ81" s="133">
        <v>16.493268264141012</v>
      </c>
      <c r="DR81" s="133">
        <v>17.670883600805023</v>
      </c>
      <c r="DS81" s="133">
        <v>19.133327740477846</v>
      </c>
      <c r="DT81" s="133">
        <v>21.847231117842732</v>
      </c>
      <c r="DU81" s="134">
        <v>25.328146071400433</v>
      </c>
      <c r="DV81" s="133">
        <v>29.363674506572551</v>
      </c>
      <c r="DW81" s="133">
        <v>33.528667470480258</v>
      </c>
      <c r="DX81" s="133">
        <v>36.303503430070243</v>
      </c>
      <c r="DY81" s="133">
        <v>38.895564732246108</v>
      </c>
      <c r="DZ81" s="133">
        <v>42.142983047380731</v>
      </c>
      <c r="EA81" s="81"/>
      <c r="EB81" s="81">
        <v>80</v>
      </c>
      <c r="EC81" s="133">
        <v>14.205904886559399</v>
      </c>
      <c r="ED81" s="133">
        <v>15.800243364384848</v>
      </c>
      <c r="EE81" s="133">
        <v>17.313858306706994</v>
      </c>
      <c r="EF81" s="133">
        <v>19.239781881539567</v>
      </c>
      <c r="EG81" s="133">
        <v>22.941041497951957</v>
      </c>
      <c r="EH81" s="134">
        <v>27.911446493421007</v>
      </c>
      <c r="EI81" s="133">
        <v>33.958739206528719</v>
      </c>
      <c r="EJ81" s="133">
        <v>40.491563269882768</v>
      </c>
      <c r="EK81" s="133">
        <v>44.99568100619824</v>
      </c>
      <c r="EL81" s="133">
        <v>49.30612949362218</v>
      </c>
      <c r="EM81" s="133">
        <v>54.839790324950265</v>
      </c>
      <c r="EN81" s="122"/>
      <c r="EO81" s="122"/>
      <c r="EP81" s="126"/>
      <c r="EQ81" s="126"/>
      <c r="ER81" s="126"/>
      <c r="ES81" s="126"/>
      <c r="ET81" s="126"/>
      <c r="EU81" s="127"/>
      <c r="EV81" s="126"/>
      <c r="EW81" s="126"/>
      <c r="EX81" s="126"/>
      <c r="EY81" s="126"/>
      <c r="EZ81" s="126"/>
      <c r="FA81" s="81"/>
      <c r="FB81" s="81">
        <v>80</v>
      </c>
      <c r="FC81" s="133">
        <v>11.223876339140631</v>
      </c>
      <c r="FD81" s="133">
        <v>12.022331219909772</v>
      </c>
      <c r="FE81" s="133">
        <v>12.754331478596717</v>
      </c>
      <c r="FF81" s="133">
        <v>13.653765960897838</v>
      </c>
      <c r="FG81" s="133">
        <v>15.297545011533954</v>
      </c>
      <c r="FH81" s="134">
        <v>17.363940635635451</v>
      </c>
      <c r="FI81" s="133">
        <v>19.709465418833151</v>
      </c>
      <c r="FJ81" s="133">
        <v>22.082291088139144</v>
      </c>
      <c r="FK81" s="133">
        <v>23.639532570079076</v>
      </c>
      <c r="FL81" s="133">
        <v>25.078866060399129</v>
      </c>
      <c r="FM81" s="133">
        <v>26.86295048943467</v>
      </c>
      <c r="FN81" s="81"/>
      <c r="FO81" s="81">
        <v>80</v>
      </c>
      <c r="FP81" s="133">
        <v>11.11573144694191</v>
      </c>
      <c r="FQ81" s="133">
        <v>12.021642017031954</v>
      </c>
      <c r="FR81" s="133">
        <v>12.859609106832709</v>
      </c>
      <c r="FS81" s="133">
        <v>13.898479491135115</v>
      </c>
      <c r="FT81" s="133">
        <v>15.821613936534765</v>
      </c>
      <c r="FU81" s="134">
        <v>18.280322260422153</v>
      </c>
      <c r="FV81" s="133">
        <v>21.121118445017203</v>
      </c>
      <c r="FW81" s="133">
        <v>24.043650397730904</v>
      </c>
      <c r="FX81" s="133">
        <v>25.986029526148712</v>
      </c>
      <c r="FY81" s="133">
        <v>27.797382543203504</v>
      </c>
      <c r="FZ81" s="133">
        <v>30.062815347776382</v>
      </c>
      <c r="GA81" s="122"/>
      <c r="GB81" s="122"/>
      <c r="GC81" s="126"/>
      <c r="GD81" s="126"/>
      <c r="GE81" s="126"/>
      <c r="GF81" s="126"/>
      <c r="GG81" s="126"/>
      <c r="GH81" s="127"/>
      <c r="GI81" s="126"/>
      <c r="GJ81" s="126"/>
      <c r="GK81" s="126"/>
      <c r="GL81" s="126"/>
      <c r="GM81" s="126"/>
      <c r="GN81" s="122"/>
      <c r="GO81" s="122">
        <v>80</v>
      </c>
      <c r="GP81" s="149">
        <f t="shared" si="567"/>
        <v>0.54884359570475438</v>
      </c>
      <c r="GQ81" s="149">
        <f t="shared" si="568"/>
        <v>0.57920697123508535</v>
      </c>
      <c r="GR81" s="149">
        <f t="shared" si="569"/>
        <v>0.60403193036160729</v>
      </c>
      <c r="GS81" s="149">
        <f t="shared" si="570"/>
        <v>0.63137406488279912</v>
      </c>
      <c r="GT81" s="149">
        <f t="shared" si="882"/>
        <v>0.67560407559196933</v>
      </c>
      <c r="GU81" s="150">
        <f t="shared" si="883"/>
        <v>0.71912996384192696</v>
      </c>
      <c r="GV81" s="149">
        <f t="shared" si="884"/>
        <v>0.76002723215166168</v>
      </c>
      <c r="GW81" s="149">
        <f t="shared" si="571"/>
        <v>0.79677217356710228</v>
      </c>
      <c r="GX81" s="149">
        <f t="shared" si="572"/>
        <v>0.81736590685206001</v>
      </c>
      <c r="GY81" s="149">
        <f t="shared" si="573"/>
        <v>0.83479248272762363</v>
      </c>
      <c r="GZ81" s="149">
        <f t="shared" si="574"/>
        <v>0.85458183574385271</v>
      </c>
      <c r="HA81" s="122"/>
      <c r="HB81" s="122">
        <v>80</v>
      </c>
      <c r="HC81" s="149">
        <f t="shared" si="575"/>
        <v>0.55267084349687001</v>
      </c>
      <c r="HD81" s="149">
        <f t="shared" si="576"/>
        <v>0.58312865083252219</v>
      </c>
      <c r="HE81" s="149">
        <f t="shared" si="577"/>
        <v>0.60805850305965303</v>
      </c>
      <c r="HF81" s="149">
        <f t="shared" si="578"/>
        <v>0.63554226238235112</v>
      </c>
      <c r="HG81" s="149">
        <f t="shared" si="885"/>
        <v>0.67882543721010313</v>
      </c>
      <c r="HH81" s="150">
        <f t="shared" si="886"/>
        <v>0.72391176993635376</v>
      </c>
      <c r="HI81" s="149">
        <f t="shared" si="887"/>
        <v>0.76625052160489715</v>
      </c>
      <c r="HJ81" s="149">
        <f t="shared" si="579"/>
        <v>0.80226506780588458</v>
      </c>
      <c r="HK81" s="149">
        <f t="shared" si="580"/>
        <v>0.82306992470825013</v>
      </c>
      <c r="HL81" s="149">
        <f t="shared" si="581"/>
        <v>0.84068188928604648</v>
      </c>
      <c r="HM81" s="149">
        <f t="shared" si="582"/>
        <v>0.86068894488824843</v>
      </c>
      <c r="HN81" s="122"/>
      <c r="HO81" s="122"/>
      <c r="HP81" s="126"/>
      <c r="HQ81" s="126"/>
      <c r="HR81" s="126"/>
      <c r="HS81" s="126"/>
      <c r="HT81" s="126"/>
      <c r="HU81" s="127"/>
      <c r="HV81" s="126"/>
      <c r="HW81" s="126"/>
      <c r="HX81" s="126"/>
      <c r="HY81" s="126"/>
      <c r="HZ81" s="126"/>
      <c r="IA81" s="122"/>
      <c r="IB81" s="122">
        <v>80</v>
      </c>
      <c r="IC81" s="126">
        <f t="shared" si="591"/>
        <v>0.35520743942176508</v>
      </c>
      <c r="ID81" s="126">
        <f t="shared" si="592"/>
        <v>0.36710092666885363</v>
      </c>
      <c r="IE81" s="126">
        <f t="shared" si="593"/>
        <v>0.37658103540630161</v>
      </c>
      <c r="IF81" s="126">
        <f t="shared" si="594"/>
        <v>0.38679029180846503</v>
      </c>
      <c r="IG81" s="126">
        <f t="shared" si="891"/>
        <v>0.40240249643966824</v>
      </c>
      <c r="IH81" s="127">
        <f t="shared" si="892"/>
        <v>0.41812259375032812</v>
      </c>
      <c r="II81" s="126">
        <f t="shared" si="893"/>
        <v>0.43243566686932039</v>
      </c>
      <c r="IJ81" s="126">
        <f t="shared" si="595"/>
        <v>0.44430118433399246</v>
      </c>
      <c r="IK81" s="126">
        <f t="shared" si="596"/>
        <v>0.45103540777524048</v>
      </c>
      <c r="IL81" s="126">
        <f t="shared" si="597"/>
        <v>0.45667093201319497</v>
      </c>
      <c r="IM81" s="126">
        <f t="shared" si="598"/>
        <v>0.46300319143846475</v>
      </c>
      <c r="IN81" s="122"/>
      <c r="IO81" s="122">
        <v>80</v>
      </c>
      <c r="IP81" s="149">
        <f t="shared" si="599"/>
        <v>0.35635500239794271</v>
      </c>
      <c r="IQ81" s="149">
        <f t="shared" si="600"/>
        <v>0.36830542018335993</v>
      </c>
      <c r="IR81" s="149">
        <f t="shared" si="601"/>
        <v>0.37784060325228536</v>
      </c>
      <c r="IS81" s="149">
        <f t="shared" si="602"/>
        <v>0.38811791434682719</v>
      </c>
      <c r="IT81" s="149">
        <f t="shared" si="894"/>
        <v>0.40385005652627926</v>
      </c>
      <c r="IU81" s="150">
        <f t="shared" si="895"/>
        <v>0.41970827310436443</v>
      </c>
      <c r="IV81" s="149">
        <f t="shared" si="896"/>
        <v>0.43416061154120716</v>
      </c>
      <c r="IW81" s="149">
        <f t="shared" si="603"/>
        <v>0.44615042964288915</v>
      </c>
      <c r="IX81" s="149">
        <f t="shared" si="604"/>
        <v>0.45295851771231838</v>
      </c>
      <c r="IY81" s="149">
        <f t="shared" si="605"/>
        <v>0.45865761031856372</v>
      </c>
      <c r="IZ81" s="149">
        <f t="shared" si="606"/>
        <v>0.46506313409279743</v>
      </c>
      <c r="JA81" s="122"/>
      <c r="JB81" s="122"/>
      <c r="JC81" s="126"/>
      <c r="JD81" s="126"/>
      <c r="JE81" s="126"/>
      <c r="JF81" s="126"/>
      <c r="JG81" s="126"/>
      <c r="JH81" s="127"/>
      <c r="JI81" s="126"/>
      <c r="JJ81" s="126"/>
      <c r="JK81" s="126"/>
      <c r="JL81" s="126"/>
      <c r="JM81" s="126"/>
      <c r="JN81" s="122"/>
      <c r="JO81" s="122">
        <v>79</v>
      </c>
      <c r="JP81" s="149">
        <f t="shared" si="615"/>
        <v>4.9470457913728119</v>
      </c>
      <c r="JQ81" s="149">
        <f t="shared" si="616"/>
        <v>6.3346196899348968</v>
      </c>
      <c r="JR81" s="149">
        <f t="shared" si="617"/>
        <v>7.5380314962038888</v>
      </c>
      <c r="JS81" s="149">
        <f t="shared" si="618"/>
        <v>8.9366439504029032</v>
      </c>
      <c r="JT81" s="149">
        <f t="shared" si="900"/>
        <v>11.295419058629815</v>
      </c>
      <c r="JU81" s="150">
        <f t="shared" si="901"/>
        <v>13.960645096910302</v>
      </c>
      <c r="JV81" s="149">
        <f t="shared" si="902"/>
        <v>16.662143886411396</v>
      </c>
      <c r="JW81" s="149">
        <f t="shared" si="619"/>
        <v>19.115363775875775</v>
      </c>
      <c r="JX81" s="149">
        <f t="shared" si="620"/>
        <v>20.598832201678487</v>
      </c>
      <c r="JY81" s="149">
        <f t="shared" si="621"/>
        <v>21.893115059438077</v>
      </c>
      <c r="JZ81" s="149">
        <f t="shared" si="622"/>
        <v>23.406680835189828</v>
      </c>
      <c r="KA81" s="122"/>
      <c r="KB81" s="122">
        <v>79</v>
      </c>
      <c r="KC81" s="149">
        <f t="shared" si="623"/>
        <v>6.4920380988221478</v>
      </c>
      <c r="KD81" s="149">
        <f t="shared" si="624"/>
        <v>7.9662668330753679</v>
      </c>
      <c r="KE81" s="149">
        <f t="shared" si="625"/>
        <v>9.2625855910454877</v>
      </c>
      <c r="KF81" s="149">
        <f t="shared" si="626"/>
        <v>10.788942647743548</v>
      </c>
      <c r="KG81" s="149">
        <f t="shared" si="903"/>
        <v>13.408736595610884</v>
      </c>
      <c r="KH81" s="150">
        <f t="shared" si="904"/>
        <v>16.433353248071249</v>
      </c>
      <c r="KI81" s="149">
        <f t="shared" si="905"/>
        <v>19.563986410581023</v>
      </c>
      <c r="KJ81" s="149">
        <f t="shared" si="627"/>
        <v>22.459723832662412</v>
      </c>
      <c r="KK81" s="149">
        <f t="shared" si="628"/>
        <v>24.233890465566283</v>
      </c>
      <c r="KL81" s="149">
        <f t="shared" si="629"/>
        <v>25.795461681727879</v>
      </c>
      <c r="KM81" s="149">
        <f t="shared" si="630"/>
        <v>27.637250386641995</v>
      </c>
      <c r="KN81" s="122"/>
      <c r="KO81" s="122">
        <v>81</v>
      </c>
      <c r="KP81" s="149">
        <f t="shared" si="631"/>
        <v>6.2326608122438998</v>
      </c>
      <c r="KQ81" s="149">
        <f t="shared" si="632"/>
        <v>7.2303327740838448</v>
      </c>
      <c r="KR81" s="149">
        <f t="shared" si="633"/>
        <v>8.0866925377741232</v>
      </c>
      <c r="KS81" s="149">
        <f t="shared" si="634"/>
        <v>9.0721501415751753</v>
      </c>
      <c r="KT81" s="149">
        <f t="shared" si="906"/>
        <v>10.711797546657987</v>
      </c>
      <c r="KU81" s="150">
        <f t="shared" si="907"/>
        <v>12.533367783032705</v>
      </c>
      <c r="KV81" s="149">
        <f t="shared" si="908"/>
        <v>14.349017337467739</v>
      </c>
      <c r="KW81" s="149">
        <f t="shared" si="635"/>
        <v>15.973241597115287</v>
      </c>
      <c r="KX81" s="149">
        <f t="shared" si="636"/>
        <v>16.944833009800366</v>
      </c>
      <c r="KY81" s="149">
        <f t="shared" si="637"/>
        <v>17.786334275767043</v>
      </c>
      <c r="KZ81" s="149">
        <f t="shared" si="638"/>
        <v>18.763388963700944</v>
      </c>
      <c r="LA81" s="122"/>
      <c r="LB81" s="122">
        <v>79</v>
      </c>
      <c r="LC81" s="149">
        <f t="shared" si="639"/>
        <v>16.014197694294232</v>
      </c>
      <c r="LD81" s="149">
        <f t="shared" si="640"/>
        <v>19.624845581587856</v>
      </c>
      <c r="LE81" s="149">
        <f t="shared" si="641"/>
        <v>22.769234464768296</v>
      </c>
      <c r="LF81" s="149">
        <f t="shared" si="642"/>
        <v>26.437741274834508</v>
      </c>
      <c r="LG81" s="149">
        <f t="shared" si="909"/>
        <v>32.656286184651542</v>
      </c>
      <c r="LH81" s="150">
        <f t="shared" si="910"/>
        <v>39.725925971632627</v>
      </c>
      <c r="LI81" s="149">
        <f t="shared" si="911"/>
        <v>46.933654761040067</v>
      </c>
      <c r="LJ81" s="149">
        <f t="shared" si="643"/>
        <v>53.511927257008715</v>
      </c>
      <c r="LK81" s="149">
        <f t="shared" si="644"/>
        <v>57.503864490386952</v>
      </c>
      <c r="LL81" s="149">
        <f t="shared" si="645"/>
        <v>60.994851886419291</v>
      </c>
      <c r="LM81" s="149">
        <f t="shared" si="646"/>
        <v>65.086478452181922</v>
      </c>
      <c r="LN81" s="122"/>
      <c r="LO81" s="122">
        <v>79</v>
      </c>
      <c r="LP81" s="149">
        <f t="shared" si="647"/>
        <v>21.75860897926194</v>
      </c>
      <c r="LQ81" s="149">
        <f t="shared" si="648"/>
        <v>25.572294918993325</v>
      </c>
      <c r="LR81" s="149">
        <f t="shared" si="649"/>
        <v>28.900205795060867</v>
      </c>
      <c r="LS81" s="149">
        <f t="shared" si="650"/>
        <v>32.790240640006445</v>
      </c>
      <c r="LT81" s="149">
        <f t="shared" si="912"/>
        <v>39.401287044090239</v>
      </c>
      <c r="LU81" s="150">
        <f t="shared" si="913"/>
        <v>46.940967684655774</v>
      </c>
      <c r="LV81" s="149">
        <f t="shared" si="914"/>
        <v>54.651643315994676</v>
      </c>
      <c r="LW81" s="149">
        <f t="shared" si="651"/>
        <v>61.708078160847279</v>
      </c>
      <c r="LX81" s="149">
        <f t="shared" si="652"/>
        <v>65.998485687262033</v>
      </c>
      <c r="LY81" s="149">
        <f t="shared" si="653"/>
        <v>69.755369151281513</v>
      </c>
      <c r="LZ81" s="149">
        <f t="shared" si="654"/>
        <v>74.164207287368541</v>
      </c>
      <c r="MA81" s="122"/>
      <c r="MB81" s="122">
        <v>81</v>
      </c>
      <c r="MC81" s="149">
        <f t="shared" si="655"/>
        <v>18.176967186893052</v>
      </c>
      <c r="MD81" s="149">
        <f t="shared" si="656"/>
        <v>20.714643894875337</v>
      </c>
      <c r="ME81" s="149">
        <f t="shared" si="657"/>
        <v>22.908436233959932</v>
      </c>
      <c r="MF81" s="149">
        <f t="shared" si="658"/>
        <v>25.450254353530028</v>
      </c>
      <c r="MG81" s="149">
        <f t="shared" si="915"/>
        <v>29.719194535492129</v>
      </c>
      <c r="MH81" s="150">
        <f t="shared" si="916"/>
        <v>34.517783402114851</v>
      </c>
      <c r="MI81" s="149">
        <f t="shared" si="917"/>
        <v>39.356900580125433</v>
      </c>
      <c r="MJ81" s="149">
        <f t="shared" si="659"/>
        <v>43.731369751220548</v>
      </c>
      <c r="MK81" s="149">
        <f t="shared" si="660"/>
        <v>46.368007318395136</v>
      </c>
      <c r="ML81" s="149">
        <f t="shared" si="661"/>
        <v>48.663345170431775</v>
      </c>
      <c r="MM81" s="149">
        <f t="shared" si="662"/>
        <v>51.341821591674737</v>
      </c>
      <c r="MN81" s="122"/>
      <c r="MO81" s="122">
        <v>79</v>
      </c>
      <c r="MP81" s="149">
        <f t="shared" si="663"/>
        <v>9.8841118467856788</v>
      </c>
      <c r="MQ81" s="149">
        <f t="shared" si="664"/>
        <v>13.763313062509859</v>
      </c>
      <c r="MR81" s="149">
        <f t="shared" si="665"/>
        <v>17.107273182894261</v>
      </c>
      <c r="MS81" s="149">
        <f t="shared" si="666"/>
        <v>20.970854118523228</v>
      </c>
      <c r="MT81" s="149">
        <f t="shared" si="918"/>
        <v>27.434137075762386</v>
      </c>
      <c r="MU81" s="150">
        <f t="shared" si="919"/>
        <v>34.662535469641135</v>
      </c>
      <c r="MV81" s="149">
        <f t="shared" si="920"/>
        <v>41.914378750246719</v>
      </c>
      <c r="MW81" s="149">
        <f t="shared" si="667"/>
        <v>48.438940592717053</v>
      </c>
      <c r="MX81" s="149">
        <f t="shared" si="668"/>
        <v>52.357874778544463</v>
      </c>
      <c r="MY81" s="149">
        <f t="shared" si="669"/>
        <v>55.761431922083965</v>
      </c>
      <c r="MZ81" s="149">
        <f t="shared" si="670"/>
        <v>59.723830568119304</v>
      </c>
      <c r="NA81" s="122"/>
      <c r="NB81" s="122">
        <v>79</v>
      </c>
      <c r="NC81" s="149">
        <f t="shared" si="671"/>
        <v>22.032711303783426</v>
      </c>
      <c r="ND81" s="149">
        <f t="shared" si="672"/>
        <v>25.111679732421795</v>
      </c>
      <c r="NE81" s="149">
        <f t="shared" si="673"/>
        <v>27.766075064415414</v>
      </c>
      <c r="NF81" s="149">
        <f t="shared" si="674"/>
        <v>30.833327254411675</v>
      </c>
      <c r="NG81" s="149">
        <f t="shared" si="921"/>
        <v>35.965587499414838</v>
      </c>
      <c r="NH81" s="150">
        <f t="shared" si="922"/>
        <v>41.707348837294475</v>
      </c>
      <c r="NI81" s="149">
        <f t="shared" si="923"/>
        <v>47.470017497743626</v>
      </c>
      <c r="NJ81" s="149">
        <f t="shared" si="675"/>
        <v>52.65681384781756</v>
      </c>
      <c r="NK81" s="149">
        <f t="shared" si="676"/>
        <v>55.773188873851709</v>
      </c>
      <c r="NL81" s="149">
        <f t="shared" si="677"/>
        <v>58.480321410630921</v>
      </c>
      <c r="NM81" s="149">
        <f t="shared" si="678"/>
        <v>61.632640641316158</v>
      </c>
      <c r="NN81" s="122"/>
      <c r="NO81" s="122">
        <v>81</v>
      </c>
      <c r="NP81" s="149">
        <f t="shared" si="679"/>
        <v>6.8027633549596374</v>
      </c>
      <c r="NQ81" s="149">
        <f t="shared" si="680"/>
        <v>10.275017043668427</v>
      </c>
      <c r="NR81" s="149">
        <f t="shared" si="681"/>
        <v>13.262367069978524</v>
      </c>
      <c r="NS81" s="149">
        <f t="shared" si="682"/>
        <v>16.707693213170145</v>
      </c>
      <c r="NT81" s="149">
        <f t="shared" si="924"/>
        <v>22.457535329614601</v>
      </c>
      <c r="NU81" s="150">
        <f t="shared" si="925"/>
        <v>28.869528140075609</v>
      </c>
      <c r="NV81" s="149">
        <f t="shared" si="926"/>
        <v>35.284648180160055</v>
      </c>
      <c r="NW81" s="149">
        <f t="shared" si="683"/>
        <v>41.042665149637507</v>
      </c>
      <c r="NX81" s="149">
        <f t="shared" si="684"/>
        <v>44.495376989121176</v>
      </c>
      <c r="NY81" s="149">
        <f t="shared" si="685"/>
        <v>47.490680383408268</v>
      </c>
      <c r="NZ81" s="149">
        <f t="shared" si="686"/>
        <v>50.974039457838167</v>
      </c>
      <c r="OA81" s="122"/>
      <c r="OB81" s="122">
        <v>79</v>
      </c>
      <c r="OC81" s="149">
        <v>16.480379062814226</v>
      </c>
      <c r="OD81" s="149">
        <v>17.783308039351894</v>
      </c>
      <c r="OE81" s="149">
        <v>18.985993969335535</v>
      </c>
      <c r="OF81" s="149">
        <v>20.473906601299845</v>
      </c>
      <c r="OG81" s="149">
        <v>23.220015346174659</v>
      </c>
      <c r="OH81" s="150">
        <v>26.717020654523353</v>
      </c>
      <c r="OI81" s="149">
        <v>30.740685654706983</v>
      </c>
      <c r="OJ81" s="149">
        <v>34.863849218151152</v>
      </c>
      <c r="OK81" s="149">
        <v>37.596092878102205</v>
      </c>
      <c r="OL81" s="149">
        <v>40.138718346141928</v>
      </c>
      <c r="OM81" s="149">
        <v>43.312061569313023</v>
      </c>
      <c r="ON81" s="122"/>
      <c r="OO81" s="122">
        <v>79</v>
      </c>
      <c r="OP81" s="149">
        <v>20.96302651260855</v>
      </c>
      <c r="OQ81" s="149">
        <v>21.979437330177717</v>
      </c>
      <c r="OR81" s="149">
        <v>22.892936517804909</v>
      </c>
      <c r="OS81" s="149">
        <v>23.993362719658933</v>
      </c>
      <c r="OT81" s="149">
        <v>24.059618561380827</v>
      </c>
      <c r="OU81" s="150">
        <v>28.314945088718368</v>
      </c>
      <c r="OV81" s="149">
        <v>30.897749122968516</v>
      </c>
      <c r="OW81" s="149">
        <v>33.414912479951568</v>
      </c>
      <c r="OX81" s="149">
        <v>35.021112942570227</v>
      </c>
      <c r="OY81" s="149">
        <v>36.476644207645577</v>
      </c>
      <c r="OZ81" s="149">
        <v>38.245246453078671</v>
      </c>
      <c r="PA81" s="122"/>
      <c r="PB81" s="122">
        <v>81</v>
      </c>
      <c r="PC81" s="149">
        <v>11.763625334524361</v>
      </c>
      <c r="PD81" s="149">
        <v>13.296543974044541</v>
      </c>
      <c r="PE81" s="149">
        <v>14.773778071175766</v>
      </c>
      <c r="PF81" s="149">
        <v>16.681752218674575</v>
      </c>
      <c r="PG81" s="149">
        <v>20.428578885905441</v>
      </c>
      <c r="PH81" s="150">
        <v>25.604614196975909</v>
      </c>
      <c r="PI81" s="149">
        <v>32.092113300563675</v>
      </c>
      <c r="PJ81" s="149">
        <v>39.300204174119401</v>
      </c>
      <c r="PK81" s="149">
        <v>44.375667822916242</v>
      </c>
      <c r="PL81" s="149">
        <v>49.305764675071515</v>
      </c>
      <c r="PM81" s="149">
        <v>55.730801477662652</v>
      </c>
      <c r="PN81" s="122"/>
      <c r="PO81" s="122">
        <v>79</v>
      </c>
      <c r="PP81" s="149">
        <v>11.980580486326222</v>
      </c>
      <c r="PQ81" s="149">
        <v>12.971723715653567</v>
      </c>
      <c r="PR81" s="149">
        <v>13.889499763747276</v>
      </c>
      <c r="PS81" s="149">
        <v>15.028514509843596</v>
      </c>
      <c r="PT81" s="149">
        <v>17.140237399252882</v>
      </c>
      <c r="PU81" s="150">
        <v>19.845444739704792</v>
      </c>
      <c r="PV81" s="149">
        <v>22.977609221086027</v>
      </c>
      <c r="PW81" s="149">
        <v>26.206294484974705</v>
      </c>
      <c r="PX81" s="149">
        <v>28.355353584773109</v>
      </c>
      <c r="PY81" s="149">
        <v>30.361552986316688</v>
      </c>
      <c r="PZ81" s="149">
        <v>32.873338430151975</v>
      </c>
      <c r="QA81" s="122"/>
      <c r="QB81" s="122">
        <v>79</v>
      </c>
      <c r="QC81" s="149">
        <v>12.766794439875452</v>
      </c>
      <c r="QD81" s="149">
        <v>13.789491698724236</v>
      </c>
      <c r="QE81" s="149">
        <v>14.734356033372801</v>
      </c>
      <c r="QF81" s="149">
        <v>15.904354024610701</v>
      </c>
      <c r="QG81" s="149">
        <v>18.066510398583684</v>
      </c>
      <c r="QH81" s="150">
        <v>20.824570978362186</v>
      </c>
      <c r="QI81" s="149">
        <v>24.003681223732137</v>
      </c>
      <c r="QJ81" s="149">
        <v>27.266920477360259</v>
      </c>
      <c r="QK81" s="149">
        <v>29.432080740455412</v>
      </c>
      <c r="QL81" s="149">
        <v>31.448784763615748</v>
      </c>
      <c r="QM81" s="149">
        <v>33.968022158980986</v>
      </c>
      <c r="QN81" s="122"/>
      <c r="QO81" s="122">
        <v>81</v>
      </c>
      <c r="QP81" s="149">
        <v>9.1134778948671276</v>
      </c>
      <c r="QQ81" s="149">
        <v>10.117619956226898</v>
      </c>
      <c r="QR81" s="149">
        <v>11.069291836611061</v>
      </c>
      <c r="QS81" s="149">
        <v>12.278129277857392</v>
      </c>
      <c r="QT81" s="149">
        <v>14.595560838671604</v>
      </c>
      <c r="QU81" s="150">
        <v>17.697578053446364</v>
      </c>
      <c r="QV81" s="149">
        <v>21.45887180491053</v>
      </c>
      <c r="QW81" s="149">
        <v>25.509119660652605</v>
      </c>
      <c r="QX81" s="149">
        <v>28.294878622851087</v>
      </c>
      <c r="QY81" s="149">
        <v>30.956318809451282</v>
      </c>
      <c r="QZ81" s="149">
        <v>34.367150781616374</v>
      </c>
      <c r="RA81" s="122"/>
      <c r="RB81" s="122">
        <v>79</v>
      </c>
      <c r="RC81" s="149">
        <f t="shared" si="687"/>
        <v>0.48357865218157603</v>
      </c>
      <c r="RD81" s="149">
        <f t="shared" si="688"/>
        <v>0.52797071191783385</v>
      </c>
      <c r="RE81" s="149">
        <f t="shared" si="689"/>
        <v>0.56994427738518605</v>
      </c>
      <c r="RF81" s="149">
        <f t="shared" si="690"/>
        <v>0.62320089461291006</v>
      </c>
      <c r="RG81" s="149">
        <f t="shared" si="927"/>
        <v>0.72536738102923137</v>
      </c>
      <c r="RH81" s="150">
        <f t="shared" si="928"/>
        <v>0.86279248338223757</v>
      </c>
      <c r="RI81" s="149">
        <f t="shared" si="929"/>
        <v>1.0311533673832705</v>
      </c>
      <c r="RJ81" s="149">
        <f t="shared" si="691"/>
        <v>1.2151705954352334</v>
      </c>
      <c r="RK81" s="149">
        <f t="shared" si="692"/>
        <v>1.3435931844430138</v>
      </c>
      <c r="RL81" s="149">
        <f t="shared" si="693"/>
        <v>1.4677943735702135</v>
      </c>
      <c r="RM81" s="149">
        <f t="shared" si="694"/>
        <v>1.6292135309136331</v>
      </c>
      <c r="RN81" s="122"/>
      <c r="RO81" s="122">
        <v>79</v>
      </c>
      <c r="RP81" s="149">
        <f t="shared" si="695"/>
        <v>0.53228072692414541</v>
      </c>
      <c r="RQ81" s="149">
        <f t="shared" si="696"/>
        <v>0.58488240433289462</v>
      </c>
      <c r="RR81" s="149">
        <f t="shared" si="697"/>
        <v>0.63524962814655173</v>
      </c>
      <c r="RS81" s="149">
        <f t="shared" si="698"/>
        <v>0.70002515394297682</v>
      </c>
      <c r="RT81" s="149">
        <f t="shared" si="930"/>
        <v>0.82695086800772688</v>
      </c>
      <c r="RU81" s="150">
        <f t="shared" si="931"/>
        <v>1.0030357741161011</v>
      </c>
      <c r="RV81" s="149">
        <f t="shared" si="932"/>
        <v>1.2268286795084766</v>
      </c>
      <c r="RW81" s="149">
        <f t="shared" si="699"/>
        <v>1.4812154274785612</v>
      </c>
      <c r="RX81" s="149">
        <f t="shared" si="700"/>
        <v>1.6646097903727102</v>
      </c>
      <c r="RY81" s="149">
        <f t="shared" si="701"/>
        <v>1.8464456770636462</v>
      </c>
      <c r="RZ81" s="149">
        <f t="shared" si="702"/>
        <v>2.0892031882621356</v>
      </c>
      <c r="SA81" s="122"/>
      <c r="SB81" s="122">
        <v>81</v>
      </c>
      <c r="SC81" s="149">
        <f t="shared" si="703"/>
        <v>0.50616510296343564</v>
      </c>
      <c r="SD81" s="149">
        <f t="shared" si="704"/>
        <v>0.54253999004217757</v>
      </c>
      <c r="SE81" s="149">
        <f t="shared" si="705"/>
        <v>0.57593724632454157</v>
      </c>
      <c r="SF81" s="149">
        <f t="shared" si="706"/>
        <v>0.61703714848349633</v>
      </c>
      <c r="SG81" s="149">
        <f t="shared" si="933"/>
        <v>0.69232477894438804</v>
      </c>
      <c r="SH81" s="150">
        <f t="shared" si="934"/>
        <v>0.787274423187449</v>
      </c>
      <c r="SI81" s="149">
        <f t="shared" si="935"/>
        <v>0.89543862120073936</v>
      </c>
      <c r="SJ81" s="149">
        <f t="shared" si="707"/>
        <v>1.0052572145818097</v>
      </c>
      <c r="SK81" s="149">
        <f t="shared" si="708"/>
        <v>1.0775340356705363</v>
      </c>
      <c r="SL81" s="149">
        <f t="shared" si="709"/>
        <v>1.1444766961894444</v>
      </c>
      <c r="SM81" s="149">
        <f t="shared" si="710"/>
        <v>1.2276314746745418</v>
      </c>
      <c r="SN81" s="122"/>
      <c r="SO81" s="122">
        <v>79</v>
      </c>
      <c r="SP81" s="149">
        <f t="shared" si="711"/>
        <v>0.32701452969602768</v>
      </c>
      <c r="SQ81" s="149">
        <f t="shared" si="712"/>
        <v>0.34623848531334861</v>
      </c>
      <c r="SR81" s="149">
        <f t="shared" si="713"/>
        <v>0.36343665841080808</v>
      </c>
      <c r="SS81" s="149">
        <f t="shared" si="714"/>
        <v>0.38404822721686416</v>
      </c>
      <c r="ST81" s="149">
        <f t="shared" si="936"/>
        <v>0.42035955432200722</v>
      </c>
      <c r="SU81" s="150">
        <f t="shared" si="937"/>
        <v>0.46378914401217364</v>
      </c>
      <c r="SV81" s="149">
        <f t="shared" si="938"/>
        <v>0.5104859758079765</v>
      </c>
      <c r="SW81" s="149">
        <f t="shared" si="715"/>
        <v>0.55529280532853431</v>
      </c>
      <c r="SX81" s="149">
        <f t="shared" si="716"/>
        <v>0.58352304704248781</v>
      </c>
      <c r="SY81" s="149">
        <f t="shared" si="717"/>
        <v>0.60886485112487376</v>
      </c>
      <c r="SZ81" s="149">
        <f t="shared" si="718"/>
        <v>0.63935386477273715</v>
      </c>
      <c r="TA81" s="122"/>
      <c r="TB81" s="122">
        <v>79</v>
      </c>
      <c r="TC81" s="149">
        <f t="shared" si="719"/>
        <v>0.34842724383426082</v>
      </c>
      <c r="TD81" s="149">
        <f t="shared" si="720"/>
        <v>0.36970641589354047</v>
      </c>
      <c r="TE81" s="149">
        <f t="shared" si="721"/>
        <v>0.388855758248142</v>
      </c>
      <c r="TF81" s="149">
        <f t="shared" si="722"/>
        <v>0.41194320888456409</v>
      </c>
      <c r="TG81" s="149">
        <f t="shared" si="939"/>
        <v>0.45297238929491479</v>
      </c>
      <c r="TH81" s="150">
        <f t="shared" si="940"/>
        <v>0.50262307374063908</v>
      </c>
      <c r="TI81" s="149">
        <f t="shared" si="941"/>
        <v>0.55668579663046758</v>
      </c>
      <c r="TJ81" s="149">
        <f t="shared" si="723"/>
        <v>0.60919471164458339</v>
      </c>
      <c r="TK81" s="149">
        <f t="shared" si="724"/>
        <v>0.64258629850168292</v>
      </c>
      <c r="TL81" s="149">
        <f t="shared" si="725"/>
        <v>0.67275942042389725</v>
      </c>
      <c r="TM81" s="149">
        <f t="shared" si="726"/>
        <v>0.70930415767787092</v>
      </c>
      <c r="TN81" s="122"/>
      <c r="TO81" s="122">
        <v>81</v>
      </c>
      <c r="TP81" s="149">
        <f t="shared" si="727"/>
        <v>0.3371638292921203</v>
      </c>
      <c r="TQ81" s="149">
        <f t="shared" si="728"/>
        <v>0.35248435271866208</v>
      </c>
      <c r="TR81" s="149">
        <f t="shared" si="729"/>
        <v>0.36596817661809256</v>
      </c>
      <c r="TS81" s="149">
        <f t="shared" si="730"/>
        <v>0.38186877586611895</v>
      </c>
      <c r="TT81" s="149">
        <f t="shared" si="942"/>
        <v>0.40924434235881069</v>
      </c>
      <c r="TU81" s="150">
        <f t="shared" si="943"/>
        <v>0.44102014122759176</v>
      </c>
      <c r="TV81" s="149">
        <f t="shared" si="944"/>
        <v>0.47413980426328362</v>
      </c>
      <c r="TW81" s="149">
        <f t="shared" si="731"/>
        <v>0.50500829584304496</v>
      </c>
      <c r="TX81" s="149">
        <f t="shared" si="732"/>
        <v>0.52403959527723776</v>
      </c>
      <c r="TY81" s="149">
        <f t="shared" si="733"/>
        <v>0.54086804495642404</v>
      </c>
      <c r="TZ81" s="149">
        <f t="shared" si="734"/>
        <v>0.56081212895652544</v>
      </c>
      <c r="UA81" s="122"/>
      <c r="UB81" s="122">
        <v>79</v>
      </c>
      <c r="UC81" s="149">
        <f t="shared" si="735"/>
        <v>-2.844512911550126</v>
      </c>
      <c r="UD81" s="149">
        <f t="shared" si="736"/>
        <v>-0.18765508399408759</v>
      </c>
      <c r="UE81" s="149">
        <f t="shared" si="737"/>
        <v>2.0607195025143028</v>
      </c>
      <c r="UF81" s="149">
        <f t="shared" si="738"/>
        <v>4.6137361330783193</v>
      </c>
      <c r="UG81" s="149">
        <f t="shared" si="945"/>
        <v>8.786422403419337</v>
      </c>
      <c r="UH81" s="150">
        <f t="shared" si="946"/>
        <v>13.321982673793585</v>
      </c>
      <c r="UI81" s="149">
        <f t="shared" si="947"/>
        <v>17.748388559926113</v>
      </c>
      <c r="UJ81" s="149">
        <f t="shared" si="739"/>
        <v>21.635610953219128</v>
      </c>
      <c r="UK81" s="149">
        <f t="shared" si="740"/>
        <v>23.930572667708887</v>
      </c>
      <c r="UL81" s="149">
        <f t="shared" si="741"/>
        <v>25.900910466514262</v>
      </c>
      <c r="UM81" s="149">
        <f t="shared" si="742"/>
        <v>28.169306682129346</v>
      </c>
      <c r="UN81" s="122"/>
      <c r="UO81" s="122">
        <v>79</v>
      </c>
      <c r="UP81" s="149">
        <f t="shared" si="743"/>
        <v>1.4568732001466103</v>
      </c>
      <c r="UQ81" s="149">
        <f t="shared" si="744"/>
        <v>3.8196636337885437</v>
      </c>
      <c r="UR81" s="149">
        <f t="shared" si="745"/>
        <v>5.8494238289462643</v>
      </c>
      <c r="US81" s="149">
        <f t="shared" si="746"/>
        <v>8.1870515763295444</v>
      </c>
      <c r="UT81" s="149">
        <f t="shared" si="948"/>
        <v>12.080936872295062</v>
      </c>
      <c r="UU81" s="150">
        <f t="shared" si="949"/>
        <v>16.413299209586199</v>
      </c>
      <c r="UV81" s="149">
        <f t="shared" si="950"/>
        <v>20.738218853449744</v>
      </c>
      <c r="UW81" s="149">
        <f t="shared" si="747"/>
        <v>24.612665276567384</v>
      </c>
      <c r="UX81" s="149">
        <f t="shared" si="748"/>
        <v>26.932752345488574</v>
      </c>
      <c r="UY81" s="149">
        <f t="shared" si="749"/>
        <v>28.943647428843192</v>
      </c>
      <c r="UZ81" s="149">
        <f t="shared" si="750"/>
        <v>31.280139049474847</v>
      </c>
      <c r="VA81" s="122"/>
      <c r="VB81" s="113">
        <v>82</v>
      </c>
      <c r="VC81" s="135">
        <f t="shared" si="751"/>
        <v>-2.7235681844552388</v>
      </c>
      <c r="VD81" s="135">
        <f t="shared" si="752"/>
        <v>-0.35716050724646209</v>
      </c>
      <c r="VE81" s="135">
        <f t="shared" si="753"/>
        <v>1.6338941334429791</v>
      </c>
      <c r="VF81" s="135">
        <f t="shared" si="754"/>
        <v>3.8825371353636484</v>
      </c>
      <c r="VG81" s="135">
        <f t="shared" si="951"/>
        <v>7.531385092420436</v>
      </c>
      <c r="VH81" s="136">
        <f t="shared" si="952"/>
        <v>11.462861386203457</v>
      </c>
      <c r="VI81" s="135">
        <f t="shared" si="953"/>
        <v>15.267365982950452</v>
      </c>
      <c r="VJ81" s="135">
        <f t="shared" si="755"/>
        <v>18.583817614323976</v>
      </c>
      <c r="VK81" s="135">
        <f t="shared" si="756"/>
        <v>20.531555909655367</v>
      </c>
      <c r="VL81" s="135">
        <f t="shared" si="757"/>
        <v>22.197948788611853</v>
      </c>
      <c r="VM81" s="135">
        <f t="shared" si="758"/>
        <v>24.109943900581669</v>
      </c>
      <c r="VN81" s="122"/>
      <c r="VO81" s="122">
        <v>79</v>
      </c>
      <c r="VP81" s="149">
        <f t="shared" si="759"/>
        <v>-2.2502043624547881</v>
      </c>
      <c r="VQ81" s="149">
        <f t="shared" si="760"/>
        <v>2.5773402310513234</v>
      </c>
      <c r="VR81" s="149">
        <f t="shared" si="761"/>
        <v>6.8686644944074189</v>
      </c>
      <c r="VS81" s="149">
        <f t="shared" si="762"/>
        <v>11.974108609459215</v>
      </c>
      <c r="VT81" s="149">
        <f t="shared" si="954"/>
        <v>20.861190506114589</v>
      </c>
      <c r="VU81" s="150">
        <f t="shared" si="955"/>
        <v>31.302047655896082</v>
      </c>
      <c r="VV81" s="149">
        <f t="shared" si="956"/>
        <v>42.295504428133931</v>
      </c>
      <c r="VW81" s="149">
        <f t="shared" si="763"/>
        <v>52.61983367772087</v>
      </c>
      <c r="VX81" s="149">
        <f t="shared" si="764"/>
        <v>59.014653395021291</v>
      </c>
      <c r="VY81" s="149">
        <f t="shared" si="765"/>
        <v>64.684696449958068</v>
      </c>
      <c r="VZ81" s="149">
        <f t="shared" si="766"/>
        <v>71.420290107958095</v>
      </c>
      <c r="WA81" s="122"/>
      <c r="WB81" s="122">
        <v>79</v>
      </c>
      <c r="WC81" s="149">
        <f t="shared" si="767"/>
        <v>6.9987302035923022</v>
      </c>
      <c r="WD81" s="149">
        <f t="shared" si="768"/>
        <v>11.678147066389315</v>
      </c>
      <c r="WE81" s="149">
        <f t="shared" si="769"/>
        <v>15.827197960798266</v>
      </c>
      <c r="WF81" s="149">
        <f t="shared" si="770"/>
        <v>20.75195975470772</v>
      </c>
      <c r="WG81" s="149">
        <f t="shared" si="957"/>
        <v>29.29907373232637</v>
      </c>
      <c r="WH81" s="150">
        <f t="shared" si="958"/>
        <v>39.306109153174511</v>
      </c>
      <c r="WI81" s="149">
        <f t="shared" si="959"/>
        <v>49.810020411737703</v>
      </c>
      <c r="WJ81" s="149">
        <f t="shared" si="771"/>
        <v>59.649332226311166</v>
      </c>
      <c r="WK81" s="149">
        <f t="shared" si="772"/>
        <v>65.733196241344416</v>
      </c>
      <c r="WL81" s="149">
        <f t="shared" si="773"/>
        <v>71.121509146965195</v>
      </c>
      <c r="WM81" s="149">
        <f t="shared" si="774"/>
        <v>77.515705335517026</v>
      </c>
      <c r="WN81" s="122"/>
      <c r="WO81" s="113">
        <v>82</v>
      </c>
      <c r="WP81" s="135">
        <f t="shared" si="775"/>
        <v>-5.5235360443486599</v>
      </c>
      <c r="WQ81" s="135">
        <f t="shared" si="776"/>
        <v>-0.96804503553535426</v>
      </c>
      <c r="WR81" s="135">
        <f t="shared" si="777"/>
        <v>3.0560396641692265</v>
      </c>
      <c r="WS81" s="135">
        <f t="shared" si="778"/>
        <v>7.814196673728766</v>
      </c>
      <c r="WT81" s="135">
        <f t="shared" si="960"/>
        <v>16.025995718453409</v>
      </c>
      <c r="WU81" s="136">
        <f t="shared" si="961"/>
        <v>25.568661283382063</v>
      </c>
      <c r="WV81" s="135">
        <f t="shared" si="962"/>
        <v>35.506153632350156</v>
      </c>
      <c r="WW81" s="135">
        <f t="shared" si="779"/>
        <v>44.74572837278297</v>
      </c>
      <c r="WX81" s="135">
        <f t="shared" si="780"/>
        <v>50.427008943282139</v>
      </c>
      <c r="WY81" s="135">
        <f t="shared" si="781"/>
        <v>55.439340705988919</v>
      </c>
      <c r="WZ81" s="135">
        <f t="shared" si="782"/>
        <v>61.364504312536717</v>
      </c>
      <c r="XA81" s="122"/>
      <c r="XB81" s="122">
        <v>79</v>
      </c>
      <c r="XC81" s="149">
        <f t="shared" si="783"/>
        <v>-7.9424274298139466</v>
      </c>
      <c r="XD81" s="149">
        <f t="shared" si="784"/>
        <v>-2.9495969894698888</v>
      </c>
      <c r="XE81" s="149">
        <f t="shared" si="785"/>
        <v>1.4359184242621268</v>
      </c>
      <c r="XF81" s="149">
        <f t="shared" si="786"/>
        <v>6.5923161988582279</v>
      </c>
      <c r="XG81" s="149">
        <f t="shared" si="963"/>
        <v>15.420653656937539</v>
      </c>
      <c r="XH81" s="150">
        <f t="shared" si="964"/>
        <v>25.574429757400985</v>
      </c>
      <c r="XI81" s="149">
        <f t="shared" si="965"/>
        <v>36.037414783090092</v>
      </c>
      <c r="XJ81" s="149">
        <f t="shared" si="787"/>
        <v>45.672135537657788</v>
      </c>
      <c r="XK81" s="149">
        <f t="shared" si="788"/>
        <v>51.554666514903808</v>
      </c>
      <c r="XL81" s="149">
        <f t="shared" si="789"/>
        <v>56.719540866524348</v>
      </c>
      <c r="XM81" s="149">
        <f t="shared" si="790"/>
        <v>62.796050767775419</v>
      </c>
      <c r="XN81" s="122"/>
      <c r="XO81" s="122">
        <v>79</v>
      </c>
      <c r="XP81" s="149">
        <f t="shared" si="791"/>
        <v>7.2040346708153606</v>
      </c>
      <c r="XQ81" s="149">
        <f t="shared" si="792"/>
        <v>11.223628322121499</v>
      </c>
      <c r="XR81" s="149">
        <f t="shared" si="793"/>
        <v>14.725769318260525</v>
      </c>
      <c r="XS81" s="149">
        <f t="shared" si="794"/>
        <v>18.813532701724434</v>
      </c>
      <c r="XT81" s="149">
        <f t="shared" si="966"/>
        <v>25.747272982570045</v>
      </c>
      <c r="XU81" s="150">
        <f t="shared" si="967"/>
        <v>33.636658712525652</v>
      </c>
      <c r="XV81" s="149">
        <f t="shared" si="968"/>
        <v>41.687145614023883</v>
      </c>
      <c r="XW81" s="149">
        <f t="shared" si="795"/>
        <v>49.040478519863875</v>
      </c>
      <c r="XX81" s="149">
        <f t="shared" si="796"/>
        <v>53.505393697147206</v>
      </c>
      <c r="XY81" s="149">
        <f t="shared" si="797"/>
        <v>57.411592647130327</v>
      </c>
      <c r="XZ81" s="149">
        <f t="shared" si="798"/>
        <v>61.991710037482086</v>
      </c>
      <c r="YA81" s="122"/>
      <c r="YB81" s="113">
        <v>82</v>
      </c>
      <c r="YC81" s="135">
        <f t="shared" si="799"/>
        <v>-12.528278129407802</v>
      </c>
      <c r="YD81" s="135">
        <f t="shared" si="800"/>
        <v>-7.7714788460976294</v>
      </c>
      <c r="YE81" s="135">
        <f t="shared" si="801"/>
        <v>-3.60702888542626</v>
      </c>
      <c r="YF81" s="135">
        <f t="shared" si="802"/>
        <v>1.2738625442493614</v>
      </c>
      <c r="YG81" s="135">
        <f t="shared" si="969"/>
        <v>9.593921172077124</v>
      </c>
      <c r="YH81" s="136">
        <f t="shared" si="970"/>
        <v>19.110613764099575</v>
      </c>
      <c r="YI81" s="135">
        <f t="shared" si="971"/>
        <v>28.863807862420437</v>
      </c>
      <c r="YJ81" s="135">
        <f t="shared" si="803"/>
        <v>37.801333202323654</v>
      </c>
      <c r="YK81" s="135">
        <f t="shared" si="804"/>
        <v>43.239124188974081</v>
      </c>
      <c r="YL81" s="135">
        <f t="shared" si="805"/>
        <v>48.002253503728731</v>
      </c>
      <c r="YM81" s="135">
        <f t="shared" si="806"/>
        <v>53.593210710160641</v>
      </c>
      <c r="YN81" s="122"/>
      <c r="YO81" s="122">
        <v>79</v>
      </c>
      <c r="YP81" s="149">
        <v>20.822330142609065</v>
      </c>
      <c r="YQ81" s="149">
        <v>22.559269247708929</v>
      </c>
      <c r="YR81" s="149">
        <v>24.168583966580329</v>
      </c>
      <c r="YS81" s="149">
        <v>26.167016375966291</v>
      </c>
      <c r="YT81" s="149">
        <v>29.875233879645947</v>
      </c>
      <c r="YU81" s="150">
        <v>34.630912743810512</v>
      </c>
      <c r="YV81" s="149">
        <v>40.143622717762312</v>
      </c>
      <c r="YW81" s="149">
        <v>45.832512971212978</v>
      </c>
      <c r="YX81" s="149">
        <v>49.622274897353442</v>
      </c>
      <c r="YY81" s="149">
        <v>53.162188203025046</v>
      </c>
      <c r="YZ81" s="149">
        <v>57.596825583668512</v>
      </c>
      <c r="ZA81" s="122"/>
      <c r="ZB81" s="122">
        <v>79</v>
      </c>
      <c r="ZC81" s="149">
        <v>24.105050143988382</v>
      </c>
      <c r="ZD81" s="149">
        <v>25.391426249461347</v>
      </c>
      <c r="ZE81" s="149">
        <v>26.552554122420304</v>
      </c>
      <c r="ZF81" s="149">
        <v>27.957312822947781</v>
      </c>
      <c r="ZG81" s="149">
        <v>30.468034858917079</v>
      </c>
      <c r="ZH81" s="150">
        <v>33.533070077447391</v>
      </c>
      <c r="ZI81" s="149">
        <v>36.906442900760304</v>
      </c>
      <c r="ZJ81" s="149">
        <v>40.220846543449568</v>
      </c>
      <c r="ZK81" s="149">
        <v>42.348724105208639</v>
      </c>
      <c r="ZL81" s="149">
        <v>44.285294483717784</v>
      </c>
      <c r="ZM81" s="149">
        <v>46.648597787689368</v>
      </c>
      <c r="ZN81" s="122"/>
      <c r="ZO81" s="113">
        <v>82</v>
      </c>
      <c r="ZP81" s="135">
        <v>19.17732785205563</v>
      </c>
      <c r="ZQ81" s="135">
        <v>21.141841522880785</v>
      </c>
      <c r="ZR81" s="135">
        <v>22.9916509043987</v>
      </c>
      <c r="ZS81" s="135">
        <v>25.326115987140305</v>
      </c>
      <c r="ZT81" s="135">
        <v>29.759758993917</v>
      </c>
      <c r="ZU81" s="136">
        <v>35.622020991111057</v>
      </c>
      <c r="ZV81" s="135">
        <v>42.639067734067694</v>
      </c>
      <c r="ZW81" s="135">
        <v>50.103552401618671</v>
      </c>
      <c r="ZX81" s="135">
        <v>55.190833610316723</v>
      </c>
      <c r="ZY81" s="135">
        <v>60.019765928046418</v>
      </c>
      <c r="ZZ81" s="135">
        <v>66.168153836674378</v>
      </c>
      <c r="AAA81" s="122"/>
      <c r="AAB81" s="122">
        <v>79</v>
      </c>
      <c r="AAC81" s="149">
        <v>12.578166688096269</v>
      </c>
      <c r="AAD81" s="149">
        <v>13.790556763242458</v>
      </c>
      <c r="AAE81" s="149">
        <v>14.926341939044994</v>
      </c>
      <c r="AAF81" s="149">
        <v>16.352406035706231</v>
      </c>
      <c r="AAG81" s="149">
        <v>19.040951034020612</v>
      </c>
      <c r="AAH81" s="150">
        <v>22.561650272513237</v>
      </c>
      <c r="AAI81" s="149">
        <v>26.73333186507924</v>
      </c>
      <c r="AAJ81" s="149">
        <v>31.12863403145143</v>
      </c>
      <c r="AAK81" s="149">
        <v>34.102666621059939</v>
      </c>
      <c r="AAL81" s="149">
        <v>36.911349683572389</v>
      </c>
      <c r="AAM81" s="149">
        <v>40.469177714183957</v>
      </c>
      <c r="AAN81" s="122"/>
      <c r="AAO81" s="122">
        <v>79</v>
      </c>
      <c r="AAP81" s="149">
        <v>14.39851625741473</v>
      </c>
      <c r="AAQ81" s="149">
        <v>15.66317153650359</v>
      </c>
      <c r="AAR81" s="149">
        <v>16.839336064501534</v>
      </c>
      <c r="AAS81" s="149">
        <v>18.305406198090434</v>
      </c>
      <c r="AAT81" s="149">
        <v>21.040600606202599</v>
      </c>
      <c r="AAU81" s="150">
        <v>24.573510691314748</v>
      </c>
      <c r="AAV81" s="149">
        <v>28.699628827047274</v>
      </c>
      <c r="AAW81" s="149">
        <v>32.987928329017528</v>
      </c>
      <c r="AAX81" s="149">
        <v>35.859930901262373</v>
      </c>
      <c r="AAY81" s="149">
        <v>38.552691981240763</v>
      </c>
      <c r="AAZ81" s="149">
        <v>41.938864873329926</v>
      </c>
      <c r="ABA81" s="122"/>
      <c r="ABB81" s="113">
        <v>82</v>
      </c>
      <c r="ABC81" s="135">
        <v>9.989819889822332</v>
      </c>
      <c r="ABD81" s="135">
        <v>11.195928249700247</v>
      </c>
      <c r="ABE81" s="135">
        <v>12.349087900743367</v>
      </c>
      <c r="ABF81" s="135">
        <v>13.826775731119479</v>
      </c>
      <c r="ABG81" s="135">
        <v>16.695718388322327</v>
      </c>
      <c r="ABH81" s="136">
        <v>20.60024948766603</v>
      </c>
      <c r="ABI81" s="135">
        <v>25.417910693253326</v>
      </c>
      <c r="ABJ81" s="135">
        <v>30.691918868617197</v>
      </c>
      <c r="ABK81" s="135">
        <v>34.364503869839574</v>
      </c>
      <c r="ABL81" s="135">
        <v>37.903983438393894</v>
      </c>
      <c r="ABM81" s="135">
        <v>42.480273281646888</v>
      </c>
      <c r="ABN81" s="122"/>
      <c r="ABO81" s="122">
        <v>79</v>
      </c>
      <c r="ABP81" s="149">
        <f t="shared" si="807"/>
        <v>0.37260994353528509</v>
      </c>
      <c r="ABQ81" s="149">
        <f t="shared" si="808"/>
        <v>0.41676701759295337</v>
      </c>
      <c r="ABR81" s="149">
        <f t="shared" si="809"/>
        <v>0.45769502405048618</v>
      </c>
      <c r="ABS81" s="149">
        <f t="shared" si="810"/>
        <v>0.5084332794298333</v>
      </c>
      <c r="ABT81" s="149">
        <f t="shared" si="972"/>
        <v>0.60203024937359673</v>
      </c>
      <c r="ABU81" s="150">
        <f t="shared" si="973"/>
        <v>0.72050505659635322</v>
      </c>
      <c r="ABV81" s="149">
        <f t="shared" si="974"/>
        <v>0.85513205965874961</v>
      </c>
      <c r="ABW81" s="149">
        <f t="shared" si="811"/>
        <v>0.99074708643034581</v>
      </c>
      <c r="ABX81" s="149">
        <f t="shared" si="812"/>
        <v>1.0791900212299146</v>
      </c>
      <c r="ABY81" s="149">
        <f t="shared" si="813"/>
        <v>1.1604451043614286</v>
      </c>
      <c r="ABZ81" s="149">
        <f t="shared" si="814"/>
        <v>1.2604279870605115</v>
      </c>
      <c r="ACA81" s="122"/>
      <c r="ACB81" s="122">
        <v>79</v>
      </c>
      <c r="ACC81" s="149">
        <f t="shared" si="815"/>
        <v>0.49057095394024824</v>
      </c>
      <c r="ACD81" s="149">
        <f t="shared" si="816"/>
        <v>0.53434349306664886</v>
      </c>
      <c r="ACE81" s="149">
        <f t="shared" si="817"/>
        <v>0.57463313859872622</v>
      </c>
      <c r="ACF81" s="149">
        <f t="shared" si="818"/>
        <v>0.62429798795373592</v>
      </c>
      <c r="ACG81" s="149">
        <f t="shared" si="975"/>
        <v>0.71536464537108579</v>
      </c>
      <c r="ACH81" s="150">
        <f t="shared" si="976"/>
        <v>0.8300963056098889</v>
      </c>
      <c r="ACI81" s="149">
        <f t="shared" si="977"/>
        <v>0.96028989148597532</v>
      </c>
      <c r="ACJ81" s="149">
        <f t="shared" si="819"/>
        <v>1.0916553871292161</v>
      </c>
      <c r="ACK81" s="149">
        <f t="shared" si="820"/>
        <v>1.1775760121359438</v>
      </c>
      <c r="ACL81" s="149">
        <f t="shared" si="821"/>
        <v>1.2567410505139707</v>
      </c>
      <c r="ACM81" s="149">
        <f t="shared" si="822"/>
        <v>1.3544965111999863</v>
      </c>
      <c r="ACN81" s="122"/>
      <c r="ACO81" s="113">
        <v>82</v>
      </c>
      <c r="ACP81" s="135">
        <f t="shared" si="823"/>
        <v>0.33318822763885975</v>
      </c>
      <c r="ACQ81" s="135">
        <f t="shared" si="824"/>
        <v>0.37541025428107361</v>
      </c>
      <c r="ACR81" s="135">
        <f t="shared" si="825"/>
        <v>0.41380558787845217</v>
      </c>
      <c r="ACS81" s="135">
        <f t="shared" si="826"/>
        <v>0.46047092967135594</v>
      </c>
      <c r="ACT81" s="135">
        <f t="shared" si="978"/>
        <v>0.54412745983711996</v>
      </c>
      <c r="ACU81" s="136">
        <f t="shared" si="979"/>
        <v>0.64571484549563907</v>
      </c>
      <c r="ACV81" s="135">
        <f t="shared" si="980"/>
        <v>0.75629352288326546</v>
      </c>
      <c r="ACW81" s="135">
        <f t="shared" si="827"/>
        <v>0.86336659539181559</v>
      </c>
      <c r="ACX81" s="135">
        <f t="shared" si="828"/>
        <v>0.93100660214853304</v>
      </c>
      <c r="ACY81" s="135">
        <f t="shared" si="829"/>
        <v>0.99180814967317033</v>
      </c>
      <c r="ACZ81" s="135">
        <f t="shared" si="830"/>
        <v>1.0650012690640545</v>
      </c>
      <c r="ADA81" s="122"/>
      <c r="ADB81" s="122">
        <v>79</v>
      </c>
      <c r="ADC81" s="149">
        <f t="shared" si="831"/>
        <v>0.27441747454198007</v>
      </c>
      <c r="ADD81" s="149">
        <f t="shared" si="832"/>
        <v>0.2962068211938898</v>
      </c>
      <c r="ADE81" s="149">
        <f t="shared" si="833"/>
        <v>0.31524089280968171</v>
      </c>
      <c r="ADF81" s="149">
        <f t="shared" si="834"/>
        <v>0.33751092693179197</v>
      </c>
      <c r="ADG81" s="149">
        <f t="shared" si="981"/>
        <v>0.37540268748943906</v>
      </c>
      <c r="ADH81" s="150">
        <f t="shared" si="982"/>
        <v>0.41867329798461583</v>
      </c>
      <c r="ADI81" s="149">
        <f t="shared" si="983"/>
        <v>0.46297541145168197</v>
      </c>
      <c r="ADJ81" s="149">
        <f t="shared" si="835"/>
        <v>0.50355486405712246</v>
      </c>
      <c r="ADK81" s="149">
        <f t="shared" si="836"/>
        <v>0.52824213469691816</v>
      </c>
      <c r="ADL81" s="149">
        <f t="shared" si="837"/>
        <v>0.54986739336172952</v>
      </c>
      <c r="ADM81" s="149">
        <f t="shared" si="838"/>
        <v>0.57525397371719511</v>
      </c>
      <c r="ADN81" s="122"/>
      <c r="ADO81" s="122">
        <v>79</v>
      </c>
      <c r="ADP81" s="149">
        <f t="shared" si="839"/>
        <v>0.33069781626174038</v>
      </c>
      <c r="ADQ81" s="149">
        <f t="shared" si="840"/>
        <v>0.34913404501782497</v>
      </c>
      <c r="ADR81" s="149">
        <f t="shared" si="841"/>
        <v>0.36530214079504181</v>
      </c>
      <c r="ADS81" s="149">
        <f t="shared" si="842"/>
        <v>0.3842971144644034</v>
      </c>
      <c r="ADT81" s="149">
        <f t="shared" si="984"/>
        <v>0.41681754818590039</v>
      </c>
      <c r="ADU81" s="150">
        <f t="shared" si="985"/>
        <v>0.45427346518428002</v>
      </c>
      <c r="ADV81" s="149">
        <f t="shared" si="986"/>
        <v>0.49298118389720313</v>
      </c>
      <c r="ADW81" s="149">
        <f t="shared" si="843"/>
        <v>0.5287566890320321</v>
      </c>
      <c r="ADX81" s="149">
        <f t="shared" si="844"/>
        <v>0.55067093946561929</v>
      </c>
      <c r="ADY81" s="149">
        <f t="shared" si="845"/>
        <v>0.56995964222365025</v>
      </c>
      <c r="ADZ81" s="149">
        <f t="shared" si="846"/>
        <v>0.59271291799529213</v>
      </c>
      <c r="AEA81" s="122"/>
      <c r="AEB81" s="113">
        <v>82</v>
      </c>
      <c r="AEC81" s="135">
        <f t="shared" si="847"/>
        <v>0.25358923113786236</v>
      </c>
      <c r="AED81" s="135">
        <f t="shared" si="848"/>
        <v>0.27559190808397127</v>
      </c>
      <c r="AEE81" s="135">
        <f t="shared" si="849"/>
        <v>0.29445909153281524</v>
      </c>
      <c r="AEF81" s="135">
        <f t="shared" si="850"/>
        <v>0.3161520656408055</v>
      </c>
      <c r="AEG81" s="135">
        <f t="shared" si="987"/>
        <v>0.35220959066122959</v>
      </c>
      <c r="AEH81" s="136">
        <f t="shared" si="988"/>
        <v>0.39222605320511023</v>
      </c>
      <c r="AEI81" s="135">
        <f t="shared" si="989"/>
        <v>0.43207957574993017</v>
      </c>
      <c r="AEJ81" s="135">
        <f t="shared" si="851"/>
        <v>0.46771049202355952</v>
      </c>
      <c r="AEK81" s="135">
        <f t="shared" si="852"/>
        <v>0.48901718378825637</v>
      </c>
      <c r="AEL81" s="135">
        <f t="shared" si="853"/>
        <v>0.50746745283708272</v>
      </c>
      <c r="AEM81" s="135">
        <f t="shared" si="854"/>
        <v>0.52888628341859734</v>
      </c>
      <c r="AEN81" s="122"/>
    </row>
    <row r="82" spans="1:820">
      <c r="A82" s="81"/>
      <c r="B82" s="81">
        <v>81</v>
      </c>
      <c r="C82" s="133">
        <f t="shared" si="495"/>
        <v>2.7587241269008445</v>
      </c>
      <c r="D82" s="133">
        <f t="shared" si="496"/>
        <v>3.3566102144555221</v>
      </c>
      <c r="E82" s="133">
        <f t="shared" si="497"/>
        <v>3.9968162048910867</v>
      </c>
      <c r="F82" s="133">
        <f t="shared" si="498"/>
        <v>4.9232924652368029</v>
      </c>
      <c r="G82" s="133">
        <f t="shared" si="855"/>
        <v>7.1036419097250008</v>
      </c>
      <c r="H82" s="134">
        <f t="shared" si="856"/>
        <v>11.030849513916442</v>
      </c>
      <c r="I82" s="133">
        <f t="shared" si="857"/>
        <v>17.806897398396561</v>
      </c>
      <c r="J82" s="133">
        <f t="shared" si="499"/>
        <v>28.456880150685485</v>
      </c>
      <c r="K82" s="133">
        <f t="shared" si="500"/>
        <v>38.479183515601981</v>
      </c>
      <c r="L82" s="133">
        <f t="shared" si="501"/>
        <v>50.709458092103169</v>
      </c>
      <c r="M82" s="133">
        <f t="shared" si="502"/>
        <v>71.214493986850243</v>
      </c>
      <c r="N82" s="81"/>
      <c r="O82" s="75">
        <v>81</v>
      </c>
      <c r="P82" s="151">
        <f t="shared" si="503"/>
        <v>3.4786222930250061</v>
      </c>
      <c r="Q82" s="151">
        <f t="shared" si="504"/>
        <v>4.0979570107948735</v>
      </c>
      <c r="R82" s="151">
        <f t="shared" si="505"/>
        <v>4.7617656495390666</v>
      </c>
      <c r="S82" s="151">
        <f t="shared" si="506"/>
        <v>5.7304438862473024</v>
      </c>
      <c r="T82" s="151">
        <f t="shared" si="858"/>
        <v>8.078618539820317</v>
      </c>
      <c r="U82" s="134">
        <f t="shared" si="859"/>
        <v>12.654330064811631</v>
      </c>
      <c r="V82" s="151">
        <f t="shared" si="860"/>
        <v>21.895193193562935</v>
      </c>
      <c r="W82" s="151">
        <f t="shared" si="507"/>
        <v>40.799276742712692</v>
      </c>
      <c r="X82" s="151">
        <f t="shared" si="508"/>
        <v>64.955604381582745</v>
      </c>
      <c r="Y82" s="151">
        <f t="shared" si="509"/>
        <v>105.89532693537203</v>
      </c>
      <c r="Z82" s="151">
        <f t="shared" si="510"/>
        <v>218.47346375083364</v>
      </c>
      <c r="AA82" s="122"/>
      <c r="AB82" s="139"/>
      <c r="AC82" s="140"/>
      <c r="AD82" s="140"/>
      <c r="AE82" s="140"/>
      <c r="AF82" s="140"/>
      <c r="AG82" s="140"/>
      <c r="AH82" s="127"/>
      <c r="AI82" s="140"/>
      <c r="AJ82" s="140"/>
      <c r="AK82" s="140"/>
      <c r="AL82" s="140"/>
      <c r="AM82" s="140"/>
      <c r="AN82" s="81"/>
      <c r="AO82" s="81">
        <v>81</v>
      </c>
      <c r="AP82" s="133">
        <f t="shared" si="519"/>
        <v>3.1544043661078307</v>
      </c>
      <c r="AQ82" s="133">
        <f t="shared" si="520"/>
        <v>6.6044970776314278</v>
      </c>
      <c r="AR82" s="133">
        <f t="shared" si="521"/>
        <v>9.9974480635460949</v>
      </c>
      <c r="AS82" s="133">
        <f t="shared" si="522"/>
        <v>14.403939016010899</v>
      </c>
      <c r="AT82" s="133">
        <f t="shared" si="864"/>
        <v>22.949572804210284</v>
      </c>
      <c r="AU82" s="134">
        <f t="shared" si="865"/>
        <v>34.261616088553716</v>
      </c>
      <c r="AV82" s="133">
        <f t="shared" si="866"/>
        <v>47.487020450179202</v>
      </c>
      <c r="AW82" s="133">
        <f t="shared" si="523"/>
        <v>61.003263601857618</v>
      </c>
      <c r="AX82" s="133">
        <f t="shared" si="524"/>
        <v>69.861711060519625</v>
      </c>
      <c r="AY82" s="133">
        <f t="shared" si="525"/>
        <v>78.007385992240899</v>
      </c>
      <c r="AZ82" s="133">
        <f t="shared" si="526"/>
        <v>88.02148883512632</v>
      </c>
      <c r="BA82" s="81"/>
      <c r="BB82" s="81">
        <v>81</v>
      </c>
      <c r="BC82" s="133">
        <f t="shared" si="527"/>
        <v>5.8600696097460867</v>
      </c>
      <c r="BD82" s="133">
        <f t="shared" si="528"/>
        <v>9.9225407223159898</v>
      </c>
      <c r="BE82" s="133">
        <f t="shared" si="529"/>
        <v>13.77679788568058</v>
      </c>
      <c r="BF82" s="133">
        <f t="shared" si="530"/>
        <v>18.617984934131229</v>
      </c>
      <c r="BG82" s="133">
        <f t="shared" si="867"/>
        <v>27.60236912500427</v>
      </c>
      <c r="BH82" s="134">
        <f t="shared" si="868"/>
        <v>38.89421793598828</v>
      </c>
      <c r="BI82" s="133">
        <f t="shared" si="869"/>
        <v>51.470770447253678</v>
      </c>
      <c r="BJ82" s="133">
        <f t="shared" si="531"/>
        <v>63.803752558031611</v>
      </c>
      <c r="BK82" s="133">
        <f t="shared" si="532"/>
        <v>71.658296937046629</v>
      </c>
      <c r="BL82" s="133">
        <f t="shared" si="533"/>
        <v>78.744982456084045</v>
      </c>
      <c r="BM82" s="133">
        <f t="shared" si="534"/>
        <v>87.299614562855794</v>
      </c>
      <c r="BN82" s="122"/>
      <c r="BO82" s="139"/>
      <c r="BP82" s="140"/>
      <c r="BQ82" s="140"/>
      <c r="BR82" s="140"/>
      <c r="BS82" s="140"/>
      <c r="BT82" s="140"/>
      <c r="BU82" s="127"/>
      <c r="BV82" s="140"/>
      <c r="BW82" s="140"/>
      <c r="BX82" s="140"/>
      <c r="BY82" s="140"/>
      <c r="BZ82" s="140"/>
      <c r="CA82" s="81"/>
      <c r="CB82" s="81">
        <v>81</v>
      </c>
      <c r="CC82" s="133">
        <f t="shared" si="543"/>
        <v>1.1848774630037591</v>
      </c>
      <c r="CD82" s="133">
        <f t="shared" si="544"/>
        <v>4.687540954878247</v>
      </c>
      <c r="CE82" s="133">
        <f t="shared" si="545"/>
        <v>7.9722204882689338</v>
      </c>
      <c r="CF82" s="133">
        <f t="shared" si="546"/>
        <v>12.037528614166426</v>
      </c>
      <c r="CG82" s="133">
        <f t="shared" si="873"/>
        <v>19.410493900362184</v>
      </c>
      <c r="CH82" s="134">
        <f t="shared" si="874"/>
        <v>28.400547703384031</v>
      </c>
      <c r="CI82" s="133">
        <f t="shared" si="875"/>
        <v>38.113505480043607</v>
      </c>
      <c r="CJ82" s="133">
        <f t="shared" si="547"/>
        <v>47.385056142370665</v>
      </c>
      <c r="CK82" s="133">
        <f t="shared" si="548"/>
        <v>53.177934203676529</v>
      </c>
      <c r="CL82" s="133">
        <f t="shared" si="549"/>
        <v>58.337956956228389</v>
      </c>
      <c r="CM82" s="133">
        <f t="shared" si="550"/>
        <v>64.490041993598467</v>
      </c>
      <c r="CN82" s="81"/>
      <c r="CO82" s="81">
        <v>81</v>
      </c>
      <c r="CP82" s="133">
        <f t="shared" si="551"/>
        <v>6.9295979481082925</v>
      </c>
      <c r="CQ82" s="133">
        <f t="shared" si="552"/>
        <v>10.238450854509637</v>
      </c>
      <c r="CR82" s="133">
        <f t="shared" si="553"/>
        <v>13.259858778172298</v>
      </c>
      <c r="CS82" s="133">
        <f t="shared" si="554"/>
        <v>16.930406315806863</v>
      </c>
      <c r="CT82" s="133">
        <f t="shared" si="876"/>
        <v>23.465462699308024</v>
      </c>
      <c r="CU82" s="134">
        <f t="shared" si="877"/>
        <v>31.30549478804549</v>
      </c>
      <c r="CV82" s="133">
        <f t="shared" si="878"/>
        <v>39.681377770402264</v>
      </c>
      <c r="CW82" s="133">
        <f t="shared" si="555"/>
        <v>47.618056813413354</v>
      </c>
      <c r="CX82" s="133">
        <f t="shared" si="556"/>
        <v>52.55623507238333</v>
      </c>
      <c r="CY82" s="133">
        <f t="shared" si="557"/>
        <v>56.944459064301185</v>
      </c>
      <c r="CZ82" s="133">
        <f t="shared" si="558"/>
        <v>62.165670864556283</v>
      </c>
      <c r="DA82" s="81"/>
      <c r="DB82" s="81"/>
      <c r="DC82" s="83"/>
      <c r="DD82" s="83"/>
      <c r="DE82" s="83"/>
      <c r="DF82" s="83"/>
      <c r="DG82" s="83"/>
      <c r="DH82" s="84"/>
      <c r="DI82" s="83"/>
      <c r="DJ82" s="83"/>
      <c r="DK82" s="83"/>
      <c r="DL82" s="83"/>
      <c r="DM82" s="83"/>
      <c r="DN82" s="81"/>
      <c r="DO82" s="81">
        <v>81</v>
      </c>
      <c r="DP82" s="133">
        <v>15.344396081268727</v>
      </c>
      <c r="DQ82" s="133">
        <v>16.624705147027289</v>
      </c>
      <c r="DR82" s="133">
        <v>17.810962880416096</v>
      </c>
      <c r="DS82" s="133">
        <v>19.284073552733943</v>
      </c>
      <c r="DT82" s="133">
        <v>22.017594399867836</v>
      </c>
      <c r="DU82" s="134">
        <v>25.523373355397577</v>
      </c>
      <c r="DV82" s="133">
        <v>29.587364341806982</v>
      </c>
      <c r="DW82" s="133">
        <v>33.781378486116722</v>
      </c>
      <c r="DX82" s="133">
        <v>36.575371686126388</v>
      </c>
      <c r="DY82" s="133">
        <v>39.185211507676286</v>
      </c>
      <c r="DZ82" s="133">
        <v>42.454755728982427</v>
      </c>
      <c r="EA82" s="81"/>
      <c r="EB82" s="81">
        <v>81</v>
      </c>
      <c r="EC82" s="133">
        <v>14.306019921161358</v>
      </c>
      <c r="ED82" s="133">
        <v>15.934755470407458</v>
      </c>
      <c r="EE82" s="133">
        <v>17.483113851744083</v>
      </c>
      <c r="EF82" s="133">
        <v>19.455906086677626</v>
      </c>
      <c r="EG82" s="133">
        <v>23.254626975709552</v>
      </c>
      <c r="EH82" s="134">
        <v>28.368949899056741</v>
      </c>
      <c r="EI82" s="133">
        <v>34.608051086600398</v>
      </c>
      <c r="EJ82" s="133">
        <v>41.365193416834721</v>
      </c>
      <c r="EK82" s="133">
        <v>46.032836324228732</v>
      </c>
      <c r="EL82" s="133">
        <v>50.505784030999791</v>
      </c>
      <c r="EM82" s="133">
        <v>56.255850530778453</v>
      </c>
      <c r="EN82" s="122"/>
      <c r="EO82" s="122"/>
      <c r="EP82" s="126"/>
      <c r="EQ82" s="126"/>
      <c r="ER82" s="126"/>
      <c r="ES82" s="126"/>
      <c r="ET82" s="126"/>
      <c r="EU82" s="127"/>
      <c r="EV82" s="126"/>
      <c r="EW82" s="126"/>
      <c r="EX82" s="126"/>
      <c r="EY82" s="126"/>
      <c r="EZ82" s="126"/>
      <c r="FA82" s="81"/>
      <c r="FB82" s="81">
        <v>81</v>
      </c>
      <c r="FC82" s="133">
        <v>11.336357009783477</v>
      </c>
      <c r="FD82" s="133">
        <v>12.137621813594695</v>
      </c>
      <c r="FE82" s="133">
        <v>12.871906488760438</v>
      </c>
      <c r="FF82" s="133">
        <v>13.773790221555034</v>
      </c>
      <c r="FG82" s="133">
        <v>15.421106193470163</v>
      </c>
      <c r="FH82" s="134">
        <v>17.490396458307462</v>
      </c>
      <c r="FI82" s="133">
        <v>19.837355662482175</v>
      </c>
      <c r="FJ82" s="133">
        <v>22.20986114555744</v>
      </c>
      <c r="FK82" s="133">
        <v>23.766018540912636</v>
      </c>
      <c r="FL82" s="133">
        <v>25.203781512300584</v>
      </c>
      <c r="FM82" s="133">
        <v>26.985209446453123</v>
      </c>
      <c r="FN82" s="81"/>
      <c r="FO82" s="81">
        <v>81</v>
      </c>
      <c r="FP82" s="133">
        <v>11.221709288142343</v>
      </c>
      <c r="FQ82" s="133">
        <v>12.141204538932591</v>
      </c>
      <c r="FR82" s="133">
        <v>12.992059341461456</v>
      </c>
      <c r="FS82" s="133">
        <v>14.047306096789487</v>
      </c>
      <c r="FT82" s="133">
        <v>16.001818837884105</v>
      </c>
      <c r="FU82" s="134">
        <v>18.502430349047309</v>
      </c>
      <c r="FV82" s="133">
        <v>21.393813558922531</v>
      </c>
      <c r="FW82" s="133">
        <v>24.37050395730957</v>
      </c>
      <c r="FX82" s="133">
        <v>26.349935743353655</v>
      </c>
      <c r="FY82" s="133">
        <v>28.196537478928278</v>
      </c>
      <c r="FZ82" s="133">
        <v>30.50693259208629</v>
      </c>
      <c r="GA82" s="122"/>
      <c r="GB82" s="122"/>
      <c r="GC82" s="126"/>
      <c r="GD82" s="126"/>
      <c r="GE82" s="126"/>
      <c r="GF82" s="126"/>
      <c r="GG82" s="126"/>
      <c r="GH82" s="127"/>
      <c r="GI82" s="126"/>
      <c r="GJ82" s="126"/>
      <c r="GK82" s="126"/>
      <c r="GL82" s="126"/>
      <c r="GM82" s="126"/>
      <c r="GN82" s="122"/>
      <c r="GO82" s="122">
        <v>81</v>
      </c>
      <c r="GP82" s="149">
        <f t="shared" si="567"/>
        <v>0.55073156053088423</v>
      </c>
      <c r="GQ82" s="149">
        <f t="shared" si="568"/>
        <v>0.58101786325400606</v>
      </c>
      <c r="GR82" s="149">
        <f t="shared" si="569"/>
        <v>0.60578675384347247</v>
      </c>
      <c r="GS82" s="149">
        <f t="shared" si="570"/>
        <v>0.63307340794891009</v>
      </c>
      <c r="GT82" s="149">
        <f t="shared" si="882"/>
        <v>0.67722557960658858</v>
      </c>
      <c r="GU82" s="150">
        <f t="shared" si="883"/>
        <v>0.72068690479631015</v>
      </c>
      <c r="GV82" s="149">
        <f t="shared" si="884"/>
        <v>0.76153252079513256</v>
      </c>
      <c r="GW82" s="149">
        <f t="shared" si="571"/>
        <v>0.79823735092448178</v>
      </c>
      <c r="GX82" s="149">
        <f t="shared" si="572"/>
        <v>0.81881089177489874</v>
      </c>
      <c r="GY82" s="149">
        <f t="shared" si="573"/>
        <v>0.83622154758896305</v>
      </c>
      <c r="GZ82" s="149">
        <f t="shared" si="574"/>
        <v>0.85599402993571505</v>
      </c>
      <c r="HA82" s="122"/>
      <c r="HB82" s="122">
        <v>81</v>
      </c>
      <c r="HC82" s="149">
        <f t="shared" si="575"/>
        <v>0.55511968156290747</v>
      </c>
      <c r="HD82" s="149">
        <f t="shared" si="576"/>
        <v>0.58542871273147246</v>
      </c>
      <c r="HE82" s="149">
        <f t="shared" si="577"/>
        <v>0.61024739629339197</v>
      </c>
      <c r="HF82" s="149">
        <f t="shared" si="578"/>
        <v>0.6376182131431285</v>
      </c>
      <c r="HG82" s="149">
        <f t="shared" si="885"/>
        <v>0.68074106581102967</v>
      </c>
      <c r="HH82" s="150">
        <f t="shared" si="886"/>
        <v>0.72567954740498175</v>
      </c>
      <c r="HI82" s="149">
        <f t="shared" si="887"/>
        <v>0.76789419405849635</v>
      </c>
      <c r="HJ82" s="149">
        <f t="shared" si="579"/>
        <v>0.80381266601258305</v>
      </c>
      <c r="HK82" s="149">
        <f t="shared" si="580"/>
        <v>0.82456551667224343</v>
      </c>
      <c r="HL82" s="149">
        <f t="shared" si="581"/>
        <v>0.84213527752606743</v>
      </c>
      <c r="HM82" s="149">
        <f t="shared" si="582"/>
        <v>0.86209627720087711</v>
      </c>
      <c r="HN82" s="122"/>
      <c r="HO82" s="122"/>
      <c r="HP82" s="126"/>
      <c r="HQ82" s="126"/>
      <c r="HR82" s="126"/>
      <c r="HS82" s="126"/>
      <c r="HT82" s="126"/>
      <c r="HU82" s="127"/>
      <c r="HV82" s="126"/>
      <c r="HW82" s="126"/>
      <c r="HX82" s="126"/>
      <c r="HY82" s="126"/>
      <c r="HZ82" s="126"/>
      <c r="IA82" s="122"/>
      <c r="IB82" s="122">
        <v>81</v>
      </c>
      <c r="IC82" s="126">
        <f t="shared" si="591"/>
        <v>0.3559866706730011</v>
      </c>
      <c r="ID82" s="126">
        <f t="shared" si="592"/>
        <v>0.36782273639611912</v>
      </c>
      <c r="IE82" s="126">
        <f t="shared" si="593"/>
        <v>0.37726178720678311</v>
      </c>
      <c r="IF82" s="126">
        <f t="shared" si="594"/>
        <v>0.38743093278128798</v>
      </c>
      <c r="IG82" s="126">
        <f t="shared" si="891"/>
        <v>0.40298895777948296</v>
      </c>
      <c r="IH82" s="127">
        <f t="shared" si="892"/>
        <v>0.4186619582488631</v>
      </c>
      <c r="II82" s="126">
        <f t="shared" si="893"/>
        <v>0.43293763777844801</v>
      </c>
      <c r="IJ82" s="126">
        <f t="shared" si="595"/>
        <v>0.44477556360503018</v>
      </c>
      <c r="IK82" s="126">
        <f t="shared" si="596"/>
        <v>0.4514953508987013</v>
      </c>
      <c r="IL82" s="126">
        <f t="shared" si="597"/>
        <v>0.45711942052946619</v>
      </c>
      <c r="IM82" s="126">
        <f t="shared" si="598"/>
        <v>0.46343944836406531</v>
      </c>
      <c r="IN82" s="122"/>
      <c r="IO82" s="122">
        <v>81</v>
      </c>
      <c r="IP82" s="149">
        <f t="shared" si="599"/>
        <v>0.35735746415300207</v>
      </c>
      <c r="IQ82" s="149">
        <f t="shared" si="600"/>
        <v>0.369216081639615</v>
      </c>
      <c r="IR82" s="149">
        <f t="shared" si="601"/>
        <v>0.37868498699914233</v>
      </c>
      <c r="IS82" s="149">
        <f t="shared" si="602"/>
        <v>0.38889695329499369</v>
      </c>
      <c r="IT82" s="149">
        <f t="shared" si="894"/>
        <v>0.40453972547139466</v>
      </c>
      <c r="IU82" s="150">
        <f t="shared" si="895"/>
        <v>0.42031899423736885</v>
      </c>
      <c r="IV82" s="149">
        <f t="shared" si="896"/>
        <v>0.43470760592379026</v>
      </c>
      <c r="IW82" s="149">
        <f t="shared" si="603"/>
        <v>0.44664967339576128</v>
      </c>
      <c r="IX82" s="149">
        <f t="shared" si="604"/>
        <v>0.45343248795143387</v>
      </c>
      <c r="IY82" s="149">
        <f t="shared" si="605"/>
        <v>0.45911136711276979</v>
      </c>
      <c r="IZ82" s="149">
        <f t="shared" si="606"/>
        <v>0.46549513533097037</v>
      </c>
      <c r="JA82" s="122"/>
      <c r="JB82" s="122"/>
      <c r="JC82" s="126"/>
      <c r="JD82" s="126"/>
      <c r="JE82" s="126"/>
      <c r="JF82" s="126"/>
      <c r="JG82" s="126"/>
      <c r="JH82" s="127"/>
      <c r="JI82" s="126"/>
      <c r="JJ82" s="126"/>
      <c r="JK82" s="126"/>
      <c r="JL82" s="126"/>
      <c r="JM82" s="126"/>
      <c r="JN82" s="122"/>
      <c r="JO82" s="122">
        <v>80</v>
      </c>
      <c r="JP82" s="149">
        <f t="shared" si="615"/>
        <v>5.2205628574147447</v>
      </c>
      <c r="JQ82" s="149">
        <f t="shared" si="616"/>
        <v>6.6043399132428355</v>
      </c>
      <c r="JR82" s="149">
        <f t="shared" si="617"/>
        <v>7.8043326748317305</v>
      </c>
      <c r="JS82" s="149">
        <f t="shared" si="618"/>
        <v>9.1988364874066946</v>
      </c>
      <c r="JT82" s="149">
        <f t="shared" si="900"/>
        <v>11.550385208568667</v>
      </c>
      <c r="JU82" s="150">
        <f t="shared" si="901"/>
        <v>14.20704919254651</v>
      </c>
      <c r="JV82" s="149">
        <f t="shared" si="902"/>
        <v>16.899495512891978</v>
      </c>
      <c r="JW82" s="149">
        <f t="shared" si="619"/>
        <v>19.344208863610366</v>
      </c>
      <c r="JX82" s="149">
        <f t="shared" si="620"/>
        <v>20.822414430911895</v>
      </c>
      <c r="JY82" s="149">
        <f t="shared" si="621"/>
        <v>22.112037913207669</v>
      </c>
      <c r="JZ82" s="149">
        <f t="shared" si="622"/>
        <v>23.620079670825529</v>
      </c>
      <c r="KA82" s="122"/>
      <c r="KB82" s="122">
        <v>80</v>
      </c>
      <c r="KC82" s="149">
        <f t="shared" si="623"/>
        <v>6.7780764537116784</v>
      </c>
      <c r="KD82" s="149">
        <f t="shared" si="624"/>
        <v>8.2552253347583662</v>
      </c>
      <c r="KE82" s="149">
        <f t="shared" si="625"/>
        <v>9.5537522995298065</v>
      </c>
      <c r="KF82" s="149">
        <f t="shared" si="626"/>
        <v>11.082325636679583</v>
      </c>
      <c r="KG82" s="149">
        <f t="shared" si="903"/>
        <v>13.705078571815802</v>
      </c>
      <c r="KH82" s="150">
        <f t="shared" si="904"/>
        <v>16.731983497533903</v>
      </c>
      <c r="KI82" s="149">
        <f t="shared" si="905"/>
        <v>19.863923984823266</v>
      </c>
      <c r="KJ82" s="149">
        <f t="shared" si="627"/>
        <v>22.760059903571786</v>
      </c>
      <c r="KK82" s="149">
        <f t="shared" si="628"/>
        <v>24.534134327739984</v>
      </c>
      <c r="KL82" s="149">
        <f t="shared" si="629"/>
        <v>26.095433096407277</v>
      </c>
      <c r="KM82" s="149">
        <f t="shared" si="630"/>
        <v>27.93668761644625</v>
      </c>
      <c r="KN82" s="122"/>
      <c r="KO82" s="122">
        <v>82</v>
      </c>
      <c r="KP82" s="149">
        <f t="shared" si="631"/>
        <v>6.5373713145890697</v>
      </c>
      <c r="KQ82" s="149">
        <f t="shared" si="632"/>
        <v>7.5213438387306368</v>
      </c>
      <c r="KR82" s="149">
        <f t="shared" si="633"/>
        <v>8.3659842894572449</v>
      </c>
      <c r="KS82" s="149">
        <f t="shared" si="634"/>
        <v>9.3379983156829702</v>
      </c>
      <c r="KT82" s="149">
        <f t="shared" si="906"/>
        <v>10.955370714724008</v>
      </c>
      <c r="KU82" s="150">
        <f t="shared" si="907"/>
        <v>12.752318155202214</v>
      </c>
      <c r="KV82" s="149">
        <f t="shared" si="908"/>
        <v>14.543541020518017</v>
      </c>
      <c r="KW82" s="149">
        <f t="shared" si="635"/>
        <v>16.146002400577995</v>
      </c>
      <c r="KX82" s="149">
        <f t="shared" si="636"/>
        <v>17.10461225158917</v>
      </c>
      <c r="KY82" s="149">
        <f t="shared" si="637"/>
        <v>17.934890971547912</v>
      </c>
      <c r="KZ82" s="149">
        <f t="shared" si="638"/>
        <v>18.898938451922742</v>
      </c>
      <c r="LA82" s="122"/>
      <c r="LB82" s="122">
        <v>80</v>
      </c>
      <c r="LC82" s="149">
        <f t="shared" si="639"/>
        <v>16.811415238612973</v>
      </c>
      <c r="LD82" s="149">
        <f t="shared" si="640"/>
        <v>20.414623665530165</v>
      </c>
      <c r="LE82" s="149">
        <f t="shared" si="641"/>
        <v>23.551899279848939</v>
      </c>
      <c r="LF82" s="149">
        <f t="shared" si="642"/>
        <v>27.211437419145142</v>
      </c>
      <c r="LG82" s="149">
        <f t="shared" si="909"/>
        <v>33.413326627156458</v>
      </c>
      <c r="LH82" s="150">
        <f t="shared" si="910"/>
        <v>40.46212354685273</v>
      </c>
      <c r="LI82" s="149">
        <f t="shared" si="911"/>
        <v>47.646837708927443</v>
      </c>
      <c r="LJ82" s="149">
        <f t="shared" si="643"/>
        <v>54.202777267551078</v>
      </c>
      <c r="LK82" s="149">
        <f t="shared" si="644"/>
        <v>58.180616736488865</v>
      </c>
      <c r="LL82" s="149">
        <f t="shared" si="645"/>
        <v>61.658967881761093</v>
      </c>
      <c r="LM82" s="149">
        <f t="shared" si="646"/>
        <v>65.735444271828328</v>
      </c>
      <c r="LN82" s="122"/>
      <c r="LO82" s="122">
        <v>80</v>
      </c>
      <c r="LP82" s="149">
        <f t="shared" si="647"/>
        <v>22.612947208446368</v>
      </c>
      <c r="LQ82" s="149">
        <f t="shared" si="648"/>
        <v>26.426653667674668</v>
      </c>
      <c r="LR82" s="149">
        <f t="shared" si="649"/>
        <v>29.75385662467632</v>
      </c>
      <c r="LS82" s="149">
        <f t="shared" si="650"/>
        <v>33.642296954594897</v>
      </c>
      <c r="LT82" s="149">
        <f t="shared" si="912"/>
        <v>40.24896673182414</v>
      </c>
      <c r="LU82" s="150">
        <f t="shared" si="913"/>
        <v>47.781463117737232</v>
      </c>
      <c r="LV82" s="149">
        <f t="shared" si="914"/>
        <v>55.482759128569597</v>
      </c>
      <c r="LW82" s="149">
        <f t="shared" si="651"/>
        <v>62.529077816610624</v>
      </c>
      <c r="LX82" s="149">
        <f t="shared" si="652"/>
        <v>66.812704720161648</v>
      </c>
      <c r="LY82" s="149">
        <f t="shared" si="653"/>
        <v>70.563295103932063</v>
      </c>
      <c r="LZ82" s="149">
        <f t="shared" si="654"/>
        <v>74.96435485562526</v>
      </c>
      <c r="MA82" s="122"/>
      <c r="MB82" s="122">
        <v>82</v>
      </c>
      <c r="MC82" s="149">
        <f t="shared" si="655"/>
        <v>19.00407910582787</v>
      </c>
      <c r="MD82" s="149">
        <f t="shared" si="656"/>
        <v>21.51506946420438</v>
      </c>
      <c r="ME82" s="149">
        <f t="shared" si="657"/>
        <v>23.68551931912895</v>
      </c>
      <c r="MF82" s="149">
        <f t="shared" si="658"/>
        <v>26.19999965231748</v>
      </c>
      <c r="MG82" s="149">
        <f t="shared" si="915"/>
        <v>30.422382422937154</v>
      </c>
      <c r="MH82" s="150">
        <f t="shared" si="916"/>
        <v>35.167775617260226</v>
      </c>
      <c r="MI82" s="149">
        <f t="shared" si="917"/>
        <v>39.952433858295798</v>
      </c>
      <c r="MJ82" s="149">
        <f t="shared" si="659"/>
        <v>44.277049175848596</v>
      </c>
      <c r="MK82" s="149">
        <f t="shared" si="660"/>
        <v>46.883378201376509</v>
      </c>
      <c r="ML82" s="149">
        <f t="shared" si="661"/>
        <v>49.152182676968728</v>
      </c>
      <c r="MM82" s="149">
        <f t="shared" si="662"/>
        <v>51.799532041664754</v>
      </c>
      <c r="MN82" s="122"/>
      <c r="MO82" s="122">
        <v>80</v>
      </c>
      <c r="MP82" s="149">
        <f t="shared" si="663"/>
        <v>10.674977758515624</v>
      </c>
      <c r="MQ82" s="149">
        <f t="shared" si="664"/>
        <v>14.540855854212495</v>
      </c>
      <c r="MR82" s="149">
        <f t="shared" si="665"/>
        <v>17.873189538116655</v>
      </c>
      <c r="MS82" s="149">
        <f t="shared" si="666"/>
        <v>21.723195175248314</v>
      </c>
      <c r="MT82" s="149">
        <f t="shared" si="918"/>
        <v>28.16347665613204</v>
      </c>
      <c r="MU82" s="150">
        <f t="shared" si="919"/>
        <v>35.365790681114568</v>
      </c>
      <c r="MV82" s="149">
        <f t="shared" si="920"/>
        <v>42.591152506903391</v>
      </c>
      <c r="MW82" s="149">
        <f t="shared" si="667"/>
        <v>49.091666069471465</v>
      </c>
      <c r="MX82" s="149">
        <f t="shared" si="668"/>
        <v>52.996067982028514</v>
      </c>
      <c r="MY82" s="149">
        <f t="shared" si="669"/>
        <v>56.386955833479185</v>
      </c>
      <c r="MZ82" s="149">
        <f t="shared" si="670"/>
        <v>60.33455296909235</v>
      </c>
      <c r="NA82" s="122"/>
      <c r="NB82" s="122">
        <v>80</v>
      </c>
      <c r="NC82" s="149">
        <f t="shared" si="671"/>
        <v>22.973420271856202</v>
      </c>
      <c r="ND82" s="149">
        <f t="shared" si="672"/>
        <v>26.026096199016354</v>
      </c>
      <c r="NE82" s="149">
        <f t="shared" si="673"/>
        <v>28.657665135764756</v>
      </c>
      <c r="NF82" s="149">
        <f t="shared" si="674"/>
        <v>31.698374889188432</v>
      </c>
      <c r="NG82" s="149">
        <f t="shared" si="921"/>
        <v>36.785870891452376</v>
      </c>
      <c r="NH82" s="150">
        <f t="shared" si="922"/>
        <v>42.477099450584134</v>
      </c>
      <c r="NI82" s="149">
        <f t="shared" si="923"/>
        <v>48.188642302043775</v>
      </c>
      <c r="NJ82" s="149">
        <f t="shared" si="675"/>
        <v>53.329120207708314</v>
      </c>
      <c r="NK82" s="149">
        <f t="shared" si="676"/>
        <v>56.417543675512107</v>
      </c>
      <c r="NL82" s="149">
        <f t="shared" si="677"/>
        <v>59.100327107967601</v>
      </c>
      <c r="NM82" s="149">
        <f t="shared" si="678"/>
        <v>62.224218461406352</v>
      </c>
      <c r="NN82" s="122"/>
      <c r="NO82" s="113">
        <v>82</v>
      </c>
      <c r="NP82" s="135">
        <f t="shared" si="679"/>
        <v>7.5202155049558428</v>
      </c>
      <c r="NQ82" s="135">
        <f t="shared" si="680"/>
        <v>10.981442318777468</v>
      </c>
      <c r="NR82" s="135">
        <f t="shared" si="681"/>
        <v>13.959287056319418</v>
      </c>
      <c r="NS82" s="135">
        <f t="shared" si="682"/>
        <v>17.393632296558671</v>
      </c>
      <c r="NT82" s="135">
        <f t="shared" si="924"/>
        <v>23.125110860745295</v>
      </c>
      <c r="NU82" s="136">
        <f t="shared" si="925"/>
        <v>29.516578857407204</v>
      </c>
      <c r="NV82" s="135">
        <f t="shared" si="926"/>
        <v>35.91112372561296</v>
      </c>
      <c r="NW82" s="135">
        <f t="shared" si="683"/>
        <v>41.65064432024591</v>
      </c>
      <c r="NX82" s="135">
        <f t="shared" si="684"/>
        <v>45.092253746768357</v>
      </c>
      <c r="NY82" s="135">
        <f t="shared" si="685"/>
        <v>48.077919346292354</v>
      </c>
      <c r="NZ82" s="135">
        <f t="shared" si="686"/>
        <v>51.550063539833111</v>
      </c>
      <c r="OA82" s="122"/>
      <c r="OB82" s="122">
        <v>80</v>
      </c>
      <c r="OC82" s="149">
        <v>16.659456129873377</v>
      </c>
      <c r="OD82" s="149">
        <v>17.964231483933258</v>
      </c>
      <c r="OE82" s="149">
        <v>19.167855955436718</v>
      </c>
      <c r="OF82" s="149">
        <v>20.655983966834771</v>
      </c>
      <c r="OG82" s="149">
        <v>23.399981438632825</v>
      </c>
      <c r="OH82" s="150">
        <v>26.890103892319775</v>
      </c>
      <c r="OI82" s="149">
        <v>30.900780380362452</v>
      </c>
      <c r="OJ82" s="149">
        <v>35.005724660743525</v>
      </c>
      <c r="OK82" s="149">
        <v>37.723451648469791</v>
      </c>
      <c r="OL82" s="149">
        <v>40.25096692761128</v>
      </c>
      <c r="OM82" s="149">
        <v>43.403438966002227</v>
      </c>
      <c r="ON82" s="122"/>
      <c r="OO82" s="122">
        <v>80</v>
      </c>
      <c r="OP82" s="149">
        <v>21.527314134822216</v>
      </c>
      <c r="OQ82" s="149">
        <v>22.540440964929239</v>
      </c>
      <c r="OR82" s="149">
        <v>23.449840148248306</v>
      </c>
      <c r="OS82" s="149">
        <v>24.54394891733342</v>
      </c>
      <c r="OT82" s="149">
        <v>23.876828725715296</v>
      </c>
      <c r="OU82" s="150">
        <v>28.827383356722386</v>
      </c>
      <c r="OV82" s="149">
        <v>31.37823513494477</v>
      </c>
      <c r="OW82" s="149">
        <v>33.858367045759024</v>
      </c>
      <c r="OX82" s="149">
        <v>35.438110705309498</v>
      </c>
      <c r="OY82" s="149">
        <v>36.867869288290279</v>
      </c>
      <c r="OZ82" s="149">
        <v>38.602959291200854</v>
      </c>
      <c r="PA82" s="122"/>
      <c r="PB82" s="113">
        <v>82</v>
      </c>
      <c r="PC82" s="135">
        <v>11.57882249650511</v>
      </c>
      <c r="PD82" s="135">
        <v>13.128039357655785</v>
      </c>
      <c r="PE82" s="135">
        <v>14.625250681598571</v>
      </c>
      <c r="PF82" s="135">
        <v>16.564565307694405</v>
      </c>
      <c r="PG82" s="135">
        <v>20.388702355209599</v>
      </c>
      <c r="PH82" s="136">
        <v>25.700188832222178</v>
      </c>
      <c r="PI82" s="135">
        <v>32.395377327341791</v>
      </c>
      <c r="PJ82" s="135">
        <v>39.874255299960623</v>
      </c>
      <c r="PK82" s="135">
        <v>45.161598962738822</v>
      </c>
      <c r="PL82" s="135">
        <v>50.312136337913884</v>
      </c>
      <c r="PM82" s="135">
        <v>57.043771610734971</v>
      </c>
      <c r="PN82" s="122"/>
      <c r="PO82" s="122">
        <v>80</v>
      </c>
      <c r="PP82" s="149">
        <v>12.121596136889712</v>
      </c>
      <c r="PQ82" s="149">
        <v>13.122638385110838</v>
      </c>
      <c r="PR82" s="149">
        <v>14.049464841889206</v>
      </c>
      <c r="PS82" s="149">
        <v>15.199568051510759</v>
      </c>
      <c r="PT82" s="149">
        <v>17.33146574441167</v>
      </c>
      <c r="PU82" s="150">
        <v>20.061873192396881</v>
      </c>
      <c r="PV82" s="149">
        <v>23.222430342776246</v>
      </c>
      <c r="PW82" s="149">
        <v>26.479618014395371</v>
      </c>
      <c r="PX82" s="149">
        <v>28.647265964736363</v>
      </c>
      <c r="PY82" s="149">
        <v>30.670566708938022</v>
      </c>
      <c r="PZ82" s="149">
        <v>33.203445440897596</v>
      </c>
      <c r="QA82" s="122"/>
      <c r="QB82" s="122">
        <v>80</v>
      </c>
      <c r="QC82" s="149">
        <v>12.965022429092981</v>
      </c>
      <c r="QD82" s="149">
        <v>14.000496891495713</v>
      </c>
      <c r="QE82" s="149">
        <v>14.956969274761661</v>
      </c>
      <c r="QF82" s="149">
        <v>16.14109786443376</v>
      </c>
      <c r="QG82" s="149">
        <v>18.328720913823883</v>
      </c>
      <c r="QH82" s="150">
        <v>21.118183305536576</v>
      </c>
      <c r="QI82" s="149">
        <v>24.33217616347023</v>
      </c>
      <c r="QJ82" s="149">
        <v>27.629946232402016</v>
      </c>
      <c r="QK82" s="149">
        <v>29.817381979836316</v>
      </c>
      <c r="QL82" s="149">
        <v>31.854416995524129</v>
      </c>
      <c r="QM82" s="149">
        <v>34.398526386309072</v>
      </c>
      <c r="QN82" s="122"/>
      <c r="QO82" s="113">
        <v>82</v>
      </c>
      <c r="QP82" s="135">
        <v>9.0944535575201666</v>
      </c>
      <c r="QQ82" s="135">
        <v>10.107189291338694</v>
      </c>
      <c r="QR82" s="135">
        <v>11.067948553059475</v>
      </c>
      <c r="QS82" s="135">
        <v>12.289527970898032</v>
      </c>
      <c r="QT82" s="135">
        <v>14.634705485389324</v>
      </c>
      <c r="QU82" s="136">
        <v>17.779696631350472</v>
      </c>
      <c r="QV82" s="135">
        <v>21.60054485677583</v>
      </c>
      <c r="QW82" s="135">
        <v>25.722518639562992</v>
      </c>
      <c r="QX82" s="135">
        <v>28.561536113706641</v>
      </c>
      <c r="QY82" s="135">
        <v>31.276510530355935</v>
      </c>
      <c r="QZ82" s="135">
        <v>34.759384970574622</v>
      </c>
      <c r="RA82" s="122"/>
      <c r="RB82" s="122">
        <v>80</v>
      </c>
      <c r="RC82" s="149">
        <f t="shared" si="687"/>
        <v>0.4901498308230185</v>
      </c>
      <c r="RD82" s="149">
        <f t="shared" si="688"/>
        <v>0.53517168808346705</v>
      </c>
      <c r="RE82" s="149">
        <f t="shared" si="689"/>
        <v>0.57774303123110282</v>
      </c>
      <c r="RF82" s="149">
        <f t="shared" si="690"/>
        <v>0.63176110175122113</v>
      </c>
      <c r="RG82" s="149">
        <f t="shared" si="927"/>
        <v>0.73539688129337888</v>
      </c>
      <c r="RH82" s="150">
        <f t="shared" si="928"/>
        <v>0.87481406341093138</v>
      </c>
      <c r="RI82" s="149">
        <f t="shared" si="929"/>
        <v>1.0456367783440441</v>
      </c>
      <c r="RJ82" s="149">
        <f t="shared" si="691"/>
        <v>1.2323679890137322</v>
      </c>
      <c r="RK82" s="149">
        <f t="shared" si="692"/>
        <v>1.3626973261142741</v>
      </c>
      <c r="RL82" s="149">
        <f t="shared" si="693"/>
        <v>1.4887515922900911</v>
      </c>
      <c r="RM82" s="149">
        <f t="shared" si="694"/>
        <v>1.6525913009824258</v>
      </c>
      <c r="RN82" s="122"/>
      <c r="RO82" s="122">
        <v>80</v>
      </c>
      <c r="RP82" s="149">
        <f t="shared" si="695"/>
        <v>0.53947209491776293</v>
      </c>
      <c r="RQ82" s="149">
        <f t="shared" si="696"/>
        <v>0.59301682237039921</v>
      </c>
      <c r="RR82" s="149">
        <f t="shared" si="697"/>
        <v>0.64431012320669412</v>
      </c>
      <c r="RS82" s="149">
        <f t="shared" si="698"/>
        <v>0.71030756468812961</v>
      </c>
      <c r="RT82" s="149">
        <f t="shared" si="930"/>
        <v>0.8397196556919404</v>
      </c>
      <c r="RU82" s="150">
        <f t="shared" si="931"/>
        <v>1.0194328768072931</v>
      </c>
      <c r="RV82" s="149">
        <f t="shared" si="932"/>
        <v>1.2480963781837691</v>
      </c>
      <c r="RW82" s="149">
        <f t="shared" si="699"/>
        <v>1.5083225377609668</v>
      </c>
      <c r="RX82" s="149">
        <f t="shared" si="700"/>
        <v>1.6961024122006079</v>
      </c>
      <c r="RY82" s="149">
        <f t="shared" si="701"/>
        <v>1.8824174970598047</v>
      </c>
      <c r="RZ82" s="149">
        <f t="shared" si="702"/>
        <v>2.1313407948640424</v>
      </c>
      <c r="SA82" s="122"/>
      <c r="SB82" s="113">
        <v>82</v>
      </c>
      <c r="SC82" s="135">
        <f t="shared" si="703"/>
        <v>0.51379514423616801</v>
      </c>
      <c r="SD82" s="135">
        <f t="shared" si="704"/>
        <v>0.55048288618647889</v>
      </c>
      <c r="SE82" s="135">
        <f t="shared" si="705"/>
        <v>0.584153829291994</v>
      </c>
      <c r="SF82" s="135">
        <f t="shared" si="706"/>
        <v>0.62557385659930975</v>
      </c>
      <c r="SG82" s="135">
        <f t="shared" si="933"/>
        <v>0.70140388717949198</v>
      </c>
      <c r="SH82" s="136">
        <f t="shared" si="934"/>
        <v>0.79696445514601399</v>
      </c>
      <c r="SI82" s="135">
        <f t="shared" si="935"/>
        <v>0.90573676167727879</v>
      </c>
      <c r="SJ82" s="135">
        <f t="shared" si="707"/>
        <v>1.0160881486884461</v>
      </c>
      <c r="SK82" s="135">
        <f t="shared" si="708"/>
        <v>1.088673653839104</v>
      </c>
      <c r="SL82" s="135">
        <f t="shared" si="709"/>
        <v>1.1558747943451206</v>
      </c>
      <c r="SM82" s="135">
        <f t="shared" si="710"/>
        <v>1.2393162777540812</v>
      </c>
      <c r="SN82" s="122"/>
      <c r="SO82" s="122">
        <v>80</v>
      </c>
      <c r="SP82" s="149">
        <f t="shared" si="711"/>
        <v>0.32998838258138108</v>
      </c>
      <c r="SQ82" s="149">
        <f t="shared" si="712"/>
        <v>0.34930709614708122</v>
      </c>
      <c r="SR82" s="149">
        <f t="shared" si="713"/>
        <v>0.36658732880154021</v>
      </c>
      <c r="SS82" s="149">
        <f t="shared" si="714"/>
        <v>0.38729408802883813</v>
      </c>
      <c r="ST82" s="149">
        <f t="shared" si="936"/>
        <v>0.42376539783369593</v>
      </c>
      <c r="SU82" s="150">
        <f t="shared" si="937"/>
        <v>0.46737466847274928</v>
      </c>
      <c r="SV82" s="149">
        <f t="shared" si="938"/>
        <v>0.51425211607969956</v>
      </c>
      <c r="SW82" s="149">
        <f t="shared" si="715"/>
        <v>0.55922133800716944</v>
      </c>
      <c r="SX82" s="149">
        <f t="shared" si="716"/>
        <v>0.58754890521400438</v>
      </c>
      <c r="SY82" s="149">
        <f t="shared" si="717"/>
        <v>0.61297502396892545</v>
      </c>
      <c r="SZ82" s="149">
        <f t="shared" si="718"/>
        <v>0.6435618690187106</v>
      </c>
      <c r="TA82" s="122"/>
      <c r="TB82" s="122">
        <v>80</v>
      </c>
      <c r="TC82" s="149">
        <f t="shared" si="719"/>
        <v>0.35148040086823873</v>
      </c>
      <c r="TD82" s="149">
        <f t="shared" si="720"/>
        <v>0.3729348053104633</v>
      </c>
      <c r="TE82" s="149">
        <f t="shared" si="721"/>
        <v>0.39224139913237427</v>
      </c>
      <c r="TF82" s="149">
        <f t="shared" si="722"/>
        <v>0.41551791904445262</v>
      </c>
      <c r="TG82" s="149">
        <f t="shared" si="939"/>
        <v>0.45688180011016138</v>
      </c>
      <c r="TH82" s="150">
        <f t="shared" si="940"/>
        <v>0.50693550810338817</v>
      </c>
      <c r="TI82" s="149">
        <f t="shared" si="941"/>
        <v>0.56143484537552713</v>
      </c>
      <c r="TJ82" s="149">
        <f t="shared" si="723"/>
        <v>0.61436585044337655</v>
      </c>
      <c r="TK82" s="149">
        <f t="shared" si="724"/>
        <v>0.64802493326138633</v>
      </c>
      <c r="TL82" s="149">
        <f t="shared" si="725"/>
        <v>0.67843919661101937</v>
      </c>
      <c r="TM82" s="149">
        <f t="shared" si="726"/>
        <v>0.7152753119086197</v>
      </c>
      <c r="TN82" s="122"/>
      <c r="TO82" s="113">
        <v>82</v>
      </c>
      <c r="TP82" s="135">
        <f t="shared" si="727"/>
        <v>0.34052012393413172</v>
      </c>
      <c r="TQ82" s="135">
        <f t="shared" si="728"/>
        <v>0.3558192844841</v>
      </c>
      <c r="TR82" s="135">
        <f t="shared" si="729"/>
        <v>0.36928092430610887</v>
      </c>
      <c r="TS82" s="135">
        <f t="shared" si="730"/>
        <v>0.38515153020348913</v>
      </c>
      <c r="TT82" s="135">
        <f t="shared" si="942"/>
        <v>0.41246641293741509</v>
      </c>
      <c r="TU82" s="136">
        <f t="shared" si="943"/>
        <v>0.44415865621614276</v>
      </c>
      <c r="TV82" s="135">
        <f t="shared" si="944"/>
        <v>0.47717770861133835</v>
      </c>
      <c r="TW82" s="135">
        <f t="shared" si="731"/>
        <v>0.5079411918589305</v>
      </c>
      <c r="TX82" s="135">
        <f t="shared" si="732"/>
        <v>0.52690277525157958</v>
      </c>
      <c r="TY82" s="135">
        <f t="shared" si="733"/>
        <v>0.54366660941559519</v>
      </c>
      <c r="TZ82" s="135">
        <f t="shared" si="734"/>
        <v>0.56353068345151103</v>
      </c>
      <c r="UA82" s="122"/>
      <c r="UB82" s="122">
        <v>80</v>
      </c>
      <c r="UC82" s="149">
        <f t="shared" si="735"/>
        <v>-2.3776560610369089</v>
      </c>
      <c r="UD82" s="149">
        <f t="shared" si="736"/>
        <v>0.25819284647857899</v>
      </c>
      <c r="UE82" s="149">
        <f t="shared" si="737"/>
        <v>2.4893197456493397</v>
      </c>
      <c r="UF82" s="149">
        <f t="shared" si="738"/>
        <v>5.0232903290048085</v>
      </c>
      <c r="UG82" s="149">
        <f t="shared" si="945"/>
        <v>9.1659574712575136</v>
      </c>
      <c r="UH82" s="150">
        <f t="shared" si="946"/>
        <v>13.670265411902207</v>
      </c>
      <c r="UI82" s="149">
        <f t="shared" si="947"/>
        <v>18.067373762279004</v>
      </c>
      <c r="UJ82" s="149">
        <f t="shared" si="739"/>
        <v>21.929727723262403</v>
      </c>
      <c r="UK82" s="149">
        <f t="shared" si="740"/>
        <v>24.210348290291662</v>
      </c>
      <c r="UL82" s="149">
        <f t="shared" si="741"/>
        <v>26.168560612756039</v>
      </c>
      <c r="UM82" s="149">
        <f t="shared" si="742"/>
        <v>28.423198923666476</v>
      </c>
      <c r="UN82" s="122"/>
      <c r="UO82" s="122">
        <v>80</v>
      </c>
      <c r="UP82" s="149">
        <f t="shared" si="743"/>
        <v>1.9486686928421477</v>
      </c>
      <c r="UQ82" s="149">
        <f t="shared" si="744"/>
        <v>4.2958381331774262</v>
      </c>
      <c r="UR82" s="149">
        <f t="shared" si="745"/>
        <v>6.3122237976650908</v>
      </c>
      <c r="US82" s="149">
        <f t="shared" si="746"/>
        <v>8.6344940124179814</v>
      </c>
      <c r="UT82" s="149">
        <f t="shared" si="948"/>
        <v>12.502892580786892</v>
      </c>
      <c r="UU82" s="150">
        <f t="shared" si="949"/>
        <v>16.807017377366584</v>
      </c>
      <c r="UV82" s="149">
        <f t="shared" si="950"/>
        <v>21.103853192637906</v>
      </c>
      <c r="UW82" s="149">
        <f t="shared" si="747"/>
        <v>24.953216952140721</v>
      </c>
      <c r="UX82" s="149">
        <f t="shared" si="748"/>
        <v>27.258314389359093</v>
      </c>
      <c r="UY82" s="149">
        <f t="shared" si="749"/>
        <v>29.256234204136355</v>
      </c>
      <c r="UZ82" s="149">
        <f t="shared" si="750"/>
        <v>31.577667809050162</v>
      </c>
      <c r="VA82" s="122"/>
      <c r="VB82" s="122"/>
      <c r="VC82" s="149"/>
      <c r="VD82" s="149"/>
      <c r="VE82" s="149"/>
      <c r="VF82" s="149"/>
      <c r="VG82" s="149"/>
      <c r="VH82" s="150"/>
      <c r="VI82" s="149"/>
      <c r="VJ82" s="149"/>
      <c r="VK82" s="149"/>
      <c r="VL82" s="149"/>
      <c r="VM82" s="149"/>
      <c r="VN82" s="122"/>
      <c r="VO82" s="122">
        <v>80</v>
      </c>
      <c r="VP82" s="149">
        <f t="shared" si="759"/>
        <v>-1.1509645571310472</v>
      </c>
      <c r="VQ82" s="149">
        <f t="shared" si="760"/>
        <v>3.6663798995842569</v>
      </c>
      <c r="VR82" s="149">
        <f t="shared" si="761"/>
        <v>7.945660340843034</v>
      </c>
      <c r="VS82" s="149">
        <f t="shared" si="762"/>
        <v>13.033557626075314</v>
      </c>
      <c r="VT82" s="149">
        <f t="shared" si="954"/>
        <v>21.882889352133979</v>
      </c>
      <c r="VU82" s="150">
        <f t="shared" si="955"/>
        <v>32.269594327446917</v>
      </c>
      <c r="VV82" s="149">
        <f t="shared" si="956"/>
        <v>43.196632273474172</v>
      </c>
      <c r="VW82" s="149">
        <f t="shared" si="763"/>
        <v>53.451279338649321</v>
      </c>
      <c r="VX82" s="149">
        <f t="shared" si="764"/>
        <v>59.79987080523339</v>
      </c>
      <c r="VY82" s="149">
        <f t="shared" si="765"/>
        <v>65.42716423889425</v>
      </c>
      <c r="VZ82" s="149">
        <f t="shared" si="766"/>
        <v>72.109998800733052</v>
      </c>
      <c r="WA82" s="122"/>
      <c r="WB82" s="122">
        <v>80</v>
      </c>
      <c r="WC82" s="149">
        <f t="shared" si="767"/>
        <v>8.2878511059371078</v>
      </c>
      <c r="WD82" s="149">
        <f t="shared" si="768"/>
        <v>12.949232120486748</v>
      </c>
      <c r="WE82" s="149">
        <f t="shared" si="769"/>
        <v>17.079176231714236</v>
      </c>
      <c r="WF82" s="149">
        <f t="shared" si="770"/>
        <v>21.977873238439891</v>
      </c>
      <c r="WG82" s="149">
        <f t="shared" si="957"/>
        <v>30.472128098350559</v>
      </c>
      <c r="WH82" s="150">
        <f t="shared" si="958"/>
        <v>40.406839313962614</v>
      </c>
      <c r="WI82" s="149">
        <f t="shared" si="959"/>
        <v>50.824753582058129</v>
      </c>
      <c r="WJ82" s="149">
        <f t="shared" si="771"/>
        <v>60.575623007614205</v>
      </c>
      <c r="WK82" s="149">
        <f t="shared" si="772"/>
        <v>66.60147267284222</v>
      </c>
      <c r="WL82" s="149">
        <f t="shared" si="773"/>
        <v>71.936486418931167</v>
      </c>
      <c r="WM82" s="149">
        <f t="shared" si="774"/>
        <v>78.265276733486274</v>
      </c>
      <c r="WN82" s="122"/>
      <c r="WO82" s="122"/>
      <c r="WP82" s="149"/>
      <c r="WQ82" s="149"/>
      <c r="WR82" s="149"/>
      <c r="WS82" s="149"/>
      <c r="WT82" s="149"/>
      <c r="WU82" s="150"/>
      <c r="WV82" s="149"/>
      <c r="WW82" s="149"/>
      <c r="WX82" s="149"/>
      <c r="WY82" s="149"/>
      <c r="WZ82" s="149"/>
      <c r="XA82" s="122"/>
      <c r="XB82" s="122">
        <v>80</v>
      </c>
      <c r="XC82" s="149">
        <f t="shared" si="783"/>
        <v>-6.881865803514053</v>
      </c>
      <c r="XD82" s="149">
        <f t="shared" si="784"/>
        <v>-1.9052456730133116</v>
      </c>
      <c r="XE82" s="149">
        <f t="shared" si="785"/>
        <v>2.4639276759974464</v>
      </c>
      <c r="XF82" s="149">
        <f t="shared" si="786"/>
        <v>7.5989536345997237</v>
      </c>
      <c r="XG82" s="149">
        <f t="shared" si="963"/>
        <v>16.386154420939285</v>
      </c>
      <c r="XH82" s="150">
        <f t="shared" si="964"/>
        <v>26.48684256165965</v>
      </c>
      <c r="XI82" s="149">
        <f t="shared" si="965"/>
        <v>36.889962362216899</v>
      </c>
      <c r="XJ82" s="149">
        <f t="shared" si="787"/>
        <v>46.465786283935948</v>
      </c>
      <c r="XK82" s="149">
        <f t="shared" si="788"/>
        <v>52.31084384424269</v>
      </c>
      <c r="XL82" s="149">
        <f t="shared" si="789"/>
        <v>57.441975599904431</v>
      </c>
      <c r="XM82" s="149">
        <f t="shared" si="790"/>
        <v>63.477868092180238</v>
      </c>
      <c r="XN82" s="122"/>
      <c r="XO82" s="122">
        <v>80</v>
      </c>
      <c r="XP82" s="149">
        <f t="shared" si="791"/>
        <v>8.4958223998280147</v>
      </c>
      <c r="XQ82" s="149">
        <f t="shared" si="792"/>
        <v>12.474078475200891</v>
      </c>
      <c r="XR82" s="149">
        <f t="shared" si="793"/>
        <v>15.93886715715383</v>
      </c>
      <c r="XS82" s="149">
        <f t="shared" si="794"/>
        <v>19.981615815533068</v>
      </c>
      <c r="XT82" s="149">
        <f t="shared" si="966"/>
        <v>26.835914130435192</v>
      </c>
      <c r="XU82" s="150">
        <f t="shared" si="967"/>
        <v>34.630832928417085</v>
      </c>
      <c r="XV82" s="149">
        <f t="shared" si="968"/>
        <v>42.581131774975084</v>
      </c>
      <c r="XW82" s="149">
        <f t="shared" si="795"/>
        <v>49.840084004998566</v>
      </c>
      <c r="XX82" s="149">
        <f t="shared" si="796"/>
        <v>54.246509364772926</v>
      </c>
      <c r="XY82" s="149">
        <f t="shared" si="797"/>
        <v>58.100868879998565</v>
      </c>
      <c r="XZ82" s="149">
        <f t="shared" si="798"/>
        <v>62.619462962977174</v>
      </c>
      <c r="YA82" s="122"/>
      <c r="YB82" s="122"/>
      <c r="YC82" s="149"/>
      <c r="YD82" s="149"/>
      <c r="YE82" s="149"/>
      <c r="YF82" s="149"/>
      <c r="YG82" s="149"/>
      <c r="YH82" s="150"/>
      <c r="YI82" s="149"/>
      <c r="YJ82" s="149"/>
      <c r="YK82" s="149"/>
      <c r="YL82" s="149"/>
      <c r="YM82" s="149"/>
      <c r="YN82" s="122"/>
      <c r="YO82" s="122">
        <v>80</v>
      </c>
      <c r="YP82" s="149">
        <v>21.05666790662281</v>
      </c>
      <c r="YQ82" s="149">
        <v>22.783784968090075</v>
      </c>
      <c r="YR82" s="149">
        <v>24.382086821788469</v>
      </c>
      <c r="YS82" s="149">
        <v>26.364473674159843</v>
      </c>
      <c r="YT82" s="149">
        <v>30.036599396540627</v>
      </c>
      <c r="YU82" s="150">
        <v>34.735366637249278</v>
      </c>
      <c r="YV82" s="149">
        <v>40.169184250700845</v>
      </c>
      <c r="YW82" s="149">
        <v>45.764072908714319</v>
      </c>
      <c r="YX82" s="149">
        <v>49.484923265301866</v>
      </c>
      <c r="YY82" s="149">
        <v>52.956332633667451</v>
      </c>
      <c r="YZ82" s="149">
        <v>57.299934670320951</v>
      </c>
      <c r="ZA82" s="122"/>
      <c r="ZB82" s="122">
        <v>80</v>
      </c>
      <c r="ZC82" s="149">
        <v>24.800856247852099</v>
      </c>
      <c r="ZD82" s="149">
        <v>26.042802710095703</v>
      </c>
      <c r="ZE82" s="149">
        <v>27.160575309352694</v>
      </c>
      <c r="ZF82" s="149">
        <v>28.508968263560568</v>
      </c>
      <c r="ZG82" s="149">
        <v>30.908944322680494</v>
      </c>
      <c r="ZH82" s="150">
        <v>33.822779017796613</v>
      </c>
      <c r="ZI82" s="149">
        <v>37.011305483095001</v>
      </c>
      <c r="ZJ82" s="149">
        <v>40.127035461641348</v>
      </c>
      <c r="ZK82" s="149">
        <v>42.119151286636225</v>
      </c>
      <c r="ZL82" s="149">
        <v>43.926930339307511</v>
      </c>
      <c r="ZM82" s="149">
        <v>46.126648574311979</v>
      </c>
      <c r="ZN82" s="122"/>
      <c r="ZO82" s="122"/>
      <c r="ZP82" s="149"/>
      <c r="ZQ82" s="149"/>
      <c r="ZR82" s="149"/>
      <c r="ZS82" s="149"/>
      <c r="ZT82" s="149"/>
      <c r="ZU82" s="150"/>
      <c r="ZV82" s="149"/>
      <c r="ZW82" s="149"/>
      <c r="ZX82" s="149"/>
      <c r="ZY82" s="149"/>
      <c r="ZZ82" s="149"/>
      <c r="AAA82" s="122"/>
      <c r="AAB82" s="122">
        <v>80</v>
      </c>
      <c r="AAC82" s="149">
        <v>12.714076797980281</v>
      </c>
      <c r="AAD82" s="149">
        <v>13.931986245780408</v>
      </c>
      <c r="AAE82" s="149">
        <v>15.072366204261309</v>
      </c>
      <c r="AAF82" s="149">
        <v>16.50347701758443</v>
      </c>
      <c r="AAG82" s="149">
        <v>19.199576033990951</v>
      </c>
      <c r="AAH82" s="150">
        <v>22.726800349656639</v>
      </c>
      <c r="AAI82" s="149">
        <v>26.902023941504126</v>
      </c>
      <c r="AAJ82" s="149">
        <v>31.296886927695024</v>
      </c>
      <c r="AAK82" s="149">
        <v>34.26850483417293</v>
      </c>
      <c r="AAL82" s="149">
        <v>37.073497276067755</v>
      </c>
      <c r="AAM82" s="149">
        <v>40.624849317821024</v>
      </c>
      <c r="AAN82" s="122"/>
      <c r="AAO82" s="122">
        <v>80</v>
      </c>
      <c r="AAP82" s="149">
        <v>14.710704126776845</v>
      </c>
      <c r="AAQ82" s="149">
        <v>15.978801119868352</v>
      </c>
      <c r="AAR82" s="149">
        <v>17.15652614565521</v>
      </c>
      <c r="AAS82" s="149">
        <v>18.622501082634336</v>
      </c>
      <c r="AAT82" s="149">
        <v>21.352048048857117</v>
      </c>
      <c r="AAU82" s="150">
        <v>24.868405392719783</v>
      </c>
      <c r="AAV82" s="149">
        <v>28.963853273539087</v>
      </c>
      <c r="AAW82" s="149">
        <v>33.209158320487525</v>
      </c>
      <c r="AAX82" s="149">
        <v>36.0467836860593</v>
      </c>
      <c r="AAY82" s="149">
        <v>38.703628772729182</v>
      </c>
      <c r="AAZ82" s="149">
        <v>42.039971808756334</v>
      </c>
      <c r="ABA82" s="122"/>
      <c r="ABB82" s="122"/>
      <c r="ABC82" s="149"/>
      <c r="ABD82" s="149"/>
      <c r="ABE82" s="149"/>
      <c r="ABF82" s="149"/>
      <c r="ABG82" s="149"/>
      <c r="ABH82" s="150"/>
      <c r="ABI82" s="149"/>
      <c r="ABJ82" s="149"/>
      <c r="ABK82" s="149"/>
      <c r="ABL82" s="149"/>
      <c r="ABM82" s="149"/>
      <c r="ABN82" s="122"/>
      <c r="ABO82" s="122">
        <v>80</v>
      </c>
      <c r="ABP82" s="149">
        <f t="shared" si="807"/>
        <v>0.37693940125940228</v>
      </c>
      <c r="ABQ82" s="149">
        <f t="shared" si="808"/>
        <v>0.42147667051314663</v>
      </c>
      <c r="ABR82" s="149">
        <f t="shared" si="809"/>
        <v>0.46274850509162524</v>
      </c>
      <c r="ABS82" s="149">
        <f t="shared" si="810"/>
        <v>0.51390297508799399</v>
      </c>
      <c r="ABT82" s="149">
        <f t="shared" si="972"/>
        <v>0.60824285930763544</v>
      </c>
      <c r="ABU82" s="150">
        <f t="shared" si="973"/>
        <v>0.72761995417765513</v>
      </c>
      <c r="ABV82" s="149">
        <f t="shared" si="974"/>
        <v>0.86323082292718278</v>
      </c>
      <c r="ABW82" s="149">
        <f t="shared" si="811"/>
        <v>0.99980082059823139</v>
      </c>
      <c r="ABX82" s="149">
        <f t="shared" si="812"/>
        <v>1.088850062609505</v>
      </c>
      <c r="ABY82" s="149">
        <f t="shared" si="813"/>
        <v>1.1706520837138126</v>
      </c>
      <c r="ABZ82" s="149">
        <f t="shared" si="814"/>
        <v>1.2712959851155183</v>
      </c>
      <c r="ACA82" s="122"/>
      <c r="ACB82" s="122">
        <v>80</v>
      </c>
      <c r="ACC82" s="149">
        <f t="shared" si="815"/>
        <v>0.49818907912691446</v>
      </c>
      <c r="ACD82" s="149">
        <f t="shared" si="816"/>
        <v>0.54234048065949958</v>
      </c>
      <c r="ACE82" s="149">
        <f t="shared" si="817"/>
        <v>0.5829610681200017</v>
      </c>
      <c r="ACF82" s="149">
        <f t="shared" si="818"/>
        <v>0.63301248200806737</v>
      </c>
      <c r="ACG82" s="149">
        <f t="shared" si="975"/>
        <v>0.72473313211193124</v>
      </c>
      <c r="ACH82" s="150">
        <f t="shared" si="976"/>
        <v>0.84020109260382503</v>
      </c>
      <c r="ACI82" s="149">
        <f t="shared" si="977"/>
        <v>0.97112981350051619</v>
      </c>
      <c r="ACJ82" s="149">
        <f t="shared" si="819"/>
        <v>1.103144957246402</v>
      </c>
      <c r="ACK82" s="149">
        <f t="shared" si="820"/>
        <v>1.1894466354276478</v>
      </c>
      <c r="ACL82" s="149">
        <f t="shared" si="821"/>
        <v>1.2689350358804319</v>
      </c>
      <c r="ACM82" s="149">
        <f t="shared" si="822"/>
        <v>1.3670559974233678</v>
      </c>
      <c r="ACN82" s="122"/>
      <c r="ACO82" s="122"/>
      <c r="ACP82" s="149"/>
      <c r="ACQ82" s="149"/>
      <c r="ACR82" s="149"/>
      <c r="ACS82" s="149"/>
      <c r="ACT82" s="149"/>
      <c r="ACU82" s="150"/>
      <c r="ACV82" s="149"/>
      <c r="ACW82" s="149"/>
      <c r="ACX82" s="149"/>
      <c r="ACY82" s="149"/>
      <c r="ACZ82" s="149"/>
      <c r="ADA82" s="122"/>
      <c r="ADB82" s="122">
        <v>80</v>
      </c>
      <c r="ADC82" s="149">
        <f t="shared" si="831"/>
        <v>0.27672595743381084</v>
      </c>
      <c r="ADD82" s="149">
        <f t="shared" si="832"/>
        <v>0.29855007533325878</v>
      </c>
      <c r="ADE82" s="149">
        <f t="shared" si="833"/>
        <v>0.3176126393612036</v>
      </c>
      <c r="ADF82" s="149">
        <f t="shared" si="834"/>
        <v>0.33991403807197645</v>
      </c>
      <c r="ADG82" s="149">
        <f t="shared" si="981"/>
        <v>0.37785491864628112</v>
      </c>
      <c r="ADH82" s="150">
        <f t="shared" si="982"/>
        <v>0.42117609409648182</v>
      </c>
      <c r="ADI82" s="149">
        <f t="shared" si="983"/>
        <v>0.4655249108609118</v>
      </c>
      <c r="ADJ82" s="149">
        <f t="shared" si="835"/>
        <v>0.50614335863103355</v>
      </c>
      <c r="ADK82" s="149">
        <f t="shared" si="836"/>
        <v>0.53085280876586161</v>
      </c>
      <c r="ADL82" s="149">
        <f t="shared" si="837"/>
        <v>0.55249662862831439</v>
      </c>
      <c r="ADM82" s="149">
        <f t="shared" si="838"/>
        <v>0.57790404317273503</v>
      </c>
      <c r="ADN82" s="122"/>
      <c r="ADO82" s="122">
        <v>80</v>
      </c>
      <c r="ADP82" s="149">
        <f t="shared" si="839"/>
        <v>0.3341146023757427</v>
      </c>
      <c r="ADQ82" s="149">
        <f t="shared" si="840"/>
        <v>0.3525290630921703</v>
      </c>
      <c r="ADR82" s="149">
        <f t="shared" si="841"/>
        <v>0.36867463017553598</v>
      </c>
      <c r="ADS82" s="149">
        <f t="shared" si="842"/>
        <v>0.38763934801494671</v>
      </c>
      <c r="ADT82" s="149">
        <f t="shared" si="984"/>
        <v>0.42009934369023899</v>
      </c>
      <c r="ADU82" s="150">
        <f t="shared" si="985"/>
        <v>0.45747362947435022</v>
      </c>
      <c r="ADV82" s="149">
        <f t="shared" si="986"/>
        <v>0.49608515565082084</v>
      </c>
      <c r="ADW82" s="149">
        <f t="shared" si="843"/>
        <v>0.53176233628608782</v>
      </c>
      <c r="ADX82" s="149">
        <f t="shared" si="844"/>
        <v>0.55361232496728419</v>
      </c>
      <c r="ADY82" s="149">
        <f t="shared" si="845"/>
        <v>0.57284211848637356</v>
      </c>
      <c r="ADZ82" s="149">
        <f t="shared" si="846"/>
        <v>0.59552324684785141</v>
      </c>
      <c r="AEA82" s="122"/>
      <c r="AEB82" s="122"/>
      <c r="AEC82" s="149"/>
      <c r="AED82" s="149"/>
      <c r="AEE82" s="149"/>
      <c r="AEF82" s="149"/>
      <c r="AEG82" s="149"/>
      <c r="AEH82" s="150"/>
      <c r="AEI82" s="149"/>
      <c r="AEJ82" s="149"/>
      <c r="AEK82" s="149"/>
      <c r="AEL82" s="149"/>
      <c r="AEM82" s="149"/>
      <c r="AEN82" s="122"/>
    </row>
    <row r="83" spans="1:820">
      <c r="A83" s="81"/>
      <c r="B83" s="81">
        <v>82</v>
      </c>
      <c r="C83" s="133">
        <f t="shared" si="495"/>
        <v>2.784022518438793</v>
      </c>
      <c r="D83" s="133">
        <f t="shared" si="496"/>
        <v>3.3884608192440719</v>
      </c>
      <c r="E83" s="133">
        <f t="shared" si="497"/>
        <v>4.0359145756368484</v>
      </c>
      <c r="F83" s="133">
        <f t="shared" si="498"/>
        <v>4.9732420519443394</v>
      </c>
      <c r="G83" s="133">
        <f t="shared" si="855"/>
        <v>7.1804994920148282</v>
      </c>
      <c r="H83" s="134">
        <f t="shared" si="856"/>
        <v>11.159817381256909</v>
      </c>
      <c r="I83" s="133">
        <f t="shared" si="857"/>
        <v>18.033498752679499</v>
      </c>
      <c r="J83" s="133">
        <f t="shared" si="499"/>
        <v>28.850472989796863</v>
      </c>
      <c r="K83" s="133">
        <f t="shared" si="500"/>
        <v>39.040819129597061</v>
      </c>
      <c r="L83" s="133">
        <f t="shared" si="501"/>
        <v>51.487039948185846</v>
      </c>
      <c r="M83" s="133">
        <f t="shared" si="502"/>
        <v>72.375027367272779</v>
      </c>
      <c r="N83" s="81"/>
      <c r="O83" s="75">
        <v>82</v>
      </c>
      <c r="P83" s="151">
        <f t="shared" si="503"/>
        <v>3.5038576556716188</v>
      </c>
      <c r="Q83" s="151">
        <f t="shared" si="504"/>
        <v>4.1314290891692682</v>
      </c>
      <c r="R83" s="151">
        <f t="shared" si="505"/>
        <v>4.8049111791022812</v>
      </c>
      <c r="S83" s="151">
        <f t="shared" si="506"/>
        <v>5.7891284491773778</v>
      </c>
      <c r="T83" s="151">
        <f t="shared" si="858"/>
        <v>8.1810780034321482</v>
      </c>
      <c r="U83" s="134">
        <f t="shared" si="859"/>
        <v>12.862422660918583</v>
      </c>
      <c r="V83" s="151">
        <f t="shared" si="860"/>
        <v>22.379138339425431</v>
      </c>
      <c r="W83" s="151">
        <f t="shared" si="507"/>
        <v>42.036216294263269</v>
      </c>
      <c r="X83" s="151">
        <f t="shared" si="508"/>
        <v>67.426108293403715</v>
      </c>
      <c r="Y83" s="151">
        <f t="shared" si="509"/>
        <v>110.97628309412809</v>
      </c>
      <c r="Z83" s="151">
        <f t="shared" si="510"/>
        <v>233.15665942761999</v>
      </c>
      <c r="AA83" s="122"/>
      <c r="AB83" s="139"/>
      <c r="AC83" s="140"/>
      <c r="AD83" s="140"/>
      <c r="AE83" s="140"/>
      <c r="AF83" s="140"/>
      <c r="AG83" s="140"/>
      <c r="AH83" s="127"/>
      <c r="AI83" s="140"/>
      <c r="AJ83" s="140"/>
      <c r="AK83" s="140"/>
      <c r="AL83" s="140"/>
      <c r="AM83" s="140"/>
      <c r="AN83" s="81"/>
      <c r="AO83" s="81">
        <v>82</v>
      </c>
      <c r="AP83" s="133">
        <f t="shared" si="519"/>
        <v>3.2170365363173028</v>
      </c>
      <c r="AQ83" s="133">
        <f t="shared" si="520"/>
        <v>6.7039013272716934</v>
      </c>
      <c r="AR83" s="133">
        <f t="shared" si="521"/>
        <v>10.134683664621441</v>
      </c>
      <c r="AS83" s="133">
        <f t="shared" si="522"/>
        <v>14.592023496106396</v>
      </c>
      <c r="AT83" s="133">
        <f t="shared" si="864"/>
        <v>23.23999991027269</v>
      </c>
      <c r="AU83" s="134">
        <f t="shared" si="865"/>
        <v>34.692387057971651</v>
      </c>
      <c r="AV83" s="133">
        <f t="shared" si="866"/>
        <v>48.08633342918499</v>
      </c>
      <c r="AW83" s="133">
        <f t="shared" si="523"/>
        <v>61.77816101480763</v>
      </c>
      <c r="AX83" s="133">
        <f t="shared" si="524"/>
        <v>70.753040732612092</v>
      </c>
      <c r="AY83" s="133">
        <f t="shared" si="525"/>
        <v>79.006543256191321</v>
      </c>
      <c r="AZ83" s="133">
        <f t="shared" si="526"/>
        <v>89.154057705342311</v>
      </c>
      <c r="BA83" s="81"/>
      <c r="BB83" s="81">
        <v>82</v>
      </c>
      <c r="BC83" s="133">
        <f t="shared" si="527"/>
        <v>5.9142013116854981</v>
      </c>
      <c r="BD83" s="133">
        <f t="shared" si="528"/>
        <v>10.021279841610657</v>
      </c>
      <c r="BE83" s="133">
        <f t="shared" si="529"/>
        <v>13.919955305993007</v>
      </c>
      <c r="BF83" s="133">
        <f t="shared" si="530"/>
        <v>18.818949093067644</v>
      </c>
      <c r="BG83" s="133">
        <f t="shared" si="867"/>
        <v>27.914666240858576</v>
      </c>
      <c r="BH83" s="134">
        <f t="shared" si="868"/>
        <v>39.351336714356506</v>
      </c>
      <c r="BI83" s="133">
        <f t="shared" si="869"/>
        <v>52.093347012409765</v>
      </c>
      <c r="BJ83" s="133">
        <f t="shared" si="531"/>
        <v>64.591508611847274</v>
      </c>
      <c r="BK83" s="133">
        <f t="shared" si="532"/>
        <v>72.552392254224941</v>
      </c>
      <c r="BL83" s="133">
        <f t="shared" si="533"/>
        <v>79.735645036484684</v>
      </c>
      <c r="BM83" s="133">
        <f t="shared" si="534"/>
        <v>88.407524906447676</v>
      </c>
      <c r="BN83" s="122"/>
      <c r="BO83" s="139"/>
      <c r="BP83" s="140"/>
      <c r="BQ83" s="140"/>
      <c r="BR83" s="140"/>
      <c r="BS83" s="140"/>
      <c r="BT83" s="140"/>
      <c r="BU83" s="127"/>
      <c r="BV83" s="140"/>
      <c r="BW83" s="140"/>
      <c r="BX83" s="140"/>
      <c r="BY83" s="140"/>
      <c r="BZ83" s="140"/>
      <c r="CA83" s="81"/>
      <c r="CB83" s="81">
        <v>82</v>
      </c>
      <c r="CC83" s="133">
        <f t="shared" si="543"/>
        <v>1.4456957971438351</v>
      </c>
      <c r="CD83" s="133">
        <f t="shared" si="544"/>
        <v>4.9834939097107993</v>
      </c>
      <c r="CE83" s="133">
        <f t="shared" si="545"/>
        <v>8.2965145442434789</v>
      </c>
      <c r="CF83" s="133">
        <f t="shared" si="546"/>
        <v>12.393052055182267</v>
      </c>
      <c r="CG83" s="133">
        <f t="shared" si="873"/>
        <v>19.815848730456175</v>
      </c>
      <c r="CH83" s="134">
        <f t="shared" si="874"/>
        <v>28.859402131949704</v>
      </c>
      <c r="CI83" s="133">
        <f t="shared" si="875"/>
        <v>38.624646231366839</v>
      </c>
      <c r="CJ83" s="133">
        <f t="shared" si="547"/>
        <v>47.942546775464201</v>
      </c>
      <c r="CK83" s="133">
        <f t="shared" si="548"/>
        <v>53.763073027246818</v>
      </c>
      <c r="CL83" s="133">
        <f t="shared" si="549"/>
        <v>58.94703396604168</v>
      </c>
      <c r="CM83" s="133">
        <f t="shared" si="550"/>
        <v>65.126932690560366</v>
      </c>
      <c r="CN83" s="81"/>
      <c r="CO83" s="81">
        <v>82</v>
      </c>
      <c r="CP83" s="133">
        <f t="shared" si="551"/>
        <v>7.1676630284361087</v>
      </c>
      <c r="CQ83" s="133">
        <f t="shared" si="552"/>
        <v>10.503230705008757</v>
      </c>
      <c r="CR83" s="133">
        <f t="shared" si="553"/>
        <v>13.547485861879675</v>
      </c>
      <c r="CS83" s="133">
        <f t="shared" si="554"/>
        <v>17.2443491044924</v>
      </c>
      <c r="CT83" s="133">
        <f t="shared" si="876"/>
        <v>23.823473099759987</v>
      </c>
      <c r="CU83" s="134">
        <f t="shared" si="877"/>
        <v>31.713141173273126</v>
      </c>
      <c r="CV83" s="133">
        <f t="shared" si="878"/>
        <v>40.13940897761416</v>
      </c>
      <c r="CW83" s="133">
        <f t="shared" si="555"/>
        <v>48.122029097090909</v>
      </c>
      <c r="CX83" s="133">
        <f t="shared" si="556"/>
        <v>53.088103804214946</v>
      </c>
      <c r="CY83" s="133">
        <f t="shared" si="557"/>
        <v>57.500747374454825</v>
      </c>
      <c r="CZ83" s="133">
        <f t="shared" si="558"/>
        <v>62.750617960103689</v>
      </c>
      <c r="DA83" s="81"/>
      <c r="DB83" s="81"/>
      <c r="DC83" s="83"/>
      <c r="DD83" s="83"/>
      <c r="DE83" s="83"/>
      <c r="DF83" s="83"/>
      <c r="DG83" s="83"/>
      <c r="DH83" s="84"/>
      <c r="DI83" s="83"/>
      <c r="DJ83" s="83"/>
      <c r="DK83" s="83"/>
      <c r="DL83" s="83"/>
      <c r="DM83" s="83"/>
      <c r="DN83" s="81"/>
      <c r="DO83" s="81">
        <v>82</v>
      </c>
      <c r="DP83" s="133">
        <v>15.469948478605364</v>
      </c>
      <c r="DQ83" s="133">
        <v>16.76011016711394</v>
      </c>
      <c r="DR83" s="133">
        <v>17.955455488128035</v>
      </c>
      <c r="DS83" s="133">
        <v>19.43980005554403</v>
      </c>
      <c r="DT83" s="133">
        <v>22.194029959314673</v>
      </c>
      <c r="DU83" s="134">
        <v>25.726138273875847</v>
      </c>
      <c r="DV83" s="133">
        <v>29.82037023919635</v>
      </c>
      <c r="DW83" s="133">
        <v>34.045318809636171</v>
      </c>
      <c r="DX83" s="133">
        <v>36.859782862327137</v>
      </c>
      <c r="DY83" s="133">
        <v>39.488653946034674</v>
      </c>
      <c r="DZ83" s="133">
        <v>42.781925964516525</v>
      </c>
      <c r="EA83" s="81"/>
      <c r="EB83" s="81">
        <v>82</v>
      </c>
      <c r="EC83" s="133">
        <v>14.409598039327252</v>
      </c>
      <c r="ED83" s="133">
        <v>16.073844934379004</v>
      </c>
      <c r="EE83" s="133">
        <v>17.658131041662479</v>
      </c>
      <c r="EF83" s="133">
        <v>19.679467661634305</v>
      </c>
      <c r="EG83" s="133">
        <v>23.57936555351942</v>
      </c>
      <c r="EH83" s="134">
        <v>28.843530327944414</v>
      </c>
      <c r="EI83" s="133">
        <v>35.28293583178592</v>
      </c>
      <c r="EJ83" s="133">
        <v>42.274987112632026</v>
      </c>
      <c r="EK83" s="133">
        <v>47.114229689209658</v>
      </c>
      <c r="EL83" s="133">
        <v>51.757948715783748</v>
      </c>
      <c r="EM83" s="133">
        <v>57.735770249000716</v>
      </c>
      <c r="EN83" s="122"/>
      <c r="EO83" s="122"/>
      <c r="EP83" s="126"/>
      <c r="EQ83" s="126"/>
      <c r="ER83" s="126"/>
      <c r="ES83" s="126"/>
      <c r="ET83" s="126"/>
      <c r="EU83" s="127"/>
      <c r="EV83" s="126"/>
      <c r="EW83" s="126"/>
      <c r="EX83" s="126"/>
      <c r="EY83" s="126"/>
      <c r="EZ83" s="126"/>
      <c r="FA83" s="81"/>
      <c r="FB83" s="81">
        <v>82</v>
      </c>
      <c r="FC83" s="133">
        <v>11.450742776644612</v>
      </c>
      <c r="FD83" s="133">
        <v>12.255029248672823</v>
      </c>
      <c r="FE83" s="133">
        <v>12.991800354452481</v>
      </c>
      <c r="FF83" s="133">
        <v>13.896391516461158</v>
      </c>
      <c r="FG83" s="133">
        <v>15.547743292501655</v>
      </c>
      <c r="FH83" s="134">
        <v>17.620601917989461</v>
      </c>
      <c r="FI83" s="133">
        <v>19.969818520350451</v>
      </c>
      <c r="FJ83" s="133">
        <v>22.342894670495152</v>
      </c>
      <c r="FK83" s="133">
        <v>23.898582450572068</v>
      </c>
      <c r="FL83" s="133">
        <v>25.335362784701505</v>
      </c>
      <c r="FM83" s="133">
        <v>27.114888353402957</v>
      </c>
      <c r="FN83" s="81"/>
      <c r="FO83" s="81">
        <v>82</v>
      </c>
      <c r="FP83" s="133">
        <v>11.329172646411957</v>
      </c>
      <c r="FQ83" s="133">
        <v>12.262730695117531</v>
      </c>
      <c r="FR83" s="133">
        <v>13.126942461449509</v>
      </c>
      <c r="FS83" s="133">
        <v>14.199181125198587</v>
      </c>
      <c r="FT83" s="133">
        <v>16.186302767555613</v>
      </c>
      <c r="FU83" s="134">
        <v>18.730546381972157</v>
      </c>
      <c r="FV83" s="133">
        <v>21.674706868231382</v>
      </c>
      <c r="FW83" s="133">
        <v>24.708000037030555</v>
      </c>
      <c r="FX83" s="133">
        <v>26.726205953710743</v>
      </c>
      <c r="FY83" s="133">
        <v>28.609726209423851</v>
      </c>
      <c r="FZ83" s="133">
        <v>30.967254072019305</v>
      </c>
      <c r="GA83" s="122"/>
      <c r="GB83" s="122"/>
      <c r="GC83" s="126"/>
      <c r="GD83" s="126"/>
      <c r="GE83" s="126"/>
      <c r="GF83" s="126"/>
      <c r="GG83" s="126"/>
      <c r="GH83" s="127"/>
      <c r="GI83" s="126"/>
      <c r="GJ83" s="126"/>
      <c r="GK83" s="126"/>
      <c r="GL83" s="126"/>
      <c r="GM83" s="126"/>
      <c r="GN83" s="122"/>
      <c r="GO83" s="122">
        <v>82</v>
      </c>
      <c r="GP83" s="149">
        <f t="shared" si="567"/>
        <v>0.55260324970449581</v>
      </c>
      <c r="GQ83" s="149">
        <f t="shared" si="568"/>
        <v>0.58281377524979261</v>
      </c>
      <c r="GR83" s="149">
        <f t="shared" si="569"/>
        <v>0.6075274988391538</v>
      </c>
      <c r="GS83" s="149">
        <f t="shared" si="570"/>
        <v>0.63475953241631577</v>
      </c>
      <c r="GT83" s="149">
        <f t="shared" si="882"/>
        <v>0.67883502097974435</v>
      </c>
      <c r="GU83" s="150">
        <f t="shared" si="883"/>
        <v>0.72223270117578808</v>
      </c>
      <c r="GV83" s="149">
        <f t="shared" si="884"/>
        <v>0.76302737608007143</v>
      </c>
      <c r="GW83" s="149">
        <f t="shared" si="571"/>
        <v>0.79969263527273093</v>
      </c>
      <c r="GX83" s="149">
        <f t="shared" si="572"/>
        <v>0.82024625251196914</v>
      </c>
      <c r="GY83" s="149">
        <f t="shared" si="573"/>
        <v>0.83764119902927303</v>
      </c>
      <c r="GZ83" s="149">
        <f t="shared" si="574"/>
        <v>0.85739703320320948</v>
      </c>
      <c r="HA83" s="122"/>
      <c r="HB83" s="122">
        <v>82</v>
      </c>
      <c r="HC83" s="149">
        <f t="shared" si="575"/>
        <v>0.55754948546046945</v>
      </c>
      <c r="HD83" s="149">
        <f t="shared" si="576"/>
        <v>0.58771169264209744</v>
      </c>
      <c r="HE83" s="149">
        <f t="shared" si="577"/>
        <v>0.61242051701605504</v>
      </c>
      <c r="HF83" s="149">
        <f t="shared" si="578"/>
        <v>0.63967959569767097</v>
      </c>
      <c r="HG83" s="149">
        <f t="shared" si="885"/>
        <v>0.68264362544984036</v>
      </c>
      <c r="HH83" s="150">
        <f t="shared" si="886"/>
        <v>0.72743542835494113</v>
      </c>
      <c r="HI83" s="149">
        <f t="shared" si="887"/>
        <v>0.76952680439587817</v>
      </c>
      <c r="HJ83" s="149">
        <f t="shared" si="579"/>
        <v>0.80534975704225531</v>
      </c>
      <c r="HK83" s="149">
        <f t="shared" si="580"/>
        <v>0.82605086940617445</v>
      </c>
      <c r="HL83" s="149">
        <f t="shared" si="581"/>
        <v>0.8435786274448771</v>
      </c>
      <c r="HM83" s="149">
        <f t="shared" si="582"/>
        <v>0.86349377368523661</v>
      </c>
      <c r="HN83" s="122"/>
      <c r="HO83" s="122"/>
      <c r="HP83" s="126"/>
      <c r="HQ83" s="126"/>
      <c r="HR83" s="126"/>
      <c r="HS83" s="126"/>
      <c r="HT83" s="126"/>
      <c r="HU83" s="127"/>
      <c r="HV83" s="126"/>
      <c r="HW83" s="126"/>
      <c r="HX83" s="126"/>
      <c r="HY83" s="126"/>
      <c r="HZ83" s="126"/>
      <c r="IA83" s="122"/>
      <c r="IB83" s="122">
        <v>82</v>
      </c>
      <c r="IC83" s="126">
        <f t="shared" si="591"/>
        <v>0.35675755146273647</v>
      </c>
      <c r="ID83" s="126">
        <f t="shared" si="592"/>
        <v>0.36853724473928556</v>
      </c>
      <c r="IE83" s="126">
        <f t="shared" si="593"/>
        <v>0.3779359404496791</v>
      </c>
      <c r="IF83" s="126">
        <f t="shared" si="594"/>
        <v>0.38806562468754491</v>
      </c>
      <c r="IG83" s="126">
        <f t="shared" si="891"/>
        <v>0.40357029067775302</v>
      </c>
      <c r="IH83" s="127">
        <f t="shared" si="892"/>
        <v>0.41919685640240201</v>
      </c>
      <c r="II83" s="126">
        <f t="shared" si="893"/>
        <v>0.43343563526883544</v>
      </c>
      <c r="IJ83" s="126">
        <f t="shared" si="595"/>
        <v>0.44524631518468732</v>
      </c>
      <c r="IK83" s="126">
        <f t="shared" si="596"/>
        <v>0.45195184129034921</v>
      </c>
      <c r="IL83" s="126">
        <f t="shared" si="597"/>
        <v>0.45756459229807039</v>
      </c>
      <c r="IM83" s="126">
        <f t="shared" si="598"/>
        <v>0.46387253101769627</v>
      </c>
      <c r="IN83" s="122"/>
      <c r="IO83" s="122">
        <v>82</v>
      </c>
      <c r="IP83" s="149">
        <f t="shared" si="599"/>
        <v>0.35834949667033794</v>
      </c>
      <c r="IQ83" s="149">
        <f t="shared" si="600"/>
        <v>0.37011791570255104</v>
      </c>
      <c r="IR83" s="149">
        <f t="shared" si="601"/>
        <v>0.37952158339835812</v>
      </c>
      <c r="IS83" s="149">
        <f t="shared" si="602"/>
        <v>0.38966913709851031</v>
      </c>
      <c r="IT83" s="149">
        <f t="shared" si="894"/>
        <v>0.40522366832794693</v>
      </c>
      <c r="IU83" s="150">
        <f t="shared" si="895"/>
        <v>0.42092485059462387</v>
      </c>
      <c r="IV83" s="149">
        <f t="shared" si="896"/>
        <v>0.43525034054504652</v>
      </c>
      <c r="IW83" s="149">
        <f t="shared" si="603"/>
        <v>0.44714505928395221</v>
      </c>
      <c r="IX83" s="149">
        <f t="shared" si="604"/>
        <v>0.45390279555012847</v>
      </c>
      <c r="IY83" s="149">
        <f t="shared" si="605"/>
        <v>0.45956160880499225</v>
      </c>
      <c r="IZ83" s="149">
        <f t="shared" si="606"/>
        <v>0.46592377180240779</v>
      </c>
      <c r="JA83" s="122"/>
      <c r="JB83" s="122"/>
      <c r="JC83" s="126"/>
      <c r="JD83" s="126"/>
      <c r="JE83" s="126"/>
      <c r="JF83" s="126"/>
      <c r="JG83" s="126"/>
      <c r="JH83" s="127"/>
      <c r="JI83" s="126"/>
      <c r="JJ83" s="126"/>
      <c r="JK83" s="126"/>
      <c r="JL83" s="126"/>
      <c r="JM83" s="126"/>
      <c r="JN83" s="122"/>
      <c r="JO83" s="122">
        <v>81</v>
      </c>
      <c r="JP83" s="149">
        <f t="shared" si="615"/>
        <v>5.4943926321957193</v>
      </c>
      <c r="JQ83" s="149">
        <f t="shared" si="616"/>
        <v>6.8742950571187826</v>
      </c>
      <c r="JR83" s="149">
        <f t="shared" si="617"/>
        <v>8.0708038487614822</v>
      </c>
      <c r="JS83" s="149">
        <f t="shared" si="618"/>
        <v>9.4611261801178053</v>
      </c>
      <c r="JT83" s="149">
        <f t="shared" si="900"/>
        <v>11.805331182234202</v>
      </c>
      <c r="JU83" s="150">
        <f t="shared" si="901"/>
        <v>14.45330751706334</v>
      </c>
      <c r="JV83" s="149">
        <f t="shared" si="902"/>
        <v>17.136580255694941</v>
      </c>
      <c r="JW83" s="149">
        <f t="shared" si="619"/>
        <v>19.572681559181103</v>
      </c>
      <c r="JX83" s="149">
        <f t="shared" si="620"/>
        <v>21.04556224320191</v>
      </c>
      <c r="JY83" s="149">
        <f t="shared" si="621"/>
        <v>22.330473212087778</v>
      </c>
      <c r="JZ83" s="149">
        <f t="shared" si="622"/>
        <v>23.832929867892563</v>
      </c>
      <c r="KA83" s="122"/>
      <c r="KB83" s="122">
        <v>81</v>
      </c>
      <c r="KC83" s="149">
        <f t="shared" si="623"/>
        <v>7.0652082795137385</v>
      </c>
      <c r="KD83" s="149">
        <f t="shared" si="624"/>
        <v>8.5451583985619681</v>
      </c>
      <c r="KE83" s="149">
        <f t="shared" si="625"/>
        <v>9.8457943651455633</v>
      </c>
      <c r="KF83" s="149">
        <f t="shared" si="626"/>
        <v>11.376472656382559</v>
      </c>
      <c r="KG83" s="149">
        <f t="shared" si="903"/>
        <v>14.002005015042227</v>
      </c>
      <c r="KH83" s="150">
        <f t="shared" si="904"/>
        <v>17.0310054241369</v>
      </c>
      <c r="KI83" s="149">
        <f t="shared" si="905"/>
        <v>20.164066509935594</v>
      </c>
      <c r="KJ83" s="149">
        <f t="shared" si="627"/>
        <v>23.060437443940529</v>
      </c>
      <c r="KK83" s="149">
        <f t="shared" si="628"/>
        <v>24.834323153707018</v>
      </c>
      <c r="KL83" s="149">
        <f t="shared" si="629"/>
        <v>26.395266542327825</v>
      </c>
      <c r="KM83" s="149">
        <f t="shared" si="630"/>
        <v>28.235891239913016</v>
      </c>
      <c r="KN83" s="122"/>
      <c r="KO83" s="144"/>
      <c r="KP83" s="145"/>
      <c r="KQ83" s="145"/>
      <c r="KR83" s="145"/>
      <c r="KS83" s="145"/>
      <c r="KT83" s="145"/>
      <c r="KU83" s="146"/>
      <c r="KV83" s="145"/>
      <c r="KW83" s="145"/>
      <c r="KX83" s="145"/>
      <c r="KY83" s="145"/>
      <c r="KZ83" s="145"/>
      <c r="LA83" s="122"/>
      <c r="LB83" s="122">
        <v>81</v>
      </c>
      <c r="LC83" s="149">
        <f t="shared" si="639"/>
        <v>17.61020175973681</v>
      </c>
      <c r="LD83" s="149">
        <f t="shared" si="640"/>
        <v>21.205752804330409</v>
      </c>
      <c r="LE83" s="149">
        <f t="shared" si="641"/>
        <v>24.335742655249668</v>
      </c>
      <c r="LF83" s="149">
        <f t="shared" si="642"/>
        <v>27.986128388628849</v>
      </c>
      <c r="LG83" s="149">
        <f t="shared" si="909"/>
        <v>34.171086687409023</v>
      </c>
      <c r="LH83" s="150">
        <f t="shared" si="910"/>
        <v>41.198772861355785</v>
      </c>
      <c r="LI83" s="149">
        <f t="shared" si="911"/>
        <v>48.360238381221613</v>
      </c>
      <c r="LJ83" s="149">
        <f t="shared" si="643"/>
        <v>54.893659189345449</v>
      </c>
      <c r="LK83" s="149">
        <f t="shared" si="644"/>
        <v>58.857299023258882</v>
      </c>
      <c r="LL83" s="149">
        <f t="shared" si="645"/>
        <v>62.322930768387032</v>
      </c>
      <c r="LM83" s="149">
        <f t="shared" si="646"/>
        <v>66.384165917247174</v>
      </c>
      <c r="LN83" s="122"/>
      <c r="LO83" s="122">
        <v>81</v>
      </c>
      <c r="LP83" s="149">
        <f t="shared" si="647"/>
        <v>23.469202708233393</v>
      </c>
      <c r="LQ83" s="149">
        <f t="shared" si="648"/>
        <v>27.282703203659533</v>
      </c>
      <c r="LR83" s="149">
        <f t="shared" si="649"/>
        <v>30.609018170241686</v>
      </c>
      <c r="LS83" s="149">
        <f t="shared" si="650"/>
        <v>34.495671311105511</v>
      </c>
      <c r="LT83" s="149">
        <f t="shared" si="912"/>
        <v>41.097673956121639</v>
      </c>
      <c r="LU83" s="150">
        <f t="shared" si="913"/>
        <v>48.622700732743539</v>
      </c>
      <c r="LV83" s="149">
        <f t="shared" si="914"/>
        <v>56.314365318842775</v>
      </c>
      <c r="LW83" s="149">
        <f t="shared" si="651"/>
        <v>63.350365893996553</v>
      </c>
      <c r="LX83" s="149">
        <f t="shared" si="652"/>
        <v>67.627100568630169</v>
      </c>
      <c r="LY83" s="149">
        <f t="shared" si="653"/>
        <v>71.371306252346443</v>
      </c>
      <c r="LZ83" s="149">
        <f t="shared" si="654"/>
        <v>75.764486681829183</v>
      </c>
      <c r="MA83" s="122"/>
      <c r="MB83" s="144"/>
      <c r="MC83" s="145"/>
      <c r="MD83" s="145"/>
      <c r="ME83" s="145"/>
      <c r="MF83" s="145"/>
      <c r="MG83" s="145"/>
      <c r="MH83" s="146"/>
      <c r="MI83" s="145"/>
      <c r="MJ83" s="145"/>
      <c r="MK83" s="145"/>
      <c r="ML83" s="145"/>
      <c r="MM83" s="145"/>
      <c r="MN83" s="122"/>
      <c r="MO83" s="122">
        <v>81</v>
      </c>
      <c r="MP83" s="149">
        <f t="shared" si="663"/>
        <v>11.466246662257788</v>
      </c>
      <c r="MQ83" s="149">
        <f t="shared" si="664"/>
        <v>15.318738113739514</v>
      </c>
      <c r="MR83" s="149">
        <f t="shared" si="665"/>
        <v>18.639395648816354</v>
      </c>
      <c r="MS83" s="149">
        <f t="shared" si="666"/>
        <v>22.475773294978083</v>
      </c>
      <c r="MT83" s="149">
        <f t="shared" si="918"/>
        <v>28.892974190944933</v>
      </c>
      <c r="MU83" s="150">
        <f t="shared" si="919"/>
        <v>36.0691255964364</v>
      </c>
      <c r="MV83" s="149">
        <f t="shared" si="920"/>
        <v>43.267935517936444</v>
      </c>
      <c r="MW83" s="149">
        <f t="shared" si="667"/>
        <v>49.744342666665851</v>
      </c>
      <c r="MX83" s="149">
        <f t="shared" si="668"/>
        <v>53.634179319612592</v>
      </c>
      <c r="MY83" s="149">
        <f t="shared" si="669"/>
        <v>57.012370236531403</v>
      </c>
      <c r="MZ83" s="149">
        <f t="shared" si="670"/>
        <v>60.945134725267884</v>
      </c>
      <c r="NA83" s="122"/>
      <c r="NB83" s="122">
        <v>81</v>
      </c>
      <c r="NC83" s="149">
        <f t="shared" si="671"/>
        <v>23.914370841582514</v>
      </c>
      <c r="ND83" s="149">
        <f t="shared" si="672"/>
        <v>26.94069096504931</v>
      </c>
      <c r="NE83" s="149">
        <f t="shared" si="673"/>
        <v>29.549386855757444</v>
      </c>
      <c r="NF83" s="149">
        <f t="shared" si="674"/>
        <v>32.563508113218987</v>
      </c>
      <c r="NG83" s="149">
        <f t="shared" si="921"/>
        <v>37.606178604547054</v>
      </c>
      <c r="NH83" s="150">
        <f t="shared" si="922"/>
        <v>43.24682484644606</v>
      </c>
      <c r="NI83" s="149">
        <f t="shared" si="923"/>
        <v>48.907208137677571</v>
      </c>
      <c r="NJ83" s="149">
        <f t="shared" si="675"/>
        <v>54.001348218824788</v>
      </c>
      <c r="NK83" s="149">
        <f t="shared" si="676"/>
        <v>57.061812699681624</v>
      </c>
      <c r="NL83" s="149">
        <f t="shared" si="677"/>
        <v>59.720242834027786</v>
      </c>
      <c r="NM83" s="149">
        <f t="shared" si="678"/>
        <v>62.815703823629988</v>
      </c>
      <c r="NN83" s="122"/>
      <c r="NO83" s="122"/>
      <c r="NP83" s="126"/>
      <c r="NQ83" s="126"/>
      <c r="NR83" s="126"/>
      <c r="NS83" s="126"/>
      <c r="NT83" s="126"/>
      <c r="NU83" s="127"/>
      <c r="NV83" s="126"/>
      <c r="NW83" s="126"/>
      <c r="NX83" s="126"/>
      <c r="NY83" s="126"/>
      <c r="NZ83" s="126"/>
      <c r="OA83" s="122"/>
      <c r="OB83" s="122">
        <v>81</v>
      </c>
      <c r="OC83" s="149">
        <v>16.845863586420627</v>
      </c>
      <c r="OD83" s="149">
        <v>18.152752254692533</v>
      </c>
      <c r="OE83" s="149">
        <v>19.357556851242535</v>
      </c>
      <c r="OF83" s="149">
        <v>20.846194411061038</v>
      </c>
      <c r="OG83" s="149">
        <v>23.588615102239576</v>
      </c>
      <c r="OH83" s="150">
        <v>27.07252994042361</v>
      </c>
      <c r="OI83" s="149">
        <v>31.071000743301248</v>
      </c>
      <c r="OJ83" s="149">
        <v>35.158545628176761</v>
      </c>
      <c r="OK83" s="149">
        <v>37.862313049494553</v>
      </c>
      <c r="OL83" s="149">
        <v>40.375248176797598</v>
      </c>
      <c r="OM83" s="149">
        <v>43.507527745026849</v>
      </c>
      <c r="ON83" s="122"/>
      <c r="OO83" s="122">
        <v>81</v>
      </c>
      <c r="OP83" s="149">
        <v>22.1200825271222</v>
      </c>
      <c r="OQ83" s="149">
        <v>23.129390239523239</v>
      </c>
      <c r="OR83" s="149">
        <v>24.03420867985961</v>
      </c>
      <c r="OS83" s="149">
        <v>25.121424744960599</v>
      </c>
      <c r="OT83" s="149">
        <v>23.681400383855969</v>
      </c>
      <c r="OU83" s="150">
        <v>29.364554831485005</v>
      </c>
      <c r="OV83" s="149">
        <v>31.882288939040738</v>
      </c>
      <c r="OW83" s="149">
        <v>34.324370102625799</v>
      </c>
      <c r="OX83" s="149">
        <v>35.877073879859743</v>
      </c>
      <c r="OY83" s="149">
        <v>37.280579882207192</v>
      </c>
      <c r="OZ83" s="149">
        <v>38.981639394609928</v>
      </c>
      <c r="PA83" s="122"/>
      <c r="PB83" s="122"/>
      <c r="PC83" s="126"/>
      <c r="PD83" s="126"/>
      <c r="PE83" s="126"/>
      <c r="PF83" s="126"/>
      <c r="PG83" s="126"/>
      <c r="PH83" s="127"/>
      <c r="PI83" s="126"/>
      <c r="PJ83" s="126"/>
      <c r="PK83" s="126"/>
      <c r="PL83" s="126"/>
      <c r="PM83" s="126"/>
      <c r="PN83" s="122"/>
      <c r="PO83" s="122">
        <v>81</v>
      </c>
      <c r="PP83" s="149">
        <v>12.265888716160733</v>
      </c>
      <c r="PQ83" s="149">
        <v>13.277073851858715</v>
      </c>
      <c r="PR83" s="149">
        <v>14.213175156118499</v>
      </c>
      <c r="PS83" s="149">
        <v>15.374643699556543</v>
      </c>
      <c r="PT83" s="149">
        <v>17.527225173158129</v>
      </c>
      <c r="PU83" s="150">
        <v>20.283477711367635</v>
      </c>
      <c r="PV83" s="149">
        <v>23.473166117453161</v>
      </c>
      <c r="PW83" s="149">
        <v>26.759609920548222</v>
      </c>
      <c r="PX83" s="149">
        <v>28.946344750450734</v>
      </c>
      <c r="PY83" s="149">
        <v>30.98720943018262</v>
      </c>
      <c r="PZ83" s="149">
        <v>33.541757763176847</v>
      </c>
      <c r="QA83" s="122"/>
      <c r="QB83" s="122">
        <v>81</v>
      </c>
      <c r="QC83" s="149">
        <v>13.168580328478928</v>
      </c>
      <c r="QD83" s="149">
        <v>14.217168071669469</v>
      </c>
      <c r="QE83" s="149">
        <v>15.185554428978874</v>
      </c>
      <c r="QF83" s="149">
        <v>16.384186881772813</v>
      </c>
      <c r="QG83" s="149">
        <v>18.597951978345147</v>
      </c>
      <c r="QH83" s="150">
        <v>21.419654253284282</v>
      </c>
      <c r="QI83" s="149">
        <v>24.669468383639938</v>
      </c>
      <c r="QJ83" s="149">
        <v>28.002707222575079</v>
      </c>
      <c r="QK83" s="149">
        <v>30.213028472289405</v>
      </c>
      <c r="QL83" s="149">
        <v>32.270954807412913</v>
      </c>
      <c r="QM83" s="149">
        <v>34.840626467381277</v>
      </c>
      <c r="QN83" s="122"/>
      <c r="QO83" s="122"/>
      <c r="QP83" s="126"/>
      <c r="QQ83" s="126"/>
      <c r="QR83" s="126"/>
      <c r="QS83" s="126"/>
      <c r="QT83" s="126"/>
      <c r="QU83" s="127"/>
      <c r="QV83" s="126"/>
      <c r="QW83" s="126"/>
      <c r="QX83" s="126"/>
      <c r="QY83" s="126"/>
      <c r="QZ83" s="126"/>
      <c r="RA83" s="122"/>
      <c r="RB83" s="122">
        <v>81</v>
      </c>
      <c r="RC83" s="149">
        <f t="shared" si="687"/>
        <v>0.49682118211589121</v>
      </c>
      <c r="RD83" s="149">
        <f t="shared" si="688"/>
        <v>0.5424820089057486</v>
      </c>
      <c r="RE83" s="149">
        <f t="shared" si="689"/>
        <v>0.58565980264797135</v>
      </c>
      <c r="RF83" s="149">
        <f t="shared" si="690"/>
        <v>0.64045033192241463</v>
      </c>
      <c r="RG83" s="149">
        <f t="shared" si="927"/>
        <v>0.74557652190572021</v>
      </c>
      <c r="RH83" s="150">
        <f t="shared" si="928"/>
        <v>0.88701420075031401</v>
      </c>
      <c r="RI83" s="149">
        <f t="shared" si="929"/>
        <v>1.0603335821475335</v>
      </c>
      <c r="RJ83" s="149">
        <f t="shared" si="691"/>
        <v>1.2498168802966139</v>
      </c>
      <c r="RK83" s="149">
        <f t="shared" si="692"/>
        <v>1.3820795776092476</v>
      </c>
      <c r="RL83" s="149">
        <f t="shared" si="693"/>
        <v>1.5100126736496904</v>
      </c>
      <c r="RM83" s="149">
        <f t="shared" si="694"/>
        <v>1.6763064264960259</v>
      </c>
      <c r="RN83" s="122"/>
      <c r="RO83" s="122">
        <v>81</v>
      </c>
      <c r="RP83" s="149">
        <f t="shared" si="695"/>
        <v>0.5467749984476129</v>
      </c>
      <c r="RQ83" s="149">
        <f t="shared" si="696"/>
        <v>0.60128054973286815</v>
      </c>
      <c r="RR83" s="149">
        <f t="shared" si="697"/>
        <v>0.65351782386629165</v>
      </c>
      <c r="RS83" s="149">
        <f t="shared" si="698"/>
        <v>0.72076140703211011</v>
      </c>
      <c r="RT83" s="149">
        <f t="shared" si="930"/>
        <v>0.85271108499997683</v>
      </c>
      <c r="RU83" s="150">
        <f t="shared" si="931"/>
        <v>1.0361312947969745</v>
      </c>
      <c r="RV83" s="149">
        <f t="shared" si="932"/>
        <v>1.2697770957877481</v>
      </c>
      <c r="RW83" s="149">
        <f t="shared" si="699"/>
        <v>1.5359841659147193</v>
      </c>
      <c r="RX83" s="149">
        <f t="shared" si="700"/>
        <v>1.7282604192939257</v>
      </c>
      <c r="RY83" s="149">
        <f t="shared" si="701"/>
        <v>1.9191714975015342</v>
      </c>
      <c r="RZ83" s="149">
        <f t="shared" si="702"/>
        <v>2.17442659491349</v>
      </c>
      <c r="SA83" s="122"/>
      <c r="SB83" s="122"/>
      <c r="SC83" s="149"/>
      <c r="SD83" s="149"/>
      <c r="SE83" s="149"/>
      <c r="SF83" s="149"/>
      <c r="SG83" s="149"/>
      <c r="SH83" s="150"/>
      <c r="SI83" s="149"/>
      <c r="SJ83" s="149"/>
      <c r="SK83" s="149"/>
      <c r="SL83" s="149"/>
      <c r="SM83" s="149"/>
      <c r="SN83" s="122"/>
      <c r="SO83" s="122">
        <v>81</v>
      </c>
      <c r="SP83" s="149">
        <f t="shared" si="711"/>
        <v>0.33298095360230251</v>
      </c>
      <c r="SQ83" s="149">
        <f t="shared" si="712"/>
        <v>0.35239415081209735</v>
      </c>
      <c r="SR83" s="149">
        <f t="shared" si="713"/>
        <v>0.36975617335054406</v>
      </c>
      <c r="SS83" s="149">
        <f t="shared" si="714"/>
        <v>0.39055777223002913</v>
      </c>
      <c r="ST83" s="149">
        <f t="shared" si="936"/>
        <v>0.42718838132006792</v>
      </c>
      <c r="SU83" s="150">
        <f t="shared" si="937"/>
        <v>0.47097642013671509</v>
      </c>
      <c r="SV83" s="149">
        <f t="shared" si="938"/>
        <v>0.5180334036513804</v>
      </c>
      <c r="SW83" s="149">
        <f t="shared" si="715"/>
        <v>0.56316390006382866</v>
      </c>
      <c r="SX83" s="149">
        <f t="shared" si="716"/>
        <v>0.59158805241966717</v>
      </c>
      <c r="SY83" s="149">
        <f t="shared" si="717"/>
        <v>0.61709779984642044</v>
      </c>
      <c r="SZ83" s="149">
        <f t="shared" si="718"/>
        <v>0.64778162624294588</v>
      </c>
      <c r="TA83" s="122"/>
      <c r="TB83" s="122">
        <v>81</v>
      </c>
      <c r="TC83" s="149">
        <f t="shared" si="719"/>
        <v>0.35455268323927408</v>
      </c>
      <c r="TD83" s="149">
        <f t="shared" si="720"/>
        <v>0.37618304045063622</v>
      </c>
      <c r="TE83" s="149">
        <f t="shared" si="721"/>
        <v>0.3956475168839314</v>
      </c>
      <c r="TF83" s="149">
        <f t="shared" si="722"/>
        <v>0.41911384681368058</v>
      </c>
      <c r="TG83" s="149">
        <f t="shared" si="939"/>
        <v>0.46081369468439554</v>
      </c>
      <c r="TH83" s="150">
        <f t="shared" si="940"/>
        <v>0.51127188083796682</v>
      </c>
      <c r="TI83" s="149">
        <f t="shared" si="941"/>
        <v>0.56620933063333867</v>
      </c>
      <c r="TJ83" s="149">
        <f t="shared" si="723"/>
        <v>0.6195638047533637</v>
      </c>
      <c r="TK83" s="149">
        <f t="shared" si="724"/>
        <v>0.65349122506691093</v>
      </c>
      <c r="TL83" s="149">
        <f t="shared" si="725"/>
        <v>0.68414736829860467</v>
      </c>
      <c r="TM83" s="149">
        <f t="shared" si="726"/>
        <v>0.72127572974189658</v>
      </c>
      <c r="TN83" s="122"/>
      <c r="TO83" s="122"/>
      <c r="TP83" s="149"/>
      <c r="TQ83" s="149"/>
      <c r="TR83" s="149"/>
      <c r="TS83" s="149"/>
      <c r="TT83" s="149"/>
      <c r="TU83" s="150"/>
      <c r="TV83" s="149"/>
      <c r="TW83" s="149"/>
      <c r="TX83" s="149"/>
      <c r="TY83" s="149"/>
      <c r="TZ83" s="149"/>
      <c r="UA83" s="122"/>
      <c r="UB83" s="122">
        <v>81</v>
      </c>
      <c r="UC83" s="149">
        <f t="shared" si="735"/>
        <v>-1.9125357662913487</v>
      </c>
      <c r="UD83" s="149">
        <f t="shared" si="736"/>
        <v>0.70241749417054677</v>
      </c>
      <c r="UE83" s="149">
        <f t="shared" si="737"/>
        <v>2.9163747044523376</v>
      </c>
      <c r="UF83" s="149">
        <f t="shared" si="738"/>
        <v>5.431370753165794</v>
      </c>
      <c r="UG83" s="149">
        <f t="shared" si="945"/>
        <v>9.5441028368346394</v>
      </c>
      <c r="UH83" s="150">
        <f t="shared" si="946"/>
        <v>14.017212364945777</v>
      </c>
      <c r="UI83" s="149">
        <f t="shared" si="947"/>
        <v>18.38504604145588</v>
      </c>
      <c r="UJ83" s="149">
        <f t="shared" si="739"/>
        <v>22.222532181493577</v>
      </c>
      <c r="UK83" s="149">
        <f t="shared" si="740"/>
        <v>24.488804787085854</v>
      </c>
      <c r="UL83" s="149">
        <f t="shared" si="741"/>
        <v>26.434882050835029</v>
      </c>
      <c r="UM83" s="149">
        <f t="shared" si="742"/>
        <v>28.675747564140352</v>
      </c>
      <c r="UN83" s="122"/>
      <c r="UO83" s="122">
        <v>81</v>
      </c>
      <c r="UP83" s="149">
        <f t="shared" si="743"/>
        <v>2.4398398271986395</v>
      </c>
      <c r="UQ83" s="149">
        <f t="shared" si="744"/>
        <v>4.7713492920125233</v>
      </c>
      <c r="UR83" s="149">
        <f t="shared" si="745"/>
        <v>6.7743252437888586</v>
      </c>
      <c r="US83" s="149">
        <f t="shared" si="746"/>
        <v>9.0811957771996816</v>
      </c>
      <c r="UT83" s="149">
        <f t="shared" si="948"/>
        <v>12.924034230312287</v>
      </c>
      <c r="UU83" s="150">
        <f t="shared" si="949"/>
        <v>17.199836147631906</v>
      </c>
      <c r="UV83" s="149">
        <f t="shared" si="950"/>
        <v>21.468499961730913</v>
      </c>
      <c r="UW83" s="149">
        <f t="shared" si="747"/>
        <v>25.292700084451866</v>
      </c>
      <c r="UX83" s="149">
        <f t="shared" si="748"/>
        <v>27.582758660392869</v>
      </c>
      <c r="UY83" s="149">
        <f t="shared" si="749"/>
        <v>29.567660147597742</v>
      </c>
      <c r="UZ83" s="149">
        <f t="shared" si="750"/>
        <v>31.873985297840811</v>
      </c>
      <c r="VA83" s="122"/>
      <c r="VB83" s="122"/>
      <c r="VC83" s="149"/>
      <c r="VD83" s="149"/>
      <c r="VE83" s="149"/>
      <c r="VF83" s="149"/>
      <c r="VG83" s="149"/>
      <c r="VH83" s="150"/>
      <c r="VI83" s="149"/>
      <c r="VJ83" s="149"/>
      <c r="VK83" s="149"/>
      <c r="VL83" s="149"/>
      <c r="VM83" s="149"/>
      <c r="VN83" s="122"/>
      <c r="VO83" s="122">
        <v>81</v>
      </c>
      <c r="VP83" s="149">
        <f t="shared" si="759"/>
        <v>-4.3969537205533982E-2</v>
      </c>
      <c r="VQ83" s="149">
        <f t="shared" si="760"/>
        <v>4.7621262454351125</v>
      </c>
      <c r="VR83" s="149">
        <f t="shared" si="761"/>
        <v>9.0285118919247012</v>
      </c>
      <c r="VS83" s="149">
        <f t="shared" si="762"/>
        <v>14.097935877539747</v>
      </c>
      <c r="VT83" s="149">
        <f t="shared" si="954"/>
        <v>22.90809290776064</v>
      </c>
      <c r="VU83" s="150">
        <f t="shared" si="955"/>
        <v>33.239221473897992</v>
      </c>
      <c r="VV83" s="149">
        <f t="shared" si="956"/>
        <v>44.098573414191527</v>
      </c>
      <c r="VW83" s="149">
        <f t="shared" si="763"/>
        <v>54.282524320486239</v>
      </c>
      <c r="VX83" s="149">
        <f t="shared" si="764"/>
        <v>60.584331972877685</v>
      </c>
      <c r="VY83" s="149">
        <f t="shared" si="765"/>
        <v>66.168424206168424</v>
      </c>
      <c r="VZ83" s="149">
        <f t="shared" si="766"/>
        <v>72.798008758298408</v>
      </c>
      <c r="WA83" s="122"/>
      <c r="WB83" s="122">
        <v>81</v>
      </c>
      <c r="WC83" s="149">
        <f t="shared" si="767"/>
        <v>9.5870384714361805</v>
      </c>
      <c r="WD83" s="149">
        <f t="shared" si="768"/>
        <v>14.229049468528984</v>
      </c>
      <c r="WE83" s="149">
        <f t="shared" si="769"/>
        <v>18.338807860787249</v>
      </c>
      <c r="WF83" s="149">
        <f t="shared" si="770"/>
        <v>23.210270563941314</v>
      </c>
      <c r="WG83" s="149">
        <f t="shared" si="957"/>
        <v>31.649881991987918</v>
      </c>
      <c r="WH83" s="150">
        <f t="shared" si="958"/>
        <v>41.510508371667264</v>
      </c>
      <c r="WI83" s="149">
        <f t="shared" si="959"/>
        <v>51.840887124619407</v>
      </c>
      <c r="WJ83" s="149">
        <f t="shared" si="771"/>
        <v>61.502109726622798</v>
      </c>
      <c r="WK83" s="149">
        <f t="shared" si="772"/>
        <v>67.469298505334336</v>
      </c>
      <c r="WL83" s="149">
        <f t="shared" si="773"/>
        <v>72.75049632686887</v>
      </c>
      <c r="WM83" s="149">
        <f t="shared" si="774"/>
        <v>79.013329762444585</v>
      </c>
      <c r="WN83" s="122"/>
      <c r="WO83" s="122"/>
      <c r="WP83" s="149"/>
      <c r="WQ83" s="149"/>
      <c r="WR83" s="149"/>
      <c r="WS83" s="149"/>
      <c r="WT83" s="149"/>
      <c r="WU83" s="150"/>
      <c r="WV83" s="149"/>
      <c r="WW83" s="149"/>
      <c r="WX83" s="149"/>
      <c r="WY83" s="149"/>
      <c r="WZ83" s="149"/>
      <c r="XA83" s="122"/>
      <c r="XB83" s="122">
        <v>81</v>
      </c>
      <c r="XC83" s="149">
        <f t="shared" si="783"/>
        <v>-5.8162384576007398</v>
      </c>
      <c r="XD83" s="149">
        <f t="shared" si="784"/>
        <v>-0.85659889948860979</v>
      </c>
      <c r="XE83" s="149">
        <f t="shared" si="785"/>
        <v>3.4956313415272291</v>
      </c>
      <c r="XF83" s="149">
        <f t="shared" si="786"/>
        <v>8.6086520072240305</v>
      </c>
      <c r="XG83" s="149">
        <f t="shared" si="963"/>
        <v>17.353776484832842</v>
      </c>
      <c r="XH83" s="150">
        <f t="shared" si="964"/>
        <v>27.400467124765051</v>
      </c>
      <c r="XI83" s="149">
        <f t="shared" si="965"/>
        <v>37.742925656263942</v>
      </c>
      <c r="XJ83" s="149">
        <f t="shared" si="787"/>
        <v>47.259215663970075</v>
      </c>
      <c r="XK83" s="149">
        <f t="shared" si="788"/>
        <v>53.066447240793032</v>
      </c>
      <c r="XL83" s="149">
        <f t="shared" si="789"/>
        <v>58.163546261671662</v>
      </c>
      <c r="XM83" s="149">
        <f t="shared" si="790"/>
        <v>64.158500567433492</v>
      </c>
      <c r="XN83" s="122"/>
      <c r="XO83" s="122">
        <v>81</v>
      </c>
      <c r="XP83" s="149">
        <f t="shared" si="791"/>
        <v>9.7924914808181214</v>
      </c>
      <c r="XQ83" s="149">
        <f t="shared" si="792"/>
        <v>13.728631806577475</v>
      </c>
      <c r="XR83" s="149">
        <f t="shared" si="793"/>
        <v>17.155459052706767</v>
      </c>
      <c r="XS83" s="149">
        <f t="shared" si="794"/>
        <v>21.152552378282415</v>
      </c>
      <c r="XT83" s="149">
        <f t="shared" si="966"/>
        <v>27.926469172647749</v>
      </c>
      <c r="XU83" s="150">
        <f t="shared" si="967"/>
        <v>35.626036595672055</v>
      </c>
      <c r="XV83" s="149">
        <f t="shared" si="968"/>
        <v>43.47540723943694</v>
      </c>
      <c r="XW83" s="149">
        <f t="shared" si="795"/>
        <v>50.639419308886154</v>
      </c>
      <c r="XX83" s="149">
        <f t="shared" si="796"/>
        <v>54.987061230395462</v>
      </c>
      <c r="XY83" s="149">
        <f t="shared" si="797"/>
        <v>58.789349724679631</v>
      </c>
      <c r="XZ83" s="149">
        <f t="shared" si="798"/>
        <v>63.246176309206511</v>
      </c>
      <c r="YA83" s="122"/>
      <c r="YB83" s="122"/>
      <c r="YC83" s="149"/>
      <c r="YD83" s="149"/>
      <c r="YE83" s="149"/>
      <c r="YF83" s="149"/>
      <c r="YG83" s="149"/>
      <c r="YH83" s="150"/>
      <c r="YI83" s="149"/>
      <c r="YJ83" s="149"/>
      <c r="YK83" s="149"/>
      <c r="YL83" s="149"/>
      <c r="YM83" s="149"/>
      <c r="YN83" s="122"/>
      <c r="YO83" s="122">
        <v>81</v>
      </c>
      <c r="YP83" s="149">
        <v>21.300378733875672</v>
      </c>
      <c r="YQ83" s="149">
        <v>23.017463730745916</v>
      </c>
      <c r="YR83" s="149">
        <v>24.604560140870472</v>
      </c>
      <c r="YS83" s="149">
        <v>26.57067065139023</v>
      </c>
      <c r="YT83" s="149">
        <v>30.206317932872036</v>
      </c>
      <c r="YU83" s="150">
        <v>34.847789084130184</v>
      </c>
      <c r="YV83" s="149">
        <v>40.202463827293755</v>
      </c>
      <c r="YW83" s="149">
        <v>45.703340347884073</v>
      </c>
      <c r="YX83" s="149">
        <v>49.355420178182477</v>
      </c>
      <c r="YY83" s="149">
        <v>52.758567071397692</v>
      </c>
      <c r="YZ83" s="149">
        <v>57.011587409979548</v>
      </c>
      <c r="ZA83" s="122"/>
      <c r="ZB83" s="122">
        <v>81</v>
      </c>
      <c r="ZC83" s="149">
        <v>25.533082957904305</v>
      </c>
      <c r="ZD83" s="149">
        <v>26.726759723826056</v>
      </c>
      <c r="ZE83" s="149">
        <v>27.797926682442409</v>
      </c>
      <c r="ZF83" s="149">
        <v>29.086304047735336</v>
      </c>
      <c r="ZG83" s="149">
        <v>31.369804520926223</v>
      </c>
      <c r="ZH83" s="150">
        <v>34.126860029786883</v>
      </c>
      <c r="ZI83" s="149">
        <v>37.126229929668632</v>
      </c>
      <c r="ZJ83" s="149">
        <v>40.040926945592616</v>
      </c>
      <c r="ZK83" s="149">
        <v>41.896742472821593</v>
      </c>
      <c r="ZL83" s="149">
        <v>43.575898744449134</v>
      </c>
      <c r="ZM83" s="149">
        <v>45.613080778877361</v>
      </c>
      <c r="ZN83" s="122"/>
      <c r="ZO83" s="122"/>
      <c r="ZP83" s="149"/>
      <c r="ZQ83" s="149"/>
      <c r="ZR83" s="149"/>
      <c r="ZS83" s="149"/>
      <c r="ZT83" s="149"/>
      <c r="ZU83" s="150"/>
      <c r="ZV83" s="149"/>
      <c r="ZW83" s="149"/>
      <c r="ZX83" s="149"/>
      <c r="ZY83" s="149"/>
      <c r="ZZ83" s="149"/>
      <c r="AAA83" s="122"/>
      <c r="AAB83" s="122">
        <v>81</v>
      </c>
      <c r="AAC83" s="149">
        <v>12.853032867576893</v>
      </c>
      <c r="AAD83" s="149">
        <v>14.076473467857674</v>
      </c>
      <c r="AAE83" s="149">
        <v>15.221445219254838</v>
      </c>
      <c r="AAF83" s="149">
        <v>16.657582168944696</v>
      </c>
      <c r="AAG83" s="149">
        <v>19.361153312937461</v>
      </c>
      <c r="AAH83" s="150">
        <v>22.894727126274883</v>
      </c>
      <c r="AAI83" s="149">
        <v>27.073207970329364</v>
      </c>
      <c r="AAJ83" s="149">
        <v>31.467263668301914</v>
      </c>
      <c r="AAK83" s="149">
        <v>34.436186750751105</v>
      </c>
      <c r="AAL83" s="149">
        <v>37.237205141151122</v>
      </c>
      <c r="AAM83" s="149">
        <v>40.781699975953252</v>
      </c>
      <c r="AAN83" s="122"/>
      <c r="AAO83" s="122">
        <v>81</v>
      </c>
      <c r="AAP83" s="149">
        <v>15.034108514895918</v>
      </c>
      <c r="AAQ83" s="149">
        <v>16.305176504798634</v>
      </c>
      <c r="AAR83" s="149">
        <v>17.483989376091817</v>
      </c>
      <c r="AAS83" s="149">
        <v>18.949242567531407</v>
      </c>
      <c r="AAT83" s="149">
        <v>21.671892687473431</v>
      </c>
      <c r="AAU83" s="150">
        <v>25.169990087135542</v>
      </c>
      <c r="AAV83" s="149">
        <v>29.232721392750662</v>
      </c>
      <c r="AAW83" s="149">
        <v>33.432914203759317</v>
      </c>
      <c r="AAX83" s="149">
        <v>36.234773847026531</v>
      </c>
      <c r="AAY83" s="149">
        <v>38.854433792854259</v>
      </c>
      <c r="AAZ83" s="149">
        <v>42.139405895520596</v>
      </c>
      <c r="ABA83" s="122"/>
      <c r="ABB83" s="122"/>
      <c r="ABC83" s="149"/>
      <c r="ABD83" s="149"/>
      <c r="ABE83" s="149"/>
      <c r="ABF83" s="149"/>
      <c r="ABG83" s="149"/>
      <c r="ABH83" s="150"/>
      <c r="ABI83" s="149"/>
      <c r="ABJ83" s="149"/>
      <c r="ABK83" s="149"/>
      <c r="ABL83" s="149"/>
      <c r="ABM83" s="149"/>
      <c r="ABN83" s="122"/>
      <c r="ABO83" s="122">
        <v>81</v>
      </c>
      <c r="ABP83" s="149">
        <f t="shared" si="807"/>
        <v>0.38129645339627966</v>
      </c>
      <c r="ABQ83" s="149">
        <f t="shared" si="808"/>
        <v>0.42621480059346906</v>
      </c>
      <c r="ABR83" s="149">
        <f t="shared" si="809"/>
        <v>0.46783117727003748</v>
      </c>
      <c r="ABS83" s="149">
        <f t="shared" si="810"/>
        <v>0.51940262758770717</v>
      </c>
      <c r="ABT83" s="149">
        <f t="shared" si="972"/>
        <v>0.61448654976625328</v>
      </c>
      <c r="ABU83" s="150">
        <f t="shared" si="973"/>
        <v>0.73476692596560533</v>
      </c>
      <c r="ABV83" s="149">
        <f t="shared" si="974"/>
        <v>0.87136233939321073</v>
      </c>
      <c r="ABW83" s="149">
        <f t="shared" si="811"/>
        <v>1.0088876124309625</v>
      </c>
      <c r="ABX83" s="149">
        <f t="shared" si="812"/>
        <v>1.0985431915237047</v>
      </c>
      <c r="ABY83" s="149">
        <f t="shared" si="813"/>
        <v>1.1808920768188171</v>
      </c>
      <c r="ABZ83" s="149">
        <f t="shared" si="814"/>
        <v>1.2821967878865479</v>
      </c>
      <c r="ACA83" s="122"/>
      <c r="ACB83" s="122">
        <v>81</v>
      </c>
      <c r="ACC83" s="149">
        <f t="shared" si="815"/>
        <v>0.5058931207784374</v>
      </c>
      <c r="ACD83" s="149">
        <f t="shared" si="816"/>
        <v>0.55042318740411456</v>
      </c>
      <c r="ACE83" s="149">
        <f t="shared" si="817"/>
        <v>0.59137431134060947</v>
      </c>
      <c r="ACF83" s="149">
        <f t="shared" si="818"/>
        <v>0.64181153652072398</v>
      </c>
      <c r="ACG83" s="149">
        <f t="shared" si="975"/>
        <v>0.73418419722923034</v>
      </c>
      <c r="ACH83" s="150">
        <f t="shared" si="976"/>
        <v>0.85038509688931607</v>
      </c>
      <c r="ACI83" s="149">
        <f t="shared" si="977"/>
        <v>0.98204427610325462</v>
      </c>
      <c r="ACJ83" s="149">
        <f t="shared" si="819"/>
        <v>1.1147036696002521</v>
      </c>
      <c r="ACK83" s="149">
        <f t="shared" si="820"/>
        <v>1.2013825897303414</v>
      </c>
      <c r="ACL83" s="149">
        <f t="shared" si="821"/>
        <v>1.2811906840938738</v>
      </c>
      <c r="ACM83" s="149">
        <f t="shared" si="822"/>
        <v>1.3796724461328456</v>
      </c>
      <c r="ACN83" s="122"/>
      <c r="ACO83" s="122"/>
      <c r="ACP83" s="149"/>
      <c r="ACQ83" s="149"/>
      <c r="ACR83" s="149"/>
      <c r="ACS83" s="149"/>
      <c r="ACT83" s="149"/>
      <c r="ACU83" s="150"/>
      <c r="ACV83" s="149"/>
      <c r="ACW83" s="149"/>
      <c r="ACX83" s="149"/>
      <c r="ACY83" s="149"/>
      <c r="ACZ83" s="149"/>
      <c r="ADA83" s="122"/>
      <c r="ADB83" s="122">
        <v>81</v>
      </c>
      <c r="ADC83" s="149">
        <f t="shared" si="831"/>
        <v>0.27903402720051168</v>
      </c>
      <c r="ADD83" s="149">
        <f t="shared" si="832"/>
        <v>0.30089243070310356</v>
      </c>
      <c r="ADE83" s="149">
        <f t="shared" si="833"/>
        <v>0.31998308111742113</v>
      </c>
      <c r="ADF83" s="149">
        <f t="shared" si="834"/>
        <v>0.34231538753083923</v>
      </c>
      <c r="ADG83" s="149">
        <f t="shared" si="981"/>
        <v>0.38030464775662376</v>
      </c>
      <c r="ADH83" s="150">
        <f t="shared" si="982"/>
        <v>0.42367558780624232</v>
      </c>
      <c r="ADI83" s="149">
        <f t="shared" si="983"/>
        <v>0.46807032684960842</v>
      </c>
      <c r="ADJ83" s="149">
        <f t="shared" si="835"/>
        <v>0.50872708119508248</v>
      </c>
      <c r="ADK83" s="149">
        <f t="shared" si="836"/>
        <v>0.53345830227369639</v>
      </c>
      <c r="ADL83" s="149">
        <f t="shared" si="837"/>
        <v>0.55512033105341763</v>
      </c>
      <c r="ADM83" s="149">
        <f t="shared" si="838"/>
        <v>0.58054817221555755</v>
      </c>
      <c r="ADN83" s="122"/>
      <c r="ADO83" s="122">
        <v>81</v>
      </c>
      <c r="ADP83" s="149">
        <f t="shared" si="839"/>
        <v>0.33753822974927516</v>
      </c>
      <c r="ADQ83" s="149">
        <f t="shared" si="840"/>
        <v>0.35592982509727666</v>
      </c>
      <c r="ADR83" s="149">
        <f t="shared" si="841"/>
        <v>0.3720519532570159</v>
      </c>
      <c r="ADS83" s="149">
        <f t="shared" si="842"/>
        <v>0.39098540241772445</v>
      </c>
      <c r="ADT83" s="149">
        <f t="shared" si="984"/>
        <v>0.42338335265085297</v>
      </c>
      <c r="ADU83" s="150">
        <f t="shared" si="985"/>
        <v>0.46067432842078115</v>
      </c>
      <c r="ADV83" s="149">
        <f t="shared" si="986"/>
        <v>0.49918809301475014</v>
      </c>
      <c r="ADW83" s="149">
        <f t="shared" si="843"/>
        <v>0.53476562808834793</v>
      </c>
      <c r="ADX83" s="149">
        <f t="shared" si="844"/>
        <v>0.55655060013073387</v>
      </c>
      <c r="ADY83" s="149">
        <f t="shared" si="845"/>
        <v>0.57572085117013372</v>
      </c>
      <c r="ADZ83" s="149">
        <f t="shared" si="846"/>
        <v>0.59832912011606487</v>
      </c>
      <c r="AEA83" s="122"/>
      <c r="AEB83" s="122"/>
      <c r="AEC83" s="149"/>
      <c r="AED83" s="149"/>
      <c r="AEE83" s="149"/>
      <c r="AEF83" s="149"/>
      <c r="AEG83" s="149"/>
      <c r="AEH83" s="150"/>
      <c r="AEI83" s="149"/>
      <c r="AEJ83" s="149"/>
      <c r="AEK83" s="149"/>
      <c r="AEL83" s="149"/>
      <c r="AEM83" s="149"/>
      <c r="AEN83" s="122"/>
    </row>
    <row r="84" spans="1:820">
      <c r="A84" s="81"/>
      <c r="B84" s="81">
        <v>83</v>
      </c>
      <c r="C84" s="133">
        <f t="shared" si="495"/>
        <v>2.8095483956476306</v>
      </c>
      <c r="D84" s="133">
        <f t="shared" si="496"/>
        <v>3.4205990604494798</v>
      </c>
      <c r="E84" s="133">
        <f t="shared" si="497"/>
        <v>4.075368181727546</v>
      </c>
      <c r="F84" s="133">
        <f t="shared" si="498"/>
        <v>5.023650010800135</v>
      </c>
      <c r="G84" s="133">
        <f t="shared" si="855"/>
        <v>7.2580799151572091</v>
      </c>
      <c r="H84" s="134">
        <f t="shared" si="856"/>
        <v>11.290048641432202</v>
      </c>
      <c r="I84" s="133">
        <f t="shared" si="857"/>
        <v>18.26245037665565</v>
      </c>
      <c r="J84" s="133">
        <f t="shared" si="499"/>
        <v>29.248431775368552</v>
      </c>
      <c r="K84" s="133">
        <f t="shared" si="500"/>
        <v>39.608993243433808</v>
      </c>
      <c r="L84" s="133">
        <f t="shared" si="501"/>
        <v>52.274112276165468</v>
      </c>
      <c r="M84" s="133">
        <f t="shared" si="502"/>
        <v>73.550624939123523</v>
      </c>
      <c r="N84" s="81"/>
      <c r="O84" s="75">
        <v>83</v>
      </c>
      <c r="P84" s="151">
        <f t="shared" si="503"/>
        <v>3.5292931416004656</v>
      </c>
      <c r="Q84" s="151">
        <f t="shared" si="504"/>
        <v>4.165204629614494</v>
      </c>
      <c r="R84" s="151">
        <f t="shared" si="505"/>
        <v>4.8484970406516217</v>
      </c>
      <c r="S84" s="151">
        <f t="shared" si="506"/>
        <v>5.8485022070138042</v>
      </c>
      <c r="T84" s="151">
        <f t="shared" si="858"/>
        <v>8.2850747846886055</v>
      </c>
      <c r="U84" s="134">
        <f t="shared" si="859"/>
        <v>13.074706949998593</v>
      </c>
      <c r="V84" s="151">
        <f t="shared" si="860"/>
        <v>22.876641112677355</v>
      </c>
      <c r="W84" s="151">
        <f t="shared" si="507"/>
        <v>43.322146560599471</v>
      </c>
      <c r="X84" s="151">
        <f t="shared" si="508"/>
        <v>70.021647079797418</v>
      </c>
      <c r="Y84" s="151">
        <f t="shared" si="509"/>
        <v>116.38714845733978</v>
      </c>
      <c r="Z84" s="151">
        <f t="shared" si="510"/>
        <v>249.20515486912717</v>
      </c>
      <c r="AA84" s="122"/>
      <c r="AB84" s="139"/>
      <c r="AC84" s="140"/>
      <c r="AD84" s="140"/>
      <c r="AE84" s="140"/>
      <c r="AF84" s="140"/>
      <c r="AG84" s="140"/>
      <c r="AH84" s="127"/>
      <c r="AI84" s="140"/>
      <c r="AJ84" s="140"/>
      <c r="AK84" s="140"/>
      <c r="AL84" s="140"/>
      <c r="AM84" s="140"/>
      <c r="AN84" s="81"/>
      <c r="AO84" s="81">
        <v>83</v>
      </c>
      <c r="AP84" s="133">
        <f t="shared" si="519"/>
        <v>3.2800856834124561</v>
      </c>
      <c r="AQ84" s="133">
        <f t="shared" si="520"/>
        <v>6.8038557166299123</v>
      </c>
      <c r="AR84" s="133">
        <f t="shared" si="521"/>
        <v>10.272612219194162</v>
      </c>
      <c r="AS84" s="133">
        <f t="shared" si="522"/>
        <v>14.780998749601792</v>
      </c>
      <c r="AT84" s="133">
        <f t="shared" si="864"/>
        <v>23.531728545735177</v>
      </c>
      <c r="AU84" s="134">
        <f t="shared" si="865"/>
        <v>35.125039073661128</v>
      </c>
      <c r="AV84" s="133">
        <f t="shared" si="866"/>
        <v>48.688238081609903</v>
      </c>
      <c r="AW84" s="133">
        <f t="shared" si="523"/>
        <v>62.556401287588166</v>
      </c>
      <c r="AX84" s="133">
        <f t="shared" si="524"/>
        <v>71.648215766860361</v>
      </c>
      <c r="AY84" s="133">
        <f t="shared" si="525"/>
        <v>80.010013706533627</v>
      </c>
      <c r="AZ84" s="133">
        <f t="shared" si="526"/>
        <v>90.291521319486449</v>
      </c>
      <c r="BA84" s="81"/>
      <c r="BB84" s="81">
        <v>83</v>
      </c>
      <c r="BC84" s="133">
        <f t="shared" si="527"/>
        <v>5.9686072090607292</v>
      </c>
      <c r="BD84" s="133">
        <f t="shared" si="528"/>
        <v>10.120367162309741</v>
      </c>
      <c r="BE84" s="133">
        <f t="shared" si="529"/>
        <v>14.063554057383989</v>
      </c>
      <c r="BF84" s="133">
        <f t="shared" si="530"/>
        <v>19.020492746206727</v>
      </c>
      <c r="BG84" s="133">
        <f t="shared" si="867"/>
        <v>28.227840401220586</v>
      </c>
      <c r="BH84" s="134">
        <f t="shared" si="868"/>
        <v>39.809754467618014</v>
      </c>
      <c r="BI84" s="133">
        <f t="shared" si="869"/>
        <v>52.717731931767425</v>
      </c>
      <c r="BJ84" s="133">
        <f t="shared" si="531"/>
        <v>65.381599597254294</v>
      </c>
      <c r="BK84" s="133">
        <f t="shared" si="532"/>
        <v>73.449168239708214</v>
      </c>
      <c r="BL84" s="133">
        <f t="shared" si="533"/>
        <v>80.729305830892969</v>
      </c>
      <c r="BM84" s="133">
        <f t="shared" si="534"/>
        <v>89.518822830041302</v>
      </c>
      <c r="BN84" s="122"/>
      <c r="BO84" s="139"/>
      <c r="BP84" s="140"/>
      <c r="BQ84" s="140"/>
      <c r="BR84" s="140"/>
      <c r="BS84" s="140"/>
      <c r="BT84" s="140"/>
      <c r="BU84" s="127"/>
      <c r="BV84" s="140"/>
      <c r="BW84" s="140"/>
      <c r="BX84" s="140"/>
      <c r="BY84" s="140"/>
      <c r="BZ84" s="140"/>
      <c r="CA84" s="81"/>
      <c r="CB84" s="81">
        <v>83</v>
      </c>
      <c r="CC84" s="133">
        <f t="shared" si="543"/>
        <v>1.7096675060317823</v>
      </c>
      <c r="CD84" s="133">
        <f t="shared" si="544"/>
        <v>5.2824001758215493</v>
      </c>
      <c r="CE84" s="133">
        <f t="shared" si="545"/>
        <v>8.6236359759109078</v>
      </c>
      <c r="CF84" s="133">
        <f t="shared" si="546"/>
        <v>12.751285525981309</v>
      </c>
      <c r="CG84" s="133">
        <f t="shared" si="873"/>
        <v>20.223750837324364</v>
      </c>
      <c r="CH84" s="134">
        <f t="shared" si="874"/>
        <v>29.320641889146341</v>
      </c>
      <c r="CI84" s="133">
        <f t="shared" si="875"/>
        <v>39.138014364057177</v>
      </c>
      <c r="CJ84" s="133">
        <f t="shared" si="547"/>
        <v>48.502120190356344</v>
      </c>
      <c r="CK84" s="133">
        <f t="shared" si="548"/>
        <v>54.35020542951068</v>
      </c>
      <c r="CL84" s="133">
        <f t="shared" si="549"/>
        <v>59.558025325909689</v>
      </c>
      <c r="CM84" s="133">
        <f t="shared" si="550"/>
        <v>65.765643252154646</v>
      </c>
      <c r="CN84" s="81"/>
      <c r="CO84" s="81">
        <v>83</v>
      </c>
      <c r="CP84" s="133">
        <f t="shared" si="551"/>
        <v>7.407650367333857</v>
      </c>
      <c r="CQ84" s="133">
        <f t="shared" si="552"/>
        <v>10.769928133292016</v>
      </c>
      <c r="CR84" s="133">
        <f t="shared" si="553"/>
        <v>13.837030859575538</v>
      </c>
      <c r="CS84" s="133">
        <f t="shared" si="554"/>
        <v>17.560212802742768</v>
      </c>
      <c r="CT84" s="133">
        <f t="shared" si="876"/>
        <v>24.183411775711818</v>
      </c>
      <c r="CU84" s="134">
        <f t="shared" si="877"/>
        <v>32.122723703645221</v>
      </c>
      <c r="CV84" s="133">
        <f t="shared" si="878"/>
        <v>40.599381489910897</v>
      </c>
      <c r="CW84" s="133">
        <f t="shared" si="555"/>
        <v>48.627944104926151</v>
      </c>
      <c r="CX84" s="133">
        <f t="shared" si="556"/>
        <v>53.621914496849612</v>
      </c>
      <c r="CY84" s="133">
        <f t="shared" si="557"/>
        <v>58.058975969307106</v>
      </c>
      <c r="CZ84" s="133">
        <f t="shared" si="558"/>
        <v>63.337502194320628</v>
      </c>
      <c r="DA84" s="81"/>
      <c r="DB84" s="81"/>
      <c r="DC84" s="83"/>
      <c r="DD84" s="83"/>
      <c r="DE84" s="83"/>
      <c r="DF84" s="83"/>
      <c r="DG84" s="83"/>
      <c r="DH84" s="84"/>
      <c r="DI84" s="83"/>
      <c r="DJ84" s="83"/>
      <c r="DK84" s="83"/>
      <c r="DL84" s="83"/>
      <c r="DM84" s="83"/>
      <c r="DN84" s="81"/>
      <c r="DO84" s="81">
        <v>83</v>
      </c>
      <c r="DP84" s="133">
        <v>15.599045079051576</v>
      </c>
      <c r="DQ84" s="133">
        <v>16.899533789924355</v>
      </c>
      <c r="DR84" s="133">
        <v>18.104418102218062</v>
      </c>
      <c r="DS84" s="133">
        <v>19.600571831786159</v>
      </c>
      <c r="DT84" s="133">
        <v>22.376617542455911</v>
      </c>
      <c r="DU84" s="134">
        <v>25.936540832598123</v>
      </c>
      <c r="DV84" s="133">
        <v>30.062816647095374</v>
      </c>
      <c r="DW84" s="133">
        <v>34.320639016771374</v>
      </c>
      <c r="DX84" s="133">
        <v>37.156905378727068</v>
      </c>
      <c r="DY84" s="133">
        <v>39.806077417478932</v>
      </c>
      <c r="DZ84" s="133">
        <v>43.124700707764767</v>
      </c>
      <c r="EA84" s="81"/>
      <c r="EB84" s="81">
        <v>83</v>
      </c>
      <c r="EC84" s="133">
        <v>14.516676879521823</v>
      </c>
      <c r="ED84" s="133">
        <v>16.217576313014259</v>
      </c>
      <c r="EE84" s="133">
        <v>17.839006421066774</v>
      </c>
      <c r="EF84" s="133">
        <v>19.910612946211646</v>
      </c>
      <c r="EG84" s="133">
        <v>23.915527741119121</v>
      </c>
      <c r="EH84" s="134">
        <v>29.335682962456072</v>
      </c>
      <c r="EI84" s="133">
        <v>35.984248568100568</v>
      </c>
      <c r="EJ84" s="133">
        <v>43.222290403544633</v>
      </c>
      <c r="EK84" s="133">
        <v>48.241604636536287</v>
      </c>
      <c r="EL84" s="133">
        <v>53.064790833334115</v>
      </c>
      <c r="EM84" s="133">
        <v>59.282320741583035</v>
      </c>
      <c r="EN84" s="122"/>
      <c r="EO84" s="122"/>
      <c r="EP84" s="126"/>
      <c r="EQ84" s="126"/>
      <c r="ER84" s="126"/>
      <c r="ES84" s="126"/>
      <c r="ET84" s="126"/>
      <c r="EU84" s="127"/>
      <c r="EV84" s="126"/>
      <c r="EW84" s="126"/>
      <c r="EX84" s="126"/>
      <c r="EY84" s="126"/>
      <c r="EZ84" s="126"/>
      <c r="FA84" s="81"/>
      <c r="FB84" s="81">
        <v>83</v>
      </c>
      <c r="FC84" s="133">
        <v>11.567062702163435</v>
      </c>
      <c r="FD84" s="133">
        <v>12.374586078810283</v>
      </c>
      <c r="FE84" s="133">
        <v>13.114048638409599</v>
      </c>
      <c r="FF84" s="133">
        <v>14.021608844982689</v>
      </c>
      <c r="FG84" s="133">
        <v>15.677500819433531</v>
      </c>
      <c r="FH84" s="134">
        <v>17.754607001218005</v>
      </c>
      <c r="FI84" s="133">
        <v>20.10690819910219</v>
      </c>
      <c r="FJ84" s="133">
        <v>22.481447974530809</v>
      </c>
      <c r="FK84" s="133">
        <v>24.037280816881907</v>
      </c>
      <c r="FL84" s="133">
        <v>25.473665766282</v>
      </c>
      <c r="FM84" s="133">
        <v>27.252041238502265</v>
      </c>
      <c r="FN84" s="81"/>
      <c r="FO84" s="81">
        <v>83</v>
      </c>
      <c r="FP84" s="133">
        <v>11.438141924432252</v>
      </c>
      <c r="FQ84" s="133">
        <v>12.38624962700615</v>
      </c>
      <c r="FR84" s="133">
        <v>13.264296838943059</v>
      </c>
      <c r="FS84" s="133">
        <v>14.354155882145617</v>
      </c>
      <c r="FT84" s="133">
        <v>16.375145170221906</v>
      </c>
      <c r="FU84" s="134">
        <v>18.964793325848614</v>
      </c>
      <c r="FV84" s="133">
        <v>21.963981519149979</v>
      </c>
      <c r="FW84" s="133">
        <v>25.056394039827754</v>
      </c>
      <c r="FX84" s="133">
        <v>27.115149054581252</v>
      </c>
      <c r="FY84" s="133">
        <v>29.037311270391807</v>
      </c>
      <c r="FZ84" s="133">
        <v>31.444214302315924</v>
      </c>
      <c r="GA84" s="122"/>
      <c r="GB84" s="122"/>
      <c r="GC84" s="126"/>
      <c r="GD84" s="126"/>
      <c r="GE84" s="126"/>
      <c r="GF84" s="126"/>
      <c r="GG84" s="126"/>
      <c r="GH84" s="127"/>
      <c r="GI84" s="126"/>
      <c r="GJ84" s="126"/>
      <c r="GK84" s="126"/>
      <c r="GL84" s="126"/>
      <c r="GM84" s="126"/>
      <c r="GN84" s="122"/>
      <c r="GO84" s="122">
        <v>83</v>
      </c>
      <c r="GP84" s="149">
        <f t="shared" si="567"/>
        <v>0.55445898268096017</v>
      </c>
      <c r="GQ84" s="149">
        <f t="shared" si="568"/>
        <v>0.58459499147332217</v>
      </c>
      <c r="GR84" s="149">
        <f t="shared" si="569"/>
        <v>0.60925442609596214</v>
      </c>
      <c r="GS84" s="149">
        <f t="shared" si="570"/>
        <v>0.63643267736332787</v>
      </c>
      <c r="GT84" s="149">
        <f t="shared" si="882"/>
        <v>0.68043261078521311</v>
      </c>
      <c r="GU84" s="150">
        <f t="shared" si="883"/>
        <v>0.72376754269699017</v>
      </c>
      <c r="GV84" s="149">
        <f t="shared" si="884"/>
        <v>0.76451197168361384</v>
      </c>
      <c r="GW84" s="149">
        <f t="shared" si="571"/>
        <v>0.80113818837507689</v>
      </c>
      <c r="GX84" s="149">
        <f t="shared" si="572"/>
        <v>0.82167214497949514</v>
      </c>
      <c r="GY84" s="149">
        <f t="shared" si="573"/>
        <v>0.83905158841477445</v>
      </c>
      <c r="GZ84" s="149">
        <f t="shared" si="574"/>
        <v>0.85879099213941401</v>
      </c>
      <c r="HA84" s="122"/>
      <c r="HB84" s="122">
        <v>83</v>
      </c>
      <c r="HC84" s="149">
        <f t="shared" si="575"/>
        <v>0.55996056807753825</v>
      </c>
      <c r="HD84" s="149">
        <f t="shared" si="576"/>
        <v>0.58997785943692382</v>
      </c>
      <c r="HE84" s="149">
        <f t="shared" si="577"/>
        <v>0.61457810772104504</v>
      </c>
      <c r="HF84" s="149">
        <f t="shared" si="578"/>
        <v>0.64172663078419045</v>
      </c>
      <c r="HG84" s="149">
        <f t="shared" si="885"/>
        <v>0.6845333136763575</v>
      </c>
      <c r="HH84" s="150">
        <f t="shared" si="886"/>
        <v>0.72917959591954318</v>
      </c>
      <c r="HI84" s="149">
        <f t="shared" si="887"/>
        <v>0.7711485281407725</v>
      </c>
      <c r="HJ84" s="149">
        <f t="shared" si="579"/>
        <v>0.80687651304422237</v>
      </c>
      <c r="HK84" s="149">
        <f t="shared" si="580"/>
        <v>0.82752615408099039</v>
      </c>
      <c r="HL84" s="149">
        <f t="shared" si="581"/>
        <v>0.8450121098362533</v>
      </c>
      <c r="HM84" s="149">
        <f t="shared" si="582"/>
        <v>0.86488160513558154</v>
      </c>
      <c r="HN84" s="122"/>
      <c r="HO84" s="122"/>
      <c r="HP84" s="126"/>
      <c r="HQ84" s="126"/>
      <c r="HR84" s="126"/>
      <c r="HS84" s="126"/>
      <c r="HT84" s="126"/>
      <c r="HU84" s="127"/>
      <c r="HV84" s="126"/>
      <c r="HW84" s="126"/>
      <c r="HX84" s="126"/>
      <c r="HY84" s="126"/>
      <c r="HZ84" s="126"/>
      <c r="IA84" s="122"/>
      <c r="IB84" s="122">
        <v>83</v>
      </c>
      <c r="IC84" s="126">
        <f t="shared" si="591"/>
        <v>0.35752026822257127</v>
      </c>
      <c r="ID84" s="126">
        <f t="shared" si="592"/>
        <v>0.3692446069282847</v>
      </c>
      <c r="IE84" s="126">
        <f t="shared" si="593"/>
        <v>0.37860363060857627</v>
      </c>
      <c r="IF84" s="126">
        <f t="shared" si="594"/>
        <v>0.38869448558217617</v>
      </c>
      <c r="IG84" s="126">
        <f t="shared" si="891"/>
        <v>0.40414659235635947</v>
      </c>
      <c r="IH84" s="127">
        <f t="shared" si="892"/>
        <v>0.41972736959634677</v>
      </c>
      <c r="II84" s="126">
        <f t="shared" si="893"/>
        <v>0.43392972950465208</v>
      </c>
      <c r="IJ84" s="126">
        <f t="shared" si="595"/>
        <v>0.4457135016564302</v>
      </c>
      <c r="IK84" s="126">
        <f t="shared" si="596"/>
        <v>0.45240493778776325</v>
      </c>
      <c r="IL84" s="126">
        <f t="shared" si="597"/>
        <v>0.45800650328678916</v>
      </c>
      <c r="IM84" s="126">
        <f t="shared" si="598"/>
        <v>0.46430249239907284</v>
      </c>
      <c r="IN84" s="122"/>
      <c r="IO84" s="122">
        <v>83</v>
      </c>
      <c r="IP84" s="149">
        <f t="shared" si="599"/>
        <v>0.3593313149057854</v>
      </c>
      <c r="IQ84" s="149">
        <f t="shared" si="600"/>
        <v>0.37101109197851945</v>
      </c>
      <c r="IR84" s="149">
        <f t="shared" si="601"/>
        <v>0.38035053543505831</v>
      </c>
      <c r="IS84" s="149">
        <f t="shared" si="602"/>
        <v>0.39043458693914784</v>
      </c>
      <c r="IT84" s="149">
        <f t="shared" si="894"/>
        <v>0.40590198273479361</v>
      </c>
      <c r="IU84" s="150">
        <f t="shared" si="895"/>
        <v>0.42152592423051588</v>
      </c>
      <c r="IV84" s="149">
        <f t="shared" si="896"/>
        <v>0.43578888793367304</v>
      </c>
      <c r="IW84" s="149">
        <f t="shared" si="603"/>
        <v>0.44763665426200244</v>
      </c>
      <c r="IX84" s="149">
        <f t="shared" si="604"/>
        <v>0.45436950500334494</v>
      </c>
      <c r="IY84" s="149">
        <f t="shared" si="605"/>
        <v>0.46000839815124445</v>
      </c>
      <c r="IZ84" s="149">
        <f t="shared" si="606"/>
        <v>0.46634910460722317</v>
      </c>
      <c r="JA84" s="122"/>
      <c r="JB84" s="122"/>
      <c r="JC84" s="126"/>
      <c r="JD84" s="126"/>
      <c r="JE84" s="126"/>
      <c r="JF84" s="126"/>
      <c r="JG84" s="126"/>
      <c r="JH84" s="127"/>
      <c r="JI84" s="126"/>
      <c r="JJ84" s="126"/>
      <c r="JK84" s="126"/>
      <c r="JL84" s="126"/>
      <c r="JM84" s="126"/>
      <c r="JN84" s="122"/>
      <c r="JO84" s="122">
        <v>82</v>
      </c>
      <c r="JP84" s="149">
        <f t="shared" si="615"/>
        <v>5.7685156708126613</v>
      </c>
      <c r="JQ84" s="149">
        <f t="shared" si="616"/>
        <v>7.1444674986673427</v>
      </c>
      <c r="JR84" s="149">
        <f t="shared" si="617"/>
        <v>8.3374289491838205</v>
      </c>
      <c r="JS84" s="149">
        <f t="shared" si="618"/>
        <v>9.7234987430317936</v>
      </c>
      <c r="JT84" s="149">
        <f t="shared" si="900"/>
        <v>12.060245663134413</v>
      </c>
      <c r="JU84" s="150">
        <f t="shared" si="901"/>
        <v>14.699412074317546</v>
      </c>
      <c r="JV84" s="149">
        <f t="shared" si="902"/>
        <v>17.373393467842309</v>
      </c>
      <c r="JW84" s="149">
        <f t="shared" si="619"/>
        <v>19.800780254540687</v>
      </c>
      <c r="JX84" s="149">
        <f t="shared" si="620"/>
        <v>21.268275870118789</v>
      </c>
      <c r="JY84" s="149">
        <f t="shared" si="621"/>
        <v>22.548422794928552</v>
      </c>
      <c r="JZ84" s="149">
        <f t="shared" si="622"/>
        <v>24.045235148270006</v>
      </c>
      <c r="KA84" s="122"/>
      <c r="KB84" s="122">
        <v>82</v>
      </c>
      <c r="KC84" s="149">
        <f t="shared" si="623"/>
        <v>7.3534088148699528</v>
      </c>
      <c r="KD84" s="149">
        <f t="shared" si="624"/>
        <v>8.8360429507783476</v>
      </c>
      <c r="KE84" s="149">
        <f t="shared" si="625"/>
        <v>10.138690149453941</v>
      </c>
      <c r="KF84" s="149">
        <f t="shared" si="626"/>
        <v>11.671363717586919</v>
      </c>
      <c r="KG84" s="149">
        <f t="shared" si="903"/>
        <v>14.299498702232169</v>
      </c>
      <c r="KH84" s="150">
        <f t="shared" si="904"/>
        <v>17.330404948661496</v>
      </c>
      <c r="KI84" s="149">
        <f t="shared" si="905"/>
        <v>20.464403147010664</v>
      </c>
      <c r="KJ84" s="149">
        <f t="shared" si="627"/>
        <v>23.360848621966078</v>
      </c>
      <c r="KK84" s="149">
        <f t="shared" si="628"/>
        <v>25.134450964095997</v>
      </c>
      <c r="KL84" s="149">
        <f t="shared" si="629"/>
        <v>26.694957678530301</v>
      </c>
      <c r="KM84" s="149">
        <f t="shared" si="630"/>
        <v>28.534858859137394</v>
      </c>
      <c r="KN84" s="122"/>
      <c r="KO84" s="122"/>
      <c r="KP84" s="126"/>
      <c r="KQ84" s="126"/>
      <c r="KR84" s="126"/>
      <c r="KS84" s="126"/>
      <c r="KT84" s="126"/>
      <c r="KU84" s="127"/>
      <c r="KV84" s="126"/>
      <c r="KW84" s="126"/>
      <c r="KX84" s="126"/>
      <c r="KY84" s="126"/>
      <c r="KZ84" s="126"/>
      <c r="LA84" s="122"/>
      <c r="LB84" s="122">
        <v>82</v>
      </c>
      <c r="LC84" s="149">
        <f t="shared" si="639"/>
        <v>18.410493946113505</v>
      </c>
      <c r="LD84" s="149">
        <f t="shared" si="640"/>
        <v>21.998174464477579</v>
      </c>
      <c r="LE84" s="149">
        <f t="shared" si="641"/>
        <v>25.120709761596018</v>
      </c>
      <c r="LF84" s="149">
        <f t="shared" si="642"/>
        <v>28.761763246387481</v>
      </c>
      <c r="LG84" s="149">
        <f t="shared" si="909"/>
        <v>34.929521214727451</v>
      </c>
      <c r="LH84" s="150">
        <f t="shared" si="910"/>
        <v>41.935834442431663</v>
      </c>
      <c r="LI84" s="149">
        <f t="shared" si="911"/>
        <v>49.073822411292916</v>
      </c>
      <c r="LJ84" s="149">
        <f t="shared" si="643"/>
        <v>55.584542893000481</v>
      </c>
      <c r="LK84" s="149">
        <f t="shared" si="644"/>
        <v>59.533883645121001</v>
      </c>
      <c r="LL84" s="149">
        <f t="shared" si="645"/>
        <v>62.9867148870322</v>
      </c>
      <c r="LM84" s="149">
        <f t="shared" si="646"/>
        <v>67.032620054320716</v>
      </c>
      <c r="LN84" s="122"/>
      <c r="LO84" s="122">
        <v>82</v>
      </c>
      <c r="LP84" s="149">
        <f t="shared" si="647"/>
        <v>24.327307408091674</v>
      </c>
      <c r="LQ84" s="149">
        <f t="shared" si="648"/>
        <v>28.140380146668416</v>
      </c>
      <c r="LR84" s="149">
        <f t="shared" si="649"/>
        <v>31.465630663067397</v>
      </c>
      <c r="LS84" s="149">
        <f t="shared" si="650"/>
        <v>35.35030770578058</v>
      </c>
      <c r="LT84" s="149">
        <f t="shared" si="912"/>
        <v>41.947358235409652</v>
      </c>
      <c r="LU84" s="150">
        <f t="shared" si="913"/>
        <v>49.464635356280553</v>
      </c>
      <c r="LV84" s="149">
        <f t="shared" si="914"/>
        <v>57.14642137273708</v>
      </c>
      <c r="LW84" s="149">
        <f t="shared" si="651"/>
        <v>64.171905653288263</v>
      </c>
      <c r="LX84" s="149">
        <f t="shared" si="652"/>
        <v>68.441638612655751</v>
      </c>
      <c r="LY84" s="149">
        <f t="shared" si="653"/>
        <v>72.179369743616263</v>
      </c>
      <c r="LZ84" s="149">
        <f t="shared" si="654"/>
        <v>76.564571896237794</v>
      </c>
      <c r="MA84" s="122"/>
      <c r="MB84" s="122"/>
      <c r="MC84" s="126"/>
      <c r="MD84" s="126"/>
      <c r="ME84" s="126"/>
      <c r="MF84" s="126"/>
      <c r="MG84" s="126"/>
      <c r="MH84" s="127"/>
      <c r="MI84" s="126"/>
      <c r="MJ84" s="126"/>
      <c r="MK84" s="126"/>
      <c r="ML84" s="126"/>
      <c r="MM84" s="126"/>
      <c r="MN84" s="122"/>
      <c r="MO84" s="122">
        <v>82</v>
      </c>
      <c r="MP84" s="149">
        <f t="shared" si="663"/>
        <v>12.257852461170479</v>
      </c>
      <c r="MQ84" s="149">
        <f t="shared" si="664"/>
        <v>16.096896517064842</v>
      </c>
      <c r="MR84" s="149">
        <f t="shared" si="665"/>
        <v>19.405830381747634</v>
      </c>
      <c r="MS84" s="149">
        <f t="shared" si="666"/>
        <v>23.228529705093891</v>
      </c>
      <c r="MT84" s="149">
        <f t="shared" si="918"/>
        <v>29.622574565283891</v>
      </c>
      <c r="MU84" s="150">
        <f t="shared" si="919"/>
        <v>36.772488903930117</v>
      </c>
      <c r="MV84" s="149">
        <f t="shared" si="920"/>
        <v>43.944680094946129</v>
      </c>
      <c r="MW84" s="149">
        <f t="shared" si="667"/>
        <v>50.396925849495041</v>
      </c>
      <c r="MX84" s="149">
        <f t="shared" si="668"/>
        <v>54.27216611675491</v>
      </c>
      <c r="MY84" s="149">
        <f t="shared" si="669"/>
        <v>57.637634056536875</v>
      </c>
      <c r="MZ84" s="149">
        <f t="shared" si="670"/>
        <v>61.555536609506923</v>
      </c>
      <c r="NA84" s="122"/>
      <c r="NB84" s="122">
        <v>82</v>
      </c>
      <c r="NC84" s="149">
        <f t="shared" si="671"/>
        <v>24.855493539217623</v>
      </c>
      <c r="ND84" s="149">
        <f t="shared" si="672"/>
        <v>27.855398402880549</v>
      </c>
      <c r="NE84" s="149">
        <f t="shared" si="673"/>
        <v>30.441177547869241</v>
      </c>
      <c r="NF84" s="149">
        <f t="shared" si="674"/>
        <v>33.428667326449485</v>
      </c>
      <c r="NG84" s="149">
        <f t="shared" si="921"/>
        <v>38.426455574514137</v>
      </c>
      <c r="NH84" s="150">
        <f t="shared" si="922"/>
        <v>44.016474381301194</v>
      </c>
      <c r="NI84" s="149">
        <f t="shared" si="923"/>
        <v>49.625668321230279</v>
      </c>
      <c r="NJ84" s="149">
        <f t="shared" si="675"/>
        <v>54.6734544778529</v>
      </c>
      <c r="NK84" s="149">
        <f t="shared" si="676"/>
        <v>57.705954417522435</v>
      </c>
      <c r="NL84" s="149">
        <f t="shared" si="677"/>
        <v>60.340028641478511</v>
      </c>
      <c r="NM84" s="149">
        <f t="shared" si="678"/>
        <v>63.407058576350678</v>
      </c>
      <c r="NN84" s="122"/>
      <c r="NO84" s="122"/>
      <c r="NP84" s="126"/>
      <c r="NQ84" s="126"/>
      <c r="NR84" s="126"/>
      <c r="NS84" s="126"/>
      <c r="NT84" s="126"/>
      <c r="NU84" s="127"/>
      <c r="NV84" s="126"/>
      <c r="NW84" s="126"/>
      <c r="NX84" s="126"/>
      <c r="NY84" s="126"/>
      <c r="NZ84" s="126"/>
      <c r="OA84" s="122"/>
      <c r="OB84" s="122">
        <v>82</v>
      </c>
      <c r="OC84" s="149">
        <v>17.039750003252173</v>
      </c>
      <c r="OD84" s="149">
        <v>18.349014044643479</v>
      </c>
      <c r="OE84" s="149">
        <v>19.555235448185218</v>
      </c>
      <c r="OF84" s="149">
        <v>21.044670186240115</v>
      </c>
      <c r="OG84" s="149">
        <v>23.786035308601473</v>
      </c>
      <c r="OH84" s="150">
        <v>27.264398911825548</v>
      </c>
      <c r="OI84" s="149">
        <v>31.251422878126558</v>
      </c>
      <c r="OJ84" s="149">
        <v>35.322361502685169</v>
      </c>
      <c r="OK84" s="149">
        <v>38.012707645109892</v>
      </c>
      <c r="OL84" s="149">
        <v>40.511574421087509</v>
      </c>
      <c r="OM84" s="149">
        <v>43.624316546972835</v>
      </c>
      <c r="ON84" s="122"/>
      <c r="OO84" s="122">
        <v>82</v>
      </c>
      <c r="OP84" s="149">
        <v>22.742686851328937</v>
      </c>
      <c r="OQ84" s="149">
        <v>23.747564056402201</v>
      </c>
      <c r="OR84" s="149">
        <v>24.647254830908292</v>
      </c>
      <c r="OS84" s="149">
        <v>25.726926048734825</v>
      </c>
      <c r="OT84" s="149">
        <v>23.473787183443612</v>
      </c>
      <c r="OU84" s="150">
        <v>29.927321209327211</v>
      </c>
      <c r="OV84" s="149">
        <v>32.410627118834618</v>
      </c>
      <c r="OW84" s="149">
        <v>34.813508348009236</v>
      </c>
      <c r="OX84" s="149">
        <v>36.338511566938671</v>
      </c>
      <c r="OY84" s="149">
        <v>37.715217975158424</v>
      </c>
      <c r="OZ84" s="149">
        <v>39.381650928984683</v>
      </c>
      <c r="PA84" s="122"/>
      <c r="PB84" s="122"/>
      <c r="PC84" s="126"/>
      <c r="PD84" s="126"/>
      <c r="PE84" s="126"/>
      <c r="PF84" s="126"/>
      <c r="PG84" s="126"/>
      <c r="PH84" s="127"/>
      <c r="PI84" s="126"/>
      <c r="PJ84" s="126"/>
      <c r="PK84" s="126"/>
      <c r="PL84" s="126"/>
      <c r="PM84" s="126"/>
      <c r="PN84" s="122"/>
      <c r="PO84" s="122">
        <v>82</v>
      </c>
      <c r="PP84" s="149">
        <v>12.413519548696256</v>
      </c>
      <c r="PQ84" s="149">
        <v>13.435095583863205</v>
      </c>
      <c r="PR84" s="149">
        <v>14.380699954545349</v>
      </c>
      <c r="PS84" s="149">
        <v>15.553815323563409</v>
      </c>
      <c r="PT84" s="149">
        <v>17.727597937392126</v>
      </c>
      <c r="PU84" s="150">
        <v>20.510350975085938</v>
      </c>
      <c r="PV84" s="149">
        <v>23.729920918044769</v>
      </c>
      <c r="PW84" s="149">
        <v>27.046386264076553</v>
      </c>
      <c r="PX84" s="149">
        <v>29.252713598842938</v>
      </c>
      <c r="PY84" s="149">
        <v>31.311611777922714</v>
      </c>
      <c r="PZ84" s="149">
        <v>33.888414600788266</v>
      </c>
      <c r="QA84" s="122"/>
      <c r="QB84" s="122">
        <v>82</v>
      </c>
      <c r="QC84" s="149">
        <v>13.377595289325599</v>
      </c>
      <c r="QD84" s="149">
        <v>14.439639316622273</v>
      </c>
      <c r="QE84" s="149">
        <v>15.420251814475044</v>
      </c>
      <c r="QF84" s="149">
        <v>16.633768931252291</v>
      </c>
      <c r="QG84" s="149">
        <v>18.874364874016013</v>
      </c>
      <c r="QH84" s="150">
        <v>21.729161416253334</v>
      </c>
      <c r="QI84" s="149">
        <v>25.015753324955668</v>
      </c>
      <c r="QJ84" s="149">
        <v>28.385416306131514</v>
      </c>
      <c r="QK84" s="149">
        <v>30.619244194856623</v>
      </c>
      <c r="QL84" s="149">
        <v>32.698632251157889</v>
      </c>
      <c r="QM84" s="149">
        <v>35.294568690558364</v>
      </c>
      <c r="QN84" s="122"/>
      <c r="QO84" s="122"/>
      <c r="QP84" s="126"/>
      <c r="QQ84" s="126"/>
      <c r="QR84" s="126"/>
      <c r="QS84" s="126"/>
      <c r="QT84" s="126"/>
      <c r="QU84" s="127"/>
      <c r="QV84" s="126"/>
      <c r="QW84" s="126"/>
      <c r="QX84" s="126"/>
      <c r="QY84" s="126"/>
      <c r="QZ84" s="126"/>
      <c r="RA84" s="122"/>
      <c r="RB84" s="122">
        <v>82</v>
      </c>
      <c r="RC84" s="149">
        <f t="shared" si="687"/>
        <v>0.50359398015401069</v>
      </c>
      <c r="RD84" s="149">
        <f t="shared" si="688"/>
        <v>0.54990307114270109</v>
      </c>
      <c r="RE84" s="149">
        <f t="shared" si="689"/>
        <v>0.59369610475377788</v>
      </c>
      <c r="RF84" s="149">
        <f t="shared" si="690"/>
        <v>0.64927024636150588</v>
      </c>
      <c r="RG84" s="149">
        <f t="shared" si="927"/>
        <v>0.75590824955780656</v>
      </c>
      <c r="RH84" s="150">
        <f t="shared" si="928"/>
        <v>0.89939522834370733</v>
      </c>
      <c r="RI84" s="149">
        <f t="shared" si="929"/>
        <v>1.0752465878088695</v>
      </c>
      <c r="RJ84" s="149">
        <f t="shared" si="691"/>
        <v>1.2675206015182567</v>
      </c>
      <c r="RK84" s="149">
        <f t="shared" si="692"/>
        <v>1.401743637763327</v>
      </c>
      <c r="RL84" s="149">
        <f t="shared" si="693"/>
        <v>1.5315816719982904</v>
      </c>
      <c r="RM84" s="149">
        <f t="shared" si="694"/>
        <v>1.7003634250761279</v>
      </c>
      <c r="RN84" s="122"/>
      <c r="RO84" s="122">
        <v>82</v>
      </c>
      <c r="RP84" s="149">
        <f t="shared" si="695"/>
        <v>0.55419104286634824</v>
      </c>
      <c r="RQ84" s="149">
        <f t="shared" si="696"/>
        <v>0.609675530383057</v>
      </c>
      <c r="RR84" s="149">
        <f t="shared" si="697"/>
        <v>0.66287502590627434</v>
      </c>
      <c r="RS84" s="149">
        <f t="shared" si="698"/>
        <v>0.73138946829473939</v>
      </c>
      <c r="RT84" s="149">
        <f t="shared" si="930"/>
        <v>0.86592903137003419</v>
      </c>
      <c r="RU84" s="150">
        <f t="shared" si="931"/>
        <v>1.0531366798309043</v>
      </c>
      <c r="RV84" s="149">
        <f t="shared" si="932"/>
        <v>1.291879174407504</v>
      </c>
      <c r="RW84" s="149">
        <f t="shared" si="699"/>
        <v>1.5642122801123195</v>
      </c>
      <c r="RX84" s="149">
        <f t="shared" si="700"/>
        <v>1.7610987575267218</v>
      </c>
      <c r="RY84" s="149">
        <f t="shared" si="701"/>
        <v>1.9567258699035199</v>
      </c>
      <c r="RZ84" s="149">
        <f t="shared" si="702"/>
        <v>2.2184835581790128</v>
      </c>
      <c r="SA84" s="122"/>
      <c r="SB84" s="122"/>
      <c r="SC84" s="149"/>
      <c r="SD84" s="149"/>
      <c r="SE84" s="149"/>
      <c r="SF84" s="149"/>
      <c r="SG84" s="149"/>
      <c r="SH84" s="150"/>
      <c r="SI84" s="149"/>
      <c r="SJ84" s="149"/>
      <c r="SK84" s="149"/>
      <c r="SL84" s="149"/>
      <c r="SM84" s="149"/>
      <c r="SN84" s="122"/>
      <c r="SO84" s="122">
        <v>82</v>
      </c>
      <c r="SP84" s="149">
        <f t="shared" si="711"/>
        <v>0.33599211834457299</v>
      </c>
      <c r="SQ84" s="149">
        <f t="shared" si="712"/>
        <v>0.35549952094687248</v>
      </c>
      <c r="SR84" s="149">
        <f t="shared" si="713"/>
        <v>0.37294306081350415</v>
      </c>
      <c r="SS84" s="149">
        <f t="shared" si="714"/>
        <v>0.39383914588339874</v>
      </c>
      <c r="ST84" s="149">
        <f t="shared" si="936"/>
        <v>0.43062836798580295</v>
      </c>
      <c r="SU84" s="150">
        <f t="shared" si="937"/>
        <v>0.47459426168204943</v>
      </c>
      <c r="SV84" s="149">
        <f t="shared" si="938"/>
        <v>0.52182970380376803</v>
      </c>
      <c r="SW84" s="149">
        <f t="shared" si="715"/>
        <v>0.5671203620652876</v>
      </c>
      <c r="SX84" s="149">
        <f t="shared" si="716"/>
        <v>0.59564036384589303</v>
      </c>
      <c r="SY84" s="149">
        <f t="shared" si="717"/>
        <v>0.6212330588862196</v>
      </c>
      <c r="SZ84" s="149">
        <f t="shared" si="718"/>
        <v>0.65201302346695733</v>
      </c>
      <c r="TA84" s="122"/>
      <c r="TB84" s="122">
        <v>82</v>
      </c>
      <c r="TC84" s="149">
        <f t="shared" si="719"/>
        <v>0.35764400768001103</v>
      </c>
      <c r="TD84" s="149">
        <f t="shared" si="720"/>
        <v>0.37945103537191044</v>
      </c>
      <c r="TE84" s="149">
        <f t="shared" si="721"/>
        <v>0.39907402329143349</v>
      </c>
      <c r="TF84" s="149">
        <f t="shared" si="722"/>
        <v>0.42273090140933672</v>
      </c>
      <c r="TG84" s="149">
        <f t="shared" si="939"/>
        <v>0.46476797807937326</v>
      </c>
      <c r="TH84" s="150">
        <f t="shared" si="940"/>
        <v>0.51563209262908294</v>
      </c>
      <c r="TI84" s="149">
        <f t="shared" si="941"/>
        <v>0.57100914905655442</v>
      </c>
      <c r="TJ84" s="149">
        <f t="shared" si="723"/>
        <v>0.62478846797457965</v>
      </c>
      <c r="TK84" s="149">
        <f t="shared" si="724"/>
        <v>0.65898506556325609</v>
      </c>
      <c r="TL84" s="149">
        <f t="shared" si="725"/>
        <v>0.68988382574243778</v>
      </c>
      <c r="TM84" s="149">
        <f t="shared" si="726"/>
        <v>0.72730529998836468</v>
      </c>
      <c r="TN84" s="122"/>
      <c r="TO84" s="122"/>
      <c r="TP84" s="149"/>
      <c r="TQ84" s="149"/>
      <c r="TR84" s="149"/>
      <c r="TS84" s="149"/>
      <c r="TT84" s="149"/>
      <c r="TU84" s="150"/>
      <c r="TV84" s="149"/>
      <c r="TW84" s="149"/>
      <c r="TX84" s="149"/>
      <c r="TY84" s="149"/>
      <c r="TZ84" s="149"/>
      <c r="UA84" s="122"/>
      <c r="UB84" s="122">
        <v>82</v>
      </c>
      <c r="UC84" s="149">
        <f t="shared" si="735"/>
        <v>-1.4491566531065487</v>
      </c>
      <c r="UD84" s="149">
        <f t="shared" si="736"/>
        <v>1.1450143914484414</v>
      </c>
      <c r="UE84" s="149">
        <f t="shared" si="737"/>
        <v>3.3418805581978575</v>
      </c>
      <c r="UF84" s="149">
        <f t="shared" si="738"/>
        <v>5.8379747611095638</v>
      </c>
      <c r="UG84" s="149">
        <f t="shared" si="945"/>
        <v>9.9208585276494148</v>
      </c>
      <c r="UH84" s="150">
        <f t="shared" si="946"/>
        <v>14.362827189320399</v>
      </c>
      <c r="UI84" s="149">
        <f t="shared" si="947"/>
        <v>18.701413059336815</v>
      </c>
      <c r="UJ84" s="149">
        <f t="shared" si="739"/>
        <v>22.514035745885792</v>
      </c>
      <c r="UK84" s="149">
        <f t="shared" si="740"/>
        <v>24.765955863162233</v>
      </c>
      <c r="UL84" s="149">
        <f t="shared" si="741"/>
        <v>26.699890478725322</v>
      </c>
      <c r="UM84" s="149">
        <f t="shared" si="742"/>
        <v>28.926970620895617</v>
      </c>
      <c r="UN84" s="122"/>
      <c r="UO84" s="122">
        <v>82</v>
      </c>
      <c r="UP84" s="149">
        <f t="shared" si="743"/>
        <v>2.930366554161651</v>
      </c>
      <c r="UQ84" s="149">
        <f t="shared" si="744"/>
        <v>5.246179564214998</v>
      </c>
      <c r="UR84" s="149">
        <f t="shared" si="745"/>
        <v>7.2357128302147444</v>
      </c>
      <c r="US84" s="149">
        <f t="shared" si="746"/>
        <v>9.5271441288115568</v>
      </c>
      <c r="UT84" s="149">
        <f t="shared" si="948"/>
        <v>13.344353490717886</v>
      </c>
      <c r="UU84" s="150">
        <f t="shared" si="949"/>
        <v>17.591752187079422</v>
      </c>
      <c r="UV84" s="149">
        <f t="shared" si="950"/>
        <v>21.832160874770615</v>
      </c>
      <c r="UW84" s="149">
        <f t="shared" si="747"/>
        <v>25.631120941350609</v>
      </c>
      <c r="UX84" s="149">
        <f t="shared" si="748"/>
        <v>27.906094163358823</v>
      </c>
      <c r="UY84" s="149">
        <f t="shared" si="749"/>
        <v>29.877936640699922</v>
      </c>
      <c r="UZ84" s="149">
        <f t="shared" si="750"/>
        <v>32.169105663007237</v>
      </c>
      <c r="VA84" s="122"/>
      <c r="VB84" s="122"/>
      <c r="VC84" s="149"/>
      <c r="VD84" s="149"/>
      <c r="VE84" s="149"/>
      <c r="VF84" s="149"/>
      <c r="VG84" s="149"/>
      <c r="VH84" s="150"/>
      <c r="VI84" s="149"/>
      <c r="VJ84" s="149"/>
      <c r="VK84" s="149"/>
      <c r="VL84" s="149"/>
      <c r="VM84" s="149"/>
      <c r="VN84" s="122"/>
      <c r="VO84" s="122">
        <v>82</v>
      </c>
      <c r="VP84" s="149">
        <f t="shared" si="759"/>
        <v>1.0706723657542199</v>
      </c>
      <c r="VQ84" s="149">
        <f t="shared" si="760"/>
        <v>5.8644823294858881</v>
      </c>
      <c r="VR84" s="149">
        <f t="shared" si="761"/>
        <v>10.117131564363511</v>
      </c>
      <c r="VS84" s="149">
        <f t="shared" si="762"/>
        <v>15.167166201828103</v>
      </c>
      <c r="VT84" s="149">
        <f t="shared" si="954"/>
        <v>23.936740851794603</v>
      </c>
      <c r="VU84" s="150">
        <f t="shared" si="955"/>
        <v>34.210887213879367</v>
      </c>
      <c r="VV84" s="149">
        <f t="shared" si="956"/>
        <v>45.001304492687346</v>
      </c>
      <c r="VW84" s="149">
        <f t="shared" si="763"/>
        <v>55.113562220485996</v>
      </c>
      <c r="VX84" s="149">
        <f t="shared" si="764"/>
        <v>61.36804088608968</v>
      </c>
      <c r="VY84" s="149">
        <f t="shared" si="765"/>
        <v>66.908489518292129</v>
      </c>
      <c r="VZ84" s="149">
        <f t="shared" si="766"/>
        <v>73.48434403451202</v>
      </c>
      <c r="WA84" s="122"/>
      <c r="WB84" s="122">
        <v>82</v>
      </c>
      <c r="WC84" s="149">
        <f t="shared" si="767"/>
        <v>10.896153289409604</v>
      </c>
      <c r="WD84" s="149">
        <f t="shared" si="768"/>
        <v>15.517475590729369</v>
      </c>
      <c r="WE84" s="149">
        <f t="shared" si="769"/>
        <v>19.605981812478014</v>
      </c>
      <c r="WF84" s="149">
        <f t="shared" si="770"/>
        <v>24.449054316322893</v>
      </c>
      <c r="WG84" s="149">
        <f t="shared" si="957"/>
        <v>32.832259325609265</v>
      </c>
      <c r="WH84" s="150">
        <f t="shared" si="958"/>
        <v>42.617062617068648</v>
      </c>
      <c r="WI84" s="149">
        <f t="shared" si="959"/>
        <v>52.85838886936164</v>
      </c>
      <c r="WJ84" s="149">
        <f t="shared" si="771"/>
        <v>62.42877922171261</v>
      </c>
      <c r="WK84" s="149">
        <f t="shared" si="772"/>
        <v>68.336671945472148</v>
      </c>
      <c r="WL84" s="149">
        <f t="shared" si="773"/>
        <v>73.563546966462809</v>
      </c>
      <c r="WM84" s="149">
        <f t="shared" si="774"/>
        <v>79.759884085635406</v>
      </c>
      <c r="WN84" s="122"/>
      <c r="WO84" s="122"/>
      <c r="WP84" s="149"/>
      <c r="WQ84" s="149"/>
      <c r="WR84" s="149"/>
      <c r="WS84" s="149"/>
      <c r="WT84" s="149"/>
      <c r="WU84" s="150"/>
      <c r="WV84" s="149"/>
      <c r="WW84" s="149"/>
      <c r="WX84" s="149"/>
      <c r="WY84" s="149"/>
      <c r="WZ84" s="149"/>
      <c r="XA84" s="122"/>
      <c r="XB84" s="122">
        <v>82</v>
      </c>
      <c r="XC84" s="149">
        <f t="shared" si="783"/>
        <v>-4.7456821312307014</v>
      </c>
      <c r="XD84" s="149">
        <f t="shared" si="784"/>
        <v>0.19622355529372015</v>
      </c>
      <c r="XE84" s="149">
        <f t="shared" si="785"/>
        <v>4.5309223037960393</v>
      </c>
      <c r="XF84" s="149">
        <f t="shared" si="786"/>
        <v>9.6213171758951219</v>
      </c>
      <c r="XG84" s="149">
        <f t="shared" si="963"/>
        <v>18.323444696281065</v>
      </c>
      <c r="XH84" s="150">
        <f t="shared" si="964"/>
        <v>28.315247034710019</v>
      </c>
      <c r="XI84" s="149">
        <f t="shared" si="965"/>
        <v>38.596265611629981</v>
      </c>
      <c r="XJ84" s="149">
        <f t="shared" si="787"/>
        <v>48.052399629430631</v>
      </c>
      <c r="XK84" s="149">
        <f t="shared" si="788"/>
        <v>53.821461543203888</v>
      </c>
      <c r="XL84" s="149">
        <f t="shared" si="789"/>
        <v>58.884245382666514</v>
      </c>
      <c r="XM84" s="149">
        <f t="shared" si="790"/>
        <v>64.8379496848504</v>
      </c>
      <c r="XN84" s="122"/>
      <c r="XO84" s="122">
        <v>82</v>
      </c>
      <c r="XP84" s="149">
        <f t="shared" si="791"/>
        <v>11.093890269639907</v>
      </c>
      <c r="XQ84" s="149">
        <f t="shared" si="792"/>
        <v>14.987156664982386</v>
      </c>
      <c r="XR84" s="149">
        <f t="shared" si="793"/>
        <v>18.375428432900456</v>
      </c>
      <c r="XS84" s="149">
        <f t="shared" si="794"/>
        <v>22.326241250326127</v>
      </c>
      <c r="XT84" s="149">
        <f t="shared" si="966"/>
        <v>29.01885912230437</v>
      </c>
      <c r="XU84" s="150">
        <f t="shared" si="967"/>
        <v>36.622211609885447</v>
      </c>
      <c r="XV84" s="149">
        <f t="shared" si="968"/>
        <v>44.369932088222249</v>
      </c>
      <c r="XW84" s="149">
        <f t="shared" si="795"/>
        <v>51.438459307572749</v>
      </c>
      <c r="XX84" s="149">
        <f t="shared" si="796"/>
        <v>55.727032563212852</v>
      </c>
      <c r="XY84" s="149">
        <f t="shared" si="797"/>
        <v>59.477025518732653</v>
      </c>
      <c r="XZ84" s="149">
        <f t="shared" si="798"/>
        <v>63.871848444493203</v>
      </c>
      <c r="YA84" s="122"/>
      <c r="YB84" s="122"/>
      <c r="YC84" s="149"/>
      <c r="YD84" s="149"/>
      <c r="YE84" s="149"/>
      <c r="YF84" s="149"/>
      <c r="YG84" s="149"/>
      <c r="YH84" s="150"/>
      <c r="YI84" s="149"/>
      <c r="YJ84" s="149"/>
      <c r="YK84" s="149"/>
      <c r="YL84" s="149"/>
      <c r="YM84" s="149"/>
      <c r="YN84" s="122"/>
      <c r="YO84" s="122">
        <v>82</v>
      </c>
      <c r="YP84" s="149">
        <v>21.55365356700397</v>
      </c>
      <c r="YQ84" s="149">
        <v>23.260467838089806</v>
      </c>
      <c r="YR84" s="149">
        <v>24.836141252167533</v>
      </c>
      <c r="YS84" s="149">
        <v>26.785715634685658</v>
      </c>
      <c r="YT84" s="149">
        <v>30.384449527599184</v>
      </c>
      <c r="YU84" s="150">
        <v>34.96818761849287</v>
      </c>
      <c r="YV84" s="149">
        <v>40.243419391601385</v>
      </c>
      <c r="YW84" s="149">
        <v>45.650232459673774</v>
      </c>
      <c r="YX84" s="149">
        <v>49.233660450993064</v>
      </c>
      <c r="YY84" s="149">
        <v>52.568768342646308</v>
      </c>
      <c r="YZ84" s="149">
        <v>56.731641413873184</v>
      </c>
      <c r="ZA84" s="122"/>
      <c r="ZB84" s="122">
        <v>82</v>
      </c>
      <c r="ZC84" s="149">
        <v>26.30355431927271</v>
      </c>
      <c r="ZD84" s="149">
        <v>27.444782690473176</v>
      </c>
      <c r="ZE84" s="149">
        <v>28.465826626155511</v>
      </c>
      <c r="ZF84" s="149">
        <v>29.69025978954809</v>
      </c>
      <c r="ZG84" s="149">
        <v>31.851162141114255</v>
      </c>
      <c r="ZH84" s="150">
        <v>34.445530797678963</v>
      </c>
      <c r="ZI84" s="149">
        <v>37.251218234272635</v>
      </c>
      <c r="ZJ84" s="149">
        <v>39.962418663360204</v>
      </c>
      <c r="ZK84" s="149">
        <v>41.68136789126833</v>
      </c>
      <c r="ZL84" s="149">
        <v>43.232063642672379</v>
      </c>
      <c r="ZM84" s="149">
        <v>45.107766712139757</v>
      </c>
      <c r="ZN84" s="122"/>
      <c r="ZO84" s="122"/>
      <c r="ZP84" s="149"/>
      <c r="ZQ84" s="149"/>
      <c r="ZR84" s="149"/>
      <c r="ZS84" s="149"/>
      <c r="ZT84" s="149"/>
      <c r="ZU84" s="150"/>
      <c r="ZV84" s="149"/>
      <c r="ZW84" s="149"/>
      <c r="ZX84" s="149"/>
      <c r="ZY84" s="149"/>
      <c r="ZZ84" s="149"/>
      <c r="AAA84" s="122"/>
      <c r="AAB84" s="122">
        <v>82</v>
      </c>
      <c r="AAC84" s="149">
        <v>12.995088709779859</v>
      </c>
      <c r="AAD84" s="149">
        <v>14.224069921740762</v>
      </c>
      <c r="AAE84" s="149">
        <v>15.373628309517347</v>
      </c>
      <c r="AAF84" s="149">
        <v>16.814768148641903</v>
      </c>
      <c r="AAG84" s="149">
        <v>19.52572479410977</v>
      </c>
      <c r="AAH84" s="150">
        <v>23.065467132169015</v>
      </c>
      <c r="AAI84" s="149">
        <v>27.246915524777858</v>
      </c>
      <c r="AAJ84" s="149">
        <v>31.639792432590834</v>
      </c>
      <c r="AAK84" s="149">
        <v>34.605739342339547</v>
      </c>
      <c r="AAL84" s="149">
        <v>37.402499914037307</v>
      </c>
      <c r="AAM84" s="149">
        <v>40.939757004104507</v>
      </c>
      <c r="AAN84" s="122"/>
      <c r="AAO84" s="122">
        <v>82</v>
      </c>
      <c r="AAP84" s="149">
        <v>15.36911623255352</v>
      </c>
      <c r="AAQ84" s="149">
        <v>16.642642887288737</v>
      </c>
      <c r="AAR84" s="149">
        <v>17.822034593388292</v>
      </c>
      <c r="AAS84" s="149">
        <v>19.285897410388923</v>
      </c>
      <c r="AAT84" s="149">
        <v>22.000332425411379</v>
      </c>
      <c r="AAU84" s="150">
        <v>25.478391900011221</v>
      </c>
      <c r="AAV84" s="149">
        <v>29.506302052998155</v>
      </c>
      <c r="AAW84" s="149">
        <v>33.659229850557772</v>
      </c>
      <c r="AAX84" s="149">
        <v>36.42392513654876</v>
      </c>
      <c r="AAY84" s="149">
        <v>39.005130267282375</v>
      </c>
      <c r="AAZ84" s="149">
        <v>42.237201149900088</v>
      </c>
      <c r="ABA84" s="122"/>
      <c r="ABB84" s="122"/>
      <c r="ABC84" s="149"/>
      <c r="ABD84" s="149"/>
      <c r="ABE84" s="149"/>
      <c r="ABF84" s="149"/>
      <c r="ABG84" s="149"/>
      <c r="ABH84" s="150"/>
      <c r="ABI84" s="149"/>
      <c r="ABJ84" s="149"/>
      <c r="ABK84" s="149"/>
      <c r="ABL84" s="149"/>
      <c r="ABM84" s="149"/>
      <c r="ABN84" s="122"/>
      <c r="ABO84" s="122">
        <v>82</v>
      </c>
      <c r="ABP84" s="149">
        <f t="shared" si="807"/>
        <v>0.38568100891582174</v>
      </c>
      <c r="ABQ84" s="149">
        <f t="shared" si="808"/>
        <v>0.43098130723270578</v>
      </c>
      <c r="ABR84" s="149">
        <f t="shared" si="809"/>
        <v>0.47294293214334576</v>
      </c>
      <c r="ABS84" s="149">
        <f t="shared" si="810"/>
        <v>0.52493211999992828</v>
      </c>
      <c r="ABT84" s="149">
        <f t="shared" si="972"/>
        <v>0.62076119130495888</v>
      </c>
      <c r="ABU84" s="150">
        <f t="shared" si="973"/>
        <v>0.74194583162156436</v>
      </c>
      <c r="ABV84" s="149">
        <f t="shared" si="974"/>
        <v>0.87952646188450578</v>
      </c>
      <c r="ABW84" s="149">
        <f t="shared" si="811"/>
        <v>1.0180073128336187</v>
      </c>
      <c r="ABX84" s="149">
        <f t="shared" si="812"/>
        <v>1.1082692599332191</v>
      </c>
      <c r="ABY84" s="149">
        <f t="shared" si="813"/>
        <v>1.1911649380404368</v>
      </c>
      <c r="ABZ84" s="149">
        <f t="shared" si="814"/>
        <v>1.2931302544135506</v>
      </c>
      <c r="ACA84" s="122"/>
      <c r="ACB84" s="122">
        <v>82</v>
      </c>
      <c r="ACC84" s="149">
        <f t="shared" si="815"/>
        <v>0.51368347228189715</v>
      </c>
      <c r="ACD84" s="149">
        <f t="shared" si="816"/>
        <v>0.55859196173355408</v>
      </c>
      <c r="ACE84" s="149">
        <f t="shared" si="817"/>
        <v>0.59987317829007736</v>
      </c>
      <c r="ACF84" s="149">
        <f t="shared" si="818"/>
        <v>0.65069541794771668</v>
      </c>
      <c r="ACG84" s="149">
        <f t="shared" si="975"/>
        <v>0.74371803746553711</v>
      </c>
      <c r="ACH84" s="150">
        <f t="shared" si="976"/>
        <v>0.8606484445952074</v>
      </c>
      <c r="ACI84" s="149">
        <f t="shared" si="977"/>
        <v>0.99303334606664562</v>
      </c>
      <c r="ACJ84" s="149">
        <f t="shared" si="819"/>
        <v>1.1263315508953569</v>
      </c>
      <c r="ACK84" s="149">
        <f t="shared" si="820"/>
        <v>1.2133838852200614</v>
      </c>
      <c r="ACL84" s="149">
        <f t="shared" si="821"/>
        <v>1.2935079963144513</v>
      </c>
      <c r="ACM84" s="149">
        <f t="shared" si="822"/>
        <v>1.3923458550009882</v>
      </c>
      <c r="ACN84" s="122"/>
      <c r="ACO84" s="122"/>
      <c r="ACP84" s="149"/>
      <c r="ACQ84" s="149"/>
      <c r="ACR84" s="149"/>
      <c r="ACS84" s="149"/>
      <c r="ACT84" s="149"/>
      <c r="ACU84" s="150"/>
      <c r="ACV84" s="149"/>
      <c r="ACW84" s="149"/>
      <c r="ACX84" s="149"/>
      <c r="ACY84" s="149"/>
      <c r="ACZ84" s="149"/>
      <c r="ADA84" s="122"/>
      <c r="ADB84" s="122">
        <v>82</v>
      </c>
      <c r="ADC84" s="149">
        <f t="shared" si="831"/>
        <v>0.28134160730489266</v>
      </c>
      <c r="ADD84" s="149">
        <f t="shared" si="832"/>
        <v>0.3032338190958585</v>
      </c>
      <c r="ADE84" s="149">
        <f t="shared" si="833"/>
        <v>0.32235215697791203</v>
      </c>
      <c r="ADF84" s="149">
        <f t="shared" si="834"/>
        <v>0.34471492237576112</v>
      </c>
      <c r="ADG84" s="149">
        <f t="shared" si="981"/>
        <v>0.38275183553218639</v>
      </c>
      <c r="ADH84" s="150">
        <f t="shared" si="982"/>
        <v>0.42617175516668965</v>
      </c>
      <c r="ADI84" s="149">
        <f t="shared" si="983"/>
        <v>0.47061165103639352</v>
      </c>
      <c r="ADJ84" s="149">
        <f t="shared" si="835"/>
        <v>0.51130603756784831</v>
      </c>
      <c r="ADK84" s="149">
        <f t="shared" si="836"/>
        <v>0.53605862966766726</v>
      </c>
      <c r="ADL84" s="149">
        <f t="shared" si="837"/>
        <v>0.55773852264207657</v>
      </c>
      <c r="ADM84" s="149">
        <f t="shared" si="838"/>
        <v>0.58318639172629538</v>
      </c>
      <c r="ADN84" s="122"/>
      <c r="ADO84" s="122">
        <v>82</v>
      </c>
      <c r="ADP84" s="149">
        <f t="shared" si="839"/>
        <v>0.34096853605826039</v>
      </c>
      <c r="ADQ84" s="149">
        <f t="shared" si="840"/>
        <v>0.35933618298415515</v>
      </c>
      <c r="ADR84" s="149">
        <f t="shared" si="841"/>
        <v>0.37543397422424041</v>
      </c>
      <c r="ADS84" s="149">
        <f t="shared" si="842"/>
        <v>0.39433515595134205</v>
      </c>
      <c r="ADT84" s="149">
        <f t="shared" si="984"/>
        <v>0.42666947692808782</v>
      </c>
      <c r="ADU84" s="150">
        <f t="shared" si="985"/>
        <v>0.4638754904219109</v>
      </c>
      <c r="ADV84" s="149">
        <f t="shared" si="986"/>
        <v>0.50228995134258136</v>
      </c>
      <c r="ADW84" s="149">
        <f t="shared" si="843"/>
        <v>0.53776654443065486</v>
      </c>
      <c r="ADX84" s="149">
        <f t="shared" si="844"/>
        <v>0.55948575995356331</v>
      </c>
      <c r="ADY84" s="149">
        <f t="shared" si="845"/>
        <v>0.57859584844300949</v>
      </c>
      <c r="ADZ84" s="149">
        <f t="shared" si="846"/>
        <v>0.60113056147254906</v>
      </c>
      <c r="AEA84" s="122"/>
      <c r="AEB84" s="122"/>
      <c r="AEC84" s="149"/>
      <c r="AED84" s="149"/>
      <c r="AEE84" s="149"/>
      <c r="AEF84" s="149"/>
      <c r="AEG84" s="149"/>
      <c r="AEH84" s="150"/>
      <c r="AEI84" s="149"/>
      <c r="AEJ84" s="149"/>
      <c r="AEK84" s="149"/>
      <c r="AEL84" s="149"/>
      <c r="AEM84" s="149"/>
      <c r="AEN84" s="122"/>
    </row>
    <row r="85" spans="1:820">
      <c r="A85" s="81"/>
      <c r="B85" s="113">
        <v>84</v>
      </c>
      <c r="C85" s="135">
        <f t="shared" si="495"/>
        <v>2.8353032264773264</v>
      </c>
      <c r="D85" s="135">
        <f t="shared" si="496"/>
        <v>3.4530269879905742</v>
      </c>
      <c r="E85" s="135">
        <f t="shared" si="497"/>
        <v>4.115179756377124</v>
      </c>
      <c r="F85" s="135">
        <f t="shared" si="498"/>
        <v>5.0745201608356814</v>
      </c>
      <c r="G85" s="135">
        <f t="shared" si="855"/>
        <v>7.3363899385908811</v>
      </c>
      <c r="H85" s="136">
        <f t="shared" si="856"/>
        <v>11.42155646013196</v>
      </c>
      <c r="I85" s="135">
        <f t="shared" si="857"/>
        <v>18.49377914955366</v>
      </c>
      <c r="J85" s="135">
        <f t="shared" si="499"/>
        <v>29.650810389130868</v>
      </c>
      <c r="K85" s="135">
        <f t="shared" si="500"/>
        <v>40.183790255835618</v>
      </c>
      <c r="L85" s="135">
        <f t="shared" si="501"/>
        <v>53.070802567410674</v>
      </c>
      <c r="M85" s="135">
        <f t="shared" si="502"/>
        <v>74.741499258831695</v>
      </c>
      <c r="N85" s="81"/>
      <c r="O85" s="138">
        <v>84</v>
      </c>
      <c r="P85" s="152">
        <f t="shared" si="503"/>
        <v>3.5549302458778862</v>
      </c>
      <c r="Q85" s="152">
        <f t="shared" si="504"/>
        <v>4.1992865031517894</v>
      </c>
      <c r="R85" s="152">
        <f t="shared" si="505"/>
        <v>4.8925281949098602</v>
      </c>
      <c r="S85" s="152">
        <f t="shared" si="506"/>
        <v>5.9085744872451675</v>
      </c>
      <c r="T85" s="152">
        <f t="shared" si="858"/>
        <v>8.390636614656902</v>
      </c>
      <c r="U85" s="136">
        <f t="shared" si="859"/>
        <v>13.291287080598851</v>
      </c>
      <c r="V85" s="152">
        <f t="shared" si="860"/>
        <v>23.388177702307097</v>
      </c>
      <c r="W85" s="152">
        <f t="shared" si="507"/>
        <v>44.65953025466181</v>
      </c>
      <c r="X85" s="152">
        <f t="shared" si="508"/>
        <v>72.750315156740655</v>
      </c>
      <c r="Y85" s="152">
        <f t="shared" si="509"/>
        <v>122.15554020521164</v>
      </c>
      <c r="Z85" s="152">
        <f t="shared" si="510"/>
        <v>266.78465646799981</v>
      </c>
      <c r="AA85" s="122"/>
      <c r="AB85" s="139"/>
      <c r="AC85" s="140"/>
      <c r="AD85" s="140"/>
      <c r="AE85" s="140"/>
      <c r="AF85" s="140"/>
      <c r="AG85" s="140"/>
      <c r="AH85" s="127"/>
      <c r="AI85" s="140"/>
      <c r="AJ85" s="140"/>
      <c r="AK85" s="140"/>
      <c r="AL85" s="140"/>
      <c r="AM85" s="140"/>
      <c r="AN85" s="81"/>
      <c r="AO85" s="113">
        <v>84</v>
      </c>
      <c r="AP85" s="135">
        <f t="shared" si="519"/>
        <v>3.3435429305218198</v>
      </c>
      <c r="AQ85" s="135">
        <f t="shared" si="520"/>
        <v>6.9043499539989446</v>
      </c>
      <c r="AR85" s="135">
        <f t="shared" si="521"/>
        <v>10.41122194295049</v>
      </c>
      <c r="AS85" s="135">
        <f t="shared" si="522"/>
        <v>14.970850947913412</v>
      </c>
      <c r="AT85" s="135">
        <f t="shared" si="864"/>
        <v>23.824740683952108</v>
      </c>
      <c r="AU85" s="136">
        <f t="shared" si="865"/>
        <v>35.559548241840666</v>
      </c>
      <c r="AV85" s="135">
        <f t="shared" si="866"/>
        <v>49.292703365680467</v>
      </c>
      <c r="AW85" s="135">
        <f t="shared" si="523"/>
        <v>63.33794585472544</v>
      </c>
      <c r="AX85" s="135">
        <f t="shared" si="524"/>
        <v>72.547192577241589</v>
      </c>
      <c r="AY85" s="135">
        <f t="shared" si="525"/>
        <v>81.017749089896512</v>
      </c>
      <c r="AZ85" s="135">
        <f t="shared" si="526"/>
        <v>91.433825629467151</v>
      </c>
      <c r="BA85" s="81"/>
      <c r="BB85" s="113">
        <v>84</v>
      </c>
      <c r="BC85" s="135">
        <f t="shared" si="527"/>
        <v>6.0232788311927008</v>
      </c>
      <c r="BD85" s="135">
        <f t="shared" si="528"/>
        <v>10.219792721694493</v>
      </c>
      <c r="BE85" s="135">
        <f t="shared" si="529"/>
        <v>14.207582456178692</v>
      </c>
      <c r="BF85" s="135">
        <f t="shared" si="530"/>
        <v>19.222601756439122</v>
      </c>
      <c r="BG85" s="135">
        <f t="shared" si="867"/>
        <v>28.541872335398086</v>
      </c>
      <c r="BH85" s="136">
        <f t="shared" si="868"/>
        <v>40.269444783882683</v>
      </c>
      <c r="BI85" s="135">
        <f t="shared" si="869"/>
        <v>53.343890265770838</v>
      </c>
      <c r="BJ85" s="135">
        <f t="shared" si="531"/>
        <v>66.173981815674978</v>
      </c>
      <c r="BK85" s="135">
        <f t="shared" si="532"/>
        <v>74.348575464051166</v>
      </c>
      <c r="BL85" s="135">
        <f t="shared" si="533"/>
        <v>81.725910156687178</v>
      </c>
      <c r="BM85" s="135">
        <f t="shared" si="534"/>
        <v>90.63344722065635</v>
      </c>
      <c r="BN85" s="122"/>
      <c r="BO85" s="139"/>
      <c r="BP85" s="140"/>
      <c r="BQ85" s="140"/>
      <c r="BR85" s="140"/>
      <c r="BS85" s="140"/>
      <c r="BT85" s="140"/>
      <c r="BU85" s="127"/>
      <c r="BV85" s="140"/>
      <c r="BW85" s="140"/>
      <c r="BX85" s="140"/>
      <c r="BY85" s="140"/>
      <c r="BZ85" s="140"/>
      <c r="CA85" s="81"/>
      <c r="CB85" s="113">
        <v>84</v>
      </c>
      <c r="CC85" s="135">
        <f t="shared" si="543"/>
        <v>1.9767401660735286</v>
      </c>
      <c r="CD85" s="135">
        <f t="shared" si="544"/>
        <v>5.5842088220339905</v>
      </c>
      <c r="CE85" s="135">
        <f t="shared" si="545"/>
        <v>8.9535336169113009</v>
      </c>
      <c r="CF85" s="135">
        <f t="shared" si="546"/>
        <v>13.112176993379638</v>
      </c>
      <c r="CG85" s="135">
        <f t="shared" si="873"/>
        <v>20.63414646982503</v>
      </c>
      <c r="CH85" s="136">
        <f t="shared" si="874"/>
        <v>29.784211626241724</v>
      </c>
      <c r="CI85" s="135">
        <f t="shared" si="875"/>
        <v>39.653553507207647</v>
      </c>
      <c r="CJ85" s="135">
        <f t="shared" si="547"/>
        <v>49.063719609875506</v>
      </c>
      <c r="CK85" s="135">
        <f t="shared" si="548"/>
        <v>54.939274611148868</v>
      </c>
      <c r="CL85" s="135">
        <f t="shared" si="549"/>
        <v>60.17087434475922</v>
      </c>
      <c r="CM85" s="135">
        <f t="shared" si="550"/>
        <v>66.406117255144054</v>
      </c>
      <c r="CN85" s="81"/>
      <c r="CO85" s="113">
        <v>84</v>
      </c>
      <c r="CP85" s="135">
        <f t="shared" si="551"/>
        <v>7.6495247753345916</v>
      </c>
      <c r="CQ85" s="135">
        <f t="shared" si="552"/>
        <v>11.038505868145503</v>
      </c>
      <c r="CR85" s="135">
        <f t="shared" si="553"/>
        <v>14.128454719140954</v>
      </c>
      <c r="CS85" s="135">
        <f t="shared" si="554"/>
        <v>17.87795635762869</v>
      </c>
      <c r="CT85" s="135">
        <f t="shared" si="876"/>
        <v>24.545234501113256</v>
      </c>
      <c r="CU85" s="136">
        <f t="shared" si="877"/>
        <v>32.534194867283972</v>
      </c>
      <c r="CV85" s="135">
        <f t="shared" si="878"/>
        <v>41.061244753051014</v>
      </c>
      <c r="CW85" s="135">
        <f t="shared" si="555"/>
        <v>49.135748736062546</v>
      </c>
      <c r="CX85" s="135">
        <f t="shared" si="556"/>
        <v>54.157612596950955</v>
      </c>
      <c r="CY85" s="135">
        <f t="shared" si="557"/>
        <v>58.619089076910079</v>
      </c>
      <c r="CZ85" s="135">
        <f t="shared" si="558"/>
        <v>63.926266423235823</v>
      </c>
      <c r="DA85" s="122"/>
      <c r="DB85" s="122"/>
      <c r="DC85" s="126"/>
      <c r="DD85" s="126"/>
      <c r="DE85" s="126"/>
      <c r="DF85" s="126"/>
      <c r="DG85" s="126"/>
      <c r="DH85" s="127"/>
      <c r="DI85" s="126"/>
      <c r="DJ85" s="126"/>
      <c r="DK85" s="126"/>
      <c r="DL85" s="126"/>
      <c r="DM85" s="126"/>
      <c r="DN85" s="122"/>
      <c r="DO85" s="113">
        <v>84</v>
      </c>
      <c r="DP85" s="135">
        <v>15.731731549758821</v>
      </c>
      <c r="DQ85" s="135">
        <v>17.043028567182841</v>
      </c>
      <c r="DR85" s="135">
        <v>18.257909832026087</v>
      </c>
      <c r="DS85" s="135">
        <v>19.76645635368542</v>
      </c>
      <c r="DT85" s="135">
        <v>22.565440718551933</v>
      </c>
      <c r="DU85" s="136">
        <v>26.154686204586461</v>
      </c>
      <c r="DV85" s="135">
        <v>30.314834927996184</v>
      </c>
      <c r="DW85" s="135">
        <v>34.60749859358792</v>
      </c>
      <c r="DX85" s="135">
        <v>37.466917996301341</v>
      </c>
      <c r="DY85" s="135">
        <v>40.137679037726308</v>
      </c>
      <c r="DZ85" s="135">
        <v>43.483300506159011</v>
      </c>
      <c r="EA85" s="122"/>
      <c r="EB85" s="113">
        <v>84</v>
      </c>
      <c r="EC85" s="135">
        <v>14.627296020716404</v>
      </c>
      <c r="ED85" s="135">
        <v>16.366017156699087</v>
      </c>
      <c r="EE85" s="135">
        <v>18.025840803425389</v>
      </c>
      <c r="EF85" s="135">
        <v>20.149494591643933</v>
      </c>
      <c r="EG85" s="135">
        <v>24.26339571564154</v>
      </c>
      <c r="EH85" s="136">
        <v>29.845925042707243</v>
      </c>
      <c r="EI85" s="135">
        <v>36.712884383312172</v>
      </c>
      <c r="EJ85" s="135">
        <v>44.208515385011651</v>
      </c>
      <c r="EK85" s="135">
        <v>49.416792890217252</v>
      </c>
      <c r="EL85" s="135">
        <v>54.428590238296188</v>
      </c>
      <c r="EM85" s="135">
        <v>60.898421717404467</v>
      </c>
      <c r="EN85" s="122"/>
      <c r="EO85" s="122"/>
      <c r="EP85" s="126"/>
      <c r="EQ85" s="126"/>
      <c r="ER85" s="126"/>
      <c r="ES85" s="126"/>
      <c r="ET85" s="126"/>
      <c r="EU85" s="127"/>
      <c r="EV85" s="126"/>
      <c r="EW85" s="126"/>
      <c r="EX85" s="126"/>
      <c r="EY85" s="126"/>
      <c r="EZ85" s="126"/>
      <c r="FA85" s="122"/>
      <c r="FB85" s="113">
        <v>84</v>
      </c>
      <c r="FC85" s="135">
        <v>11.685346332171427</v>
      </c>
      <c r="FD85" s="135">
        <v>12.496325445553316</v>
      </c>
      <c r="FE85" s="135">
        <v>13.238687596700892</v>
      </c>
      <c r="FF85" s="135">
        <v>14.149482042527824</v>
      </c>
      <c r="FG85" s="135">
        <v>15.810424420822654</v>
      </c>
      <c r="FH85" s="136">
        <v>17.892463281204659</v>
      </c>
      <c r="FI85" s="135">
        <v>20.248681107360138</v>
      </c>
      <c r="FJ85" s="135">
        <v>22.625580307960412</v>
      </c>
      <c r="FK85" s="135">
        <v>24.182173643030644</v>
      </c>
      <c r="FL85" s="135">
        <v>25.618750380991052</v>
      </c>
      <c r="FM85" s="135">
        <v>27.396726906404584</v>
      </c>
      <c r="FN85" s="122"/>
      <c r="FO85" s="113">
        <v>84</v>
      </c>
      <c r="FP85" s="135">
        <v>11.548637774050558</v>
      </c>
      <c r="FQ85" s="135">
        <v>12.511790948041353</v>
      </c>
      <c r="FR85" s="135">
        <v>13.40416158417084</v>
      </c>
      <c r="FS85" s="135">
        <v>14.512282821923323</v>
      </c>
      <c r="FT85" s="135">
        <v>16.568427635117892</v>
      </c>
      <c r="FU85" s="136">
        <v>19.205298010666642</v>
      </c>
      <c r="FV85" s="135">
        <v>22.261827120922895</v>
      </c>
      <c r="FW85" s="135">
        <v>25.415951177668184</v>
      </c>
      <c r="FX85" s="135">
        <v>27.517086343847733</v>
      </c>
      <c r="FY85" s="135">
        <v>29.479670273443634</v>
      </c>
      <c r="FZ85" s="135">
        <v>31.938266563983504</v>
      </c>
      <c r="GA85" s="122"/>
      <c r="GB85" s="122"/>
      <c r="GC85" s="126"/>
      <c r="GD85" s="126"/>
      <c r="GE85" s="126"/>
      <c r="GF85" s="126"/>
      <c r="GG85" s="126"/>
      <c r="GH85" s="127"/>
      <c r="GI85" s="126"/>
      <c r="GJ85" s="126"/>
      <c r="GK85" s="126"/>
      <c r="GL85" s="126"/>
      <c r="GM85" s="126"/>
      <c r="GN85" s="122"/>
      <c r="GO85" s="113">
        <v>84</v>
      </c>
      <c r="GP85" s="135">
        <f t="shared" si="567"/>
        <v>0.55629906922636174</v>
      </c>
      <c r="GQ85" s="135">
        <f t="shared" si="568"/>
        <v>0.58636178781378911</v>
      </c>
      <c r="GR85" s="135">
        <f t="shared" si="569"/>
        <v>0.61096778885345771</v>
      </c>
      <c r="GS85" s="135">
        <f t="shared" si="570"/>
        <v>0.63809307512460467</v>
      </c>
      <c r="GT85" s="135">
        <f t="shared" si="882"/>
        <v>0.68201855430791303</v>
      </c>
      <c r="GU85" s="136">
        <f t="shared" si="883"/>
        <v>0.7252916139918032</v>
      </c>
      <c r="GV85" s="135">
        <f t="shared" si="884"/>
        <v>0.76598647671415254</v>
      </c>
      <c r="GW85" s="135">
        <f t="shared" si="571"/>
        <v>0.80257416780285473</v>
      </c>
      <c r="GX85" s="135">
        <f t="shared" si="572"/>
        <v>0.82308872108497577</v>
      </c>
      <c r="GY85" s="135">
        <f t="shared" si="573"/>
        <v>0.84045286324478186</v>
      </c>
      <c r="GZ85" s="149">
        <f t="shared" si="574"/>
        <v>0.86017604961867056</v>
      </c>
      <c r="HA85" s="122"/>
      <c r="HB85" s="113">
        <v>84</v>
      </c>
      <c r="HC85" s="135">
        <f t="shared" si="575"/>
        <v>0.56235323516662628</v>
      </c>
      <c r="HD85" s="135">
        <f t="shared" si="576"/>
        <v>0.59222747616076277</v>
      </c>
      <c r="HE85" s="135">
        <f t="shared" si="577"/>
        <v>0.61672040574820075</v>
      </c>
      <c r="HF85" s="135">
        <f t="shared" si="578"/>
        <v>0.64375953445604062</v>
      </c>
      <c r="HG85" s="135">
        <f t="shared" si="885"/>
        <v>0.68641032371756627</v>
      </c>
      <c r="HH85" s="136">
        <f t="shared" si="886"/>
        <v>0.73091222899172859</v>
      </c>
      <c r="HI85" s="135">
        <f t="shared" si="887"/>
        <v>0.77275953649692219</v>
      </c>
      <c r="HJ85" s="135">
        <f t="shared" si="579"/>
        <v>0.80839310170775425</v>
      </c>
      <c r="HK85" s="135">
        <f t="shared" si="580"/>
        <v>0.82899153730625619</v>
      </c>
      <c r="HL85" s="135">
        <f t="shared" si="581"/>
        <v>0.84643589083805215</v>
      </c>
      <c r="HM85" s="135">
        <f t="shared" si="582"/>
        <v>0.86625993757502184</v>
      </c>
      <c r="HN85" s="122"/>
      <c r="HO85" s="122"/>
      <c r="HP85" s="126"/>
      <c r="HQ85" s="126"/>
      <c r="HR85" s="126"/>
      <c r="HS85" s="126"/>
      <c r="HT85" s="126"/>
      <c r="HU85" s="127"/>
      <c r="HV85" s="126"/>
      <c r="HW85" s="126"/>
      <c r="HX85" s="126"/>
      <c r="HY85" s="126"/>
      <c r="HZ85" s="126"/>
      <c r="IA85" s="122"/>
      <c r="IB85" s="113">
        <v>84</v>
      </c>
      <c r="IC85" s="114">
        <f t="shared" si="591"/>
        <v>0.35827500112875604</v>
      </c>
      <c r="ID85" s="114">
        <f t="shared" si="592"/>
        <v>0.36994497321371644</v>
      </c>
      <c r="IE85" s="114">
        <f t="shared" si="593"/>
        <v>0.37926498894535055</v>
      </c>
      <c r="IF85" s="114">
        <f t="shared" si="594"/>
        <v>0.38931762995755032</v>
      </c>
      <c r="IG85" s="114">
        <f t="shared" si="891"/>
        <v>0.40471795721504927</v>
      </c>
      <c r="IH85" s="115">
        <f t="shared" si="892"/>
        <v>0.42025357692935261</v>
      </c>
      <c r="II85" s="114">
        <f t="shared" si="893"/>
        <v>0.43441998872784249</v>
      </c>
      <c r="IJ85" s="114">
        <f t="shared" si="595"/>
        <v>0.44617718392072186</v>
      </c>
      <c r="IK85" s="114">
        <f t="shared" si="596"/>
        <v>0.45285469766164388</v>
      </c>
      <c r="IL85" s="114">
        <f t="shared" si="597"/>
        <v>0.45844520798456856</v>
      </c>
      <c r="IM85" s="114">
        <f t="shared" si="598"/>
        <v>0.46472938411930353</v>
      </c>
      <c r="IN85" s="122"/>
      <c r="IO85" s="113">
        <v>84</v>
      </c>
      <c r="IP85" s="135">
        <f t="shared" si="599"/>
        <v>0.3603031274686172</v>
      </c>
      <c r="IQ85" s="135">
        <f t="shared" si="600"/>
        <v>0.37189577544782215</v>
      </c>
      <c r="IR85" s="135">
        <f t="shared" si="601"/>
        <v>0.38117198237593991</v>
      </c>
      <c r="IS85" s="135">
        <f t="shared" si="602"/>
        <v>0.39119342095379944</v>
      </c>
      <c r="IT85" s="135">
        <f t="shared" si="894"/>
        <v>0.40657476392307257</v>
      </c>
      <c r="IU85" s="136">
        <f t="shared" si="895"/>
        <v>0.42212229514261013</v>
      </c>
      <c r="IV85" s="135">
        <f t="shared" si="896"/>
        <v>0.43632331873381192</v>
      </c>
      <c r="IW85" s="135">
        <f t="shared" si="603"/>
        <v>0.4481245234772458</v>
      </c>
      <c r="IX85" s="135">
        <f t="shared" si="604"/>
        <v>0.4548326790245607</v>
      </c>
      <c r="IY85" s="135">
        <f t="shared" si="605"/>
        <v>0.46045179613989018</v>
      </c>
      <c r="IZ85" s="135">
        <f t="shared" si="606"/>
        <v>0.46677119308652976</v>
      </c>
      <c r="JA85" s="122"/>
      <c r="JB85" s="122"/>
      <c r="JC85" s="126"/>
      <c r="JD85" s="126"/>
      <c r="JE85" s="126"/>
      <c r="JF85" s="126"/>
      <c r="JG85" s="126"/>
      <c r="JH85" s="127"/>
      <c r="JI85" s="126"/>
      <c r="JJ85" s="126"/>
      <c r="JK85" s="126"/>
      <c r="JL85" s="126"/>
      <c r="JM85" s="126"/>
      <c r="JN85" s="122"/>
      <c r="JO85" s="122">
        <v>83</v>
      </c>
      <c r="JP85" s="149">
        <f t="shared" si="615"/>
        <v>6.0429133914199973</v>
      </c>
      <c r="JQ85" s="149">
        <f t="shared" si="616"/>
        <v>7.4148404218078703</v>
      </c>
      <c r="JR85" s="149">
        <f t="shared" si="617"/>
        <v>8.6041926645898066</v>
      </c>
      <c r="JS85" s="149">
        <f t="shared" si="618"/>
        <v>9.9859405894434872</v>
      </c>
      <c r="JT85" s="149">
        <f t="shared" si="900"/>
        <v>12.315117932464428</v>
      </c>
      <c r="JU85" s="150">
        <f t="shared" si="901"/>
        <v>14.945355347893159</v>
      </c>
      <c r="JV85" s="149">
        <f t="shared" si="902"/>
        <v>17.609930858674748</v>
      </c>
      <c r="JW85" s="149">
        <f t="shared" si="619"/>
        <v>20.028503582779276</v>
      </c>
      <c r="JX85" s="149">
        <f t="shared" si="620"/>
        <v>21.490555713384996</v>
      </c>
      <c r="JY85" s="149">
        <f t="shared" si="621"/>
        <v>22.765888608027982</v>
      </c>
      <c r="JZ85" s="149">
        <f t="shared" si="622"/>
        <v>24.256999267091512</v>
      </c>
      <c r="KA85" s="122"/>
      <c r="KB85" s="122">
        <v>83</v>
      </c>
      <c r="KC85" s="149">
        <f t="shared" si="623"/>
        <v>7.6426540624488535</v>
      </c>
      <c r="KD85" s="149">
        <f t="shared" si="624"/>
        <v>9.127856655237979</v>
      </c>
      <c r="KE85" s="149">
        <f t="shared" si="625"/>
        <v>10.432418726953978</v>
      </c>
      <c r="KF85" s="149">
        <f t="shared" si="626"/>
        <v>11.966979513169322</v>
      </c>
      <c r="KG85" s="149">
        <f t="shared" si="903"/>
        <v>14.59754303469275</v>
      </c>
      <c r="KH85" s="150">
        <f t="shared" si="904"/>
        <v>17.630168541849024</v>
      </c>
      <c r="KI85" s="149">
        <f t="shared" si="905"/>
        <v>20.764923521942009</v>
      </c>
      <c r="KJ85" s="149">
        <f t="shared" si="627"/>
        <v>23.661285985183454</v>
      </c>
      <c r="KK85" s="149">
        <f t="shared" si="628"/>
        <v>25.434512103618992</v>
      </c>
      <c r="KL85" s="149">
        <f t="shared" si="629"/>
        <v>26.994502437823442</v>
      </c>
      <c r="KM85" s="149">
        <f t="shared" si="630"/>
        <v>28.833588288740252</v>
      </c>
      <c r="KN85" s="122"/>
      <c r="KO85" s="122"/>
      <c r="KP85" s="126"/>
      <c r="KQ85" s="126"/>
      <c r="KR85" s="126"/>
      <c r="KS85" s="126"/>
      <c r="KT85" s="126"/>
      <c r="KU85" s="127"/>
      <c r="KV85" s="126"/>
      <c r="KW85" s="126"/>
      <c r="KX85" s="126"/>
      <c r="KY85" s="126"/>
      <c r="KZ85" s="126"/>
      <c r="LA85" s="122"/>
      <c r="LB85" s="122">
        <v>83</v>
      </c>
      <c r="LC85" s="149">
        <f t="shared" si="639"/>
        <v>19.21223090695878</v>
      </c>
      <c r="LD85" s="149">
        <f t="shared" si="640"/>
        <v>22.791832409525988</v>
      </c>
      <c r="LE85" s="149">
        <f t="shared" si="641"/>
        <v>25.90674797353352</v>
      </c>
      <c r="LF85" s="149">
        <f t="shared" si="642"/>
        <v>29.538293163256618</v>
      </c>
      <c r="LG85" s="149">
        <f t="shared" si="909"/>
        <v>35.68858702287924</v>
      </c>
      <c r="LH85" s="150">
        <f t="shared" si="910"/>
        <v>42.673270636529132</v>
      </c>
      <c r="LI85" s="149">
        <f t="shared" si="911"/>
        <v>49.787557112842684</v>
      </c>
      <c r="LJ85" s="149">
        <f t="shared" si="643"/>
        <v>56.275399805972732</v>
      </c>
      <c r="LK85" s="149">
        <f t="shared" si="644"/>
        <v>60.210344378757931</v>
      </c>
      <c r="LL85" s="149">
        <f t="shared" si="645"/>
        <v>63.650295995319162</v>
      </c>
      <c r="LM85" s="149">
        <f t="shared" si="646"/>
        <v>67.680784688795768</v>
      </c>
      <c r="LN85" s="122"/>
      <c r="LO85" s="122">
        <v>83</v>
      </c>
      <c r="LP85" s="149">
        <f t="shared" si="647"/>
        <v>25.187195710993802</v>
      </c>
      <c r="LQ85" s="149">
        <f t="shared" si="648"/>
        <v>28.999623472094644</v>
      </c>
      <c r="LR85" s="149">
        <f t="shared" si="649"/>
        <v>32.323636604105459</v>
      </c>
      <c r="LS85" s="149">
        <f t="shared" si="650"/>
        <v>36.206152318462571</v>
      </c>
      <c r="LT85" s="149">
        <f t="shared" si="912"/>
        <v>42.797971150292767</v>
      </c>
      <c r="LU85" s="150">
        <f t="shared" si="913"/>
        <v>50.307223762494843</v>
      </c>
      <c r="LV85" s="149">
        <f t="shared" si="914"/>
        <v>57.978888621268425</v>
      </c>
      <c r="LW85" s="149">
        <f t="shared" si="651"/>
        <v>64.993662113206625</v>
      </c>
      <c r="LX85" s="149">
        <f t="shared" si="652"/>
        <v>69.256285939821709</v>
      </c>
      <c r="LY85" s="149">
        <f t="shared" si="653"/>
        <v>72.987454388572914</v>
      </c>
      <c r="LZ85" s="149">
        <f t="shared" si="654"/>
        <v>77.364581241834557</v>
      </c>
      <c r="MA85" s="122"/>
      <c r="MB85" s="122"/>
      <c r="MC85" s="126"/>
      <c r="MD85" s="126"/>
      <c r="ME85" s="126"/>
      <c r="MF85" s="126"/>
      <c r="MG85" s="126"/>
      <c r="MH85" s="127"/>
      <c r="MI85" s="126"/>
      <c r="MJ85" s="126"/>
      <c r="MK85" s="126"/>
      <c r="ML85" s="126"/>
      <c r="MM85" s="126"/>
      <c r="MN85" s="122"/>
      <c r="MO85" s="122">
        <v>83</v>
      </c>
      <c r="MP85" s="149">
        <f t="shared" si="663"/>
        <v>13.049732393731126</v>
      </c>
      <c r="MQ85" s="149">
        <f t="shared" si="664"/>
        <v>16.875270959961682</v>
      </c>
      <c r="MR85" s="149">
        <f t="shared" si="665"/>
        <v>20.172435733558387</v>
      </c>
      <c r="MS85" s="149">
        <f t="shared" si="666"/>
        <v>23.981408666334104</v>
      </c>
      <c r="MT85" s="149">
        <f t="shared" si="918"/>
        <v>30.352225546899327</v>
      </c>
      <c r="MU85" s="150">
        <f t="shared" si="919"/>
        <v>37.475832014698476</v>
      </c>
      <c r="MV85" s="149">
        <f t="shared" si="920"/>
        <v>44.621341116118892</v>
      </c>
      <c r="MW85" s="149">
        <f t="shared" si="667"/>
        <v>51.049373510685491</v>
      </c>
      <c r="MX85" s="149">
        <f t="shared" si="668"/>
        <v>54.909988043153014</v>
      </c>
      <c r="MY85" s="149">
        <f t="shared" si="669"/>
        <v>58.262708490709578</v>
      </c>
      <c r="MZ85" s="149">
        <f t="shared" si="670"/>
        <v>62.165721582335259</v>
      </c>
      <c r="NA85" s="122"/>
      <c r="NB85" s="122">
        <v>83</v>
      </c>
      <c r="NC85" s="149">
        <f t="shared" si="671"/>
        <v>25.796722444721478</v>
      </c>
      <c r="ND85" s="149">
        <f t="shared" si="672"/>
        <v>28.770156258840192</v>
      </c>
      <c r="NE85" s="149">
        <f t="shared" si="673"/>
        <v>31.332977775670489</v>
      </c>
      <c r="NF85" s="149">
        <f t="shared" si="674"/>
        <v>34.293796031822055</v>
      </c>
      <c r="NG85" s="149">
        <f t="shared" si="921"/>
        <v>39.246649639645412</v>
      </c>
      <c r="NH85" s="150">
        <f t="shared" si="922"/>
        <v>44.786000116322327</v>
      </c>
      <c r="NI85" s="149">
        <f t="shared" si="923"/>
        <v>50.343978691504319</v>
      </c>
      <c r="NJ85" s="149">
        <f t="shared" si="675"/>
        <v>55.345397946943152</v>
      </c>
      <c r="NK85" s="149">
        <f t="shared" si="676"/>
        <v>58.349929573491522</v>
      </c>
      <c r="NL85" s="149">
        <f t="shared" si="677"/>
        <v>60.959646776992855</v>
      </c>
      <c r="NM85" s="149">
        <f t="shared" si="678"/>
        <v>63.998246670218293</v>
      </c>
      <c r="NN85" s="122"/>
      <c r="NO85" s="122"/>
      <c r="NP85" s="126"/>
      <c r="NQ85" s="126"/>
      <c r="NR85" s="126"/>
      <c r="NS85" s="126"/>
      <c r="NT85" s="126"/>
      <c r="NU85" s="127"/>
      <c r="NV85" s="126"/>
      <c r="NW85" s="126"/>
      <c r="NX85" s="126"/>
      <c r="NY85" s="126"/>
      <c r="NZ85" s="126"/>
      <c r="OA85" s="122"/>
      <c r="OB85" s="122">
        <v>83</v>
      </c>
      <c r="OC85" s="149">
        <v>17.241271473688307</v>
      </c>
      <c r="OD85" s="149">
        <v>18.553168114794456</v>
      </c>
      <c r="OE85" s="149">
        <v>19.761038154119593</v>
      </c>
      <c r="OF85" s="149">
        <v>21.251551230054776</v>
      </c>
      <c r="OG85" s="149">
        <v>23.992368869600167</v>
      </c>
      <c r="OH85" s="150">
        <v>27.465819009755059</v>
      </c>
      <c r="OI85" s="149">
        <v>31.442131370048156</v>
      </c>
      <c r="OJ85" s="149">
        <v>35.497230564974522</v>
      </c>
      <c r="OK85" s="149">
        <v>38.174675236855329</v>
      </c>
      <c r="OL85" s="149">
        <v>40.659967570448529</v>
      </c>
      <c r="OM85" s="149">
        <v>43.753804064152632</v>
      </c>
      <c r="ON85" s="122"/>
      <c r="OO85" s="122">
        <v>83</v>
      </c>
      <c r="OP85" s="149">
        <v>23.396563870846624</v>
      </c>
      <c r="OQ85" s="149">
        <v>24.396317211097625</v>
      </c>
      <c r="OR85" s="149">
        <v>25.290262482377049</v>
      </c>
      <c r="OS85" s="149">
        <v>26.361654601632065</v>
      </c>
      <c r="OT85" s="149">
        <v>23.254582548451953</v>
      </c>
      <c r="OU85" s="150">
        <v>30.516593690912568</v>
      </c>
      <c r="OV85" s="149">
        <v>32.96400851533037</v>
      </c>
      <c r="OW85" s="149">
        <v>35.326405135381364</v>
      </c>
      <c r="OX85" s="149">
        <v>36.822966592188344</v>
      </c>
      <c r="OY85" s="149">
        <v>38.172257002488202</v>
      </c>
      <c r="OZ85" s="149">
        <v>39.803387182707091</v>
      </c>
      <c r="PA85" s="122"/>
      <c r="PB85" s="122"/>
      <c r="PC85" s="126"/>
      <c r="PD85" s="126"/>
      <c r="PE85" s="126"/>
      <c r="PF85" s="126"/>
      <c r="PG85" s="126"/>
      <c r="PH85" s="127"/>
      <c r="PI85" s="126"/>
      <c r="PJ85" s="126"/>
      <c r="PK85" s="126"/>
      <c r="PL85" s="126"/>
      <c r="PM85" s="126"/>
      <c r="PN85" s="122"/>
      <c r="PO85" s="122">
        <v>83</v>
      </c>
      <c r="PP85" s="149">
        <v>12.564551585471914</v>
      </c>
      <c r="PQ85" s="149">
        <v>13.596770791153531</v>
      </c>
      <c r="PR85" s="149">
        <v>14.552110333461764</v>
      </c>
      <c r="PS85" s="149">
        <v>15.737158771823198</v>
      </c>
      <c r="PT85" s="149">
        <v>17.93266850667689</v>
      </c>
      <c r="PU85" s="150">
        <v>20.742588180854582</v>
      </c>
      <c r="PV85" s="149">
        <v>23.992801979266552</v>
      </c>
      <c r="PW85" s="149">
        <v>27.340066315584469</v>
      </c>
      <c r="PX85" s="149">
        <v>29.566499605983676</v>
      </c>
      <c r="PY85" s="149">
        <v>31.643908031491204</v>
      </c>
      <c r="PZ85" s="149">
        <v>34.243559072814136</v>
      </c>
      <c r="QA85" s="122"/>
      <c r="QB85" s="122">
        <v>83</v>
      </c>
      <c r="QC85" s="149">
        <v>13.592198458680233</v>
      </c>
      <c r="QD85" s="149">
        <v>14.668048910523233</v>
      </c>
      <c r="QE85" s="149">
        <v>15.661206146595697</v>
      </c>
      <c r="QF85" s="149">
        <v>16.889996493892575</v>
      </c>
      <c r="QG85" s="149">
        <v>19.158125917962394</v>
      </c>
      <c r="QH85" s="150">
        <v>22.046887921201733</v>
      </c>
      <c r="QI85" s="149">
        <v>25.371232504234801</v>
      </c>
      <c r="QJ85" s="149">
        <v>28.778292949071481</v>
      </c>
      <c r="QK85" s="149">
        <v>31.036260072196772</v>
      </c>
      <c r="QL85" s="149">
        <v>33.137690634595245</v>
      </c>
      <c r="QM85" s="149">
        <v>35.760606975218238</v>
      </c>
      <c r="QN85" s="122"/>
      <c r="QO85" s="122"/>
      <c r="QP85" s="126"/>
      <c r="QQ85" s="126"/>
      <c r="QR85" s="126"/>
      <c r="QS85" s="126"/>
      <c r="QT85" s="126"/>
      <c r="QU85" s="127"/>
      <c r="QV85" s="126"/>
      <c r="QW85" s="126"/>
      <c r="QX85" s="126"/>
      <c r="QY85" s="126"/>
      <c r="QZ85" s="126"/>
      <c r="RA85" s="122"/>
      <c r="RB85" s="122">
        <v>83</v>
      </c>
      <c r="RC85" s="149">
        <f t="shared" si="687"/>
        <v>0.51046952886496044</v>
      </c>
      <c r="RD85" s="149">
        <f t="shared" si="688"/>
        <v>0.55743630375458753</v>
      </c>
      <c r="RE85" s="149">
        <f t="shared" si="689"/>
        <v>0.60185348508125702</v>
      </c>
      <c r="RF85" s="149">
        <f t="shared" si="690"/>
        <v>0.65822254349105636</v>
      </c>
      <c r="RG85" s="149">
        <f t="shared" si="927"/>
        <v>0.76639405335174482</v>
      </c>
      <c r="RH85" s="150">
        <f t="shared" si="928"/>
        <v>0.91195952839863159</v>
      </c>
      <c r="RI85" s="149">
        <f t="shared" si="929"/>
        <v>1.0903786617796549</v>
      </c>
      <c r="RJ85" s="149">
        <f t="shared" si="691"/>
        <v>1.2854825510473327</v>
      </c>
      <c r="RK85" s="149">
        <f t="shared" si="692"/>
        <v>1.4216932774925763</v>
      </c>
      <c r="RL85" s="149">
        <f t="shared" si="693"/>
        <v>1.5534627194316326</v>
      </c>
      <c r="RM85" s="149">
        <f t="shared" si="694"/>
        <v>1.7247668993422216</v>
      </c>
      <c r="RN85" s="122"/>
      <c r="RO85" s="122">
        <v>83</v>
      </c>
      <c r="RP85" s="149">
        <f t="shared" si="695"/>
        <v>0.56172187151238739</v>
      </c>
      <c r="RQ85" s="149">
        <f t="shared" si="696"/>
        <v>0.61820375404288685</v>
      </c>
      <c r="RR85" s="149">
        <f t="shared" si="697"/>
        <v>0.67238407909633613</v>
      </c>
      <c r="RS85" s="149">
        <f t="shared" si="698"/>
        <v>0.74219460151968597</v>
      </c>
      <c r="RT85" s="149">
        <f t="shared" si="930"/>
        <v>0.87937746279743179</v>
      </c>
      <c r="RU85" s="150">
        <f t="shared" si="931"/>
        <v>1.0704548220865306</v>
      </c>
      <c r="RV85" s="149">
        <f t="shared" si="932"/>
        <v>1.3144111678180552</v>
      </c>
      <c r="RW85" s="149">
        <f t="shared" si="699"/>
        <v>1.5930191644024867</v>
      </c>
      <c r="RX85" s="149">
        <f t="shared" si="700"/>
        <v>1.7946327778847924</v>
      </c>
      <c r="RY85" s="149">
        <f t="shared" si="701"/>
        <v>1.9950993112551796</v>
      </c>
      <c r="RZ85" s="149">
        <f t="shared" si="702"/>
        <v>2.2635353126006188</v>
      </c>
      <c r="SA85" s="122"/>
      <c r="SB85" s="122"/>
      <c r="SC85" s="149"/>
      <c r="SD85" s="149"/>
      <c r="SE85" s="149"/>
      <c r="SF85" s="149"/>
      <c r="SG85" s="149"/>
      <c r="SH85" s="150"/>
      <c r="SI85" s="149"/>
      <c r="SJ85" s="149"/>
      <c r="SK85" s="149"/>
      <c r="SL85" s="149"/>
      <c r="SM85" s="149"/>
      <c r="SN85" s="122"/>
      <c r="SO85" s="122">
        <v>83</v>
      </c>
      <c r="SP85" s="149">
        <f t="shared" si="711"/>
        <v>0.33902175817502039</v>
      </c>
      <c r="SQ85" s="149">
        <f t="shared" si="712"/>
        <v>0.35862308408015081</v>
      </c>
      <c r="SR85" s="149">
        <f t="shared" si="713"/>
        <v>0.37614786591559046</v>
      </c>
      <c r="SS85" s="149">
        <f t="shared" si="714"/>
        <v>0.39713808109426268</v>
      </c>
      <c r="ST85" s="149">
        <f t="shared" si="936"/>
        <v>0.43408522715074538</v>
      </c>
      <c r="SU85" s="150">
        <f t="shared" si="937"/>
        <v>0.47822806190193901</v>
      </c>
      <c r="SV85" s="149">
        <f t="shared" si="938"/>
        <v>0.52564088783522867</v>
      </c>
      <c r="SW85" s="149">
        <f t="shared" si="715"/>
        <v>0.57109060041450654</v>
      </c>
      <c r="SX85" s="149">
        <f t="shared" si="716"/>
        <v>0.59970572035968917</v>
      </c>
      <c r="SY85" s="149">
        <f t="shared" si="717"/>
        <v>0.62538068673230551</v>
      </c>
      <c r="SZ85" s="149">
        <f t="shared" si="718"/>
        <v>0.65625595299731565</v>
      </c>
      <c r="TA85" s="122"/>
      <c r="TB85" s="122">
        <v>83</v>
      </c>
      <c r="TC85" s="149">
        <f t="shared" si="719"/>
        <v>0.3607542959192116</v>
      </c>
      <c r="TD85" s="149">
        <f t="shared" si="720"/>
        <v>0.38273870926405201</v>
      </c>
      <c r="TE85" s="149">
        <f t="shared" si="721"/>
        <v>0.40252083539104799</v>
      </c>
      <c r="TF85" s="149">
        <f t="shared" si="722"/>
        <v>0.42636899742770995</v>
      </c>
      <c r="TG85" s="149">
        <f t="shared" si="939"/>
        <v>0.46874456095068978</v>
      </c>
      <c r="TH85" s="150">
        <f t="shared" si="940"/>
        <v>0.52001604998512263</v>
      </c>
      <c r="TI85" s="149">
        <f t="shared" si="941"/>
        <v>0.57583420333865865</v>
      </c>
      <c r="TJ85" s="149">
        <f t="shared" si="723"/>
        <v>0.63003973972935701</v>
      </c>
      <c r="TK85" s="149">
        <f t="shared" si="724"/>
        <v>0.66450635271939207</v>
      </c>
      <c r="TL85" s="149">
        <f t="shared" si="725"/>
        <v>0.69564846560561799</v>
      </c>
      <c r="TM85" s="149">
        <f t="shared" si="726"/>
        <v>0.73336391795672518</v>
      </c>
      <c r="TN85" s="122"/>
      <c r="TO85" s="122"/>
      <c r="TP85" s="149"/>
      <c r="TQ85" s="149"/>
      <c r="TR85" s="149"/>
      <c r="TS85" s="149"/>
      <c r="TT85" s="149"/>
      <c r="TU85" s="150"/>
      <c r="TV85" s="149"/>
      <c r="TW85" s="149"/>
      <c r="TX85" s="149"/>
      <c r="TY85" s="149"/>
      <c r="TZ85" s="149"/>
      <c r="UA85" s="122"/>
      <c r="UB85" s="122">
        <v>83</v>
      </c>
      <c r="UC85" s="149">
        <f t="shared" si="735"/>
        <v>-0.98752196590812957</v>
      </c>
      <c r="UD85" s="149">
        <f t="shared" si="736"/>
        <v>1.5859803328635991</v>
      </c>
      <c r="UE85" s="149">
        <f t="shared" si="737"/>
        <v>3.7658346333089128</v>
      </c>
      <c r="UF85" s="149">
        <f t="shared" si="738"/>
        <v>6.2431007149723428</v>
      </c>
      <c r="UG85" s="149">
        <f t="shared" si="945"/>
        <v>10.296225335751231</v>
      </c>
      <c r="UH85" s="150">
        <f t="shared" si="946"/>
        <v>14.707114036832365</v>
      </c>
      <c r="UI85" s="149">
        <f t="shared" si="947"/>
        <v>19.016482711752104</v>
      </c>
      <c r="UJ85" s="149">
        <f t="shared" si="739"/>
        <v>22.804249842595908</v>
      </c>
      <c r="UK85" s="149">
        <f t="shared" si="740"/>
        <v>25.041815100670235</v>
      </c>
      <c r="UL85" s="149">
        <f t="shared" si="741"/>
        <v>26.963601360316673</v>
      </c>
      <c r="UM85" s="149">
        <f t="shared" si="742"/>
        <v>29.176885750846068</v>
      </c>
      <c r="UN85" s="122"/>
      <c r="UO85" s="122">
        <v>83</v>
      </c>
      <c r="UP85" s="149">
        <f t="shared" si="743"/>
        <v>3.4202302195952257</v>
      </c>
      <c r="UQ85" s="149">
        <f t="shared" si="744"/>
        <v>5.7203126765116536</v>
      </c>
      <c r="UR85" s="149">
        <f t="shared" si="745"/>
        <v>7.6963723852668622</v>
      </c>
      <c r="US85" s="149">
        <f t="shared" si="746"/>
        <v>9.9723273652567102</v>
      </c>
      <c r="UT85" s="149">
        <f t="shared" si="948"/>
        <v>13.763842859789804</v>
      </c>
      <c r="UU85" s="150">
        <f t="shared" si="949"/>
        <v>17.98276275241102</v>
      </c>
      <c r="UV85" s="149">
        <f t="shared" si="950"/>
        <v>22.194837997345374</v>
      </c>
      <c r="UW85" s="149">
        <f t="shared" si="747"/>
        <v>25.968485928394692</v>
      </c>
      <c r="UX85" s="149">
        <f t="shared" si="748"/>
        <v>28.228329912700929</v>
      </c>
      <c r="UY85" s="149">
        <f t="shared" si="749"/>
        <v>30.187074963662603</v>
      </c>
      <c r="UZ85" s="149">
        <f t="shared" si="750"/>
        <v>32.463042821636201</v>
      </c>
      <c r="VA85" s="122"/>
      <c r="VB85" s="122"/>
      <c r="VC85" s="149"/>
      <c r="VD85" s="149"/>
      <c r="VE85" s="149"/>
      <c r="VF85" s="149"/>
      <c r="VG85" s="149"/>
      <c r="VH85" s="150"/>
      <c r="VI85" s="149"/>
      <c r="VJ85" s="149"/>
      <c r="VK85" s="149"/>
      <c r="VL85" s="149"/>
      <c r="VM85" s="149"/>
      <c r="VN85" s="122"/>
      <c r="VO85" s="122">
        <v>83</v>
      </c>
      <c r="VP85" s="149">
        <f t="shared" si="759"/>
        <v>2.1928551534184066</v>
      </c>
      <c r="VQ85" s="149">
        <f t="shared" si="760"/>
        <v>6.9733534334609999</v>
      </c>
      <c r="VR85" s="149">
        <f t="shared" si="761"/>
        <v>11.211433893545895</v>
      </c>
      <c r="VS85" s="149">
        <f t="shared" si="762"/>
        <v>16.241173425703629</v>
      </c>
      <c r="VT85" s="149">
        <f t="shared" si="954"/>
        <v>24.968774594712094</v>
      </c>
      <c r="VU85" s="150">
        <f t="shared" si="955"/>
        <v>35.184551037564553</v>
      </c>
      <c r="VV85" s="149">
        <f t="shared" si="956"/>
        <v>45.904803075219768</v>
      </c>
      <c r="VW85" s="149">
        <f t="shared" si="763"/>
        <v>55.944387079391767</v>
      </c>
      <c r="VX85" s="149">
        <f t="shared" si="764"/>
        <v>62.151001652155536</v>
      </c>
      <c r="VY85" s="149">
        <f t="shared" si="765"/>
        <v>67.64737315743406</v>
      </c>
      <c r="VZ85" s="149">
        <f t="shared" si="766"/>
        <v>74.169028120140695</v>
      </c>
      <c r="WA85" s="122"/>
      <c r="WB85" s="122">
        <v>83</v>
      </c>
      <c r="WC85" s="149">
        <f t="shared" si="767"/>
        <v>12.215059433632341</v>
      </c>
      <c r="WD85" s="149">
        <f t="shared" si="768"/>
        <v>16.814389656836958</v>
      </c>
      <c r="WE85" s="149">
        <f t="shared" si="769"/>
        <v>20.880589581835899</v>
      </c>
      <c r="WF85" s="149">
        <f t="shared" si="770"/>
        <v>25.694129428879272</v>
      </c>
      <c r="WG85" s="149">
        <f t="shared" si="957"/>
        <v>34.01918603826801</v>
      </c>
      <c r="WH85" s="150">
        <f t="shared" si="958"/>
        <v>43.726449959183931</v>
      </c>
      <c r="WI85" s="149">
        <f t="shared" si="959"/>
        <v>53.87722778364374</v>
      </c>
      <c r="WJ85" s="149">
        <f t="shared" si="771"/>
        <v>63.355618965984867</v>
      </c>
      <c r="WK85" s="149">
        <f t="shared" si="772"/>
        <v>69.203591498790672</v>
      </c>
      <c r="WL85" s="149">
        <f t="shared" si="773"/>
        <v>74.375646419433622</v>
      </c>
      <c r="WM85" s="149">
        <f t="shared" si="774"/>
        <v>80.504958963061824</v>
      </c>
      <c r="WN85" s="122"/>
      <c r="WO85" s="122"/>
      <c r="WP85" s="149"/>
      <c r="WQ85" s="149"/>
      <c r="WR85" s="149"/>
      <c r="WS85" s="149"/>
      <c r="WT85" s="149"/>
      <c r="WU85" s="150"/>
      <c r="WV85" s="149"/>
      <c r="WW85" s="149"/>
      <c r="WX85" s="149"/>
      <c r="WY85" s="149"/>
      <c r="WZ85" s="149"/>
      <c r="XA85" s="122"/>
      <c r="XB85" s="122">
        <v>83</v>
      </c>
      <c r="XC85" s="149">
        <f t="shared" si="783"/>
        <v>-3.6703291603875385</v>
      </c>
      <c r="XD85" s="149">
        <f t="shared" si="784"/>
        <v>1.253105847393698</v>
      </c>
      <c r="XE85" s="149">
        <f t="shared" si="785"/>
        <v>5.5696970520510618</v>
      </c>
      <c r="XF85" s="149">
        <f t="shared" si="786"/>
        <v>10.636858285412934</v>
      </c>
      <c r="XG85" s="149">
        <f t="shared" si="963"/>
        <v>19.295086719200008</v>
      </c>
      <c r="XH85" s="150">
        <f t="shared" si="964"/>
        <v>29.231128200544269</v>
      </c>
      <c r="XI85" s="149">
        <f t="shared" si="965"/>
        <v>39.449944986536345</v>
      </c>
      <c r="XJ85" s="149">
        <f t="shared" si="787"/>
        <v>48.845315458248272</v>
      </c>
      <c r="XK85" s="149">
        <f t="shared" si="788"/>
        <v>54.575872609478047</v>
      </c>
      <c r="XL85" s="149">
        <f t="shared" si="789"/>
        <v>59.604066236710786</v>
      </c>
      <c r="XM85" s="149">
        <f t="shared" si="790"/>
        <v>65.516217345322048</v>
      </c>
      <c r="XN85" s="122"/>
      <c r="XO85" s="122">
        <v>83</v>
      </c>
      <c r="XP85" s="149">
        <f t="shared" si="791"/>
        <v>12.399872391334817</v>
      </c>
      <c r="XQ85" s="149">
        <f t="shared" si="792"/>
        <v>16.249526010868031</v>
      </c>
      <c r="XR85" s="149">
        <f t="shared" si="793"/>
        <v>19.598662871994271</v>
      </c>
      <c r="XS85" s="149">
        <f t="shared" si="794"/>
        <v>23.502584982977744</v>
      </c>
      <c r="XT85" s="149">
        <f t="shared" si="966"/>
        <v>30.113008050021101</v>
      </c>
      <c r="XU85" s="150">
        <f t="shared" si="967"/>
        <v>37.61930232052655</v>
      </c>
      <c r="XV85" s="149">
        <f t="shared" si="968"/>
        <v>45.26466829681889</v>
      </c>
      <c r="XW85" s="149">
        <f t="shared" si="795"/>
        <v>52.237180277147793</v>
      </c>
      <c r="XX85" s="149">
        <f t="shared" si="796"/>
        <v>56.46640773227174</v>
      </c>
      <c r="XY85" s="149">
        <f t="shared" si="797"/>
        <v>60.163887434916212</v>
      </c>
      <c r="XZ85" s="149">
        <f t="shared" si="798"/>
        <v>64.496478258377437</v>
      </c>
      <c r="YA85" s="122"/>
      <c r="YB85" s="122"/>
      <c r="YC85" s="149"/>
      <c r="YD85" s="149"/>
      <c r="YE85" s="149"/>
      <c r="YF85" s="149"/>
      <c r="YG85" s="149"/>
      <c r="YH85" s="150"/>
      <c r="YI85" s="149"/>
      <c r="YJ85" s="149"/>
      <c r="YK85" s="149"/>
      <c r="YL85" s="149"/>
      <c r="YM85" s="149"/>
      <c r="YN85" s="122"/>
      <c r="YO85" s="122">
        <v>83</v>
      </c>
      <c r="YP85" s="149">
        <v>21.81669302975715</v>
      </c>
      <c r="YQ85" s="149">
        <v>23.51296827953178</v>
      </c>
      <c r="YR85" s="149">
        <v>25.07697538125019</v>
      </c>
      <c r="YS85" s="149">
        <v>27.009724017245237</v>
      </c>
      <c r="YT85" s="149">
        <v>30.571060096883091</v>
      </c>
      <c r="YU85" s="150">
        <v>35.096574615635632</v>
      </c>
      <c r="YV85" s="149">
        <v>40.292012964132219</v>
      </c>
      <c r="YW85" s="149">
        <v>45.60466996865334</v>
      </c>
      <c r="YX85" s="149">
        <v>49.119542170618423</v>
      </c>
      <c r="YY85" s="149">
        <v>52.386816292485861</v>
      </c>
      <c r="YZ85" s="149">
        <v>56.459956972891867</v>
      </c>
      <c r="ZA85" s="122"/>
      <c r="ZB85" s="122">
        <v>83</v>
      </c>
      <c r="ZC85" s="149">
        <v>27.114208506741768</v>
      </c>
      <c r="ZD85" s="149">
        <v>28.198445613143832</v>
      </c>
      <c r="ZE85" s="149">
        <v>29.16556353481235</v>
      </c>
      <c r="ZF85" s="149">
        <v>30.321827283317308</v>
      </c>
      <c r="ZG85" s="149">
        <v>32.353594052290937</v>
      </c>
      <c r="ZH85" s="150">
        <v>34.779024203397611</v>
      </c>
      <c r="ZI85" s="149">
        <v>37.38627994730826</v>
      </c>
      <c r="ZJ85" s="149">
        <v>39.891412652627714</v>
      </c>
      <c r="ZK85" s="149">
        <v>41.47290084406383</v>
      </c>
      <c r="ZL85" s="149">
        <v>42.895290794919134</v>
      </c>
      <c r="ZM85" s="149">
        <v>44.610578407249555</v>
      </c>
      <c r="ZN85" s="122"/>
      <c r="ZO85" s="122"/>
      <c r="ZP85" s="149"/>
      <c r="ZQ85" s="149"/>
      <c r="ZR85" s="149"/>
      <c r="ZS85" s="149"/>
      <c r="ZT85" s="149"/>
      <c r="ZU85" s="150"/>
      <c r="ZV85" s="149"/>
      <c r="ZW85" s="149"/>
      <c r="ZX85" s="149"/>
      <c r="ZY85" s="149"/>
      <c r="ZZ85" s="149"/>
      <c r="AAA85" s="122"/>
      <c r="AAB85" s="122">
        <v>83</v>
      </c>
      <c r="AAC85" s="149">
        <v>13.140299458947606</v>
      </c>
      <c r="AAD85" s="149">
        <v>14.374828291113802</v>
      </c>
      <c r="AAE85" s="149">
        <v>15.528965874073508</v>
      </c>
      <c r="AAF85" s="149">
        <v>16.975082546420523</v>
      </c>
      <c r="AAG85" s="149">
        <v>19.693333078180348</v>
      </c>
      <c r="AAH85" s="150">
        <v>23.239057269796046</v>
      </c>
      <c r="AAI85" s="149">
        <v>27.423178222036199</v>
      </c>
      <c r="AAJ85" s="149">
        <v>31.814501126107331</v>
      </c>
      <c r="AAK85" s="149">
        <v>34.777189103783847</v>
      </c>
      <c r="AAL85" s="149">
        <v>37.569407567999242</v>
      </c>
      <c r="AAM85" s="149">
        <v>41.099046827363004</v>
      </c>
      <c r="AAN85" s="122"/>
      <c r="AAO85" s="122">
        <v>83</v>
      </c>
      <c r="AAP85" s="149">
        <v>15.716130382816255</v>
      </c>
      <c r="AAQ85" s="149">
        <v>16.991559217321367</v>
      </c>
      <c r="AAR85" s="149">
        <v>18.170982322506397</v>
      </c>
      <c r="AAS85" s="149">
        <v>19.632741829205955</v>
      </c>
      <c r="AAT85" s="149">
        <v>22.33757134115292</v>
      </c>
      <c r="AAU85" s="150">
        <v>25.793741192555071</v>
      </c>
      <c r="AAV85" s="149">
        <v>29.784665241685708</v>
      </c>
      <c r="AAW85" s="149">
        <v>33.888139033070601</v>
      </c>
      <c r="AAX85" s="149">
        <v>36.614260742769922</v>
      </c>
      <c r="AAY85" s="149">
        <v>39.155740576784829</v>
      </c>
      <c r="AAZ85" s="149">
        <v>42.333390504061896</v>
      </c>
      <c r="ABA85" s="122"/>
      <c r="ABB85" s="122"/>
      <c r="ABC85" s="149"/>
      <c r="ABD85" s="149"/>
      <c r="ABE85" s="149"/>
      <c r="ABF85" s="149"/>
      <c r="ABG85" s="149"/>
      <c r="ABH85" s="150"/>
      <c r="ABI85" s="149"/>
      <c r="ABJ85" s="149"/>
      <c r="ABK85" s="149"/>
      <c r="ABL85" s="149"/>
      <c r="ABM85" s="149"/>
      <c r="ABN85" s="122"/>
      <c r="ABO85" s="122">
        <v>83</v>
      </c>
      <c r="ABP85" s="149">
        <f t="shared" si="807"/>
        <v>0.39009298062792458</v>
      </c>
      <c r="ABQ85" s="149">
        <f t="shared" si="808"/>
        <v>0.43577609397123906</v>
      </c>
      <c r="ABR85" s="149">
        <f t="shared" si="809"/>
        <v>0.47808366566176758</v>
      </c>
      <c r="ABS85" s="149">
        <f t="shared" si="810"/>
        <v>0.53049134006462018</v>
      </c>
      <c r="ABT85" s="149">
        <f t="shared" si="972"/>
        <v>0.6270666595682115</v>
      </c>
      <c r="ABU85" s="150">
        <f t="shared" si="973"/>
        <v>0.74915653628280476</v>
      </c>
      <c r="ABV85" s="149">
        <f t="shared" si="974"/>
        <v>0.88772304897889664</v>
      </c>
      <c r="ABW85" s="149">
        <f t="shared" si="811"/>
        <v>1.0271597785869229</v>
      </c>
      <c r="ABX85" s="149">
        <f t="shared" si="812"/>
        <v>1.1180281256850828</v>
      </c>
      <c r="ABY85" s="149">
        <f t="shared" si="813"/>
        <v>1.2014705275941926</v>
      </c>
      <c r="ABZ85" s="149">
        <f t="shared" si="814"/>
        <v>1.3040962494912955</v>
      </c>
      <c r="ACA85" s="122"/>
      <c r="ACB85" s="122">
        <v>83</v>
      </c>
      <c r="ACC85" s="149">
        <f t="shared" si="815"/>
        <v>0.52156053208294562</v>
      </c>
      <c r="ACD85" s="149">
        <f t="shared" si="816"/>
        <v>0.5668471572688627</v>
      </c>
      <c r="ACE85" s="149">
        <f t="shared" si="817"/>
        <v>0.60845798431178755</v>
      </c>
      <c r="ACF85" s="149">
        <f t="shared" si="818"/>
        <v>0.65966439821331357</v>
      </c>
      <c r="ACG85" s="149">
        <f t="shared" si="975"/>
        <v>0.75333485528516997</v>
      </c>
      <c r="ACH85" s="150">
        <f t="shared" si="976"/>
        <v>0.87099126778864921</v>
      </c>
      <c r="ACI85" s="149">
        <f t="shared" si="977"/>
        <v>1.0040970961558104</v>
      </c>
      <c r="ACJ85" s="149">
        <f t="shared" si="819"/>
        <v>1.1380286336429897</v>
      </c>
      <c r="ACK85" s="149">
        <f t="shared" si="820"/>
        <v>1.2254505376179439</v>
      </c>
      <c r="ACL85" s="149">
        <f t="shared" si="821"/>
        <v>1.3058869789058019</v>
      </c>
      <c r="ACM85" s="149">
        <f t="shared" si="822"/>
        <v>1.4050762263476289</v>
      </c>
      <c r="ACN85" s="122"/>
      <c r="ACO85" s="122"/>
      <c r="ACP85" s="149"/>
      <c r="ACQ85" s="149"/>
      <c r="ACR85" s="149"/>
      <c r="ACS85" s="149"/>
      <c r="ACT85" s="149"/>
      <c r="ACU85" s="150"/>
      <c r="ACV85" s="149"/>
      <c r="ACW85" s="149"/>
      <c r="ACX85" s="149"/>
      <c r="ACY85" s="149"/>
      <c r="ACZ85" s="149"/>
      <c r="ADA85" s="122"/>
      <c r="ADB85" s="122">
        <v>83</v>
      </c>
      <c r="ADC85" s="149">
        <f t="shared" si="831"/>
        <v>0.28364862526954071</v>
      </c>
      <c r="ADD85" s="149">
        <f t="shared" si="832"/>
        <v>0.30557417616080118</v>
      </c>
      <c r="ADE85" s="149">
        <f t="shared" si="833"/>
        <v>0.32471980951830171</v>
      </c>
      <c r="ADF85" s="149">
        <f t="shared" si="834"/>
        <v>0.34711259313411608</v>
      </c>
      <c r="ADG85" s="149">
        <f t="shared" si="981"/>
        <v>0.38519644576566109</v>
      </c>
      <c r="ADH85" s="150">
        <f t="shared" si="982"/>
        <v>0.42866457486181464</v>
      </c>
      <c r="ADI85" s="149">
        <f t="shared" si="983"/>
        <v>0.47314887719339027</v>
      </c>
      <c r="ADJ85" s="149">
        <f t="shared" si="835"/>
        <v>0.51388023527013504</v>
      </c>
      <c r="ADK85" s="149">
        <f t="shared" si="836"/>
        <v>0.53865380681688202</v>
      </c>
      <c r="ADL85" s="149">
        <f t="shared" si="837"/>
        <v>0.56035122657225878</v>
      </c>
      <c r="ADM85" s="149">
        <f t="shared" si="838"/>
        <v>0.58581873346254221</v>
      </c>
      <c r="ADN85" s="122"/>
      <c r="ADO85" s="122">
        <v>83</v>
      </c>
      <c r="ADP85" s="149">
        <f t="shared" si="839"/>
        <v>0.34440536478439338</v>
      </c>
      <c r="ADQ85" s="149">
        <f t="shared" si="840"/>
        <v>0.36274799424579635</v>
      </c>
      <c r="ADR85" s="149">
        <f t="shared" si="841"/>
        <v>0.37882056255942603</v>
      </c>
      <c r="ADS85" s="149">
        <f t="shared" si="842"/>
        <v>0.3976884918891227</v>
      </c>
      <c r="ADT85" s="149">
        <f t="shared" si="984"/>
        <v>0.42995762282123612</v>
      </c>
      <c r="ADU85" s="150">
        <f t="shared" si="985"/>
        <v>0.46707704761957491</v>
      </c>
      <c r="ADV85" s="149">
        <f t="shared" si="986"/>
        <v>0.50539068895528505</v>
      </c>
      <c r="ADW85" s="149">
        <f t="shared" si="843"/>
        <v>0.54076506750739206</v>
      </c>
      <c r="ADX85" s="149">
        <f t="shared" si="844"/>
        <v>0.56241780114654494</v>
      </c>
      <c r="ADY85" s="149">
        <f t="shared" si="845"/>
        <v>0.58146711974319987</v>
      </c>
      <c r="ADZ85" s="149">
        <f t="shared" si="846"/>
        <v>0.60392759532329943</v>
      </c>
      <c r="AEA85" s="122"/>
      <c r="AEB85" s="122"/>
      <c r="AEC85" s="149"/>
      <c r="AED85" s="149"/>
      <c r="AEE85" s="149"/>
      <c r="AEF85" s="149"/>
      <c r="AEG85" s="149"/>
      <c r="AEH85" s="150"/>
      <c r="AEI85" s="149"/>
      <c r="AEJ85" s="149"/>
      <c r="AEK85" s="149"/>
      <c r="AEL85" s="149"/>
      <c r="AEM85" s="149"/>
      <c r="AEN85" s="122"/>
    </row>
    <row r="86" spans="1:820">
      <c r="A86" s="81"/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75"/>
      <c r="P86" s="75"/>
      <c r="Q86" s="75"/>
      <c r="R86" s="75"/>
      <c r="S86" s="75"/>
      <c r="T86" s="75"/>
      <c r="U86" s="75"/>
      <c r="V86" s="75"/>
      <c r="W86" s="75"/>
      <c r="X86" s="75"/>
      <c r="Y86" s="75"/>
      <c r="Z86" s="75"/>
      <c r="AA86" s="122"/>
      <c r="AB86" s="139"/>
      <c r="AC86" s="139"/>
      <c r="AD86" s="139"/>
      <c r="AE86" s="139"/>
      <c r="AF86" s="139"/>
      <c r="AG86" s="139"/>
      <c r="AH86" s="139"/>
      <c r="AI86" s="139"/>
      <c r="AJ86" s="139"/>
      <c r="AK86" s="139"/>
      <c r="AL86" s="139"/>
      <c r="AM86" s="139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1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122"/>
      <c r="BO86" s="139"/>
      <c r="BP86" s="139"/>
      <c r="BQ86" s="139"/>
      <c r="BR86" s="139"/>
      <c r="BS86" s="139"/>
      <c r="BT86" s="139"/>
      <c r="BU86" s="139"/>
      <c r="BV86" s="139"/>
      <c r="BW86" s="139"/>
      <c r="BX86" s="139"/>
      <c r="BY86" s="139"/>
      <c r="BZ86" s="139"/>
      <c r="CA86" s="81"/>
      <c r="CB86" s="81"/>
      <c r="CC86" s="81"/>
      <c r="CD86" s="81"/>
      <c r="CE86" s="81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1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122"/>
      <c r="DB86" s="122"/>
      <c r="DC86" s="122"/>
      <c r="DD86" s="122"/>
      <c r="DE86" s="122"/>
      <c r="DF86" s="122"/>
      <c r="DG86" s="122"/>
      <c r="DH86" s="122"/>
      <c r="DI86" s="122"/>
      <c r="DJ86" s="122"/>
      <c r="DK86" s="122"/>
      <c r="DL86" s="122"/>
      <c r="DM86" s="122"/>
      <c r="DN86" s="122"/>
      <c r="DO86" s="122"/>
      <c r="DP86" s="122"/>
      <c r="DQ86" s="122"/>
      <c r="DR86" s="122"/>
      <c r="DS86" s="122"/>
      <c r="DT86" s="122"/>
      <c r="DU86" s="122"/>
      <c r="DV86" s="122"/>
      <c r="DW86" s="122"/>
      <c r="DX86" s="122"/>
      <c r="DY86" s="122"/>
      <c r="DZ86" s="122"/>
      <c r="EA86" s="122"/>
      <c r="EB86" s="122"/>
      <c r="EC86" s="122"/>
      <c r="ED86" s="122"/>
      <c r="EE86" s="122"/>
      <c r="EF86" s="122"/>
      <c r="EG86" s="122"/>
      <c r="EH86" s="122"/>
      <c r="EI86" s="122"/>
      <c r="EJ86" s="122"/>
      <c r="EK86" s="122"/>
      <c r="EL86" s="122"/>
      <c r="EM86" s="122"/>
      <c r="EN86" s="122"/>
      <c r="EO86" s="122"/>
      <c r="EP86" s="122"/>
      <c r="EQ86" s="122"/>
      <c r="ER86" s="122"/>
      <c r="ES86" s="122"/>
      <c r="ET86" s="122"/>
      <c r="EU86" s="122"/>
      <c r="EV86" s="122"/>
      <c r="EW86" s="122"/>
      <c r="EX86" s="122"/>
      <c r="EY86" s="122"/>
      <c r="EZ86" s="122"/>
      <c r="FA86" s="122"/>
      <c r="FB86" s="122"/>
      <c r="FC86" s="122"/>
      <c r="FD86" s="122"/>
      <c r="FE86" s="122"/>
      <c r="FF86" s="122"/>
      <c r="FG86" s="122"/>
      <c r="FH86" s="122"/>
      <c r="FI86" s="122"/>
      <c r="FJ86" s="122"/>
      <c r="FK86" s="122"/>
      <c r="FL86" s="122"/>
      <c r="FM86" s="122"/>
      <c r="FN86" s="122"/>
      <c r="FO86" s="122"/>
      <c r="FP86" s="122"/>
      <c r="FQ86" s="122"/>
      <c r="FR86" s="122"/>
      <c r="FS86" s="122"/>
      <c r="FT86" s="122"/>
      <c r="FU86" s="122"/>
      <c r="FV86" s="122"/>
      <c r="FW86" s="122"/>
      <c r="FX86" s="122"/>
      <c r="FY86" s="122"/>
      <c r="FZ86" s="122"/>
      <c r="GA86" s="122"/>
      <c r="GB86" s="122"/>
      <c r="GC86" s="122"/>
      <c r="GD86" s="122"/>
      <c r="GE86" s="122"/>
      <c r="GF86" s="122"/>
      <c r="GG86" s="122"/>
      <c r="GH86" s="122"/>
      <c r="GI86" s="122"/>
      <c r="GJ86" s="122"/>
      <c r="GK86" s="122"/>
      <c r="GL86" s="122"/>
      <c r="GM86" s="122"/>
      <c r="GN86" s="122"/>
      <c r="GO86" s="122"/>
      <c r="GP86" s="122"/>
      <c r="GQ86" s="122"/>
      <c r="GR86" s="122"/>
      <c r="GS86" s="122"/>
      <c r="GT86" s="122"/>
      <c r="GU86" s="122"/>
      <c r="GV86" s="122"/>
      <c r="GW86" s="122"/>
      <c r="GX86" s="122"/>
      <c r="GY86" s="122"/>
      <c r="GZ86" s="122"/>
      <c r="HA86" s="122"/>
      <c r="HB86" s="122"/>
      <c r="HC86" s="122"/>
      <c r="HD86" s="122"/>
      <c r="HE86" s="122"/>
      <c r="HF86" s="122"/>
      <c r="HG86" s="122"/>
      <c r="HH86" s="122"/>
      <c r="HI86" s="122"/>
      <c r="HJ86" s="122"/>
      <c r="HK86" s="122"/>
      <c r="HL86" s="122"/>
      <c r="HM86" s="122"/>
      <c r="HN86" s="122"/>
      <c r="HO86" s="122"/>
      <c r="HP86" s="122"/>
      <c r="HQ86" s="122"/>
      <c r="HR86" s="122"/>
      <c r="HS86" s="122"/>
      <c r="HT86" s="122"/>
      <c r="HU86" s="122"/>
      <c r="HV86" s="122"/>
      <c r="HW86" s="122"/>
      <c r="HX86" s="122"/>
      <c r="HY86" s="122"/>
      <c r="HZ86" s="122"/>
      <c r="IA86" s="122"/>
      <c r="IB86" s="122"/>
      <c r="IC86" s="122"/>
      <c r="ID86" s="122"/>
      <c r="IE86" s="122"/>
      <c r="IF86" s="122"/>
      <c r="IG86" s="122"/>
      <c r="IH86" s="122"/>
      <c r="II86" s="122"/>
      <c r="IJ86" s="122"/>
      <c r="IK86" s="122"/>
      <c r="IL86" s="122"/>
      <c r="IM86" s="122"/>
      <c r="IN86" s="122"/>
      <c r="IO86" s="122"/>
      <c r="IP86" s="122"/>
      <c r="IQ86" s="122"/>
      <c r="IR86" s="122"/>
      <c r="IS86" s="122"/>
      <c r="IT86" s="122"/>
      <c r="IU86" s="122"/>
      <c r="IV86" s="122"/>
      <c r="IW86" s="122"/>
      <c r="IX86" s="122"/>
      <c r="IY86" s="122"/>
      <c r="IZ86" s="122"/>
      <c r="JA86" s="122"/>
      <c r="JB86" s="122"/>
      <c r="JC86" s="122"/>
      <c r="JD86" s="122"/>
      <c r="JE86" s="122"/>
      <c r="JF86" s="122"/>
      <c r="JG86" s="122"/>
      <c r="JH86" s="122"/>
      <c r="JI86" s="122"/>
      <c r="JJ86" s="122"/>
      <c r="JK86" s="122"/>
      <c r="JL86" s="122"/>
      <c r="JM86" s="122"/>
      <c r="JN86" s="122"/>
      <c r="JO86" s="113">
        <v>84</v>
      </c>
      <c r="JP86" s="135">
        <f t="shared" si="615"/>
        <v>6.3175680295437679</v>
      </c>
      <c r="JQ86" s="135">
        <f t="shared" si="616"/>
        <v>7.6853977738579893</v>
      </c>
      <c r="JR86" s="135">
        <f t="shared" si="617"/>
        <v>8.8710803994383056</v>
      </c>
      <c r="JS86" s="135">
        <f t="shared" si="618"/>
        <v>10.248438792662572</v>
      </c>
      <c r="JT86" s="135">
        <f t="shared" si="900"/>
        <v>12.569937834899623</v>
      </c>
      <c r="JU86" s="136">
        <f t="shared" si="901"/>
        <v>15.191130272438205</v>
      </c>
      <c r="JV86" s="135">
        <f t="shared" si="902"/>
        <v>17.846188471151162</v>
      </c>
      <c r="JW86" s="135">
        <f t="shared" si="619"/>
        <v>20.255850401095064</v>
      </c>
      <c r="JX86" s="135">
        <f t="shared" si="620"/>
        <v>21.712402331378538</v>
      </c>
      <c r="JY86" s="135">
        <f t="shared" si="621"/>
        <v>22.982872694775178</v>
      </c>
      <c r="JZ86" s="135">
        <f t="shared" si="622"/>
        <v>24.468226006123889</v>
      </c>
      <c r="KA86" s="122"/>
      <c r="KB86" s="113">
        <v>84</v>
      </c>
      <c r="KC86" s="135">
        <f t="shared" si="623"/>
        <v>7.9329207567744877</v>
      </c>
      <c r="KD86" s="135">
        <f t="shared" si="624"/>
        <v>9.4205778811510346</v>
      </c>
      <c r="KE86" s="135">
        <f t="shared" si="625"/>
        <v>10.726959853141958</v>
      </c>
      <c r="KF86" s="135">
        <f t="shared" si="626"/>
        <v>12.263301386699448</v>
      </c>
      <c r="KG86" s="135">
        <f t="shared" si="903"/>
        <v>14.896122008029517</v>
      </c>
      <c r="KH86" s="136">
        <f t="shared" si="904"/>
        <v>17.930283196669727</v>
      </c>
      <c r="KI86" s="135">
        <f t="shared" si="905"/>
        <v>21.065617700812588</v>
      </c>
      <c r="KJ86" s="135">
        <f t="shared" si="627"/>
        <v>23.961742439274012</v>
      </c>
      <c r="KK86" s="135">
        <f t="shared" si="628"/>
        <v>25.734501222195391</v>
      </c>
      <c r="KL86" s="135">
        <f t="shared" si="629"/>
        <v>27.293897010069173</v>
      </c>
      <c r="KM86" s="135">
        <f t="shared" si="630"/>
        <v>29.132077541838839</v>
      </c>
      <c r="KN86" s="122"/>
      <c r="KO86" s="122"/>
      <c r="KP86" s="126"/>
      <c r="KQ86" s="126"/>
      <c r="KR86" s="126"/>
      <c r="KS86" s="126"/>
      <c r="KT86" s="126"/>
      <c r="KU86" s="127"/>
      <c r="KV86" s="126"/>
      <c r="KW86" s="126"/>
      <c r="KX86" s="126"/>
      <c r="KY86" s="126"/>
      <c r="KZ86" s="126"/>
      <c r="LA86" s="122"/>
      <c r="LB86" s="113">
        <v>84</v>
      </c>
      <c r="LC86" s="135">
        <f t="shared" si="639"/>
        <v>20.015354058550471</v>
      </c>
      <c r="LD86" s="135">
        <f t="shared" si="640"/>
        <v>23.586672589512098</v>
      </c>
      <c r="LE86" s="135">
        <f t="shared" si="641"/>
        <v>26.6938067613901</v>
      </c>
      <c r="LF86" s="135">
        <f t="shared" si="642"/>
        <v>30.315671311790162</v>
      </c>
      <c r="LG86" s="135">
        <f t="shared" si="909"/>
        <v>36.448242787729377</v>
      </c>
      <c r="LH86" s="136">
        <f t="shared" si="910"/>
        <v>43.411045511145069</v>
      </c>
      <c r="LI86" s="135">
        <f t="shared" si="911"/>
        <v>50.501411386493423</v>
      </c>
      <c r="LJ86" s="135">
        <f t="shared" si="643"/>
        <v>56.966202823868521</v>
      </c>
      <c r="LK86" s="135">
        <f t="shared" si="644"/>
        <v>60.886656397475086</v>
      </c>
      <c r="LL86" s="135">
        <f t="shared" si="645"/>
        <v>64.313651184922293</v>
      </c>
      <c r="LM86" s="135">
        <f t="shared" si="646"/>
        <v>68.328639086871902</v>
      </c>
      <c r="LN86" s="122"/>
      <c r="LO86" s="113">
        <v>84</v>
      </c>
      <c r="LP86" s="135">
        <f t="shared" si="647"/>
        <v>26.048804381849575</v>
      </c>
      <c r="LQ86" s="135">
        <f t="shared" si="648"/>
        <v>29.860374402225052</v>
      </c>
      <c r="LR86" s="135">
        <f t="shared" si="649"/>
        <v>33.182980656952566</v>
      </c>
      <c r="LS86" s="135">
        <f t="shared" si="650"/>
        <v>37.06315340720424</v>
      </c>
      <c r="LT86" s="135">
        <f t="shared" si="912"/>
        <v>43.64946624026561</v>
      </c>
      <c r="LU86" s="136">
        <f t="shared" si="913"/>
        <v>51.150424571842663</v>
      </c>
      <c r="LV86" s="135">
        <f t="shared" si="914"/>
        <v>58.811730141461851</v>
      </c>
      <c r="LW86" s="135">
        <f t="shared" si="651"/>
        <v>65.81560195399851</v>
      </c>
      <c r="LX86" s="135">
        <f t="shared" si="652"/>
        <v>70.071011249842769</v>
      </c>
      <c r="LY86" s="135">
        <f t="shared" si="653"/>
        <v>73.795530567674419</v>
      </c>
      <c r="LZ86" s="135">
        <f t="shared" si="654"/>
        <v>78.164486981902513</v>
      </c>
      <c r="MA86" s="122"/>
      <c r="MB86" s="122"/>
      <c r="MC86" s="126"/>
      <c r="MD86" s="126"/>
      <c r="ME86" s="126"/>
      <c r="MF86" s="126"/>
      <c r="MG86" s="126"/>
      <c r="MH86" s="127"/>
      <c r="MI86" s="126"/>
      <c r="MJ86" s="126"/>
      <c r="MK86" s="126"/>
      <c r="ML86" s="126"/>
      <c r="MM86" s="126"/>
      <c r="MN86" s="122"/>
      <c r="MO86" s="113">
        <v>84</v>
      </c>
      <c r="MP86" s="135">
        <f t="shared" si="663"/>
        <v>13.841826848681656</v>
      </c>
      <c r="MQ86" s="135">
        <f t="shared" si="664"/>
        <v>17.653804378490491</v>
      </c>
      <c r="MR86" s="135">
        <f t="shared" si="665"/>
        <v>20.939156655519284</v>
      </c>
      <c r="MS86" s="135">
        <f t="shared" si="666"/>
        <v>24.734357302080511</v>
      </c>
      <c r="MT86" s="135">
        <f t="shared" si="918"/>
        <v>31.081877622729188</v>
      </c>
      <c r="MU86" s="136">
        <f t="shared" si="919"/>
        <v>38.179108907054108</v>
      </c>
      <c r="MV86" s="135">
        <f t="shared" si="920"/>
        <v>45.297875878620609</v>
      </c>
      <c r="MW86" s="135">
        <f t="shared" si="667"/>
        <v>51.70164583013706</v>
      </c>
      <c r="MX86" s="135">
        <f t="shared" si="668"/>
        <v>55.547606976786703</v>
      </c>
      <c r="MY86" s="135">
        <f t="shared" si="669"/>
        <v>58.88755687607469</v>
      </c>
      <c r="MZ86" s="135">
        <f t="shared" si="670"/>
        <v>62.775654664350917</v>
      </c>
      <c r="NA86" s="122"/>
      <c r="NB86" s="113">
        <v>84</v>
      </c>
      <c r="NC86" s="135">
        <f t="shared" si="671"/>
        <v>26.737994994642275</v>
      </c>
      <c r="ND86" s="135">
        <f t="shared" si="672"/>
        <v>29.684905465728949</v>
      </c>
      <c r="NE86" s="135">
        <f t="shared" si="673"/>
        <v>32.224731162159088</v>
      </c>
      <c r="NF86" s="135">
        <f t="shared" si="674"/>
        <v>35.158840661407467</v>
      </c>
      <c r="NG86" s="135">
        <f t="shared" si="921"/>
        <v>40.06671137665262</v>
      </c>
      <c r="NH86" s="136">
        <f t="shared" si="922"/>
        <v>45.555356663181428</v>
      </c>
      <c r="NI86" s="135">
        <f t="shared" si="923"/>
        <v>51.062097464617366</v>
      </c>
      <c r="NJ86" s="135">
        <f t="shared" si="675"/>
        <v>56.017139817113303</v>
      </c>
      <c r="NK86" s="135">
        <f t="shared" si="676"/>
        <v>58.993701053743195</v>
      </c>
      <c r="NL86" s="135">
        <f t="shared" si="677"/>
        <v>61.579061554015098</v>
      </c>
      <c r="NM86" s="135">
        <f t="shared" si="678"/>
        <v>64.589234036041816</v>
      </c>
      <c r="NN86" s="122"/>
      <c r="NO86" s="122"/>
      <c r="NP86" s="126"/>
      <c r="NQ86" s="126"/>
      <c r="NR86" s="126"/>
      <c r="NS86" s="126"/>
      <c r="NT86" s="126"/>
      <c r="NU86" s="127"/>
      <c r="NV86" s="126"/>
      <c r="NW86" s="126"/>
      <c r="NX86" s="126"/>
      <c r="NY86" s="126"/>
      <c r="NZ86" s="126"/>
      <c r="OA86" s="122"/>
      <c r="OB86" s="113">
        <v>84</v>
      </c>
      <c r="OC86" s="135">
        <v>17.450591799511688</v>
      </c>
      <c r="OD86" s="135">
        <v>18.76537346779519</v>
      </c>
      <c r="OE86" s="135">
        <v>19.975119155857666</v>
      </c>
      <c r="OF86" s="135">
        <v>21.466985314673639</v>
      </c>
      <c r="OG86" s="135">
        <v>24.207750562282737</v>
      </c>
      <c r="OH86" s="136">
        <v>27.676906622799496</v>
      </c>
      <c r="OI86" s="135">
        <v>31.643219316736442</v>
      </c>
      <c r="OJ86" s="135">
        <v>35.683220022681041</v>
      </c>
      <c r="OK86" s="135">
        <v>38.348264870426632</v>
      </c>
      <c r="OL86" s="135">
        <v>40.820459103666515</v>
      </c>
      <c r="OM86" s="135">
        <v>43.895999001512216</v>
      </c>
      <c r="ON86" s="122"/>
      <c r="OO86" s="113">
        <v>84</v>
      </c>
      <c r="OP86" s="135">
        <v>24.083236708406069</v>
      </c>
      <c r="OQ86" s="135">
        <v>25.077084665743293</v>
      </c>
      <c r="OR86" s="135">
        <v>25.964590557643831</v>
      </c>
      <c r="OS86" s="135">
        <v>27.026881554644255</v>
      </c>
      <c r="OT86" s="135">
        <v>23.024524436098996</v>
      </c>
      <c r="OU86" s="136">
        <v>31.133335131672659</v>
      </c>
      <c r="OV86" s="135">
        <v>33.543235815144513</v>
      </c>
      <c r="OW86" s="135">
        <v>35.863721623277073</v>
      </c>
      <c r="OX86" s="135">
        <v>37.331016419039642</v>
      </c>
      <c r="OY86" s="135">
        <v>38.652202572220865</v>
      </c>
      <c r="OZ86" s="135">
        <v>40.247271085564762</v>
      </c>
      <c r="PA86" s="122"/>
      <c r="PB86" s="122"/>
      <c r="PC86" s="126"/>
      <c r="PD86" s="126"/>
      <c r="PE86" s="126"/>
      <c r="PF86" s="126"/>
      <c r="PG86" s="126"/>
      <c r="PH86" s="127"/>
      <c r="PI86" s="126"/>
      <c r="PJ86" s="126"/>
      <c r="PK86" s="126"/>
      <c r="PL86" s="126"/>
      <c r="PM86" s="126"/>
      <c r="PN86" s="122"/>
      <c r="PO86" s="113">
        <v>84</v>
      </c>
      <c r="PP86" s="135">
        <v>12.719049443696766</v>
      </c>
      <c r="PQ86" s="135">
        <v>13.762168468603738</v>
      </c>
      <c r="PR86" s="135">
        <v>14.727479282854558</v>
      </c>
      <c r="PS86" s="135">
        <v>15.924751920220462</v>
      </c>
      <c r="PT86" s="135">
        <v>18.14252362332034</v>
      </c>
      <c r="PU86" s="136">
        <v>20.980287107748179</v>
      </c>
      <c r="PV86" s="135">
        <v>24.261919469557601</v>
      </c>
      <c r="PW86" s="135">
        <v>27.640772636755205</v>
      </c>
      <c r="PX86" s="135">
        <v>29.887833394271656</v>
      </c>
      <c r="PY86" s="135">
        <v>31.984236214498456</v>
      </c>
      <c r="PZ86" s="135">
        <v>34.607338313452551</v>
      </c>
      <c r="QA86" s="122"/>
      <c r="QB86" s="113">
        <v>84</v>
      </c>
      <c r="QC86" s="135">
        <v>13.81252508840474</v>
      </c>
      <c r="QD86" s="135">
        <v>14.902539458936644</v>
      </c>
      <c r="QE86" s="135">
        <v>15.908566657195363</v>
      </c>
      <c r="QF86" s="135">
        <v>17.15302680279985</v>
      </c>
      <c r="QG86" s="135">
        <v>19.449406599159691</v>
      </c>
      <c r="QH86" s="136">
        <v>22.373022576990792</v>
      </c>
      <c r="QI86" s="135">
        <v>25.736113679281392</v>
      </c>
      <c r="QJ86" s="135">
        <v>29.181563404823439</v>
      </c>
      <c r="QK86" s="135">
        <v>31.464314165861211</v>
      </c>
      <c r="QL86" s="135">
        <v>33.588378719599497</v>
      </c>
      <c r="QM86" s="135">
        <v>36.239003080670628</v>
      </c>
      <c r="QN86" s="122"/>
      <c r="QO86" s="122"/>
      <c r="QP86" s="126"/>
      <c r="QQ86" s="126"/>
      <c r="QR86" s="126"/>
      <c r="QS86" s="126"/>
      <c r="QT86" s="126"/>
      <c r="QU86" s="127"/>
      <c r="QV86" s="126"/>
      <c r="QW86" s="126"/>
      <c r="QX86" s="126"/>
      <c r="QY86" s="126"/>
      <c r="QZ86" s="126"/>
      <c r="RA86" s="122"/>
      <c r="RB86" s="113">
        <v>84</v>
      </c>
      <c r="RC86" s="135">
        <f t="shared" si="687"/>
        <v>0.51744916197364299</v>
      </c>
      <c r="RD86" s="135">
        <f t="shared" si="688"/>
        <v>0.56508316787961199</v>
      </c>
      <c r="RE86" s="135">
        <f t="shared" si="689"/>
        <v>0.61013352556606137</v>
      </c>
      <c r="RF86" s="135">
        <f t="shared" si="690"/>
        <v>0.6673089589264084</v>
      </c>
      <c r="RG86" s="135">
        <f t="shared" si="927"/>
        <v>0.7770359648415508</v>
      </c>
      <c r="RH86" s="136">
        <f t="shared" si="928"/>
        <v>0.92470953248258891</v>
      </c>
      <c r="RI86" s="135">
        <f t="shared" si="929"/>
        <v>1.1057327281177682</v>
      </c>
      <c r="RJ86" s="135">
        <f t="shared" si="691"/>
        <v>1.3037061936448375</v>
      </c>
      <c r="RK86" s="135">
        <f t="shared" si="692"/>
        <v>1.4419323401170168</v>
      </c>
      <c r="RL86" s="135">
        <f t="shared" si="693"/>
        <v>1.5756600261807676</v>
      </c>
      <c r="RM86" s="135">
        <f t="shared" si="694"/>
        <v>1.7495215373887638</v>
      </c>
      <c r="RN86" s="122"/>
      <c r="RO86" s="113">
        <v>84</v>
      </c>
      <c r="RP86" s="135">
        <f t="shared" si="695"/>
        <v>0.56936916595474463</v>
      </c>
      <c r="RQ86" s="135">
        <f t="shared" si="696"/>
        <v>0.62686725658842757</v>
      </c>
      <c r="RR86" s="135">
        <f t="shared" si="697"/>
        <v>0.6820473877585248</v>
      </c>
      <c r="RS86" s="135">
        <f t="shared" si="698"/>
        <v>0.75317972629203589</v>
      </c>
      <c r="RT86" s="135">
        <f t="shared" si="930"/>
        <v>0.89306044127736528</v>
      </c>
      <c r="RU86" s="136">
        <f t="shared" si="931"/>
        <v>1.0880916527823175</v>
      </c>
      <c r="RV86" s="135">
        <f t="shared" si="932"/>
        <v>1.3373818461191378</v>
      </c>
      <c r="RW86" s="135">
        <f t="shared" si="699"/>
        <v>1.6224174264568052</v>
      </c>
      <c r="RX86" s="135">
        <f t="shared" si="700"/>
        <v>1.828878247024496</v>
      </c>
      <c r="RY86" s="135">
        <f t="shared" si="701"/>
        <v>2.0343110378667082</v>
      </c>
      <c r="RZ86" s="135">
        <f t="shared" si="702"/>
        <v>2.3096061633367837</v>
      </c>
      <c r="SA86" s="122"/>
      <c r="SB86" s="122"/>
      <c r="SC86" s="149"/>
      <c r="SD86" s="149"/>
      <c r="SE86" s="149"/>
      <c r="SF86" s="149"/>
      <c r="SG86" s="149"/>
      <c r="SH86" s="150"/>
      <c r="SI86" s="149"/>
      <c r="SJ86" s="149"/>
      <c r="SK86" s="149"/>
      <c r="SL86" s="149"/>
      <c r="SM86" s="149"/>
      <c r="SN86" s="122"/>
      <c r="SO86" s="113">
        <v>84</v>
      </c>
      <c r="SP86" s="135">
        <f t="shared" si="711"/>
        <v>0.34206975991254113</v>
      </c>
      <c r="SQ86" s="135">
        <f t="shared" si="712"/>
        <v>0.36176472329656856</v>
      </c>
      <c r="SR86" s="135">
        <f t="shared" si="713"/>
        <v>0.37937046901314486</v>
      </c>
      <c r="SS86" s="135">
        <f t="shared" si="714"/>
        <v>0.40045445566832483</v>
      </c>
      <c r="ST86" s="135">
        <f t="shared" si="936"/>
        <v>0.43755883390417166</v>
      </c>
      <c r="SU86" s="136">
        <f t="shared" si="937"/>
        <v>0.48187769535870645</v>
      </c>
      <c r="SV86" s="135">
        <f t="shared" si="938"/>
        <v>0.5294668327199693</v>
      </c>
      <c r="SW86" s="135">
        <f t="shared" si="715"/>
        <v>0.57507449701715785</v>
      </c>
      <c r="SX86" s="135">
        <f t="shared" si="716"/>
        <v>0.60378400818237521</v>
      </c>
      <c r="SY86" s="135">
        <f t="shared" si="717"/>
        <v>0.62954057422518639</v>
      </c>
      <c r="SZ86" s="135">
        <f t="shared" si="718"/>
        <v>0.66051031211776123</v>
      </c>
      <c r="TA86" s="122"/>
      <c r="TB86" s="113">
        <v>84</v>
      </c>
      <c r="TC86" s="135">
        <f t="shared" si="719"/>
        <v>0.36388347439596858</v>
      </c>
      <c r="TD86" s="135">
        <f t="shared" si="720"/>
        <v>0.38604598615514246</v>
      </c>
      <c r="TE86" s="135">
        <f t="shared" si="721"/>
        <v>0.40598787516620621</v>
      </c>
      <c r="TF86" s="135">
        <f t="shared" si="722"/>
        <v>0.43002805453636656</v>
      </c>
      <c r="TG86" s="135">
        <f t="shared" si="939"/>
        <v>0.47274335922730981</v>
      </c>
      <c r="TH86" s="136">
        <f t="shared" si="940"/>
        <v>0.52442366490408721</v>
      </c>
      <c r="TI86" s="135">
        <f t="shared" si="941"/>
        <v>0.58068440186685277</v>
      </c>
      <c r="TJ86" s="135">
        <f t="shared" si="723"/>
        <v>0.63531752550408094</v>
      </c>
      <c r="TK86" s="135">
        <f t="shared" si="724"/>
        <v>0.67005499046365424</v>
      </c>
      <c r="TL86" s="135">
        <f t="shared" si="725"/>
        <v>0.7014411905886504</v>
      </c>
      <c r="TM86" s="135">
        <f t="shared" si="726"/>
        <v>0.73945148507792224</v>
      </c>
      <c r="TN86" s="122"/>
      <c r="TO86" s="122"/>
      <c r="TP86" s="149"/>
      <c r="TQ86" s="149"/>
      <c r="TR86" s="149"/>
      <c r="TS86" s="149"/>
      <c r="TT86" s="149"/>
      <c r="TU86" s="150"/>
      <c r="TV86" s="149"/>
      <c r="TW86" s="149"/>
      <c r="TX86" s="149"/>
      <c r="TY86" s="149"/>
      <c r="TZ86" s="149"/>
      <c r="UA86" s="122"/>
      <c r="UB86" s="113">
        <v>84</v>
      </c>
      <c r="UC86" s="135">
        <f t="shared" si="735"/>
        <v>-0.52763367905353675</v>
      </c>
      <c r="UD86" s="135">
        <f t="shared" si="736"/>
        <v>2.0253132751939802</v>
      </c>
      <c r="UE86" s="135">
        <f t="shared" si="737"/>
        <v>4.188235313139046</v>
      </c>
      <c r="UF86" s="135">
        <f t="shared" si="738"/>
        <v>6.6467479042395041</v>
      </c>
      <c r="UG86" s="135">
        <f t="shared" si="945"/>
        <v>10.670204755922711</v>
      </c>
      <c r="UH86" s="136">
        <f t="shared" si="946"/>
        <v>15.050077510848126</v>
      </c>
      <c r="UI86" s="135">
        <f t="shared" si="947"/>
        <v>19.330263101161364</v>
      </c>
      <c r="UJ86" s="135">
        <f t="shared" si="739"/>
        <v>23.093185892401479</v>
      </c>
      <c r="UK86" s="135">
        <f t="shared" si="740"/>
        <v>25.316395953097995</v>
      </c>
      <c r="UL86" s="135">
        <f t="shared" si="741"/>
        <v>27.226029926228321</v>
      </c>
      <c r="UM86" s="135">
        <f t="shared" si="742"/>
        <v>29.425510258662825</v>
      </c>
      <c r="UN86" s="122"/>
      <c r="UO86" s="113">
        <v>84</v>
      </c>
      <c r="UP86" s="135">
        <f t="shared" si="743"/>
        <v>3.9094134768893127</v>
      </c>
      <c r="UQ86" s="135">
        <f t="shared" si="744"/>
        <v>6.1937335479567324</v>
      </c>
      <c r="UR86" s="135">
        <f t="shared" si="745"/>
        <v>8.1562908282752247</v>
      </c>
      <c r="US86" s="135">
        <f t="shared" si="746"/>
        <v>10.416734757032351</v>
      </c>
      <c r="UT86" s="135">
        <f t="shared" si="948"/>
        <v>14.182495607699366</v>
      </c>
      <c r="UU86" s="136">
        <f t="shared" si="949"/>
        <v>18.372865647945986</v>
      </c>
      <c r="UV86" s="135">
        <f t="shared" si="950"/>
        <v>22.556533717319176</v>
      </c>
      <c r="UW86" s="135">
        <f t="shared" si="747"/>
        <v>26.304801571290476</v>
      </c>
      <c r="UX86" s="135">
        <f t="shared" si="748"/>
        <v>28.549474921974422</v>
      </c>
      <c r="UY86" s="135">
        <f t="shared" si="749"/>
        <v>30.495086290941693</v>
      </c>
      <c r="UZ86" s="135">
        <f t="shared" si="750"/>
        <v>32.755810463250405</v>
      </c>
      <c r="VA86" s="122"/>
      <c r="VB86" s="122"/>
      <c r="VC86" s="149"/>
      <c r="VD86" s="149"/>
      <c r="VE86" s="149"/>
      <c r="VF86" s="149"/>
      <c r="VG86" s="149"/>
      <c r="VH86" s="150"/>
      <c r="VI86" s="149"/>
      <c r="VJ86" s="149"/>
      <c r="VK86" s="149"/>
      <c r="VL86" s="149"/>
      <c r="VM86" s="149"/>
      <c r="VN86" s="122"/>
      <c r="VO86" s="113">
        <v>84</v>
      </c>
      <c r="VP86" s="135">
        <f t="shared" si="759"/>
        <v>3.3224750922033124</v>
      </c>
      <c r="VQ86" s="135">
        <f t="shared" si="760"/>
        <v>8.0886469874085591</v>
      </c>
      <c r="VR86" s="135">
        <f t="shared" si="761"/>
        <v>12.311335458712598</v>
      </c>
      <c r="VS86" s="135">
        <f t="shared" si="762"/>
        <v>17.319884288820866</v>
      </c>
      <c r="VT86" s="135">
        <f t="shared" si="954"/>
        <v>26.004137205123676</v>
      </c>
      <c r="VU86" s="136">
        <f t="shared" si="955"/>
        <v>36.160173742166471</v>
      </c>
      <c r="VV86" s="135">
        <f t="shared" si="956"/>
        <v>46.809047603230731</v>
      </c>
      <c r="VW86" s="135">
        <f t="shared" si="763"/>
        <v>56.774993352621273</v>
      </c>
      <c r="VX86" s="135">
        <f t="shared" si="764"/>
        <v>62.933218483095494</v>
      </c>
      <c r="VY86" s="135">
        <f t="shared" si="765"/>
        <v>68.385087920969625</v>
      </c>
      <c r="VZ86" s="135">
        <f t="shared" si="766"/>
        <v>74.852083960338518</v>
      </c>
      <c r="WA86" s="122"/>
      <c r="WB86" s="113">
        <v>84</v>
      </c>
      <c r="WC86" s="135">
        <f t="shared" si="767"/>
        <v>13.543623585672847</v>
      </c>
      <c r="WD86" s="135">
        <f t="shared" si="768"/>
        <v>18.119673446985125</v>
      </c>
      <c r="WE86" s="135">
        <f t="shared" si="769"/>
        <v>22.162525113711986</v>
      </c>
      <c r="WF86" s="135">
        <f t="shared" si="770"/>
        <v>26.945403101486029</v>
      </c>
      <c r="WG86" s="135">
        <f t="shared" si="957"/>
        <v>35.210590016173263</v>
      </c>
      <c r="WH86" s="136">
        <f t="shared" si="958"/>
        <v>44.838619854038249</v>
      </c>
      <c r="WI86" s="135">
        <f t="shared" si="959"/>
        <v>54.897373916120266</v>
      </c>
      <c r="WJ86" s="135">
        <f t="shared" si="771"/>
        <v>64.282617030583566</v>
      </c>
      <c r="WK86" s="135">
        <f t="shared" si="772"/>
        <v>70.070055947324931</v>
      </c>
      <c r="WL86" s="135">
        <f t="shared" si="773"/>
        <v>75.186802745138863</v>
      </c>
      <c r="WM86" s="135">
        <f t="shared" si="774"/>
        <v>81.24857326116603</v>
      </c>
      <c r="WN86" s="122"/>
      <c r="WO86" s="122"/>
      <c r="WP86" s="149"/>
      <c r="WQ86" s="149"/>
      <c r="WR86" s="149"/>
      <c r="WS86" s="149"/>
      <c r="WT86" s="149"/>
      <c r="WU86" s="150"/>
      <c r="WV86" s="149"/>
      <c r="WW86" s="149"/>
      <c r="WX86" s="149"/>
      <c r="WY86" s="149"/>
      <c r="WZ86" s="149"/>
      <c r="XA86" s="122"/>
      <c r="XB86" s="113">
        <v>84</v>
      </c>
      <c r="XC86" s="135">
        <f t="shared" si="783"/>
        <v>-2.5903076539638334</v>
      </c>
      <c r="XD86" s="135">
        <f t="shared" si="784"/>
        <v>2.3139359026929398</v>
      </c>
      <c r="XE86" s="135">
        <f t="shared" si="785"/>
        <v>6.6118555280185802</v>
      </c>
      <c r="XF86" s="135">
        <f t="shared" si="786"/>
        <v>11.655187620019923</v>
      </c>
      <c r="XG86" s="135">
        <f t="shared" si="963"/>
        <v>20.268632899698311</v>
      </c>
      <c r="XH86" s="136">
        <f t="shared" si="964"/>
        <v>30.148058734196646</v>
      </c>
      <c r="XI86" s="135">
        <f t="shared" si="965"/>
        <v>40.303928252609815</v>
      </c>
      <c r="XJ86" s="135">
        <f t="shared" si="787"/>
        <v>49.637941677384781</v>
      </c>
      <c r="XK86" s="135">
        <f t="shared" si="788"/>
        <v>55.329667253942823</v>
      </c>
      <c r="XL86" s="135">
        <f t="shared" si="789"/>
        <v>60.32300279075131</v>
      </c>
      <c r="XM86" s="135">
        <f t="shared" si="790"/>
        <v>66.193305825724906</v>
      </c>
      <c r="XN86" s="122"/>
      <c r="XO86" s="113">
        <v>84</v>
      </c>
      <c r="XP86" s="135">
        <f t="shared" si="791"/>
        <v>13.710296514805087</v>
      </c>
      <c r="XQ86" s="135">
        <f t="shared" si="792"/>
        <v>17.515617217320319</v>
      </c>
      <c r="XR86" s="135">
        <f t="shared" si="793"/>
        <v>20.825053908193063</v>
      </c>
      <c r="XS86" s="135">
        <f t="shared" si="794"/>
        <v>24.681489651471644</v>
      </c>
      <c r="XT86" s="135">
        <f t="shared" si="966"/>
        <v>31.208842937579583</v>
      </c>
      <c r="XU86" s="136">
        <f t="shared" si="967"/>
        <v>38.617255405602982</v>
      </c>
      <c r="XV86" s="135">
        <f t="shared" si="968"/>
        <v>46.159579632072642</v>
      </c>
      <c r="XW86" s="135">
        <f t="shared" si="795"/>
        <v>53.035559812153814</v>
      </c>
      <c r="XX86" s="135">
        <f t="shared" si="796"/>
        <v>57.205172138953962</v>
      </c>
      <c r="XY86" s="135">
        <f t="shared" si="797"/>
        <v>60.849927426538819</v>
      </c>
      <c r="XZ86" s="135">
        <f t="shared" si="798"/>
        <v>65.120065122686498</v>
      </c>
      <c r="YA86" s="122"/>
      <c r="YB86" s="122"/>
      <c r="YC86" s="149"/>
      <c r="YD86" s="149"/>
      <c r="YE86" s="149"/>
      <c r="YF86" s="149"/>
      <c r="YG86" s="149"/>
      <c r="YH86" s="150"/>
      <c r="YI86" s="149"/>
      <c r="YJ86" s="149"/>
      <c r="YK86" s="149"/>
      <c r="YL86" s="149"/>
      <c r="YM86" s="149"/>
      <c r="YN86" s="122"/>
      <c r="YO86" s="113">
        <v>84</v>
      </c>
      <c r="YP86" s="135">
        <v>22.089707650179896</v>
      </c>
      <c r="YQ86" s="135">
        <v>23.775144899199088</v>
      </c>
      <c r="YR86" s="135">
        <v>25.327215776516237</v>
      </c>
      <c r="YS86" s="135">
        <v>27.242818341951402</v>
      </c>
      <c r="YT86" s="135">
        <v>30.766221462992316</v>
      </c>
      <c r="YU86" s="136">
        <v>35.232967283424365</v>
      </c>
      <c r="YV86" s="135">
        <v>40.348210620795456</v>
      </c>
      <c r="YW86" s="135">
        <v>45.566577143865835</v>
      </c>
      <c r="YX86" s="135">
        <v>49.012966705399194</v>
      </c>
      <c r="YY86" s="135">
        <v>52.2125938183733</v>
      </c>
      <c r="YZ86" s="135">
        <v>56.19639712998837</v>
      </c>
      <c r="ZA86" s="122"/>
      <c r="ZB86" s="113">
        <v>84</v>
      </c>
      <c r="ZC86" s="135">
        <v>27.96710477151905</v>
      </c>
      <c r="ZD86" s="135">
        <v>28.989416033387922</v>
      </c>
      <c r="ZE86" s="135">
        <v>29.898499377094943</v>
      </c>
      <c r="ZF86" s="135">
        <v>30.982052843741439</v>
      </c>
      <c r="ZG86" s="135">
        <v>32.877708292792889</v>
      </c>
      <c r="ZH86" s="136">
        <v>35.127588550416768</v>
      </c>
      <c r="ZI86" s="135">
        <v>37.53143212958868</v>
      </c>
      <c r="ZJ86" s="135">
        <v>39.827815270692632</v>
      </c>
      <c r="ZK86" s="135">
        <v>41.271217722475107</v>
      </c>
      <c r="ZL86" s="135">
        <v>42.565447884365774</v>
      </c>
      <c r="ZM86" s="135">
        <v>44.121387875086405</v>
      </c>
      <c r="ZN86" s="122"/>
      <c r="ZO86" s="122"/>
      <c r="ZP86" s="149"/>
      <c r="ZQ86" s="149"/>
      <c r="ZR86" s="149"/>
      <c r="ZS86" s="149"/>
      <c r="ZT86" s="149"/>
      <c r="ZU86" s="150"/>
      <c r="ZV86" s="149"/>
      <c r="ZW86" s="149"/>
      <c r="ZX86" s="149"/>
      <c r="ZY86" s="149"/>
      <c r="ZZ86" s="149"/>
      <c r="AAA86" s="122"/>
      <c r="AAB86" s="113">
        <v>84</v>
      </c>
      <c r="AAC86" s="135">
        <v>13.288721606263607</v>
      </c>
      <c r="AAD86" s="135">
        <v>14.528802484247919</v>
      </c>
      <c r="AAE86" s="135">
        <v>15.687509417117612</v>
      </c>
      <c r="AAF86" s="135">
        <v>17.138573913251086</v>
      </c>
      <c r="AAG86" s="135">
        <v>19.864021472717127</v>
      </c>
      <c r="AAH86" s="136">
        <v>23.415534845072017</v>
      </c>
      <c r="AAI86" s="135">
        <v>27.602027758268598</v>
      </c>
      <c r="AAJ86" s="135">
        <v>31.991417422243082</v>
      </c>
      <c r="AAK86" s="135">
        <v>34.950562100221703</v>
      </c>
      <c r="AAL86" s="135">
        <v>37.737953466931145</v>
      </c>
      <c r="AAM86" s="135">
        <v>41.259595040530293</v>
      </c>
      <c r="AAN86" s="122"/>
      <c r="AAO86" s="113">
        <v>84</v>
      </c>
      <c r="AAP86" s="135">
        <v>16.075571020430463</v>
      </c>
      <c r="AAQ86" s="135">
        <v>17.352298717475556</v>
      </c>
      <c r="AAR86" s="135">
        <v>18.531165188516756</v>
      </c>
      <c r="AAS86" s="135">
        <v>19.990061810556877</v>
      </c>
      <c r="AAT86" s="135">
        <v>22.683819863118682</v>
      </c>
      <c r="AAU86" s="136">
        <v>26.116171644305911</v>
      </c>
      <c r="AAV86" s="135">
        <v>30.067882105861347</v>
      </c>
      <c r="AAW86" s="135">
        <v>34.119675457664229</v>
      </c>
      <c r="AAX86" s="135">
        <v>36.805803327331979</v>
      </c>
      <c r="AAY86" s="135">
        <v>39.306286300151648</v>
      </c>
      <c r="AAZ86" s="135">
        <v>42.428005853603871</v>
      </c>
      <c r="ABA86" s="122"/>
      <c r="ABB86" s="122"/>
      <c r="ABC86" s="149"/>
      <c r="ABD86" s="149"/>
      <c r="ABE86" s="149"/>
      <c r="ABF86" s="149"/>
      <c r="ABG86" s="149"/>
      <c r="ABH86" s="150"/>
      <c r="ABI86" s="149"/>
      <c r="ABJ86" s="149"/>
      <c r="ABK86" s="149"/>
      <c r="ABL86" s="149"/>
      <c r="ABM86" s="149"/>
      <c r="ABN86" s="122"/>
      <c r="ABO86" s="113">
        <v>84</v>
      </c>
      <c r="ABP86" s="135">
        <f t="shared" si="807"/>
        <v>0.39453228496588894</v>
      </c>
      <c r="ABQ86" s="135">
        <f t="shared" si="808"/>
        <v>0.44059906825868483</v>
      </c>
      <c r="ABR86" s="135">
        <f t="shared" si="809"/>
        <v>0.48325327792246536</v>
      </c>
      <c r="ABS86" s="135">
        <f t="shared" si="810"/>
        <v>0.53608017993026058</v>
      </c>
      <c r="ABT86" s="135">
        <f t="shared" si="972"/>
        <v>0.63340283500574068</v>
      </c>
      <c r="ABU86" s="136">
        <f t="shared" si="973"/>
        <v>0.7563989102562414</v>
      </c>
      <c r="ABV86" s="135">
        <f t="shared" si="974"/>
        <v>0.89595196468015559</v>
      </c>
      <c r="ABW86" s="135">
        <f t="shared" si="811"/>
        <v>1.0363448720120003</v>
      </c>
      <c r="ABX86" s="135">
        <f t="shared" si="812"/>
        <v>1.1278196521735366</v>
      </c>
      <c r="ABY86" s="135">
        <f t="shared" si="813"/>
        <v>1.2118087112065536</v>
      </c>
      <c r="ABZ86" s="135">
        <f t="shared" si="814"/>
        <v>1.3150946433295101</v>
      </c>
      <c r="ACA86" s="122"/>
      <c r="ACB86" s="113">
        <v>84</v>
      </c>
      <c r="ACC86" s="135">
        <f t="shared" si="815"/>
        <v>0.52952470343459501</v>
      </c>
      <c r="ACD86" s="135">
        <f t="shared" si="816"/>
        <v>0.57518913255173898</v>
      </c>
      <c r="ACE86" s="135">
        <f t="shared" si="817"/>
        <v>0.61712904978208494</v>
      </c>
      <c r="ACF86" s="135">
        <f t="shared" si="818"/>
        <v>0.66871875441412831</v>
      </c>
      <c r="ACG86" s="135">
        <f t="shared" si="975"/>
        <v>0.76303485855576447</v>
      </c>
      <c r="ACH86" s="136">
        <f t="shared" si="976"/>
        <v>0.88141370413762632</v>
      </c>
      <c r="ACI86" s="135">
        <f t="shared" si="977"/>
        <v>1.0152356047821995</v>
      </c>
      <c r="ACJ86" s="135">
        <f t="shared" si="819"/>
        <v>1.149794955819454</v>
      </c>
      <c r="ACK86" s="135">
        <f t="shared" si="820"/>
        <v>1.2375825678589394</v>
      </c>
      <c r="ACL86" s="135">
        <f t="shared" si="821"/>
        <v>1.3183276431183355</v>
      </c>
      <c r="ACM86" s="135">
        <f t="shared" si="822"/>
        <v>1.4178635668477422</v>
      </c>
      <c r="ACN86" s="122"/>
      <c r="ACO86" s="122"/>
      <c r="ACP86" s="149"/>
      <c r="ACQ86" s="149"/>
      <c r="ACR86" s="149"/>
      <c r="ACS86" s="149"/>
      <c r="ACT86" s="149"/>
      <c r="ACU86" s="150"/>
      <c r="ACV86" s="149"/>
      <c r="ACW86" s="149"/>
      <c r="ACX86" s="149"/>
      <c r="ACY86" s="149"/>
      <c r="ACZ86" s="149"/>
      <c r="ADA86" s="122"/>
      <c r="ADB86" s="113">
        <v>84</v>
      </c>
      <c r="ADC86" s="135">
        <f t="shared" si="831"/>
        <v>0.28595501244467997</v>
      </c>
      <c r="ADD86" s="135">
        <f t="shared" si="832"/>
        <v>0.30791344117820796</v>
      </c>
      <c r="ADE86" s="135">
        <f t="shared" si="833"/>
        <v>0.32708598477048151</v>
      </c>
      <c r="ADF86" s="135">
        <f t="shared" si="834"/>
        <v>0.34950835358119015</v>
      </c>
      <c r="ADG86" s="135">
        <f t="shared" si="981"/>
        <v>0.38763844513305695</v>
      </c>
      <c r="ADH86" s="136">
        <f t="shared" si="982"/>
        <v>0.43115402802736241</v>
      </c>
      <c r="ADI86" s="135">
        <f t="shared" si="983"/>
        <v>0.47568200108701691</v>
      </c>
      <c r="ADJ86" s="135">
        <f t="shared" si="835"/>
        <v>0.51644968338548292</v>
      </c>
      <c r="ADK86" s="135">
        <f t="shared" si="836"/>
        <v>0.54124385088529381</v>
      </c>
      <c r="ADL86" s="135">
        <f t="shared" si="837"/>
        <v>0.56295846707903607</v>
      </c>
      <c r="ADM86" s="135">
        <f t="shared" si="838"/>
        <v>0.58844522995645887</v>
      </c>
      <c r="ADN86" s="122"/>
      <c r="ADO86" s="113">
        <v>84</v>
      </c>
      <c r="ADP86" s="135">
        <f t="shared" si="839"/>
        <v>0.34784856492720495</v>
      </c>
      <c r="ADQ86" s="135">
        <f t="shared" si="840"/>
        <v>0.36616512163488829</v>
      </c>
      <c r="ADR86" s="135">
        <f t="shared" si="841"/>
        <v>0.38221159276631711</v>
      </c>
      <c r="ADS86" s="135">
        <f t="shared" si="842"/>
        <v>0.40104529823219004</v>
      </c>
      <c r="ADT86" s="135">
        <f t="shared" si="984"/>
        <v>0.43324770082059755</v>
      </c>
      <c r="ADU86" s="136">
        <f t="shared" si="985"/>
        <v>0.4702789356779874</v>
      </c>
      <c r="ADV86" s="135">
        <f t="shared" si="986"/>
        <v>0.50849026695268873</v>
      </c>
      <c r="ADW86" s="135">
        <f t="shared" si="843"/>
        <v>0.54376118156094877</v>
      </c>
      <c r="ADX86" s="135">
        <f t="shared" si="844"/>
        <v>0.56534672200156477</v>
      </c>
      <c r="ADY86" s="135">
        <f t="shared" si="845"/>
        <v>0.58433467566768904</v>
      </c>
      <c r="ADZ86" s="135">
        <f t="shared" si="846"/>
        <v>0.60672024672188574</v>
      </c>
      <c r="AEA86" s="122"/>
      <c r="AEB86" s="122"/>
      <c r="AEC86" s="149"/>
      <c r="AED86" s="149"/>
      <c r="AEE86" s="149"/>
      <c r="AEF86" s="149"/>
      <c r="AEG86" s="149"/>
      <c r="AEH86" s="150"/>
      <c r="AEI86" s="149"/>
      <c r="AEJ86" s="149"/>
      <c r="AEK86" s="149"/>
      <c r="AEL86" s="149"/>
      <c r="AEM86" s="149"/>
      <c r="AEN86" s="122"/>
    </row>
    <row r="87" spans="1:820">
      <c r="A87" s="81"/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75"/>
      <c r="P87" s="75"/>
      <c r="Q87" s="75"/>
      <c r="R87" s="75"/>
      <c r="S87" s="75"/>
      <c r="T87" s="75"/>
      <c r="U87" s="75"/>
      <c r="V87" s="75"/>
      <c r="W87" s="75"/>
      <c r="X87" s="75"/>
      <c r="Y87" s="75"/>
      <c r="Z87" s="75"/>
      <c r="AA87" s="81"/>
      <c r="AB87" s="75"/>
      <c r="AC87" s="75"/>
      <c r="AD87" s="75"/>
      <c r="AE87" s="75"/>
      <c r="AF87" s="75"/>
      <c r="AG87" s="75"/>
      <c r="AH87" s="75"/>
      <c r="AI87" s="75"/>
      <c r="AJ87" s="75"/>
      <c r="AK87" s="75"/>
      <c r="AL87" s="75"/>
      <c r="AM87" s="75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1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1"/>
      <c r="BO87" s="75"/>
      <c r="BP87" s="75"/>
      <c r="BQ87" s="75"/>
      <c r="BR87" s="75"/>
      <c r="BS87" s="75"/>
      <c r="BT87" s="75"/>
      <c r="BU87" s="75"/>
      <c r="BV87" s="75"/>
      <c r="BW87" s="75"/>
      <c r="BX87" s="75"/>
      <c r="BY87" s="75"/>
      <c r="BZ87" s="75"/>
      <c r="CA87" s="81"/>
      <c r="CB87" s="81"/>
      <c r="CC87" s="81"/>
      <c r="CD87" s="81"/>
      <c r="CE87" s="81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1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122"/>
      <c r="DB87" s="122"/>
      <c r="DC87" s="122"/>
      <c r="DD87" s="122"/>
      <c r="DE87" s="122"/>
      <c r="DF87" s="122"/>
      <c r="DG87" s="122"/>
      <c r="DH87" s="122"/>
      <c r="DI87" s="122"/>
      <c r="DJ87" s="122"/>
      <c r="DK87" s="122"/>
      <c r="DL87" s="122"/>
      <c r="DM87" s="122"/>
      <c r="DN87" s="122"/>
      <c r="DO87" s="122"/>
      <c r="DP87" s="122"/>
      <c r="DQ87" s="122"/>
      <c r="DR87" s="122"/>
      <c r="DS87" s="122"/>
      <c r="DT87" s="122"/>
      <c r="DU87" s="122"/>
      <c r="DV87" s="122"/>
      <c r="DW87" s="122"/>
      <c r="DX87" s="122"/>
      <c r="DY87" s="122"/>
      <c r="DZ87" s="122"/>
      <c r="EA87" s="122"/>
      <c r="EB87" s="122"/>
      <c r="EC87" s="122"/>
      <c r="ED87" s="122"/>
      <c r="EE87" s="122"/>
      <c r="EF87" s="122"/>
      <c r="EG87" s="122"/>
      <c r="EH87" s="122"/>
      <c r="EI87" s="122"/>
      <c r="EJ87" s="122"/>
      <c r="EK87" s="122"/>
      <c r="EL87" s="122"/>
      <c r="EM87" s="122"/>
      <c r="EN87" s="122"/>
      <c r="EO87" s="122"/>
      <c r="EP87" s="122"/>
      <c r="EQ87" s="122"/>
      <c r="ER87" s="122"/>
      <c r="ES87" s="122"/>
      <c r="ET87" s="122"/>
      <c r="EU87" s="122"/>
      <c r="EV87" s="122"/>
      <c r="EW87" s="122"/>
      <c r="EX87" s="122"/>
      <c r="EY87" s="122"/>
      <c r="EZ87" s="122"/>
      <c r="FA87" s="122"/>
      <c r="FB87" s="122"/>
      <c r="FC87" s="122"/>
      <c r="FD87" s="122"/>
      <c r="FE87" s="122"/>
      <c r="FF87" s="122"/>
      <c r="FG87" s="122"/>
      <c r="FH87" s="122"/>
      <c r="FI87" s="122"/>
      <c r="FJ87" s="122"/>
      <c r="FK87" s="122"/>
      <c r="FL87" s="122"/>
      <c r="FM87" s="122"/>
      <c r="FN87" s="122"/>
      <c r="FO87" s="122"/>
      <c r="FP87" s="122"/>
      <c r="FQ87" s="122"/>
      <c r="FR87" s="122"/>
      <c r="FS87" s="122"/>
      <c r="FT87" s="122"/>
      <c r="FU87" s="122"/>
      <c r="FV87" s="122"/>
      <c r="FW87" s="122"/>
      <c r="FX87" s="122"/>
      <c r="FY87" s="122"/>
      <c r="FZ87" s="122"/>
      <c r="GA87" s="122"/>
      <c r="GB87" s="122"/>
      <c r="GC87" s="122"/>
      <c r="GD87" s="122"/>
      <c r="GE87" s="122"/>
      <c r="GF87" s="122"/>
      <c r="GG87" s="122"/>
      <c r="GH87" s="122"/>
      <c r="GI87" s="122"/>
      <c r="GJ87" s="122"/>
      <c r="GK87" s="122"/>
      <c r="GL87" s="122"/>
      <c r="GM87" s="122"/>
      <c r="GN87" s="122"/>
      <c r="GO87" s="122"/>
      <c r="GP87" s="122"/>
      <c r="GQ87" s="122"/>
      <c r="GR87" s="122"/>
      <c r="GS87" s="122"/>
      <c r="GT87" s="122"/>
      <c r="GU87" s="122"/>
      <c r="GV87" s="122"/>
      <c r="GW87" s="122"/>
      <c r="GX87" s="122"/>
      <c r="GY87" s="122"/>
      <c r="GZ87" s="122"/>
      <c r="HA87" s="122"/>
      <c r="HB87" s="122"/>
      <c r="HC87" s="122"/>
      <c r="HD87" s="122"/>
      <c r="HE87" s="122"/>
      <c r="HF87" s="122"/>
      <c r="HG87" s="122"/>
      <c r="HH87" s="122"/>
      <c r="HI87" s="122"/>
      <c r="HJ87" s="122"/>
      <c r="HK87" s="122"/>
      <c r="HL87" s="122"/>
      <c r="HM87" s="122"/>
      <c r="HN87" s="122"/>
      <c r="HO87" s="122"/>
      <c r="HP87" s="122"/>
      <c r="HQ87" s="122"/>
      <c r="HR87" s="122"/>
      <c r="HS87" s="122"/>
      <c r="HT87" s="122"/>
      <c r="HU87" s="122"/>
      <c r="HV87" s="122"/>
      <c r="HW87" s="122"/>
      <c r="HX87" s="122"/>
      <c r="HY87" s="122"/>
      <c r="HZ87" s="122"/>
      <c r="IA87" s="122"/>
      <c r="IB87" s="122"/>
      <c r="IC87" s="122"/>
      <c r="ID87" s="122"/>
      <c r="IE87" s="122"/>
      <c r="IF87" s="122"/>
      <c r="IG87" s="122"/>
      <c r="IH87" s="122"/>
      <c r="II87" s="122"/>
      <c r="IJ87" s="122"/>
      <c r="IK87" s="122"/>
      <c r="IL87" s="122"/>
      <c r="IM87" s="122"/>
      <c r="IN87" s="122"/>
      <c r="IO87" s="122"/>
      <c r="IP87" s="122"/>
      <c r="IQ87" s="122"/>
      <c r="IR87" s="122"/>
      <c r="IS87" s="122"/>
      <c r="IT87" s="122"/>
      <c r="IU87" s="122"/>
      <c r="IV87" s="122"/>
      <c r="IW87" s="122"/>
      <c r="IX87" s="122"/>
      <c r="IY87" s="122"/>
      <c r="IZ87" s="122"/>
      <c r="JA87" s="122"/>
      <c r="JB87" s="122"/>
      <c r="JC87" s="122"/>
      <c r="JD87" s="122"/>
      <c r="JE87" s="122"/>
      <c r="JF87" s="122"/>
      <c r="JG87" s="122"/>
      <c r="JH87" s="122"/>
      <c r="JI87" s="122"/>
      <c r="JJ87" s="122"/>
      <c r="JK87" s="122"/>
      <c r="JL87" s="122"/>
      <c r="JM87" s="122"/>
      <c r="JN87" s="122"/>
      <c r="JO87" s="122"/>
      <c r="JP87" s="126"/>
      <c r="JQ87" s="126"/>
      <c r="JR87" s="126"/>
      <c r="JS87" s="126"/>
      <c r="JT87" s="126"/>
      <c r="JU87" s="127"/>
      <c r="JV87" s="126"/>
      <c r="JW87" s="126"/>
      <c r="JX87" s="126"/>
      <c r="JY87" s="126"/>
      <c r="JZ87" s="126"/>
      <c r="KA87" s="122"/>
      <c r="KB87" s="122"/>
      <c r="KC87" s="126"/>
      <c r="KD87" s="126"/>
      <c r="KE87" s="126"/>
      <c r="KF87" s="126"/>
      <c r="KG87" s="126"/>
      <c r="KH87" s="127"/>
      <c r="KI87" s="126"/>
      <c r="KJ87" s="126"/>
      <c r="KK87" s="126"/>
      <c r="KL87" s="126"/>
      <c r="KM87" s="126"/>
      <c r="KN87" s="122"/>
      <c r="KO87" s="122"/>
      <c r="KP87" s="126"/>
      <c r="KQ87" s="126"/>
      <c r="KR87" s="126"/>
      <c r="KS87" s="126"/>
      <c r="KT87" s="126"/>
      <c r="KU87" s="127"/>
      <c r="KV87" s="126"/>
      <c r="KW87" s="126"/>
      <c r="KX87" s="126"/>
      <c r="KY87" s="126"/>
      <c r="KZ87" s="126"/>
      <c r="LA87" s="122"/>
      <c r="LB87" s="122"/>
      <c r="LC87" s="126"/>
      <c r="LD87" s="126"/>
      <c r="LE87" s="126"/>
      <c r="LF87" s="126"/>
      <c r="LG87" s="126"/>
      <c r="LH87" s="127"/>
      <c r="LI87" s="126"/>
      <c r="LJ87" s="126"/>
      <c r="LK87" s="126"/>
      <c r="LL87" s="126"/>
      <c r="LM87" s="126"/>
      <c r="LN87" s="122"/>
      <c r="LO87" s="122"/>
      <c r="LP87" s="126"/>
      <c r="LQ87" s="126"/>
      <c r="LR87" s="126"/>
      <c r="LS87" s="126"/>
      <c r="LT87" s="126"/>
      <c r="LU87" s="127"/>
      <c r="LV87" s="126"/>
      <c r="LW87" s="126"/>
      <c r="LX87" s="126"/>
      <c r="LY87" s="126"/>
      <c r="LZ87" s="126"/>
      <c r="MA87" s="122"/>
      <c r="MB87" s="122"/>
      <c r="MC87" s="126"/>
      <c r="MD87" s="126"/>
      <c r="ME87" s="126"/>
      <c r="MF87" s="126"/>
      <c r="MG87" s="126"/>
      <c r="MH87" s="127"/>
      <c r="MI87" s="126"/>
      <c r="MJ87" s="126"/>
      <c r="MK87" s="126"/>
      <c r="ML87" s="126"/>
      <c r="MM87" s="126"/>
      <c r="MN87" s="122"/>
      <c r="MO87" s="122"/>
      <c r="MP87" s="126"/>
      <c r="MQ87" s="126"/>
      <c r="MR87" s="126"/>
      <c r="MS87" s="126"/>
      <c r="MT87" s="126"/>
      <c r="MU87" s="127"/>
      <c r="MV87" s="126"/>
      <c r="MW87" s="126"/>
      <c r="MX87" s="126"/>
      <c r="MY87" s="126"/>
      <c r="MZ87" s="126"/>
      <c r="NA87" s="122"/>
      <c r="NB87" s="122"/>
      <c r="NC87" s="126"/>
      <c r="ND87" s="126"/>
      <c r="NE87" s="126"/>
      <c r="NF87" s="126"/>
      <c r="NG87" s="126"/>
      <c r="NH87" s="127"/>
      <c r="NI87" s="126"/>
      <c r="NJ87" s="126"/>
      <c r="NK87" s="126"/>
      <c r="NL87" s="126"/>
      <c r="NM87" s="126"/>
      <c r="NN87" s="122"/>
      <c r="NO87" s="122"/>
      <c r="NP87" s="126"/>
      <c r="NQ87" s="126"/>
      <c r="NR87" s="126"/>
      <c r="NS87" s="126"/>
      <c r="NT87" s="126"/>
      <c r="NU87" s="127"/>
      <c r="NV87" s="126"/>
      <c r="NW87" s="126"/>
      <c r="NX87" s="126"/>
      <c r="NY87" s="126"/>
      <c r="NZ87" s="126"/>
      <c r="OA87" s="122"/>
      <c r="OB87" s="122"/>
      <c r="OC87" s="126"/>
      <c r="OD87" s="126"/>
      <c r="OE87" s="126"/>
      <c r="OF87" s="126"/>
      <c r="OG87" s="126"/>
      <c r="OH87" s="127"/>
      <c r="OI87" s="126"/>
      <c r="OJ87" s="126"/>
      <c r="OK87" s="126"/>
      <c r="OL87" s="126"/>
      <c r="OM87" s="126"/>
      <c r="ON87" s="122"/>
      <c r="OO87" s="122"/>
      <c r="OP87" s="126"/>
      <c r="OQ87" s="126"/>
      <c r="OR87" s="126"/>
      <c r="OS87" s="126"/>
      <c r="OT87" s="126"/>
      <c r="OU87" s="127"/>
      <c r="OV87" s="126"/>
      <c r="OW87" s="126"/>
      <c r="OX87" s="126"/>
      <c r="OY87" s="126"/>
      <c r="OZ87" s="126"/>
      <c r="PA87" s="122"/>
      <c r="PB87" s="122"/>
      <c r="PC87" s="126"/>
      <c r="PD87" s="126"/>
      <c r="PE87" s="126"/>
      <c r="PF87" s="126"/>
      <c r="PG87" s="126"/>
      <c r="PH87" s="127"/>
      <c r="PI87" s="126"/>
      <c r="PJ87" s="126"/>
      <c r="PK87" s="126"/>
      <c r="PL87" s="126"/>
      <c r="PM87" s="126"/>
      <c r="PN87" s="122"/>
      <c r="PO87" s="122"/>
      <c r="PP87" s="126"/>
      <c r="PQ87" s="126"/>
      <c r="PR87" s="126"/>
      <c r="PS87" s="126"/>
      <c r="PT87" s="126"/>
      <c r="PU87" s="127"/>
      <c r="PV87" s="126"/>
      <c r="PW87" s="126"/>
      <c r="PX87" s="126"/>
      <c r="PY87" s="126"/>
      <c r="PZ87" s="126"/>
      <c r="QA87" s="122"/>
      <c r="QB87" s="122"/>
      <c r="QC87" s="126"/>
      <c r="QD87" s="126"/>
      <c r="QE87" s="126"/>
      <c r="QF87" s="126"/>
      <c r="QG87" s="126"/>
      <c r="QH87" s="127"/>
      <c r="QI87" s="126"/>
      <c r="QJ87" s="126"/>
      <c r="QK87" s="126"/>
      <c r="QL87" s="126"/>
      <c r="QM87" s="126"/>
      <c r="QN87" s="122"/>
      <c r="QO87" s="122"/>
      <c r="QP87" s="126"/>
      <c r="QQ87" s="126"/>
      <c r="QR87" s="126"/>
      <c r="QS87" s="126"/>
      <c r="QT87" s="126"/>
      <c r="QU87" s="127"/>
      <c r="QV87" s="126"/>
      <c r="QW87" s="126"/>
      <c r="QX87" s="126"/>
      <c r="QY87" s="126"/>
      <c r="QZ87" s="126"/>
      <c r="RA87" s="122"/>
      <c r="RB87" s="122"/>
      <c r="RC87" s="126"/>
      <c r="RD87" s="126"/>
      <c r="RE87" s="126"/>
      <c r="RF87" s="126"/>
      <c r="RG87" s="126"/>
      <c r="RH87" s="127"/>
      <c r="RI87" s="126"/>
      <c r="RJ87" s="126"/>
      <c r="RK87" s="126"/>
      <c r="RL87" s="126"/>
      <c r="RM87" s="126"/>
      <c r="RN87" s="122"/>
      <c r="RO87" s="122"/>
      <c r="RP87" s="126"/>
      <c r="RQ87" s="126"/>
      <c r="RR87" s="126"/>
      <c r="RS87" s="126"/>
      <c r="RT87" s="126"/>
      <c r="RU87" s="127"/>
      <c r="RV87" s="126"/>
      <c r="RW87" s="126"/>
      <c r="RX87" s="126"/>
      <c r="RY87" s="126"/>
      <c r="RZ87" s="126"/>
      <c r="SA87" s="122"/>
      <c r="SB87" s="122"/>
      <c r="SC87" s="126"/>
      <c r="SD87" s="126"/>
      <c r="SE87" s="126"/>
      <c r="SF87" s="126"/>
      <c r="SG87" s="126"/>
      <c r="SH87" s="127"/>
      <c r="SI87" s="126"/>
      <c r="SJ87" s="126"/>
      <c r="SK87" s="126"/>
      <c r="SL87" s="126"/>
      <c r="SM87" s="126"/>
      <c r="SN87" s="122"/>
      <c r="SO87" s="122"/>
      <c r="SP87" s="126"/>
      <c r="SQ87" s="126"/>
      <c r="SR87" s="126"/>
      <c r="SS87" s="126"/>
      <c r="ST87" s="126"/>
      <c r="SU87" s="127"/>
      <c r="SV87" s="126"/>
      <c r="SW87" s="126"/>
      <c r="SX87" s="126"/>
      <c r="SY87" s="126"/>
      <c r="SZ87" s="126"/>
      <c r="TA87" s="122"/>
      <c r="TB87" s="122"/>
      <c r="TC87" s="126"/>
      <c r="TD87" s="126"/>
      <c r="TE87" s="126"/>
      <c r="TF87" s="126"/>
      <c r="TG87" s="126"/>
      <c r="TH87" s="127"/>
      <c r="TI87" s="126"/>
      <c r="TJ87" s="126"/>
      <c r="TK87" s="126"/>
      <c r="TL87" s="126"/>
      <c r="TM87" s="126"/>
      <c r="TN87" s="122"/>
      <c r="TO87" s="122"/>
      <c r="TP87" s="126"/>
      <c r="TQ87" s="126"/>
      <c r="TR87" s="126"/>
      <c r="TS87" s="126"/>
      <c r="TT87" s="126"/>
      <c r="TU87" s="127"/>
      <c r="TV87" s="126"/>
      <c r="TW87" s="126"/>
      <c r="TX87" s="126"/>
      <c r="TY87" s="126"/>
      <c r="TZ87" s="126"/>
      <c r="UA87" s="122"/>
      <c r="UB87" s="122"/>
      <c r="UC87" s="126"/>
      <c r="UD87" s="126"/>
      <c r="UE87" s="126"/>
      <c r="UF87" s="126"/>
      <c r="UG87" s="126"/>
      <c r="UH87" s="127"/>
      <c r="UI87" s="126"/>
      <c r="UJ87" s="126"/>
      <c r="UK87" s="126"/>
      <c r="UL87" s="126"/>
      <c r="UM87" s="126"/>
      <c r="UN87" s="122"/>
      <c r="UO87" s="122"/>
      <c r="UP87" s="126"/>
      <c r="UQ87" s="126"/>
      <c r="UR87" s="126"/>
      <c r="US87" s="126"/>
      <c r="UT87" s="126"/>
      <c r="UU87" s="127"/>
      <c r="UV87" s="126"/>
      <c r="UW87" s="126"/>
      <c r="UX87" s="126"/>
      <c r="UY87" s="126"/>
      <c r="UZ87" s="126"/>
      <c r="VA87" s="122"/>
      <c r="VB87" s="122"/>
      <c r="VC87" s="126"/>
      <c r="VD87" s="126"/>
      <c r="VE87" s="126"/>
      <c r="VF87" s="126"/>
      <c r="VG87" s="126"/>
      <c r="VH87" s="127"/>
      <c r="VI87" s="126"/>
      <c r="VJ87" s="126"/>
      <c r="VK87" s="126"/>
      <c r="VL87" s="126"/>
      <c r="VM87" s="126"/>
      <c r="VN87" s="122"/>
      <c r="VO87" s="122"/>
      <c r="VP87" s="126"/>
      <c r="VQ87" s="126"/>
      <c r="VR87" s="126"/>
      <c r="VS87" s="126"/>
      <c r="VT87" s="126"/>
      <c r="VU87" s="127"/>
      <c r="VV87" s="126"/>
      <c r="VW87" s="126"/>
      <c r="VX87" s="126"/>
      <c r="VY87" s="126"/>
      <c r="VZ87" s="126"/>
      <c r="WA87" s="122"/>
      <c r="WB87" s="122"/>
      <c r="WC87" s="126"/>
      <c r="WD87" s="126"/>
      <c r="WE87" s="126"/>
      <c r="WF87" s="126"/>
      <c r="WG87" s="126"/>
      <c r="WH87" s="127"/>
      <c r="WI87" s="126"/>
      <c r="WJ87" s="126"/>
      <c r="WK87" s="126"/>
      <c r="WL87" s="126"/>
      <c r="WM87" s="126"/>
      <c r="WN87" s="122"/>
      <c r="WO87" s="122"/>
      <c r="WP87" s="126"/>
      <c r="WQ87" s="126"/>
      <c r="WR87" s="126"/>
      <c r="WS87" s="126"/>
      <c r="WT87" s="126"/>
      <c r="WU87" s="127"/>
      <c r="WV87" s="126"/>
      <c r="WW87" s="126"/>
      <c r="WX87" s="126"/>
      <c r="WY87" s="126"/>
      <c r="WZ87" s="126"/>
      <c r="XA87" s="122"/>
      <c r="XB87" s="122"/>
      <c r="XC87" s="126"/>
      <c r="XD87" s="126"/>
      <c r="XE87" s="126"/>
      <c r="XF87" s="126"/>
      <c r="XG87" s="126"/>
      <c r="XH87" s="127"/>
      <c r="XI87" s="126"/>
      <c r="XJ87" s="126"/>
      <c r="XK87" s="126"/>
      <c r="XL87" s="126"/>
      <c r="XM87" s="126"/>
      <c r="XN87" s="122"/>
      <c r="XO87" s="122"/>
      <c r="XP87" s="126"/>
      <c r="XQ87" s="126"/>
      <c r="XR87" s="126"/>
      <c r="XS87" s="126"/>
      <c r="XT87" s="126"/>
      <c r="XU87" s="127"/>
      <c r="XV87" s="126"/>
      <c r="XW87" s="126"/>
      <c r="XX87" s="126"/>
      <c r="XY87" s="126"/>
      <c r="XZ87" s="126"/>
      <c r="YA87" s="122"/>
      <c r="YB87" s="122"/>
      <c r="YC87" s="126"/>
      <c r="YD87" s="126"/>
      <c r="YE87" s="126"/>
      <c r="YF87" s="126"/>
      <c r="YG87" s="126"/>
      <c r="YH87" s="127"/>
      <c r="YI87" s="126"/>
      <c r="YJ87" s="126"/>
      <c r="YK87" s="126"/>
      <c r="YL87" s="126"/>
      <c r="YM87" s="126"/>
      <c r="YN87" s="122"/>
      <c r="YO87" s="122"/>
      <c r="YP87" s="126"/>
      <c r="YQ87" s="126"/>
      <c r="YR87" s="126"/>
      <c r="YS87" s="126"/>
      <c r="YT87" s="126"/>
      <c r="YU87" s="127"/>
      <c r="YV87" s="126"/>
      <c r="YW87" s="126"/>
      <c r="YX87" s="126"/>
      <c r="YY87" s="126"/>
      <c r="YZ87" s="126"/>
      <c r="ZA87" s="122"/>
      <c r="ZB87" s="122"/>
      <c r="ZC87" s="126"/>
      <c r="ZD87" s="126"/>
      <c r="ZE87" s="126"/>
      <c r="ZF87" s="126"/>
      <c r="ZG87" s="126"/>
      <c r="ZH87" s="127"/>
      <c r="ZI87" s="126"/>
      <c r="ZJ87" s="126"/>
      <c r="ZK87" s="126"/>
      <c r="ZL87" s="126"/>
      <c r="ZM87" s="126"/>
      <c r="ZN87" s="122"/>
      <c r="ZO87" s="122"/>
      <c r="ZP87" s="126"/>
      <c r="ZQ87" s="126"/>
      <c r="ZR87" s="126"/>
      <c r="ZS87" s="126"/>
      <c r="ZT87" s="126"/>
      <c r="ZU87" s="127"/>
      <c r="ZV87" s="126"/>
      <c r="ZW87" s="126"/>
      <c r="ZX87" s="126"/>
      <c r="ZY87" s="126"/>
      <c r="ZZ87" s="126"/>
      <c r="AAA87" s="122"/>
      <c r="AAB87" s="122"/>
      <c r="AAC87" s="126"/>
      <c r="AAD87" s="126"/>
      <c r="AAE87" s="126"/>
      <c r="AAF87" s="126"/>
      <c r="AAG87" s="126"/>
      <c r="AAH87" s="127"/>
      <c r="AAI87" s="126"/>
      <c r="AAJ87" s="126"/>
      <c r="AAK87" s="126"/>
      <c r="AAL87" s="126"/>
      <c r="AAM87" s="126"/>
      <c r="AAN87" s="122"/>
      <c r="AAO87" s="122"/>
      <c r="AAP87" s="126"/>
      <c r="AAQ87" s="126"/>
      <c r="AAR87" s="126"/>
      <c r="AAS87" s="126"/>
      <c r="AAT87" s="126"/>
      <c r="AAU87" s="127"/>
      <c r="AAV87" s="126"/>
      <c r="AAW87" s="126"/>
      <c r="AAX87" s="126"/>
      <c r="AAY87" s="126"/>
      <c r="AAZ87" s="126"/>
      <c r="ABA87" s="122"/>
      <c r="ABB87" s="122"/>
      <c r="ABC87" s="126"/>
      <c r="ABD87" s="126"/>
      <c r="ABE87" s="126"/>
      <c r="ABF87" s="126"/>
      <c r="ABG87" s="126"/>
      <c r="ABH87" s="127"/>
      <c r="ABI87" s="126"/>
      <c r="ABJ87" s="126"/>
      <c r="ABK87" s="126"/>
      <c r="ABL87" s="126"/>
      <c r="ABM87" s="126"/>
      <c r="ABN87" s="122"/>
      <c r="ABO87" s="122"/>
      <c r="ABP87" s="126"/>
      <c r="ABQ87" s="126"/>
      <c r="ABR87" s="126"/>
      <c r="ABS87" s="126"/>
      <c r="ABT87" s="126"/>
      <c r="ABU87" s="127"/>
      <c r="ABV87" s="126"/>
      <c r="ABW87" s="126"/>
      <c r="ABX87" s="126"/>
      <c r="ABY87" s="126"/>
      <c r="ABZ87" s="126"/>
      <c r="ACA87" s="122"/>
      <c r="ACB87" s="122"/>
      <c r="ACC87" s="126"/>
      <c r="ACD87" s="126"/>
      <c r="ACE87" s="126"/>
      <c r="ACF87" s="126"/>
      <c r="ACG87" s="126"/>
      <c r="ACH87" s="127"/>
      <c r="ACI87" s="126"/>
      <c r="ACJ87" s="126"/>
      <c r="ACK87" s="126"/>
      <c r="ACL87" s="126"/>
      <c r="ACM87" s="126"/>
      <c r="ACN87" s="122"/>
      <c r="ACO87" s="122"/>
      <c r="ACP87" s="126"/>
      <c r="ACQ87" s="126"/>
      <c r="ACR87" s="126"/>
      <c r="ACS87" s="126"/>
      <c r="ACT87" s="126"/>
      <c r="ACU87" s="127"/>
      <c r="ACV87" s="126"/>
      <c r="ACW87" s="126"/>
      <c r="ACX87" s="126"/>
      <c r="ACY87" s="126"/>
      <c r="ACZ87" s="126"/>
      <c r="ADA87" s="122"/>
      <c r="ADB87" s="122"/>
      <c r="ADC87" s="126"/>
      <c r="ADD87" s="126"/>
      <c r="ADE87" s="126"/>
      <c r="ADF87" s="126"/>
      <c r="ADG87" s="126"/>
      <c r="ADH87" s="127"/>
      <c r="ADI87" s="126"/>
      <c r="ADJ87" s="126"/>
      <c r="ADK87" s="126"/>
      <c r="ADL87" s="126"/>
      <c r="ADM87" s="126"/>
      <c r="ADN87" s="122"/>
      <c r="ADO87" s="122"/>
      <c r="ADP87" s="126"/>
      <c r="ADQ87" s="126"/>
      <c r="ADR87" s="126"/>
      <c r="ADS87" s="126"/>
      <c r="ADT87" s="126"/>
      <c r="ADU87" s="127"/>
      <c r="ADV87" s="126"/>
      <c r="ADW87" s="126"/>
      <c r="ADX87" s="126"/>
      <c r="ADY87" s="126"/>
      <c r="ADZ87" s="126"/>
      <c r="AEA87" s="122"/>
      <c r="AEB87" s="122"/>
      <c r="AEC87" s="126"/>
      <c r="AED87" s="126"/>
      <c r="AEE87" s="126"/>
      <c r="AEF87" s="126"/>
      <c r="AEG87" s="126"/>
      <c r="AEH87" s="127"/>
      <c r="AEI87" s="126"/>
      <c r="AEJ87" s="126"/>
      <c r="AEK87" s="126"/>
      <c r="AEL87" s="126"/>
      <c r="AEM87" s="126"/>
      <c r="AEN87" s="122"/>
    </row>
    <row r="88" spans="1:820">
      <c r="A88" s="81"/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75"/>
      <c r="P88" s="75"/>
      <c r="Q88" s="75"/>
      <c r="R88" s="75"/>
      <c r="S88" s="75"/>
      <c r="T88" s="75"/>
      <c r="U88" s="75"/>
      <c r="V88" s="75"/>
      <c r="W88" s="75"/>
      <c r="X88" s="75"/>
      <c r="Y88" s="75"/>
      <c r="Z88" s="75"/>
      <c r="AA88" s="81"/>
      <c r="AB88" s="75"/>
      <c r="AC88" s="75"/>
      <c r="AD88" s="75"/>
      <c r="AE88" s="75"/>
      <c r="AF88" s="75"/>
      <c r="AG88" s="75"/>
      <c r="AH88" s="75"/>
      <c r="AI88" s="75"/>
      <c r="AJ88" s="75"/>
      <c r="AK88" s="75"/>
      <c r="AL88" s="75"/>
      <c r="AM88" s="75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1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1"/>
      <c r="BO88" s="75"/>
      <c r="BP88" s="75"/>
      <c r="BQ88" s="75"/>
      <c r="BR88" s="75"/>
      <c r="BS88" s="75"/>
      <c r="BT88" s="75"/>
      <c r="BU88" s="75"/>
      <c r="BV88" s="75"/>
      <c r="BW88" s="75"/>
      <c r="BX88" s="75"/>
      <c r="BY88" s="75"/>
      <c r="BZ88" s="75"/>
      <c r="CA88" s="81"/>
      <c r="CB88" s="81"/>
      <c r="CC88" s="81"/>
      <c r="CD88" s="81"/>
      <c r="CE88" s="81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1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122"/>
      <c r="DB88" s="122"/>
      <c r="DC88" s="122"/>
      <c r="DD88" s="122"/>
      <c r="DE88" s="122"/>
      <c r="DF88" s="122"/>
      <c r="DG88" s="122"/>
      <c r="DH88" s="122"/>
      <c r="DI88" s="122"/>
      <c r="DJ88" s="122"/>
      <c r="DK88" s="122"/>
      <c r="DL88" s="122"/>
      <c r="DM88" s="122"/>
      <c r="DN88" s="122"/>
      <c r="DO88" s="122"/>
      <c r="DP88" s="122"/>
      <c r="DQ88" s="122"/>
      <c r="DR88" s="122"/>
      <c r="DS88" s="122"/>
      <c r="DT88" s="122"/>
      <c r="DU88" s="122"/>
      <c r="DV88" s="122"/>
      <c r="DW88" s="122"/>
      <c r="DX88" s="122"/>
      <c r="DY88" s="122"/>
      <c r="DZ88" s="122"/>
      <c r="EA88" s="122"/>
      <c r="EB88" s="122"/>
      <c r="EC88" s="122"/>
      <c r="ED88" s="122"/>
      <c r="EE88" s="122"/>
      <c r="EF88" s="122"/>
      <c r="EG88" s="122"/>
      <c r="EH88" s="122"/>
      <c r="EI88" s="122"/>
      <c r="EJ88" s="122"/>
      <c r="EK88" s="122"/>
      <c r="EL88" s="122"/>
      <c r="EM88" s="122"/>
      <c r="EN88" s="122"/>
      <c r="EO88" s="122"/>
      <c r="EP88" s="122"/>
      <c r="EQ88" s="122"/>
      <c r="ER88" s="122"/>
      <c r="ES88" s="122"/>
      <c r="ET88" s="122"/>
      <c r="EU88" s="122"/>
      <c r="EV88" s="122"/>
      <c r="EW88" s="122"/>
      <c r="EX88" s="122"/>
      <c r="EY88" s="122"/>
      <c r="EZ88" s="122"/>
      <c r="FA88" s="122"/>
      <c r="FB88" s="122"/>
      <c r="FC88" s="122"/>
      <c r="FD88" s="122"/>
      <c r="FE88" s="122"/>
      <c r="FF88" s="122"/>
      <c r="FG88" s="122"/>
      <c r="FH88" s="122"/>
      <c r="FI88" s="122"/>
      <c r="FJ88" s="122"/>
      <c r="FK88" s="122"/>
      <c r="FL88" s="122"/>
      <c r="FM88" s="122"/>
      <c r="FN88" s="122"/>
      <c r="FO88" s="122"/>
      <c r="FP88" s="122"/>
      <c r="FQ88" s="122"/>
      <c r="FR88" s="122"/>
      <c r="FS88" s="122"/>
      <c r="FT88" s="122"/>
      <c r="FU88" s="122"/>
      <c r="FV88" s="122"/>
      <c r="FW88" s="122"/>
      <c r="FX88" s="122"/>
      <c r="FY88" s="122"/>
      <c r="FZ88" s="122"/>
      <c r="GA88" s="122"/>
      <c r="GB88" s="122"/>
      <c r="GC88" s="122"/>
      <c r="GD88" s="122"/>
      <c r="GE88" s="122"/>
      <c r="GF88" s="122"/>
      <c r="GG88" s="122"/>
      <c r="GH88" s="122"/>
      <c r="GI88" s="122"/>
      <c r="GJ88" s="122"/>
      <c r="GK88" s="122"/>
      <c r="GL88" s="122"/>
      <c r="GM88" s="122"/>
      <c r="GN88" s="122"/>
      <c r="GO88" s="122"/>
      <c r="GP88" s="122"/>
      <c r="GQ88" s="122"/>
      <c r="GR88" s="122"/>
      <c r="GS88" s="122"/>
      <c r="GT88" s="122"/>
      <c r="GU88" s="122"/>
      <c r="GV88" s="122"/>
      <c r="GW88" s="122"/>
      <c r="GX88" s="122"/>
      <c r="GY88" s="122"/>
      <c r="GZ88" s="122"/>
      <c r="HA88" s="122"/>
      <c r="HB88" s="122"/>
      <c r="HC88" s="122"/>
      <c r="HD88" s="122"/>
      <c r="HE88" s="122"/>
      <c r="HF88" s="122"/>
      <c r="HG88" s="122"/>
      <c r="HH88" s="122"/>
      <c r="HI88" s="122"/>
      <c r="HJ88" s="122"/>
      <c r="HK88" s="122"/>
      <c r="HL88" s="122"/>
      <c r="HM88" s="122"/>
      <c r="HN88" s="122"/>
      <c r="HO88" s="122"/>
      <c r="HP88" s="122"/>
      <c r="HQ88" s="122"/>
      <c r="HR88" s="122"/>
      <c r="HS88" s="122"/>
      <c r="HT88" s="122"/>
      <c r="HU88" s="122"/>
      <c r="HV88" s="122"/>
      <c r="HW88" s="122"/>
      <c r="HX88" s="122"/>
      <c r="HY88" s="122"/>
      <c r="HZ88" s="122"/>
      <c r="IA88" s="122"/>
      <c r="IB88" s="122"/>
      <c r="IC88" s="122"/>
      <c r="ID88" s="122"/>
      <c r="IE88" s="122"/>
      <c r="IF88" s="122"/>
      <c r="IG88" s="122"/>
      <c r="IH88" s="122"/>
      <c r="II88" s="122"/>
      <c r="IJ88" s="122"/>
      <c r="IK88" s="122"/>
      <c r="IL88" s="122"/>
      <c r="IM88" s="122"/>
      <c r="IN88" s="122"/>
      <c r="IO88" s="122"/>
      <c r="IP88" s="122"/>
      <c r="IQ88" s="122"/>
      <c r="IR88" s="122"/>
      <c r="IS88" s="122"/>
      <c r="IT88" s="122"/>
      <c r="IU88" s="122"/>
      <c r="IV88" s="122"/>
      <c r="IW88" s="122"/>
      <c r="IX88" s="122"/>
      <c r="IY88" s="122"/>
      <c r="IZ88" s="122"/>
      <c r="JA88" s="122"/>
      <c r="JB88" s="122"/>
      <c r="JC88" s="122"/>
      <c r="JD88" s="122"/>
      <c r="JE88" s="122"/>
      <c r="JF88" s="122"/>
      <c r="JG88" s="122"/>
      <c r="JH88" s="122"/>
      <c r="JI88" s="122"/>
      <c r="JJ88" s="122"/>
      <c r="JK88" s="122"/>
      <c r="JL88" s="122"/>
      <c r="JM88" s="122"/>
      <c r="JN88" s="122"/>
      <c r="JO88" s="122"/>
      <c r="JP88" s="122"/>
      <c r="JQ88" s="122"/>
      <c r="JR88" s="122"/>
      <c r="JS88" s="122"/>
      <c r="JT88" s="122"/>
      <c r="JU88" s="122"/>
      <c r="JV88" s="122"/>
      <c r="JW88" s="122"/>
      <c r="JX88" s="122"/>
      <c r="JY88" s="122"/>
      <c r="JZ88" s="122"/>
      <c r="KA88" s="122"/>
      <c r="KB88" s="122"/>
      <c r="KC88" s="122"/>
      <c r="KD88" s="122"/>
      <c r="KE88" s="122"/>
      <c r="KF88" s="122"/>
      <c r="KG88" s="122"/>
      <c r="KH88" s="122"/>
      <c r="KI88" s="122"/>
      <c r="KJ88" s="122"/>
      <c r="KK88" s="122"/>
      <c r="KL88" s="122"/>
      <c r="KM88" s="122"/>
      <c r="KN88" s="122"/>
      <c r="KO88" s="122"/>
      <c r="KP88" s="122"/>
      <c r="KQ88" s="122"/>
      <c r="KR88" s="122"/>
      <c r="KS88" s="122"/>
      <c r="KT88" s="122"/>
      <c r="KU88" s="122"/>
      <c r="KV88" s="122"/>
      <c r="KW88" s="122"/>
      <c r="KX88" s="122"/>
      <c r="KY88" s="122"/>
      <c r="KZ88" s="122"/>
      <c r="LA88" s="122"/>
      <c r="LB88" s="122"/>
      <c r="LC88" s="122"/>
      <c r="LD88" s="122"/>
      <c r="LE88" s="122"/>
      <c r="LF88" s="122"/>
      <c r="LG88" s="122"/>
      <c r="LH88" s="122"/>
      <c r="LI88" s="122"/>
      <c r="LJ88" s="122"/>
      <c r="LK88" s="122"/>
      <c r="LL88" s="122"/>
      <c r="LM88" s="122"/>
      <c r="LN88" s="122"/>
      <c r="LO88" s="122"/>
      <c r="LP88" s="122"/>
      <c r="LQ88" s="122"/>
      <c r="LR88" s="122"/>
      <c r="LS88" s="122"/>
      <c r="LT88" s="122"/>
      <c r="LU88" s="122"/>
      <c r="LV88" s="122"/>
      <c r="LW88" s="122"/>
      <c r="LX88" s="122"/>
      <c r="LY88" s="122"/>
      <c r="LZ88" s="122"/>
      <c r="MA88" s="122"/>
      <c r="MB88" s="122"/>
      <c r="MC88" s="122"/>
      <c r="MD88" s="122"/>
      <c r="ME88" s="122"/>
      <c r="MF88" s="122"/>
      <c r="MG88" s="122"/>
      <c r="MH88" s="122"/>
      <c r="MI88" s="122"/>
      <c r="MJ88" s="122"/>
      <c r="MK88" s="122"/>
      <c r="ML88" s="122"/>
      <c r="MM88" s="122"/>
      <c r="MN88" s="122"/>
      <c r="MO88" s="122"/>
      <c r="MP88" s="122"/>
      <c r="MQ88" s="122"/>
      <c r="MR88" s="122"/>
      <c r="MS88" s="122"/>
      <c r="MT88" s="122"/>
      <c r="MU88" s="122"/>
      <c r="MV88" s="122"/>
      <c r="MW88" s="122"/>
      <c r="MX88" s="122"/>
      <c r="MY88" s="122"/>
      <c r="MZ88" s="122"/>
      <c r="NA88" s="122"/>
      <c r="NB88" s="122"/>
      <c r="NC88" s="122"/>
      <c r="ND88" s="122"/>
      <c r="NE88" s="122"/>
      <c r="NF88" s="122"/>
      <c r="NG88" s="122"/>
      <c r="NH88" s="122"/>
      <c r="NI88" s="122"/>
      <c r="NJ88" s="122"/>
      <c r="NK88" s="122"/>
      <c r="NL88" s="122"/>
      <c r="NM88" s="122"/>
      <c r="NN88" s="122"/>
      <c r="NO88" s="122"/>
      <c r="NP88" s="122"/>
      <c r="NQ88" s="122"/>
      <c r="NR88" s="122"/>
      <c r="NS88" s="122"/>
      <c r="NT88" s="122"/>
      <c r="NU88" s="122"/>
      <c r="NV88" s="122"/>
      <c r="NW88" s="122"/>
      <c r="NX88" s="122"/>
      <c r="NY88" s="122"/>
      <c r="NZ88" s="122"/>
      <c r="OA88" s="122"/>
      <c r="OB88" s="122"/>
      <c r="OC88" s="122"/>
      <c r="OD88" s="122"/>
      <c r="OE88" s="122"/>
      <c r="OF88" s="122"/>
      <c r="OG88" s="122"/>
      <c r="OH88" s="122"/>
      <c r="OI88" s="122"/>
      <c r="OJ88" s="122"/>
      <c r="OK88" s="122"/>
      <c r="OL88" s="122"/>
      <c r="OM88" s="122"/>
      <c r="ON88" s="122"/>
      <c r="OO88" s="122"/>
      <c r="OP88" s="122"/>
      <c r="OQ88" s="122"/>
      <c r="OR88" s="122"/>
      <c r="OS88" s="122"/>
      <c r="OT88" s="122"/>
      <c r="OU88" s="122"/>
      <c r="OV88" s="122"/>
      <c r="OW88" s="122"/>
      <c r="OX88" s="122"/>
      <c r="OY88" s="122"/>
      <c r="OZ88" s="122"/>
      <c r="PA88" s="122"/>
      <c r="PB88" s="122"/>
      <c r="PC88" s="122"/>
      <c r="PD88" s="122"/>
      <c r="PE88" s="122"/>
      <c r="PF88" s="122"/>
      <c r="PG88" s="122"/>
      <c r="PH88" s="122"/>
      <c r="PI88" s="122"/>
      <c r="PJ88" s="122"/>
      <c r="PK88" s="122"/>
      <c r="PL88" s="122"/>
      <c r="PM88" s="122"/>
      <c r="PN88" s="122"/>
      <c r="PO88" s="122"/>
      <c r="PP88" s="122"/>
      <c r="PQ88" s="122"/>
      <c r="PR88" s="122"/>
      <c r="PS88" s="122"/>
      <c r="PT88" s="122"/>
      <c r="PU88" s="122"/>
      <c r="PV88" s="122"/>
      <c r="PW88" s="122"/>
      <c r="PX88" s="122"/>
      <c r="PY88" s="122"/>
      <c r="PZ88" s="122"/>
      <c r="QA88" s="122"/>
      <c r="QB88" s="122"/>
      <c r="QC88" s="122"/>
      <c r="QD88" s="122"/>
      <c r="QE88" s="122"/>
      <c r="QF88" s="122"/>
      <c r="QG88" s="122"/>
      <c r="QH88" s="122"/>
      <c r="QI88" s="122"/>
      <c r="QJ88" s="122"/>
      <c r="QK88" s="122"/>
      <c r="QL88" s="122"/>
      <c r="QM88" s="122"/>
      <c r="QN88" s="122"/>
      <c r="QO88" s="122"/>
      <c r="QP88" s="122"/>
      <c r="QQ88" s="122"/>
      <c r="QR88" s="122"/>
      <c r="QS88" s="122"/>
      <c r="QT88" s="122"/>
      <c r="QU88" s="122"/>
      <c r="QV88" s="122"/>
      <c r="QW88" s="122"/>
      <c r="QX88" s="122"/>
      <c r="QY88" s="122"/>
      <c r="QZ88" s="122"/>
      <c r="RA88" s="122"/>
      <c r="RB88" s="122"/>
      <c r="RC88" s="122"/>
      <c r="RD88" s="122"/>
      <c r="RE88" s="122"/>
      <c r="RF88" s="122"/>
      <c r="RG88" s="122"/>
      <c r="RH88" s="122"/>
      <c r="RI88" s="122"/>
      <c r="RJ88" s="122"/>
      <c r="RK88" s="122"/>
      <c r="RL88" s="122"/>
      <c r="RM88" s="122"/>
      <c r="RN88" s="122"/>
      <c r="RO88" s="122"/>
      <c r="RP88" s="122"/>
      <c r="RQ88" s="122"/>
      <c r="RR88" s="122"/>
      <c r="RS88" s="122"/>
      <c r="RT88" s="122"/>
      <c r="RU88" s="122"/>
      <c r="RV88" s="122"/>
      <c r="RW88" s="122"/>
      <c r="RX88" s="122"/>
      <c r="RY88" s="122"/>
      <c r="RZ88" s="122"/>
      <c r="SA88" s="122"/>
      <c r="SB88" s="122"/>
      <c r="SC88" s="122"/>
      <c r="SD88" s="122"/>
      <c r="SE88" s="122"/>
      <c r="SF88" s="122"/>
      <c r="SG88" s="122"/>
      <c r="SH88" s="122"/>
      <c r="SI88" s="122"/>
      <c r="SJ88" s="122"/>
      <c r="SK88" s="122"/>
      <c r="SL88" s="122"/>
      <c r="SM88" s="122"/>
      <c r="SN88" s="122"/>
      <c r="SO88" s="122"/>
      <c r="SP88" s="122"/>
      <c r="SQ88" s="122"/>
      <c r="SR88" s="122"/>
      <c r="SS88" s="122"/>
      <c r="ST88" s="122"/>
      <c r="SU88" s="122"/>
      <c r="SV88" s="122"/>
      <c r="SW88" s="122"/>
      <c r="SX88" s="122"/>
      <c r="SY88" s="122"/>
      <c r="SZ88" s="122"/>
      <c r="TA88" s="122"/>
      <c r="TB88" s="122"/>
      <c r="TC88" s="122"/>
      <c r="TD88" s="122"/>
      <c r="TE88" s="122"/>
      <c r="TF88" s="122"/>
      <c r="TG88" s="122"/>
      <c r="TH88" s="122"/>
      <c r="TI88" s="122"/>
      <c r="TJ88" s="122"/>
      <c r="TK88" s="122"/>
      <c r="TL88" s="122"/>
      <c r="TM88" s="122"/>
      <c r="TN88" s="122"/>
      <c r="TO88" s="122"/>
      <c r="TP88" s="122"/>
      <c r="TQ88" s="122"/>
      <c r="TR88" s="122"/>
      <c r="TS88" s="122"/>
      <c r="TT88" s="122"/>
      <c r="TU88" s="122"/>
      <c r="TV88" s="122"/>
      <c r="TW88" s="122"/>
      <c r="TX88" s="122"/>
      <c r="TY88" s="122"/>
      <c r="TZ88" s="122"/>
      <c r="UA88" s="122"/>
      <c r="UB88" s="122"/>
      <c r="UC88" s="122"/>
      <c r="UD88" s="122"/>
      <c r="UE88" s="122"/>
      <c r="UF88" s="122"/>
      <c r="UG88" s="122"/>
      <c r="UH88" s="122"/>
      <c r="UI88" s="122"/>
      <c r="UJ88" s="122"/>
      <c r="UK88" s="122"/>
      <c r="UL88" s="122"/>
      <c r="UM88" s="122"/>
      <c r="UN88" s="122"/>
      <c r="UO88" s="122"/>
      <c r="UP88" s="122"/>
      <c r="UQ88" s="122"/>
      <c r="UR88" s="122"/>
      <c r="US88" s="122"/>
      <c r="UT88" s="122"/>
      <c r="UU88" s="122"/>
      <c r="UV88" s="122"/>
      <c r="UW88" s="122"/>
      <c r="UX88" s="122"/>
      <c r="UY88" s="122"/>
      <c r="UZ88" s="122"/>
      <c r="VA88" s="122"/>
      <c r="VB88" s="122"/>
      <c r="VC88" s="122"/>
      <c r="VD88" s="122"/>
      <c r="VE88" s="122"/>
      <c r="VF88" s="122"/>
      <c r="VG88" s="122"/>
      <c r="VH88" s="122"/>
      <c r="VI88" s="122"/>
      <c r="VJ88" s="122"/>
      <c r="VK88" s="122"/>
      <c r="VL88" s="122"/>
      <c r="VM88" s="122"/>
      <c r="VN88" s="122"/>
      <c r="VO88" s="122"/>
      <c r="VP88" s="122"/>
      <c r="VQ88" s="122"/>
      <c r="VR88" s="122"/>
      <c r="VS88" s="122"/>
      <c r="VT88" s="122"/>
      <c r="VU88" s="122"/>
      <c r="VV88" s="122"/>
      <c r="VW88" s="122"/>
      <c r="VX88" s="122"/>
      <c r="VY88" s="122"/>
      <c r="VZ88" s="122"/>
      <c r="WA88" s="122"/>
      <c r="WB88" s="122"/>
      <c r="WC88" s="122"/>
      <c r="WD88" s="122"/>
      <c r="WE88" s="122"/>
      <c r="WF88" s="122"/>
      <c r="WG88" s="122"/>
      <c r="WH88" s="122"/>
      <c r="WI88" s="122"/>
      <c r="WJ88" s="122"/>
      <c r="WK88" s="122"/>
      <c r="WL88" s="122"/>
      <c r="WM88" s="122"/>
      <c r="WN88" s="122"/>
      <c r="WO88" s="122"/>
      <c r="WP88" s="122"/>
      <c r="WQ88" s="122"/>
      <c r="WR88" s="122"/>
      <c r="WS88" s="122"/>
      <c r="WT88" s="122"/>
      <c r="WU88" s="122"/>
      <c r="WV88" s="122"/>
      <c r="WW88" s="122"/>
      <c r="WX88" s="122"/>
      <c r="WY88" s="122"/>
      <c r="WZ88" s="122"/>
      <c r="XA88" s="122"/>
      <c r="XB88" s="122"/>
      <c r="XC88" s="122"/>
      <c r="XD88" s="122"/>
      <c r="XE88" s="122"/>
      <c r="XF88" s="122"/>
      <c r="XG88" s="122"/>
      <c r="XH88" s="122"/>
      <c r="XI88" s="122"/>
      <c r="XJ88" s="122"/>
      <c r="XK88" s="122"/>
      <c r="XL88" s="122"/>
      <c r="XM88" s="122"/>
      <c r="XN88" s="122"/>
      <c r="XO88" s="122"/>
      <c r="XP88" s="122"/>
      <c r="XQ88" s="122"/>
      <c r="XR88" s="122"/>
      <c r="XS88" s="122"/>
      <c r="XT88" s="122"/>
      <c r="XU88" s="122"/>
      <c r="XV88" s="122"/>
      <c r="XW88" s="122"/>
      <c r="XX88" s="122"/>
      <c r="XY88" s="122"/>
      <c r="XZ88" s="122"/>
      <c r="YA88" s="122"/>
      <c r="YB88" s="122"/>
      <c r="YC88" s="122"/>
      <c r="YD88" s="122"/>
      <c r="YE88" s="122"/>
      <c r="YF88" s="122"/>
      <c r="YG88" s="122"/>
      <c r="YH88" s="122"/>
      <c r="YI88" s="122"/>
      <c r="YJ88" s="122"/>
      <c r="YK88" s="122"/>
      <c r="YL88" s="122"/>
      <c r="YM88" s="122"/>
      <c r="YN88" s="122"/>
      <c r="YO88" s="122"/>
      <c r="YP88" s="122"/>
      <c r="YQ88" s="122"/>
      <c r="YR88" s="122"/>
      <c r="YS88" s="122"/>
      <c r="YT88" s="122"/>
      <c r="YU88" s="122"/>
      <c r="YV88" s="122"/>
      <c r="YW88" s="122"/>
      <c r="YX88" s="122"/>
      <c r="YY88" s="122"/>
      <c r="YZ88" s="122"/>
      <c r="ZA88" s="122"/>
      <c r="ZB88" s="122"/>
      <c r="ZC88" s="122"/>
      <c r="ZD88" s="122"/>
      <c r="ZE88" s="122"/>
      <c r="ZF88" s="122"/>
      <c r="ZG88" s="122"/>
      <c r="ZH88" s="122"/>
      <c r="ZI88" s="122"/>
      <c r="ZJ88" s="122"/>
      <c r="ZK88" s="122"/>
      <c r="ZL88" s="122"/>
      <c r="ZM88" s="122"/>
      <c r="ZN88" s="122"/>
      <c r="ZO88" s="122"/>
      <c r="ZP88" s="122"/>
      <c r="ZQ88" s="122"/>
      <c r="ZR88" s="122"/>
      <c r="ZS88" s="122"/>
      <c r="ZT88" s="122"/>
      <c r="ZU88" s="122"/>
      <c r="ZV88" s="122"/>
      <c r="ZW88" s="122"/>
      <c r="ZX88" s="122"/>
      <c r="ZY88" s="122"/>
      <c r="ZZ88" s="122"/>
      <c r="AAA88" s="122"/>
      <c r="AAB88" s="122"/>
      <c r="AAC88" s="122"/>
      <c r="AAD88" s="122"/>
      <c r="AAE88" s="122"/>
      <c r="AAF88" s="122"/>
      <c r="AAG88" s="122"/>
      <c r="AAH88" s="122"/>
      <c r="AAI88" s="122"/>
      <c r="AAJ88" s="122"/>
      <c r="AAK88" s="122"/>
      <c r="AAL88" s="122"/>
      <c r="AAM88" s="122"/>
      <c r="AAN88" s="122"/>
      <c r="AAO88" s="122"/>
      <c r="AAP88" s="122"/>
      <c r="AAQ88" s="122"/>
      <c r="AAR88" s="122"/>
      <c r="AAS88" s="122"/>
      <c r="AAT88" s="122"/>
      <c r="AAU88" s="122"/>
      <c r="AAV88" s="122"/>
      <c r="AAW88" s="122"/>
      <c r="AAX88" s="122"/>
      <c r="AAY88" s="122"/>
      <c r="AAZ88" s="122"/>
      <c r="ABA88" s="122"/>
      <c r="ABB88" s="122"/>
      <c r="ABC88" s="122"/>
      <c r="ABD88" s="122"/>
      <c r="ABE88" s="122"/>
      <c r="ABF88" s="122"/>
      <c r="ABG88" s="122"/>
      <c r="ABH88" s="122"/>
      <c r="ABI88" s="122"/>
      <c r="ABJ88" s="122"/>
      <c r="ABK88" s="122"/>
      <c r="ABL88" s="122"/>
      <c r="ABM88" s="122"/>
      <c r="ABN88" s="122"/>
      <c r="ABO88" s="122"/>
      <c r="ABP88" s="122"/>
      <c r="ABQ88" s="122"/>
      <c r="ABR88" s="122"/>
      <c r="ABS88" s="122"/>
      <c r="ABT88" s="122"/>
      <c r="ABU88" s="122"/>
      <c r="ABV88" s="122"/>
      <c r="ABW88" s="122"/>
      <c r="ABX88" s="122"/>
      <c r="ABY88" s="122"/>
      <c r="ABZ88" s="122"/>
      <c r="ACA88" s="122"/>
      <c r="ACB88" s="122"/>
      <c r="ACC88" s="122"/>
      <c r="ACD88" s="122"/>
      <c r="ACE88" s="122"/>
      <c r="ACF88" s="122"/>
      <c r="ACG88" s="122"/>
      <c r="ACH88" s="122"/>
      <c r="ACI88" s="122"/>
      <c r="ACJ88" s="122"/>
      <c r="ACK88" s="122"/>
      <c r="ACL88" s="122"/>
      <c r="ACM88" s="122"/>
      <c r="ACN88" s="122"/>
      <c r="ACO88" s="122"/>
      <c r="ACP88" s="122"/>
      <c r="ACQ88" s="122"/>
      <c r="ACR88" s="122"/>
      <c r="ACS88" s="122"/>
      <c r="ACT88" s="122"/>
      <c r="ACU88" s="122"/>
      <c r="ACV88" s="122"/>
      <c r="ACW88" s="122"/>
      <c r="ACX88" s="122"/>
      <c r="ACY88" s="122"/>
      <c r="ACZ88" s="122"/>
      <c r="ADA88" s="122"/>
      <c r="ADB88" s="122"/>
      <c r="ADC88" s="122"/>
      <c r="ADD88" s="122"/>
      <c r="ADE88" s="122"/>
      <c r="ADF88" s="122"/>
      <c r="ADG88" s="122"/>
      <c r="ADH88" s="122"/>
      <c r="ADI88" s="122"/>
      <c r="ADJ88" s="122"/>
      <c r="ADK88" s="122"/>
      <c r="ADL88" s="122"/>
      <c r="ADM88" s="122"/>
      <c r="ADN88" s="122"/>
      <c r="ADO88" s="122"/>
      <c r="ADP88" s="122"/>
      <c r="ADQ88" s="122"/>
      <c r="ADR88" s="122"/>
      <c r="ADS88" s="122"/>
      <c r="ADT88" s="122"/>
      <c r="ADU88" s="122"/>
      <c r="ADV88" s="122"/>
      <c r="ADW88" s="122"/>
      <c r="ADX88" s="122"/>
      <c r="ADY88" s="122"/>
      <c r="ADZ88" s="122"/>
      <c r="AEA88" s="122"/>
      <c r="AEB88" s="122"/>
      <c r="AEC88" s="122"/>
      <c r="AED88" s="122"/>
      <c r="AEE88" s="122"/>
      <c r="AEF88" s="122"/>
      <c r="AEG88" s="122"/>
      <c r="AEH88" s="122"/>
      <c r="AEI88" s="122"/>
      <c r="AEJ88" s="122"/>
      <c r="AEK88" s="122"/>
      <c r="AEL88" s="122"/>
      <c r="AEM88" s="122"/>
      <c r="AEN88" s="122"/>
    </row>
    <row r="89" spans="1:820">
      <c r="A89" s="81"/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75"/>
      <c r="P89" s="75"/>
      <c r="Q89" s="75"/>
      <c r="R89" s="75"/>
      <c r="S89" s="75"/>
      <c r="T89" s="75"/>
      <c r="U89" s="75"/>
      <c r="V89" s="75"/>
      <c r="W89" s="75"/>
      <c r="X89" s="75"/>
      <c r="Y89" s="75"/>
      <c r="Z89" s="75"/>
      <c r="AA89" s="81"/>
      <c r="AB89" s="75"/>
      <c r="AC89" s="75"/>
      <c r="AD89" s="75"/>
      <c r="AE89" s="75"/>
      <c r="AF89" s="75"/>
      <c r="AG89" s="75"/>
      <c r="AH89" s="75"/>
      <c r="AI89" s="75"/>
      <c r="AJ89" s="75"/>
      <c r="AK89" s="75"/>
      <c r="AL89" s="75"/>
      <c r="AM89" s="75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1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1"/>
      <c r="BO89" s="75"/>
      <c r="BP89" s="75"/>
      <c r="BQ89" s="75"/>
      <c r="BR89" s="75"/>
      <c r="BS89" s="75"/>
      <c r="BT89" s="75"/>
      <c r="BU89" s="75"/>
      <c r="BV89" s="75"/>
      <c r="BW89" s="75"/>
      <c r="BX89" s="75"/>
      <c r="BY89" s="75"/>
      <c r="BZ89" s="75"/>
      <c r="CA89" s="81"/>
      <c r="CB89" s="81"/>
      <c r="CC89" s="81"/>
      <c r="CD89" s="81"/>
      <c r="CE89" s="81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1"/>
      <c r="DH89" s="81"/>
      <c r="DI89" s="81"/>
      <c r="DJ89" s="81"/>
      <c r="DK89" s="81"/>
      <c r="DL89" s="81"/>
      <c r="DM89" s="81"/>
      <c r="DN89" s="81"/>
      <c r="DO89" s="81"/>
      <c r="DP89" s="81"/>
      <c r="DQ89" s="81"/>
      <c r="DR89" s="81"/>
      <c r="DS89" s="81"/>
      <c r="DT89" s="81"/>
      <c r="DU89" s="81"/>
      <c r="DV89" s="81"/>
      <c r="DW89" s="81"/>
      <c r="DX89" s="81"/>
      <c r="DY89" s="81"/>
      <c r="DZ89" s="81"/>
      <c r="EA89" s="81"/>
      <c r="EB89" s="81"/>
      <c r="EC89" s="81"/>
      <c r="ED89" s="81"/>
      <c r="EE89" s="81"/>
      <c r="EF89" s="81"/>
      <c r="EG89" s="81"/>
      <c r="EH89" s="81"/>
      <c r="EI89" s="81"/>
      <c r="EJ89" s="81"/>
      <c r="EK89" s="81"/>
      <c r="EL89" s="81"/>
      <c r="EM89" s="81"/>
      <c r="EN89" s="81"/>
      <c r="EO89" s="81"/>
      <c r="EP89" s="81"/>
      <c r="EQ89" s="81"/>
      <c r="ER89" s="81"/>
      <c r="ES89" s="81"/>
      <c r="ET89" s="81"/>
      <c r="EU89" s="81"/>
      <c r="EV89" s="81"/>
      <c r="EW89" s="81"/>
      <c r="EX89" s="81"/>
      <c r="EY89" s="81"/>
      <c r="EZ89" s="81"/>
      <c r="FA89" s="81"/>
      <c r="FB89" s="81"/>
      <c r="FC89" s="81"/>
      <c r="FD89" s="81"/>
      <c r="FE89" s="81"/>
      <c r="FF89" s="81"/>
      <c r="FG89" s="81"/>
      <c r="FH89" s="81"/>
      <c r="FI89" s="81"/>
      <c r="FJ89" s="81"/>
      <c r="FK89" s="81"/>
      <c r="FL89" s="81"/>
      <c r="FM89" s="81"/>
      <c r="FN89" s="81"/>
      <c r="FO89" s="81"/>
      <c r="FP89" s="81"/>
      <c r="FQ89" s="81"/>
      <c r="FR89" s="81"/>
      <c r="FS89" s="81"/>
      <c r="FT89" s="81"/>
      <c r="FU89" s="81"/>
      <c r="FV89" s="81"/>
      <c r="FW89" s="81"/>
      <c r="FX89" s="81"/>
      <c r="FY89" s="81"/>
      <c r="FZ89" s="81"/>
      <c r="GA89" s="81"/>
      <c r="GB89" s="81"/>
      <c r="GC89" s="81"/>
      <c r="GD89" s="81"/>
      <c r="GE89" s="81"/>
      <c r="GF89" s="81"/>
      <c r="GG89" s="81"/>
      <c r="GH89" s="81"/>
      <c r="GI89" s="81"/>
      <c r="GJ89" s="81"/>
      <c r="GK89" s="81"/>
      <c r="GL89" s="81"/>
      <c r="GM89" s="81"/>
      <c r="GN89" s="81"/>
      <c r="GO89" s="81"/>
      <c r="GP89" s="81"/>
      <c r="GQ89" s="81"/>
      <c r="GR89" s="81"/>
      <c r="GS89" s="81"/>
      <c r="GT89" s="81"/>
      <c r="GU89" s="81"/>
      <c r="GV89" s="81"/>
      <c r="GW89" s="81"/>
      <c r="GX89" s="81"/>
      <c r="GY89" s="81"/>
      <c r="GZ89" s="81"/>
      <c r="HA89" s="81"/>
      <c r="HB89" s="81"/>
      <c r="HC89" s="81"/>
      <c r="HD89" s="81"/>
      <c r="HE89" s="81"/>
      <c r="HF89" s="81"/>
      <c r="HG89" s="81"/>
      <c r="HH89" s="81"/>
      <c r="HI89" s="81"/>
      <c r="HJ89" s="81"/>
      <c r="HK89" s="81"/>
      <c r="HL89" s="81"/>
      <c r="HM89" s="81"/>
      <c r="HN89" s="81"/>
      <c r="HO89" s="81"/>
      <c r="HP89" s="81"/>
      <c r="HQ89" s="81"/>
      <c r="HR89" s="81"/>
      <c r="HS89" s="81"/>
      <c r="HT89" s="81"/>
      <c r="HU89" s="81"/>
      <c r="HV89" s="81"/>
      <c r="HW89" s="81"/>
      <c r="HX89" s="81"/>
      <c r="HY89" s="81"/>
      <c r="HZ89" s="81"/>
      <c r="IA89" s="81"/>
      <c r="IB89" s="81"/>
      <c r="IC89" s="81"/>
      <c r="ID89" s="81"/>
      <c r="IE89" s="81"/>
      <c r="IF89" s="81"/>
      <c r="IG89" s="81"/>
      <c r="IH89" s="81"/>
      <c r="II89" s="81"/>
      <c r="IJ89" s="81"/>
      <c r="IK89" s="81"/>
      <c r="IL89" s="81"/>
      <c r="IM89" s="81"/>
      <c r="IN89" s="81"/>
      <c r="IO89" s="81"/>
      <c r="IP89" s="81"/>
      <c r="IQ89" s="81"/>
      <c r="IR89" s="81"/>
      <c r="IS89" s="81"/>
      <c r="IT89" s="81"/>
      <c r="IU89" s="81"/>
      <c r="IV89" s="81"/>
      <c r="IW89" s="81"/>
      <c r="IX89" s="81"/>
      <c r="IY89" s="81"/>
      <c r="IZ89" s="81"/>
      <c r="JA89" s="81"/>
      <c r="JB89" s="81"/>
      <c r="JC89" s="81"/>
      <c r="JD89" s="81"/>
      <c r="JE89" s="81"/>
      <c r="JF89" s="81"/>
      <c r="JG89" s="81"/>
      <c r="JH89" s="81"/>
      <c r="JI89" s="81"/>
      <c r="JJ89" s="81"/>
      <c r="JK89" s="81"/>
      <c r="JL89" s="81"/>
      <c r="JM89" s="81"/>
      <c r="JN89" s="81"/>
      <c r="JO89" s="81"/>
      <c r="JP89" s="81"/>
      <c r="JQ89" s="81"/>
      <c r="JR89" s="81"/>
      <c r="JS89" s="81"/>
      <c r="JT89" s="81"/>
      <c r="JU89" s="81"/>
      <c r="JV89" s="81"/>
      <c r="JW89" s="81"/>
      <c r="JX89" s="81"/>
      <c r="JY89" s="81"/>
      <c r="JZ89" s="81"/>
      <c r="KA89" s="81"/>
      <c r="KB89" s="81"/>
      <c r="KC89" s="81"/>
      <c r="KD89" s="81"/>
      <c r="KE89" s="81"/>
      <c r="KF89" s="81"/>
      <c r="KG89" s="81"/>
      <c r="KH89" s="81"/>
      <c r="KI89" s="81"/>
      <c r="KJ89" s="81"/>
      <c r="KK89" s="81"/>
      <c r="KL89" s="81"/>
      <c r="KM89" s="81"/>
      <c r="KN89" s="81"/>
      <c r="KO89" s="122"/>
      <c r="KP89" s="122"/>
      <c r="KQ89" s="122"/>
      <c r="KR89" s="122"/>
      <c r="KS89" s="122"/>
      <c r="KT89" s="122"/>
      <c r="KU89" s="122"/>
      <c r="KV89" s="122"/>
      <c r="KW89" s="122"/>
      <c r="KX89" s="122"/>
      <c r="KY89" s="122"/>
      <c r="KZ89" s="122"/>
      <c r="LA89" s="81"/>
      <c r="LB89" s="122"/>
      <c r="LC89" s="122"/>
      <c r="LD89" s="122"/>
      <c r="LE89" s="122"/>
      <c r="LF89" s="122"/>
      <c r="LG89" s="122"/>
      <c r="LH89" s="122"/>
      <c r="LI89" s="122"/>
      <c r="LJ89" s="122"/>
      <c r="LK89" s="122"/>
      <c r="LL89" s="122"/>
      <c r="LM89" s="122"/>
      <c r="LN89" s="81"/>
      <c r="LO89" s="122"/>
      <c r="LP89" s="122"/>
      <c r="LQ89" s="122"/>
      <c r="LR89" s="122"/>
      <c r="LS89" s="122"/>
      <c r="LT89" s="122"/>
      <c r="LU89" s="122"/>
      <c r="LV89" s="122"/>
      <c r="LW89" s="122"/>
      <c r="LX89" s="122"/>
      <c r="LY89" s="122"/>
      <c r="LZ89" s="122"/>
      <c r="MA89" s="81"/>
      <c r="MB89" s="122"/>
      <c r="MC89" s="122"/>
      <c r="MD89" s="122"/>
      <c r="ME89" s="122"/>
      <c r="MF89" s="122"/>
      <c r="MG89" s="122"/>
      <c r="MH89" s="122"/>
      <c r="MI89" s="122"/>
      <c r="MJ89" s="122"/>
      <c r="MK89" s="122"/>
      <c r="ML89" s="122"/>
      <c r="MM89" s="122"/>
      <c r="MN89" s="81"/>
      <c r="MO89" s="122"/>
      <c r="MP89" s="122"/>
      <c r="MQ89" s="122"/>
      <c r="MR89" s="122"/>
      <c r="MS89" s="122"/>
      <c r="MT89" s="122"/>
      <c r="MU89" s="122"/>
      <c r="MV89" s="122"/>
      <c r="MW89" s="122"/>
      <c r="MX89" s="122"/>
      <c r="MY89" s="122"/>
      <c r="MZ89" s="122"/>
      <c r="NA89" s="81"/>
      <c r="NB89" s="122"/>
      <c r="NC89" s="122"/>
      <c r="ND89" s="122"/>
      <c r="NE89" s="122"/>
      <c r="NF89" s="122"/>
      <c r="NG89" s="122"/>
      <c r="NH89" s="122"/>
      <c r="NI89" s="122"/>
      <c r="NJ89" s="122"/>
      <c r="NK89" s="122"/>
      <c r="NL89" s="122"/>
      <c r="NM89" s="122"/>
      <c r="NN89" s="81"/>
      <c r="NO89" s="122"/>
      <c r="NP89" s="122"/>
      <c r="NQ89" s="122"/>
      <c r="NR89" s="122"/>
      <c r="NS89" s="122"/>
      <c r="NT89" s="122"/>
      <c r="NU89" s="122"/>
      <c r="NV89" s="122"/>
      <c r="NW89" s="122"/>
      <c r="NX89" s="122"/>
      <c r="NY89" s="122"/>
      <c r="NZ89" s="122"/>
      <c r="OA89" s="81"/>
      <c r="OB89" s="122"/>
      <c r="OC89" s="122"/>
      <c r="OD89" s="122"/>
      <c r="OE89" s="122"/>
      <c r="OF89" s="122"/>
      <c r="OG89" s="122"/>
      <c r="OH89" s="122"/>
      <c r="OI89" s="122"/>
      <c r="OJ89" s="122"/>
      <c r="OK89" s="122"/>
      <c r="OL89" s="122"/>
      <c r="OM89" s="122"/>
      <c r="ON89" s="81"/>
      <c r="OO89" s="122"/>
      <c r="OP89" s="122"/>
      <c r="OQ89" s="122"/>
      <c r="OR89" s="122"/>
      <c r="OS89" s="122"/>
      <c r="OT89" s="122"/>
      <c r="OU89" s="122"/>
      <c r="OV89" s="122"/>
      <c r="OW89" s="122"/>
      <c r="OX89" s="122"/>
      <c r="OY89" s="122"/>
      <c r="OZ89" s="122"/>
      <c r="PA89" s="81"/>
      <c r="PB89" s="122"/>
      <c r="PC89" s="122"/>
      <c r="PD89" s="122"/>
      <c r="PE89" s="122"/>
      <c r="PF89" s="122"/>
      <c r="PG89" s="122"/>
      <c r="PH89" s="122"/>
      <c r="PI89" s="122"/>
      <c r="PJ89" s="122"/>
      <c r="PK89" s="122"/>
      <c r="PL89" s="122"/>
      <c r="PM89" s="122"/>
      <c r="PN89" s="81"/>
      <c r="PO89" s="122"/>
      <c r="PP89" s="122"/>
      <c r="PQ89" s="122"/>
      <c r="PR89" s="122"/>
      <c r="PS89" s="122"/>
      <c r="PT89" s="122"/>
      <c r="PU89" s="122"/>
      <c r="PV89" s="122"/>
      <c r="PW89" s="122"/>
      <c r="PX89" s="122"/>
      <c r="PY89" s="122"/>
      <c r="PZ89" s="122"/>
      <c r="QA89" s="81"/>
      <c r="QB89" s="122"/>
      <c r="QC89" s="122"/>
      <c r="QD89" s="122"/>
      <c r="QE89" s="122"/>
      <c r="QF89" s="122"/>
      <c r="QG89" s="122"/>
      <c r="QH89" s="122"/>
      <c r="QI89" s="122"/>
      <c r="QJ89" s="122"/>
      <c r="QK89" s="122"/>
      <c r="QL89" s="122"/>
      <c r="QM89" s="122"/>
      <c r="QN89" s="81"/>
      <c r="QO89" s="122"/>
      <c r="QP89" s="122"/>
      <c r="QQ89" s="122"/>
      <c r="QR89" s="122"/>
      <c r="QS89" s="122"/>
      <c r="QT89" s="122"/>
      <c r="QU89" s="122"/>
      <c r="QV89" s="122"/>
      <c r="QW89" s="122"/>
      <c r="QX89" s="122"/>
      <c r="QY89" s="122"/>
      <c r="QZ89" s="122"/>
      <c r="RA89" s="81"/>
      <c r="RB89" s="122"/>
      <c r="RC89" s="122"/>
      <c r="RD89" s="122"/>
      <c r="RE89" s="122"/>
      <c r="RF89" s="122"/>
      <c r="RG89" s="122"/>
      <c r="RH89" s="122"/>
      <c r="RI89" s="122"/>
      <c r="RJ89" s="122"/>
      <c r="RK89" s="122"/>
      <c r="RL89" s="122"/>
      <c r="RM89" s="122"/>
      <c r="RN89" s="81"/>
      <c r="RO89" s="122"/>
      <c r="RP89" s="122"/>
      <c r="RQ89" s="122"/>
      <c r="RR89" s="122"/>
      <c r="RS89" s="122"/>
      <c r="RT89" s="122"/>
      <c r="RU89" s="122"/>
      <c r="RV89" s="122"/>
      <c r="RW89" s="122"/>
      <c r="RX89" s="122"/>
      <c r="RY89" s="122"/>
      <c r="RZ89" s="122"/>
      <c r="SA89" s="81"/>
      <c r="SB89" s="122"/>
      <c r="SC89" s="122"/>
      <c r="SD89" s="122"/>
      <c r="SE89" s="122"/>
      <c r="SF89" s="122"/>
      <c r="SG89" s="122"/>
      <c r="SH89" s="122"/>
      <c r="SI89" s="122"/>
      <c r="SJ89" s="122"/>
      <c r="SK89" s="122"/>
      <c r="SL89" s="122"/>
      <c r="SM89" s="122"/>
      <c r="SN89" s="81"/>
      <c r="SO89" s="122"/>
      <c r="SP89" s="122"/>
      <c r="SQ89" s="122"/>
      <c r="SR89" s="122"/>
      <c r="SS89" s="122"/>
      <c r="ST89" s="122"/>
      <c r="SU89" s="122"/>
      <c r="SV89" s="122"/>
      <c r="SW89" s="122"/>
      <c r="SX89" s="122"/>
      <c r="SY89" s="122"/>
      <c r="SZ89" s="122"/>
      <c r="TA89" s="81"/>
      <c r="TB89" s="122"/>
      <c r="TC89" s="122"/>
      <c r="TD89" s="122"/>
      <c r="TE89" s="122"/>
      <c r="TF89" s="122"/>
      <c r="TG89" s="122"/>
      <c r="TH89" s="122"/>
      <c r="TI89" s="122"/>
      <c r="TJ89" s="122"/>
      <c r="TK89" s="122"/>
      <c r="TL89" s="122"/>
      <c r="TM89" s="122"/>
      <c r="TN89" s="81"/>
      <c r="TO89" s="122"/>
      <c r="TP89" s="122"/>
      <c r="TQ89" s="122"/>
      <c r="TR89" s="122"/>
      <c r="TS89" s="122"/>
      <c r="TT89" s="122"/>
      <c r="TU89" s="122"/>
      <c r="TV89" s="122"/>
      <c r="TW89" s="122"/>
      <c r="TX89" s="122"/>
      <c r="TY89" s="122"/>
      <c r="TZ89" s="122"/>
      <c r="UA89" s="81"/>
      <c r="UB89" s="122"/>
      <c r="UC89" s="122"/>
      <c r="UD89" s="122"/>
      <c r="UE89" s="122"/>
      <c r="UF89" s="122"/>
      <c r="UG89" s="122"/>
      <c r="UH89" s="122"/>
      <c r="UI89" s="122"/>
      <c r="UJ89" s="122"/>
      <c r="UK89" s="122"/>
      <c r="UL89" s="122"/>
      <c r="UM89" s="122"/>
      <c r="UN89" s="81"/>
      <c r="UO89" s="122"/>
      <c r="UP89" s="122"/>
      <c r="UQ89" s="122"/>
      <c r="UR89" s="122"/>
      <c r="US89" s="122"/>
      <c r="UT89" s="122"/>
      <c r="UU89" s="122"/>
      <c r="UV89" s="122"/>
      <c r="UW89" s="122"/>
      <c r="UX89" s="122"/>
      <c r="UY89" s="122"/>
      <c r="UZ89" s="122"/>
      <c r="VA89" s="81"/>
      <c r="VB89" s="122"/>
      <c r="VC89" s="122"/>
      <c r="VD89" s="122"/>
      <c r="VE89" s="122"/>
      <c r="VF89" s="122"/>
      <c r="VG89" s="122"/>
      <c r="VH89" s="122"/>
      <c r="VI89" s="122"/>
      <c r="VJ89" s="122"/>
      <c r="VK89" s="122"/>
      <c r="VL89" s="122"/>
      <c r="VM89" s="122"/>
      <c r="VN89" s="81"/>
      <c r="VO89" s="122"/>
      <c r="VP89" s="122"/>
      <c r="VQ89" s="122"/>
      <c r="VR89" s="122"/>
      <c r="VS89" s="122"/>
      <c r="VT89" s="122"/>
      <c r="VU89" s="122"/>
      <c r="VV89" s="122"/>
      <c r="VW89" s="122"/>
      <c r="VX89" s="122"/>
      <c r="VY89" s="122"/>
      <c r="VZ89" s="122"/>
      <c r="WA89" s="81"/>
      <c r="WB89" s="122"/>
      <c r="WC89" s="122"/>
      <c r="WD89" s="122"/>
      <c r="WE89" s="122"/>
      <c r="WF89" s="122"/>
      <c r="WG89" s="122"/>
      <c r="WH89" s="122"/>
      <c r="WI89" s="122"/>
      <c r="WJ89" s="122"/>
      <c r="WK89" s="122"/>
      <c r="WL89" s="122"/>
      <c r="WM89" s="122"/>
      <c r="WN89" s="81"/>
      <c r="WO89" s="122"/>
      <c r="WP89" s="122"/>
      <c r="WQ89" s="122"/>
      <c r="WR89" s="122"/>
      <c r="WS89" s="122"/>
      <c r="WT89" s="122"/>
      <c r="WU89" s="122"/>
      <c r="WV89" s="122"/>
      <c r="WW89" s="122"/>
      <c r="WX89" s="122"/>
      <c r="WY89" s="122"/>
      <c r="WZ89" s="122"/>
      <c r="XA89" s="81"/>
      <c r="XB89" s="122"/>
      <c r="XC89" s="122"/>
      <c r="XD89" s="122"/>
      <c r="XE89" s="122"/>
      <c r="XF89" s="122"/>
      <c r="XG89" s="122"/>
      <c r="XH89" s="122"/>
      <c r="XI89" s="122"/>
      <c r="XJ89" s="122"/>
      <c r="XK89" s="122"/>
      <c r="XL89" s="122"/>
      <c r="XM89" s="122"/>
      <c r="XN89" s="81"/>
      <c r="XO89" s="122"/>
      <c r="XP89" s="122"/>
      <c r="XQ89" s="122"/>
      <c r="XR89" s="122"/>
      <c r="XS89" s="122"/>
      <c r="XT89" s="122"/>
      <c r="XU89" s="122"/>
      <c r="XV89" s="122"/>
      <c r="XW89" s="122"/>
      <c r="XX89" s="122"/>
      <c r="XY89" s="122"/>
      <c r="XZ89" s="122"/>
      <c r="YA89" s="81"/>
      <c r="YB89" s="122"/>
      <c r="YC89" s="122"/>
      <c r="YD89" s="122"/>
      <c r="YE89" s="122"/>
      <c r="YF89" s="122"/>
      <c r="YG89" s="122"/>
      <c r="YH89" s="122"/>
      <c r="YI89" s="122"/>
      <c r="YJ89" s="122"/>
      <c r="YK89" s="122"/>
      <c r="YL89" s="122"/>
      <c r="YM89" s="122"/>
      <c r="YN89" s="81"/>
      <c r="YO89" s="122"/>
      <c r="YP89" s="122"/>
      <c r="YQ89" s="122"/>
      <c r="YR89" s="122"/>
      <c r="YS89" s="122"/>
      <c r="YT89" s="122"/>
      <c r="YU89" s="122"/>
      <c r="YV89" s="122"/>
      <c r="YW89" s="122"/>
      <c r="YX89" s="122"/>
      <c r="YY89" s="122"/>
      <c r="YZ89" s="122"/>
      <c r="ZA89" s="81"/>
      <c r="ZB89" s="122"/>
      <c r="ZC89" s="122"/>
      <c r="ZD89" s="122"/>
      <c r="ZE89" s="122"/>
      <c r="ZF89" s="122"/>
      <c r="ZG89" s="122"/>
      <c r="ZH89" s="122"/>
      <c r="ZI89" s="122"/>
      <c r="ZJ89" s="122"/>
      <c r="ZK89" s="122"/>
      <c r="ZL89" s="122"/>
      <c r="ZM89" s="122"/>
      <c r="ZN89" s="81"/>
      <c r="ZO89" s="122"/>
      <c r="ZP89" s="122"/>
      <c r="ZQ89" s="122"/>
      <c r="ZR89" s="122"/>
      <c r="ZS89" s="122"/>
      <c r="ZT89" s="122"/>
      <c r="ZU89" s="122"/>
      <c r="ZV89" s="122"/>
      <c r="ZW89" s="122"/>
      <c r="ZX89" s="122"/>
      <c r="ZY89" s="122"/>
      <c r="ZZ89" s="122"/>
      <c r="AAA89" s="81"/>
      <c r="AAB89" s="122"/>
      <c r="AAC89" s="122"/>
      <c r="AAD89" s="122"/>
      <c r="AAE89" s="122"/>
      <c r="AAF89" s="122"/>
      <c r="AAG89" s="122"/>
      <c r="AAH89" s="122"/>
      <c r="AAI89" s="122"/>
      <c r="AAJ89" s="122"/>
      <c r="AAK89" s="122"/>
      <c r="AAL89" s="122"/>
      <c r="AAM89" s="122"/>
      <c r="AAN89" s="81"/>
      <c r="AAO89" s="122"/>
      <c r="AAP89" s="122"/>
      <c r="AAQ89" s="122"/>
      <c r="AAR89" s="122"/>
      <c r="AAS89" s="122"/>
      <c r="AAT89" s="122"/>
      <c r="AAU89" s="122"/>
      <c r="AAV89" s="122"/>
      <c r="AAW89" s="122"/>
      <c r="AAX89" s="122"/>
      <c r="AAY89" s="122"/>
      <c r="AAZ89" s="122"/>
      <c r="ABA89" s="81"/>
      <c r="ABB89" s="122"/>
      <c r="ABC89" s="122"/>
      <c r="ABD89" s="122"/>
      <c r="ABE89" s="122"/>
      <c r="ABF89" s="122"/>
      <c r="ABG89" s="122"/>
      <c r="ABH89" s="122"/>
      <c r="ABI89" s="122"/>
      <c r="ABJ89" s="122"/>
      <c r="ABK89" s="122"/>
      <c r="ABL89" s="122"/>
      <c r="ABM89" s="122"/>
      <c r="ABN89" s="81"/>
      <c r="ABO89" s="122"/>
      <c r="ABP89" s="122"/>
      <c r="ABQ89" s="122"/>
      <c r="ABR89" s="122"/>
      <c r="ABS89" s="122"/>
      <c r="ABT89" s="122"/>
      <c r="ABU89" s="122"/>
      <c r="ABV89" s="122"/>
      <c r="ABW89" s="122"/>
      <c r="ABX89" s="122"/>
      <c r="ABY89" s="122"/>
      <c r="ABZ89" s="122"/>
      <c r="ACA89" s="81"/>
      <c r="ACB89" s="122"/>
      <c r="ACC89" s="122"/>
      <c r="ACD89" s="122"/>
      <c r="ACE89" s="122"/>
      <c r="ACF89" s="122"/>
      <c r="ACG89" s="122"/>
      <c r="ACH89" s="122"/>
      <c r="ACI89" s="122"/>
      <c r="ACJ89" s="122"/>
      <c r="ACK89" s="122"/>
      <c r="ACL89" s="122"/>
      <c r="ACM89" s="122"/>
      <c r="ACN89" s="81"/>
      <c r="ACO89" s="122"/>
      <c r="ACP89" s="122"/>
      <c r="ACQ89" s="122"/>
      <c r="ACR89" s="122"/>
      <c r="ACS89" s="122"/>
      <c r="ACT89" s="122"/>
      <c r="ACU89" s="122"/>
      <c r="ACV89" s="122"/>
      <c r="ACW89" s="122"/>
      <c r="ACX89" s="122"/>
      <c r="ACY89" s="122"/>
      <c r="ACZ89" s="122"/>
      <c r="ADA89" s="81"/>
      <c r="ADB89" s="122"/>
      <c r="ADC89" s="122"/>
      <c r="ADD89" s="122"/>
      <c r="ADE89" s="122"/>
      <c r="ADF89" s="122"/>
      <c r="ADG89" s="122"/>
      <c r="ADH89" s="122"/>
      <c r="ADI89" s="122"/>
      <c r="ADJ89" s="122"/>
      <c r="ADK89" s="122"/>
      <c r="ADL89" s="122"/>
      <c r="ADM89" s="122"/>
      <c r="ADN89" s="81"/>
      <c r="ADO89" s="122"/>
      <c r="ADP89" s="122"/>
      <c r="ADQ89" s="122"/>
      <c r="ADR89" s="122"/>
      <c r="ADS89" s="122"/>
      <c r="ADT89" s="122"/>
      <c r="ADU89" s="122"/>
      <c r="ADV89" s="122"/>
      <c r="ADW89" s="122"/>
      <c r="ADX89" s="122"/>
      <c r="ADY89" s="122"/>
      <c r="ADZ89" s="122"/>
      <c r="AEA89" s="81"/>
      <c r="AEB89" s="122"/>
      <c r="AEC89" s="122"/>
      <c r="AED89" s="122"/>
      <c r="AEE89" s="122"/>
      <c r="AEF89" s="122"/>
      <c r="AEG89" s="122"/>
      <c r="AEH89" s="122"/>
      <c r="AEI89" s="122"/>
      <c r="AEJ89" s="122"/>
      <c r="AEK89" s="122"/>
      <c r="AEL89" s="122"/>
      <c r="AEM89" s="122"/>
      <c r="AEN89" s="81"/>
    </row>
    <row r="90" spans="1:820">
      <c r="KO90" s="143"/>
      <c r="KP90" s="143"/>
      <c r="KQ90" s="143"/>
      <c r="KR90" s="143"/>
      <c r="KS90" s="143"/>
      <c r="KT90" s="143"/>
      <c r="KU90" s="143"/>
      <c r="KV90" s="143"/>
      <c r="KW90" s="143"/>
      <c r="KX90" s="143"/>
      <c r="KY90" s="143"/>
      <c r="KZ90" s="143"/>
      <c r="LB90" s="143"/>
      <c r="LC90" s="143"/>
      <c r="LD90" s="143"/>
      <c r="LE90" s="143"/>
      <c r="LF90" s="143"/>
      <c r="LG90" s="143"/>
      <c r="LH90" s="143"/>
      <c r="LI90" s="143"/>
      <c r="LJ90" s="143"/>
      <c r="LK90" s="143"/>
      <c r="LL90" s="143"/>
      <c r="LM90" s="143"/>
      <c r="LO90" s="143"/>
      <c r="LP90" s="143"/>
      <c r="LQ90" s="143"/>
      <c r="LR90" s="143"/>
      <c r="LS90" s="143"/>
      <c r="LT90" s="143"/>
      <c r="LU90" s="143"/>
      <c r="LV90" s="143"/>
      <c r="LW90" s="143"/>
      <c r="LX90" s="143"/>
      <c r="LY90" s="143"/>
      <c r="LZ90" s="143"/>
      <c r="MB90" s="143"/>
      <c r="MC90" s="143"/>
      <c r="MD90" s="143"/>
      <c r="ME90" s="143"/>
      <c r="MF90" s="143"/>
      <c r="MG90" s="143"/>
      <c r="MH90" s="143"/>
      <c r="MI90" s="143"/>
      <c r="MJ90" s="143"/>
      <c r="MK90" s="143"/>
      <c r="ML90" s="143"/>
      <c r="MM90" s="143"/>
      <c r="MO90" s="143"/>
      <c r="MP90" s="143"/>
      <c r="MQ90" s="143"/>
      <c r="MR90" s="143"/>
      <c r="MS90" s="143"/>
      <c r="MT90" s="143"/>
      <c r="MU90" s="143"/>
      <c r="MV90" s="143"/>
      <c r="MW90" s="143"/>
      <c r="MX90" s="143"/>
      <c r="MY90" s="143"/>
      <c r="MZ90" s="143"/>
      <c r="NB90" s="143"/>
      <c r="NC90" s="143"/>
      <c r="ND90" s="143"/>
      <c r="NE90" s="143"/>
      <c r="NF90" s="143"/>
      <c r="NG90" s="143"/>
      <c r="NH90" s="143"/>
      <c r="NI90" s="143"/>
      <c r="NJ90" s="143"/>
      <c r="NK90" s="143"/>
      <c r="NL90" s="143"/>
      <c r="NM90" s="143"/>
      <c r="NO90" s="143"/>
      <c r="NP90" s="143"/>
      <c r="NQ90" s="143"/>
      <c r="NR90" s="143"/>
      <c r="NS90" s="143"/>
      <c r="NT90" s="143"/>
      <c r="NU90" s="143"/>
      <c r="NV90" s="143"/>
      <c r="NW90" s="143"/>
      <c r="NX90" s="143"/>
      <c r="NY90" s="143"/>
      <c r="NZ90" s="143"/>
      <c r="OB90" s="143"/>
      <c r="OC90" s="143"/>
      <c r="OD90" s="143"/>
      <c r="OE90" s="143"/>
      <c r="OF90" s="143"/>
      <c r="OG90" s="143"/>
      <c r="OH90" s="143"/>
      <c r="OI90" s="143"/>
      <c r="OJ90" s="143"/>
      <c r="OK90" s="143"/>
      <c r="OL90" s="143"/>
      <c r="OM90" s="143"/>
      <c r="OO90" s="143"/>
      <c r="OP90" s="143"/>
      <c r="OQ90" s="143"/>
      <c r="OR90" s="143"/>
      <c r="OS90" s="143"/>
      <c r="OT90" s="143"/>
      <c r="OU90" s="143"/>
      <c r="OV90" s="143"/>
      <c r="OW90" s="143"/>
      <c r="OX90" s="143"/>
      <c r="OY90" s="143"/>
      <c r="OZ90" s="143"/>
      <c r="PB90" s="143"/>
      <c r="PC90" s="143"/>
      <c r="PD90" s="143"/>
      <c r="PE90" s="143"/>
      <c r="PF90" s="143"/>
      <c r="PG90" s="143"/>
      <c r="PH90" s="143"/>
      <c r="PI90" s="143"/>
      <c r="PJ90" s="143"/>
      <c r="PK90" s="143"/>
      <c r="PL90" s="143"/>
      <c r="PM90" s="143"/>
      <c r="PO90" s="143"/>
      <c r="PP90" s="143"/>
      <c r="PQ90" s="143"/>
      <c r="PR90" s="143"/>
      <c r="PS90" s="143"/>
      <c r="PT90" s="143"/>
      <c r="PU90" s="143"/>
      <c r="PV90" s="143"/>
      <c r="PW90" s="143"/>
      <c r="PX90" s="143"/>
      <c r="PY90" s="143"/>
      <c r="PZ90" s="143"/>
      <c r="QB90" s="143"/>
      <c r="QC90" s="143"/>
      <c r="QD90" s="143"/>
      <c r="QE90" s="143"/>
      <c r="QF90" s="143"/>
      <c r="QG90" s="143"/>
      <c r="QH90" s="143"/>
      <c r="QI90" s="143"/>
      <c r="QJ90" s="143"/>
      <c r="QK90" s="143"/>
      <c r="QL90" s="143"/>
      <c r="QM90" s="143"/>
      <c r="QO90" s="143"/>
      <c r="QP90" s="143"/>
      <c r="QQ90" s="143"/>
      <c r="QR90" s="143"/>
      <c r="QS90" s="143"/>
      <c r="QT90" s="143"/>
      <c r="QU90" s="143"/>
      <c r="QV90" s="143"/>
      <c r="QW90" s="143"/>
      <c r="QX90" s="143"/>
      <c r="QY90" s="143"/>
      <c r="QZ90" s="143"/>
      <c r="RB90" s="143"/>
      <c r="RC90" s="143"/>
      <c r="RD90" s="143"/>
      <c r="RE90" s="143"/>
      <c r="RF90" s="143"/>
      <c r="RG90" s="143"/>
      <c r="RH90" s="143"/>
      <c r="RI90" s="143"/>
      <c r="RJ90" s="143"/>
      <c r="RK90" s="143"/>
      <c r="RL90" s="143"/>
      <c r="RM90" s="143"/>
      <c r="RO90" s="143"/>
      <c r="RP90" s="143"/>
      <c r="RQ90" s="143"/>
      <c r="RR90" s="143"/>
      <c r="RS90" s="143"/>
      <c r="RT90" s="143"/>
      <c r="RU90" s="143"/>
      <c r="RV90" s="143"/>
      <c r="RW90" s="143"/>
      <c r="RX90" s="143"/>
      <c r="RY90" s="143"/>
      <c r="RZ90" s="143"/>
      <c r="SB90" s="143"/>
      <c r="SC90" s="143"/>
      <c r="SD90" s="143"/>
      <c r="SE90" s="143"/>
      <c r="SF90" s="143"/>
      <c r="SG90" s="143"/>
      <c r="SH90" s="143"/>
      <c r="SI90" s="143"/>
      <c r="SJ90" s="143"/>
      <c r="SK90" s="143"/>
      <c r="SL90" s="143"/>
      <c r="SM90" s="143"/>
      <c r="SO90" s="143"/>
      <c r="SP90" s="143"/>
      <c r="SQ90" s="143"/>
      <c r="SR90" s="143"/>
      <c r="SS90" s="143"/>
      <c r="ST90" s="143"/>
      <c r="SU90" s="143"/>
      <c r="SV90" s="143"/>
      <c r="SW90" s="143"/>
      <c r="SX90" s="143"/>
      <c r="SY90" s="143"/>
      <c r="SZ90" s="143"/>
      <c r="TB90" s="143"/>
      <c r="TC90" s="143"/>
      <c r="TD90" s="143"/>
      <c r="TE90" s="143"/>
      <c r="TF90" s="143"/>
      <c r="TG90" s="143"/>
      <c r="TH90" s="143"/>
      <c r="TI90" s="143"/>
      <c r="TJ90" s="143"/>
      <c r="TK90" s="143"/>
      <c r="TL90" s="143"/>
      <c r="TM90" s="143"/>
      <c r="TO90" s="143"/>
      <c r="TP90" s="143"/>
      <c r="TQ90" s="143"/>
      <c r="TR90" s="143"/>
      <c r="TS90" s="143"/>
      <c r="TT90" s="143"/>
      <c r="TU90" s="143"/>
      <c r="TV90" s="143"/>
      <c r="TW90" s="143"/>
      <c r="TX90" s="143"/>
      <c r="TY90" s="143"/>
      <c r="TZ90" s="143"/>
      <c r="UB90" s="143"/>
      <c r="UC90" s="143"/>
      <c r="UD90" s="143"/>
      <c r="UE90" s="143"/>
      <c r="UF90" s="143"/>
      <c r="UG90" s="143"/>
      <c r="UH90" s="143"/>
      <c r="UI90" s="143"/>
      <c r="UJ90" s="143"/>
      <c r="UK90" s="143"/>
      <c r="UL90" s="143"/>
      <c r="UM90" s="143"/>
      <c r="UO90" s="143"/>
      <c r="UP90" s="143"/>
      <c r="UQ90" s="143"/>
      <c r="UR90" s="143"/>
      <c r="US90" s="143"/>
      <c r="UT90" s="143"/>
      <c r="UU90" s="143"/>
      <c r="UV90" s="143"/>
      <c r="UW90" s="143"/>
      <c r="UX90" s="143"/>
      <c r="UY90" s="143"/>
      <c r="UZ90" s="143"/>
      <c r="VB90" s="143"/>
      <c r="VC90" s="143"/>
      <c r="VD90" s="143"/>
      <c r="VE90" s="143"/>
      <c r="VF90" s="143"/>
      <c r="VG90" s="143"/>
      <c r="VH90" s="143"/>
      <c r="VI90" s="143"/>
      <c r="VJ90" s="143"/>
      <c r="VK90" s="143"/>
      <c r="VL90" s="143"/>
      <c r="VM90" s="143"/>
      <c r="VO90" s="143"/>
      <c r="VP90" s="143"/>
      <c r="VQ90" s="143"/>
      <c r="VR90" s="143"/>
      <c r="VS90" s="143"/>
      <c r="VT90" s="143"/>
      <c r="VU90" s="143"/>
      <c r="VV90" s="143"/>
      <c r="VW90" s="143"/>
      <c r="VX90" s="143"/>
      <c r="VY90" s="143"/>
      <c r="VZ90" s="143"/>
      <c r="WB90" s="143"/>
      <c r="WC90" s="143"/>
      <c r="WD90" s="143"/>
      <c r="WE90" s="143"/>
      <c r="WF90" s="143"/>
      <c r="WG90" s="143"/>
      <c r="WH90" s="143"/>
      <c r="WI90" s="143"/>
      <c r="WJ90" s="143"/>
      <c r="WK90" s="143"/>
      <c r="WL90" s="143"/>
      <c r="WM90" s="143"/>
      <c r="WO90" s="143"/>
      <c r="WP90" s="143"/>
      <c r="WQ90" s="143"/>
      <c r="WR90" s="143"/>
      <c r="WS90" s="143"/>
      <c r="WT90" s="143"/>
      <c r="WU90" s="143"/>
      <c r="WV90" s="143"/>
      <c r="WW90" s="143"/>
      <c r="WX90" s="143"/>
      <c r="WY90" s="143"/>
      <c r="WZ90" s="143"/>
      <c r="XB90" s="143"/>
      <c r="XC90" s="143"/>
      <c r="XD90" s="143"/>
      <c r="XE90" s="143"/>
      <c r="XF90" s="143"/>
      <c r="XG90" s="143"/>
      <c r="XH90" s="143"/>
      <c r="XI90" s="143"/>
      <c r="XJ90" s="143"/>
      <c r="XK90" s="143"/>
      <c r="XL90" s="143"/>
      <c r="XM90" s="143"/>
      <c r="XO90" s="143"/>
      <c r="XP90" s="143"/>
      <c r="XQ90" s="143"/>
      <c r="XR90" s="143"/>
      <c r="XS90" s="143"/>
      <c r="XT90" s="143"/>
      <c r="XU90" s="143"/>
      <c r="XV90" s="143"/>
      <c r="XW90" s="143"/>
      <c r="XX90" s="143"/>
      <c r="XY90" s="143"/>
      <c r="XZ90" s="143"/>
      <c r="YB90" s="143"/>
      <c r="YC90" s="143"/>
      <c r="YD90" s="143"/>
      <c r="YE90" s="143"/>
      <c r="YF90" s="143"/>
      <c r="YG90" s="143"/>
      <c r="YH90" s="143"/>
      <c r="YI90" s="143"/>
      <c r="YJ90" s="143"/>
      <c r="YK90" s="143"/>
      <c r="YL90" s="143"/>
      <c r="YM90" s="143"/>
      <c r="YO90" s="143"/>
      <c r="YP90" s="143"/>
      <c r="YQ90" s="143"/>
      <c r="YR90" s="143"/>
      <c r="YS90" s="143"/>
      <c r="YT90" s="143"/>
      <c r="YU90" s="143"/>
      <c r="YV90" s="143"/>
      <c r="YW90" s="143"/>
      <c r="YX90" s="143"/>
      <c r="YY90" s="143"/>
      <c r="YZ90" s="143"/>
      <c r="ZB90" s="143"/>
      <c r="ZC90" s="143"/>
      <c r="ZD90" s="143"/>
      <c r="ZE90" s="143"/>
      <c r="ZF90" s="143"/>
      <c r="ZG90" s="143"/>
      <c r="ZH90" s="143"/>
      <c r="ZI90" s="143"/>
      <c r="ZJ90" s="143"/>
      <c r="ZK90" s="143"/>
      <c r="ZL90" s="143"/>
      <c r="ZM90" s="143"/>
      <c r="ZO90" s="143"/>
      <c r="ZP90" s="143"/>
      <c r="ZQ90" s="143"/>
      <c r="ZR90" s="143"/>
      <c r="ZS90" s="143"/>
      <c r="ZT90" s="143"/>
      <c r="ZU90" s="143"/>
      <c r="ZV90" s="143"/>
      <c r="ZW90" s="143"/>
      <c r="ZX90" s="143"/>
      <c r="ZY90" s="143"/>
      <c r="ZZ90" s="143"/>
      <c r="AAB90" s="143"/>
      <c r="AAC90" s="143"/>
      <c r="AAD90" s="143"/>
      <c r="AAE90" s="143"/>
      <c r="AAF90" s="143"/>
      <c r="AAG90" s="143"/>
      <c r="AAH90" s="143"/>
      <c r="AAI90" s="143"/>
      <c r="AAJ90" s="143"/>
      <c r="AAK90" s="143"/>
      <c r="AAL90" s="143"/>
      <c r="AAM90" s="143"/>
      <c r="AAO90" s="143"/>
      <c r="AAP90" s="143"/>
      <c r="AAQ90" s="143"/>
      <c r="AAR90" s="143"/>
      <c r="AAS90" s="143"/>
      <c r="AAT90" s="143"/>
      <c r="AAU90" s="143"/>
      <c r="AAV90" s="143"/>
      <c r="AAW90" s="143"/>
      <c r="AAX90" s="143"/>
      <c r="AAY90" s="143"/>
      <c r="AAZ90" s="143"/>
      <c r="ABB90" s="143"/>
      <c r="ABC90" s="143"/>
      <c r="ABD90" s="143"/>
      <c r="ABE90" s="143"/>
      <c r="ABF90" s="143"/>
      <c r="ABG90" s="143"/>
      <c r="ABH90" s="143"/>
      <c r="ABI90" s="143"/>
      <c r="ABJ90" s="143"/>
      <c r="ABK90" s="143"/>
      <c r="ABL90" s="143"/>
      <c r="ABM90" s="143"/>
      <c r="ABO90" s="143"/>
      <c r="ABP90" s="143"/>
      <c r="ABQ90" s="143"/>
      <c r="ABR90" s="143"/>
      <c r="ABS90" s="143"/>
      <c r="ABT90" s="143"/>
      <c r="ABU90" s="143"/>
      <c r="ABV90" s="143"/>
      <c r="ABW90" s="143"/>
      <c r="ABX90" s="143"/>
      <c r="ABY90" s="143"/>
      <c r="ABZ90" s="143"/>
      <c r="ACB90" s="143"/>
      <c r="ACC90" s="143"/>
      <c r="ACD90" s="143"/>
      <c r="ACE90" s="143"/>
      <c r="ACF90" s="143"/>
      <c r="ACG90" s="143"/>
      <c r="ACH90" s="143"/>
      <c r="ACI90" s="143"/>
      <c r="ACJ90" s="143"/>
      <c r="ACK90" s="143"/>
      <c r="ACL90" s="143"/>
      <c r="ACM90" s="143"/>
      <c r="ACO90" s="143"/>
      <c r="ACP90" s="143"/>
      <c r="ACQ90" s="143"/>
      <c r="ACR90" s="143"/>
      <c r="ACS90" s="143"/>
      <c r="ACT90" s="143"/>
      <c r="ACU90" s="143"/>
      <c r="ACV90" s="143"/>
      <c r="ACW90" s="143"/>
      <c r="ACX90" s="143"/>
      <c r="ACY90" s="143"/>
      <c r="ACZ90" s="143"/>
      <c r="ADB90" s="143"/>
      <c r="ADC90" s="143"/>
      <c r="ADD90" s="143"/>
      <c r="ADE90" s="143"/>
      <c r="ADF90" s="143"/>
      <c r="ADG90" s="143"/>
      <c r="ADH90" s="143"/>
      <c r="ADI90" s="143"/>
      <c r="ADJ90" s="143"/>
      <c r="ADK90" s="143"/>
      <c r="ADL90" s="143"/>
      <c r="ADM90" s="143"/>
      <c r="ADO90" s="143"/>
      <c r="ADP90" s="143"/>
      <c r="ADQ90" s="143"/>
      <c r="ADR90" s="143"/>
      <c r="ADS90" s="143"/>
      <c r="ADT90" s="143"/>
      <c r="ADU90" s="143"/>
      <c r="ADV90" s="143"/>
      <c r="ADW90" s="143"/>
      <c r="ADX90" s="143"/>
      <c r="ADY90" s="143"/>
      <c r="ADZ90" s="143"/>
      <c r="AEB90" s="143"/>
      <c r="AEC90" s="143"/>
      <c r="AED90" s="143"/>
      <c r="AEE90" s="143"/>
      <c r="AEF90" s="143"/>
      <c r="AEG90" s="143"/>
      <c r="AEH90" s="143"/>
      <c r="AEI90" s="143"/>
      <c r="AEJ90" s="143"/>
      <c r="AEK90" s="143"/>
      <c r="AEL90" s="143"/>
      <c r="AEM90" s="143"/>
    </row>
  </sheetData>
  <mergeCells count="63">
    <mergeCell ref="SO2:SZ2"/>
    <mergeCell ref="TB2:TM2"/>
    <mergeCell ref="TO2:TZ2"/>
    <mergeCell ref="QB2:QM2"/>
    <mergeCell ref="QO2:QZ2"/>
    <mergeCell ref="RB2:RM2"/>
    <mergeCell ref="RO2:RZ2"/>
    <mergeCell ref="SB2:SM2"/>
    <mergeCell ref="NO2:NZ2"/>
    <mergeCell ref="OB2:OM2"/>
    <mergeCell ref="OO2:OZ2"/>
    <mergeCell ref="PB2:PM2"/>
    <mergeCell ref="PO2:PZ2"/>
    <mergeCell ref="LB2:LM2"/>
    <mergeCell ref="LO2:LZ2"/>
    <mergeCell ref="MB2:MM2"/>
    <mergeCell ref="MO2:MZ2"/>
    <mergeCell ref="NB2:NM2"/>
    <mergeCell ref="EO2:EZ2"/>
    <mergeCell ref="B2:M2"/>
    <mergeCell ref="O2:Z2"/>
    <mergeCell ref="AB2:AM2"/>
    <mergeCell ref="AO2:AZ2"/>
    <mergeCell ref="BB2:BM2"/>
    <mergeCell ref="BO2:BZ2"/>
    <mergeCell ref="CB2:CM2"/>
    <mergeCell ref="CO2:CZ2"/>
    <mergeCell ref="DB2:DM2"/>
    <mergeCell ref="DO2:DZ2"/>
    <mergeCell ref="EB2:EM2"/>
    <mergeCell ref="FB2:FM2"/>
    <mergeCell ref="FO2:FZ2"/>
    <mergeCell ref="GB2:GM2"/>
    <mergeCell ref="GO2:GZ2"/>
    <mergeCell ref="HB2:HM2"/>
    <mergeCell ref="KO2:KZ2"/>
    <mergeCell ref="HO2:HZ2"/>
    <mergeCell ref="IB2:IM2"/>
    <mergeCell ref="IO2:IZ2"/>
    <mergeCell ref="JB2:JM2"/>
    <mergeCell ref="JO2:JZ2"/>
    <mergeCell ref="KB2:KM2"/>
    <mergeCell ref="UB2:UM2"/>
    <mergeCell ref="UO2:UZ2"/>
    <mergeCell ref="VB2:VM2"/>
    <mergeCell ref="VO2:VZ2"/>
    <mergeCell ref="WB2:WM2"/>
    <mergeCell ref="WO2:WZ2"/>
    <mergeCell ref="XB2:XM2"/>
    <mergeCell ref="XO2:XZ2"/>
    <mergeCell ref="YB2:YM2"/>
    <mergeCell ref="YO2:YZ2"/>
    <mergeCell ref="ZB2:ZM2"/>
    <mergeCell ref="ZO2:ZZ2"/>
    <mergeCell ref="AAB2:AAM2"/>
    <mergeCell ref="AAO2:AAZ2"/>
    <mergeCell ref="ABB2:ABM2"/>
    <mergeCell ref="ABO2:ABZ2"/>
    <mergeCell ref="ACB2:ACM2"/>
    <mergeCell ref="ACO2:ACZ2"/>
    <mergeCell ref="ADB2:ADM2"/>
    <mergeCell ref="AEB2:AEM2"/>
    <mergeCell ref="ADO2:ADZ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AEN19"/>
  <sheetViews>
    <sheetView zoomScale="90" zoomScaleNormal="90" workbookViewId="0">
      <selection activeCell="AES2" sqref="AES2"/>
    </sheetView>
  </sheetViews>
  <sheetFormatPr baseColWidth="10" defaultRowHeight="15"/>
  <cols>
    <col min="2" max="2" width="14.140625" style="25" bestFit="1" customWidth="1"/>
    <col min="3" max="3" width="4.85546875" style="25" bestFit="1" customWidth="1"/>
    <col min="4" max="4" width="5.5703125" style="25" bestFit="1" customWidth="1"/>
    <col min="5" max="5" width="4.85546875" style="25" bestFit="1" customWidth="1"/>
    <col min="6" max="8" width="5.140625" style="25" bestFit="1" customWidth="1"/>
    <col min="9" max="11" width="6" style="25" bestFit="1" customWidth="1"/>
    <col min="12" max="12" width="6.5703125" style="25" customWidth="1"/>
    <col min="13" max="13" width="6" style="25" bestFit="1" customWidth="1"/>
    <col min="15" max="15" width="14.140625" style="25" bestFit="1" customWidth="1"/>
    <col min="16" max="16" width="4.85546875" style="25" bestFit="1" customWidth="1"/>
    <col min="17" max="17" width="5.5703125" style="25" bestFit="1" customWidth="1"/>
    <col min="18" max="18" width="4.85546875" style="25" bestFit="1" customWidth="1"/>
    <col min="19" max="21" width="5.140625" style="25" bestFit="1" customWidth="1"/>
    <col min="22" max="24" width="6" style="25" bestFit="1" customWidth="1"/>
    <col min="25" max="25" width="6.5703125" style="25" bestFit="1" customWidth="1"/>
    <col min="26" max="26" width="6" style="25" bestFit="1" customWidth="1"/>
    <col min="28" max="28" width="14.140625" style="25" bestFit="1" customWidth="1"/>
    <col min="29" max="29" width="4.85546875" style="25" bestFit="1" customWidth="1"/>
    <col min="30" max="30" width="5.5703125" style="25" bestFit="1" customWidth="1"/>
    <col min="31" max="31" width="4.85546875" style="25" bestFit="1" customWidth="1"/>
    <col min="32" max="34" width="5.140625" style="25" bestFit="1" customWidth="1"/>
    <col min="35" max="37" width="6" style="25" bestFit="1" customWidth="1"/>
    <col min="38" max="38" width="6.5703125" style="25" bestFit="1" customWidth="1"/>
    <col min="39" max="39" width="6" style="25" bestFit="1" customWidth="1"/>
    <col min="41" max="41" width="14.140625" bestFit="1" customWidth="1"/>
    <col min="42" max="43" width="5.5703125" bestFit="1" customWidth="1"/>
    <col min="44" max="50" width="6" bestFit="1" customWidth="1"/>
    <col min="51" max="51" width="6.5703125" bestFit="1" customWidth="1"/>
    <col min="52" max="52" width="6" bestFit="1" customWidth="1"/>
    <col min="54" max="54" width="14.140625" bestFit="1" customWidth="1"/>
    <col min="55" max="63" width="6" bestFit="1" customWidth="1"/>
    <col min="64" max="64" width="6.5703125" bestFit="1" customWidth="1"/>
    <col min="65" max="65" width="6" bestFit="1" customWidth="1"/>
    <col min="67" max="67" width="14.140625" bestFit="1" customWidth="1"/>
    <col min="68" max="68" width="4.85546875" bestFit="1" customWidth="1"/>
    <col min="69" max="69" width="5.5703125" bestFit="1" customWidth="1"/>
    <col min="70" max="70" width="4.85546875" bestFit="1" customWidth="1"/>
    <col min="71" max="71" width="5.140625" bestFit="1" customWidth="1"/>
    <col min="72" max="76" width="6" customWidth="1"/>
    <col min="77" max="77" width="6.5703125" bestFit="1" customWidth="1"/>
    <col min="78" max="78" width="6" customWidth="1"/>
    <col min="80" max="80" width="14.140625" bestFit="1" customWidth="1"/>
    <col min="81" max="89" width="6" bestFit="1" customWidth="1"/>
    <col min="90" max="90" width="6.5703125" bestFit="1" customWidth="1"/>
    <col min="91" max="91" width="6" bestFit="1" customWidth="1"/>
    <col min="93" max="93" width="14.140625" bestFit="1" customWidth="1"/>
    <col min="94" max="102" width="6" bestFit="1" customWidth="1"/>
    <col min="103" max="103" width="6.5703125" bestFit="1" customWidth="1"/>
    <col min="104" max="104" width="6" bestFit="1" customWidth="1"/>
    <col min="106" max="106" width="14.140625" bestFit="1" customWidth="1"/>
    <col min="107" max="115" width="6" bestFit="1" customWidth="1"/>
    <col min="116" max="116" width="6.5703125" bestFit="1" customWidth="1"/>
    <col min="117" max="117" width="6" bestFit="1" customWidth="1"/>
    <col min="119" max="119" width="14.140625" bestFit="1" customWidth="1"/>
    <col min="120" max="128" width="6" bestFit="1" customWidth="1"/>
    <col min="129" max="129" width="6.5703125" bestFit="1" customWidth="1"/>
    <col min="130" max="130" width="6" bestFit="1" customWidth="1"/>
    <col min="132" max="132" width="14.140625" bestFit="1" customWidth="1"/>
    <col min="133" max="141" width="6" bestFit="1" customWidth="1"/>
    <col min="142" max="142" width="6.5703125" bestFit="1" customWidth="1"/>
    <col min="143" max="143" width="6" bestFit="1" customWidth="1"/>
    <col min="145" max="145" width="14.140625" bestFit="1" customWidth="1"/>
    <col min="146" max="154" width="6" bestFit="1" customWidth="1"/>
    <col min="155" max="155" width="6.5703125" bestFit="1" customWidth="1"/>
    <col min="156" max="156" width="6" bestFit="1" customWidth="1"/>
    <col min="158" max="158" width="14.140625" bestFit="1" customWidth="1"/>
    <col min="159" max="167" width="6" bestFit="1" customWidth="1"/>
    <col min="168" max="168" width="6.5703125" bestFit="1" customWidth="1"/>
    <col min="169" max="169" width="6" bestFit="1" customWidth="1"/>
    <col min="171" max="171" width="14.140625" bestFit="1" customWidth="1"/>
    <col min="172" max="172" width="4.85546875" bestFit="1" customWidth="1"/>
    <col min="173" max="180" width="6" bestFit="1" customWidth="1"/>
    <col min="181" max="181" width="6.5703125" bestFit="1" customWidth="1"/>
    <col min="182" max="182" width="6" bestFit="1" customWidth="1"/>
    <col min="184" max="184" width="14.140625" bestFit="1" customWidth="1"/>
    <col min="185" max="185" width="4.85546875" bestFit="1" customWidth="1"/>
    <col min="186" max="193" width="6" bestFit="1" customWidth="1"/>
    <col min="194" max="194" width="6.5703125" bestFit="1" customWidth="1"/>
    <col min="195" max="195" width="6" bestFit="1" customWidth="1"/>
    <col min="197" max="197" width="14.140625" bestFit="1" customWidth="1"/>
    <col min="198" max="198" width="4.85546875" bestFit="1" customWidth="1"/>
    <col min="199" max="199" width="5.5703125" bestFit="1" customWidth="1"/>
    <col min="200" max="200" width="4.85546875" bestFit="1" customWidth="1"/>
    <col min="201" max="206" width="5.140625" bestFit="1" customWidth="1"/>
    <col min="207" max="207" width="6.5703125" bestFit="1" customWidth="1"/>
    <col min="208" max="208" width="5.140625" bestFit="1" customWidth="1"/>
    <col min="210" max="210" width="14.140625" bestFit="1" customWidth="1"/>
    <col min="211" max="211" width="4.85546875" bestFit="1" customWidth="1"/>
    <col min="212" max="212" width="5.5703125" bestFit="1" customWidth="1"/>
    <col min="213" max="213" width="4.85546875" bestFit="1" customWidth="1"/>
    <col min="214" max="219" width="5.140625" bestFit="1" customWidth="1"/>
    <col min="220" max="220" width="6.5703125" bestFit="1" customWidth="1"/>
    <col min="221" max="221" width="5.140625" bestFit="1" customWidth="1"/>
    <col min="223" max="223" width="14.140625" bestFit="1" customWidth="1"/>
    <col min="224" max="224" width="4.85546875" bestFit="1" customWidth="1"/>
    <col min="225" max="225" width="5.5703125" bestFit="1" customWidth="1"/>
    <col min="226" max="226" width="4.85546875" bestFit="1" customWidth="1"/>
    <col min="227" max="232" width="5.140625" bestFit="1" customWidth="1"/>
    <col min="233" max="233" width="6.5703125" bestFit="1" customWidth="1"/>
    <col min="234" max="234" width="5.140625" bestFit="1" customWidth="1"/>
    <col min="236" max="236" width="14.140625" bestFit="1" customWidth="1"/>
    <col min="237" max="237" width="4.85546875" bestFit="1" customWidth="1"/>
    <col min="238" max="238" width="5.5703125" bestFit="1" customWidth="1"/>
    <col min="239" max="239" width="4.85546875" bestFit="1" customWidth="1"/>
    <col min="240" max="245" width="5.140625" bestFit="1" customWidth="1"/>
    <col min="246" max="246" width="6.5703125" bestFit="1" customWidth="1"/>
    <col min="247" max="247" width="5.140625" bestFit="1" customWidth="1"/>
    <col min="249" max="249" width="14.140625" bestFit="1" customWidth="1"/>
    <col min="250" max="250" width="4.85546875" bestFit="1" customWidth="1"/>
    <col min="251" max="251" width="5.5703125" bestFit="1" customWidth="1"/>
    <col min="252" max="252" width="4.85546875" bestFit="1" customWidth="1"/>
    <col min="253" max="258" width="5.140625" bestFit="1" customWidth="1"/>
    <col min="259" max="259" width="6.5703125" bestFit="1" customWidth="1"/>
    <col min="260" max="260" width="5.140625" bestFit="1" customWidth="1"/>
    <col min="262" max="262" width="14.140625" bestFit="1" customWidth="1"/>
    <col min="263" max="263" width="4.85546875" bestFit="1" customWidth="1"/>
    <col min="264" max="264" width="5.5703125" bestFit="1" customWidth="1"/>
    <col min="265" max="265" width="4.85546875" bestFit="1" customWidth="1"/>
    <col min="266" max="271" width="5.140625" bestFit="1" customWidth="1"/>
    <col min="272" max="272" width="6.5703125" bestFit="1" customWidth="1"/>
    <col min="273" max="273" width="5.140625" bestFit="1" customWidth="1"/>
    <col min="275" max="275" width="14.140625" bestFit="1" customWidth="1"/>
    <col min="276" max="276" width="6.7109375" bestFit="1" customWidth="1"/>
    <col min="277" max="280" width="5.5703125" bestFit="1" customWidth="1"/>
    <col min="281" max="282" width="5.140625" bestFit="1" customWidth="1"/>
    <col min="283" max="284" width="6" bestFit="1" customWidth="1"/>
    <col min="285" max="285" width="6.5703125" bestFit="1" customWidth="1"/>
    <col min="286" max="286" width="6" bestFit="1" customWidth="1"/>
    <col min="288" max="288" width="14.140625" bestFit="1" customWidth="1"/>
    <col min="289" max="293" width="5.5703125" bestFit="1" customWidth="1"/>
    <col min="294" max="295" width="5.140625" bestFit="1" customWidth="1"/>
    <col min="296" max="297" width="6" bestFit="1" customWidth="1"/>
    <col min="298" max="298" width="6.5703125" bestFit="1" customWidth="1"/>
    <col min="299" max="299" width="6" bestFit="1" customWidth="1"/>
    <col min="301" max="301" width="14.140625" bestFit="1" customWidth="1"/>
    <col min="302" max="302" width="6.7109375" bestFit="1" customWidth="1"/>
    <col min="303" max="306" width="5.5703125" bestFit="1" customWidth="1"/>
    <col min="307" max="309" width="5.140625" bestFit="1" customWidth="1"/>
    <col min="310" max="310" width="6" bestFit="1" customWidth="1"/>
    <col min="311" max="311" width="6.5703125" bestFit="1" customWidth="1"/>
    <col min="312" max="312" width="6" bestFit="1" customWidth="1"/>
    <col min="314" max="314" width="14.140625" bestFit="1" customWidth="1"/>
    <col min="315" max="318" width="6.7109375" bestFit="1" customWidth="1"/>
    <col min="319" max="323" width="6" bestFit="1" customWidth="1"/>
    <col min="324" max="324" width="6.5703125" bestFit="1" customWidth="1"/>
    <col min="325" max="325" width="6" bestFit="1" customWidth="1"/>
    <col min="327" max="327" width="14.140625" bestFit="1" customWidth="1"/>
    <col min="328" max="331" width="6.7109375" bestFit="1" customWidth="1"/>
    <col min="332" max="332" width="5.5703125" bestFit="1" customWidth="1"/>
    <col min="333" max="336" width="6" bestFit="1" customWidth="1"/>
    <col min="337" max="337" width="6.5703125" bestFit="1" customWidth="1"/>
    <col min="338" max="338" width="6" bestFit="1" customWidth="1"/>
    <col min="340" max="340" width="14.140625" bestFit="1" customWidth="1"/>
    <col min="341" max="344" width="6.7109375" bestFit="1" customWidth="1"/>
    <col min="345" max="345" width="5.5703125" bestFit="1" customWidth="1"/>
    <col min="346" max="346" width="5.140625" bestFit="1" customWidth="1"/>
    <col min="347" max="349" width="6" bestFit="1" customWidth="1"/>
    <col min="350" max="350" width="6.5703125" bestFit="1" customWidth="1"/>
    <col min="351" max="351" width="6" bestFit="1" customWidth="1"/>
    <col min="353" max="353" width="14.140625" bestFit="1" customWidth="1"/>
    <col min="354" max="364" width="6.5703125" customWidth="1"/>
    <col min="366" max="366" width="14.140625" bestFit="1" customWidth="1"/>
    <col min="367" max="370" width="6.7109375" bestFit="1" customWidth="1"/>
    <col min="371" max="375" width="6" bestFit="1" customWidth="1"/>
    <col min="376" max="376" width="6.5703125" bestFit="1" customWidth="1"/>
    <col min="377" max="377" width="6" bestFit="1" customWidth="1"/>
    <col min="379" max="379" width="14.140625" bestFit="1" customWidth="1"/>
    <col min="380" max="383" width="6.7109375" bestFit="1" customWidth="1"/>
    <col min="384" max="388" width="6" bestFit="1" customWidth="1"/>
    <col min="389" max="389" width="6.5703125" bestFit="1" customWidth="1"/>
    <col min="390" max="390" width="6" bestFit="1" customWidth="1"/>
    <col min="392" max="392" width="14.140625" bestFit="1" customWidth="1"/>
    <col min="393" max="401" width="6" bestFit="1" customWidth="1"/>
    <col min="402" max="402" width="6.5703125" bestFit="1" customWidth="1"/>
    <col min="403" max="403" width="6" bestFit="1" customWidth="1"/>
    <col min="405" max="405" width="14.140625" bestFit="1" customWidth="1"/>
    <col min="406" max="414" width="6" bestFit="1" customWidth="1"/>
    <col min="415" max="415" width="6.5703125" bestFit="1" customWidth="1"/>
    <col min="416" max="416" width="6" bestFit="1" customWidth="1"/>
    <col min="418" max="418" width="14.140625" bestFit="1" customWidth="1"/>
    <col min="419" max="427" width="6" bestFit="1" customWidth="1"/>
    <col min="428" max="428" width="6.5703125" bestFit="1" customWidth="1"/>
    <col min="429" max="429" width="6" bestFit="1" customWidth="1"/>
    <col min="431" max="431" width="14.140625" bestFit="1" customWidth="1"/>
    <col min="432" max="442" width="6.140625" customWidth="1"/>
    <col min="444" max="444" width="14.140625" bestFit="1" customWidth="1"/>
    <col min="445" max="445" width="4.85546875" bestFit="1" customWidth="1"/>
    <col min="446" max="446" width="5.5703125" bestFit="1" customWidth="1"/>
    <col min="447" max="447" width="4.85546875" bestFit="1" customWidth="1"/>
    <col min="448" max="448" width="5.140625" bestFit="1" customWidth="1"/>
    <col min="449" max="453" width="6" bestFit="1" customWidth="1"/>
    <col min="454" max="454" width="6.5703125" bestFit="1" customWidth="1"/>
    <col min="455" max="455" width="6" bestFit="1" customWidth="1"/>
    <col min="457" max="457" width="14.140625" bestFit="1" customWidth="1"/>
    <col min="458" max="458" width="4.85546875" bestFit="1" customWidth="1"/>
    <col min="459" max="459" width="5.5703125" bestFit="1" customWidth="1"/>
    <col min="460" max="466" width="6" bestFit="1" customWidth="1"/>
    <col min="467" max="467" width="6.5703125" bestFit="1" customWidth="1"/>
    <col min="468" max="468" width="6" bestFit="1" customWidth="1"/>
    <col min="470" max="470" width="14.140625" bestFit="1" customWidth="1"/>
    <col min="471" max="481" width="6.28515625" customWidth="1"/>
    <col min="483" max="483" width="14.140625" bestFit="1" customWidth="1"/>
    <col min="484" max="484" width="4.85546875" bestFit="1" customWidth="1"/>
    <col min="485" max="485" width="5.5703125" bestFit="1" customWidth="1"/>
    <col min="486" max="486" width="4.85546875" bestFit="1" customWidth="1"/>
    <col min="487" max="492" width="5.140625" bestFit="1" customWidth="1"/>
    <col min="493" max="493" width="6.5703125" bestFit="1" customWidth="1"/>
    <col min="494" max="494" width="5.140625" bestFit="1" customWidth="1"/>
    <col min="496" max="496" width="14.140625" bestFit="1" customWidth="1"/>
    <col min="497" max="497" width="4.85546875" bestFit="1" customWidth="1"/>
    <col min="498" max="498" width="5.5703125" bestFit="1" customWidth="1"/>
    <col min="499" max="499" width="4.85546875" bestFit="1" customWidth="1"/>
    <col min="500" max="505" width="5.140625" bestFit="1" customWidth="1"/>
    <col min="506" max="506" width="6.5703125" bestFit="1" customWidth="1"/>
    <col min="507" max="507" width="5.140625" bestFit="1" customWidth="1"/>
    <col min="509" max="509" width="14.140625" bestFit="1" customWidth="1"/>
    <col min="510" max="520" width="6.5703125" customWidth="1"/>
    <col min="522" max="522" width="14.140625" bestFit="1" customWidth="1"/>
    <col min="523" max="523" width="4.85546875" bestFit="1" customWidth="1"/>
    <col min="524" max="524" width="5.5703125" bestFit="1" customWidth="1"/>
    <col min="525" max="525" width="4.85546875" bestFit="1" customWidth="1"/>
    <col min="526" max="531" width="5.140625" bestFit="1" customWidth="1"/>
    <col min="532" max="532" width="6.5703125" bestFit="1" customWidth="1"/>
    <col min="533" max="533" width="5.140625" bestFit="1" customWidth="1"/>
    <col min="535" max="535" width="14.140625" bestFit="1" customWidth="1"/>
    <col min="536" max="536" width="4.85546875" bestFit="1" customWidth="1"/>
    <col min="537" max="537" width="5.5703125" bestFit="1" customWidth="1"/>
    <col min="538" max="538" width="4.85546875" bestFit="1" customWidth="1"/>
    <col min="539" max="544" width="5.140625" bestFit="1" customWidth="1"/>
    <col min="545" max="545" width="6.5703125" bestFit="1" customWidth="1"/>
    <col min="546" max="546" width="5.140625" bestFit="1" customWidth="1"/>
    <col min="548" max="548" width="14.140625" bestFit="1" customWidth="1"/>
    <col min="549" max="559" width="6.5703125" customWidth="1"/>
    <col min="561" max="561" width="14.140625" bestFit="1" customWidth="1"/>
    <col min="562" max="562" width="7.85546875" bestFit="1" customWidth="1"/>
    <col min="563" max="572" width="6.5703125" customWidth="1"/>
    <col min="574" max="574" width="14.140625" bestFit="1" customWidth="1"/>
    <col min="575" max="575" width="7.85546875" bestFit="1" customWidth="1"/>
    <col min="576" max="585" width="6.5703125" customWidth="1"/>
    <col min="587" max="587" width="14.140625" bestFit="1" customWidth="1"/>
    <col min="588" max="598" width="6.5703125" customWidth="1"/>
    <col min="600" max="600" width="14.140625" bestFit="1" customWidth="1"/>
    <col min="601" max="611" width="6.5703125" customWidth="1"/>
    <col min="613" max="613" width="14.140625" bestFit="1" customWidth="1"/>
    <col min="614" max="624" width="6.5703125" customWidth="1"/>
    <col min="626" max="626" width="14.140625" bestFit="1" customWidth="1"/>
    <col min="627" max="637" width="7" customWidth="1"/>
    <col min="639" max="639" width="14.140625" bestFit="1" customWidth="1"/>
    <col min="640" max="650" width="6.85546875" customWidth="1"/>
    <col min="652" max="652" width="14.140625" bestFit="1" customWidth="1"/>
    <col min="653" max="663" width="6.85546875" customWidth="1"/>
    <col min="665" max="665" width="14.140625" bestFit="1" customWidth="1"/>
    <col min="666" max="676" width="7" customWidth="1"/>
    <col min="678" max="678" width="14.140625" bestFit="1" customWidth="1"/>
    <col min="679" max="689" width="7" customWidth="1"/>
    <col min="691" max="691" width="14.140625" bestFit="1" customWidth="1"/>
    <col min="692" max="702" width="7" customWidth="1"/>
    <col min="704" max="704" width="14.140625" bestFit="1" customWidth="1"/>
    <col min="705" max="715" width="7" customWidth="1"/>
    <col min="717" max="717" width="14.140625" bestFit="1" customWidth="1"/>
    <col min="718" max="728" width="7" customWidth="1"/>
    <col min="730" max="730" width="14.140625" bestFit="1" customWidth="1"/>
    <col min="731" max="741" width="7" customWidth="1"/>
    <col min="743" max="743" width="14.140625" bestFit="1" customWidth="1"/>
    <col min="744" max="754" width="6.5703125" customWidth="1"/>
    <col min="756" max="756" width="14.140625" bestFit="1" customWidth="1"/>
    <col min="757" max="767" width="7" customWidth="1"/>
    <col min="769" max="769" width="14.140625" bestFit="1" customWidth="1"/>
    <col min="770" max="780" width="7" customWidth="1"/>
    <col min="782" max="782" width="14.140625" bestFit="1" customWidth="1"/>
    <col min="783" max="793" width="6.5703125" customWidth="1"/>
    <col min="795" max="795" width="14.140625" bestFit="1" customWidth="1"/>
    <col min="796" max="806" width="6.5703125" customWidth="1"/>
    <col min="808" max="808" width="14.140625" bestFit="1" customWidth="1"/>
    <col min="809" max="819" width="6.5703125" customWidth="1"/>
  </cols>
  <sheetData>
    <row r="1" spans="1:820">
      <c r="A1" s="163"/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163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163"/>
      <c r="AB1" s="75"/>
      <c r="AC1" s="75"/>
      <c r="AD1" s="75"/>
      <c r="AE1" s="75"/>
      <c r="AF1" s="75"/>
      <c r="AG1" s="75"/>
      <c r="AH1" s="75"/>
      <c r="AI1" s="75"/>
      <c r="AJ1" s="75"/>
      <c r="AK1" s="75"/>
      <c r="AL1" s="75"/>
      <c r="AM1" s="75"/>
      <c r="AN1" s="163"/>
      <c r="AO1" s="163"/>
      <c r="AP1" s="163"/>
      <c r="AQ1" s="163"/>
      <c r="AR1" s="163"/>
      <c r="AS1" s="163"/>
      <c r="AT1" s="163"/>
      <c r="AU1" s="163"/>
      <c r="AV1" s="163"/>
      <c r="AW1" s="163"/>
      <c r="AX1" s="163"/>
      <c r="AY1" s="163"/>
      <c r="AZ1" s="163"/>
      <c r="BA1" s="163"/>
      <c r="BB1" s="163"/>
      <c r="BC1" s="163"/>
      <c r="BD1" s="163"/>
      <c r="BE1" s="163"/>
      <c r="BF1" s="163"/>
      <c r="BG1" s="163"/>
      <c r="BH1" s="163"/>
      <c r="BI1" s="163"/>
      <c r="BJ1" s="163"/>
      <c r="BK1" s="163"/>
      <c r="BL1" s="163"/>
      <c r="BM1" s="163"/>
      <c r="BN1" s="163"/>
      <c r="BO1" s="163"/>
      <c r="BP1" s="163"/>
      <c r="BQ1" s="163"/>
      <c r="BR1" s="163"/>
      <c r="BS1" s="163"/>
      <c r="BT1" s="163"/>
      <c r="BU1" s="163"/>
      <c r="BV1" s="163"/>
      <c r="BW1" s="163"/>
      <c r="BX1" s="163"/>
      <c r="BY1" s="163"/>
      <c r="BZ1" s="163"/>
      <c r="CA1" s="163"/>
      <c r="CB1" s="163"/>
      <c r="CC1" s="163"/>
      <c r="CD1" s="163"/>
      <c r="CE1" s="163"/>
      <c r="CF1" s="163"/>
      <c r="CG1" s="163"/>
      <c r="CH1" s="163"/>
      <c r="CI1" s="163"/>
      <c r="CJ1" s="163"/>
      <c r="CK1" s="163"/>
      <c r="CL1" s="163"/>
      <c r="CM1" s="163"/>
      <c r="CN1" s="163"/>
      <c r="CO1" s="163"/>
      <c r="CP1" s="163"/>
      <c r="CQ1" s="163"/>
      <c r="CR1" s="163"/>
      <c r="CS1" s="163"/>
      <c r="CT1" s="163"/>
      <c r="CU1" s="163"/>
      <c r="CV1" s="163"/>
      <c r="CW1" s="163"/>
      <c r="CX1" s="163"/>
      <c r="CY1" s="163"/>
      <c r="CZ1" s="163"/>
      <c r="DA1" s="163"/>
      <c r="DB1" s="163"/>
      <c r="DC1" s="163"/>
      <c r="DD1" s="163"/>
      <c r="DE1" s="163"/>
      <c r="DF1" s="163"/>
      <c r="DG1" s="163"/>
      <c r="DH1" s="163"/>
      <c r="DI1" s="163"/>
      <c r="DJ1" s="163"/>
      <c r="DK1" s="163"/>
      <c r="DL1" s="163"/>
      <c r="DM1" s="163"/>
      <c r="DN1" s="163"/>
      <c r="DO1" s="163"/>
      <c r="DP1" s="163"/>
      <c r="DQ1" s="163"/>
      <c r="DR1" s="163"/>
      <c r="DS1" s="163"/>
      <c r="DT1" s="163"/>
      <c r="DU1" s="163"/>
      <c r="DV1" s="163"/>
      <c r="DW1" s="163"/>
      <c r="DX1" s="163"/>
      <c r="DY1" s="163"/>
      <c r="DZ1" s="163"/>
      <c r="EA1" s="163"/>
      <c r="EB1" s="163"/>
      <c r="EC1" s="163"/>
      <c r="ED1" s="163"/>
      <c r="EE1" s="163"/>
      <c r="EF1" s="163"/>
      <c r="EG1" s="163"/>
      <c r="EH1" s="163"/>
      <c r="EI1" s="163"/>
      <c r="EJ1" s="163"/>
      <c r="EK1" s="163"/>
      <c r="EL1" s="163"/>
      <c r="EM1" s="163"/>
      <c r="EN1" s="163"/>
      <c r="EO1" s="163"/>
      <c r="EP1" s="163"/>
      <c r="EQ1" s="163"/>
      <c r="ER1" s="163"/>
      <c r="ES1" s="163"/>
      <c r="ET1" s="163"/>
      <c r="EU1" s="163"/>
      <c r="EV1" s="163"/>
      <c r="EW1" s="163"/>
      <c r="EX1" s="163"/>
      <c r="EY1" s="163"/>
      <c r="EZ1" s="163"/>
      <c r="FA1" s="163"/>
      <c r="FB1" s="163"/>
      <c r="FC1" s="163"/>
      <c r="FD1" s="163"/>
      <c r="FE1" s="163"/>
      <c r="FF1" s="163"/>
      <c r="FG1" s="163"/>
      <c r="FH1" s="163"/>
      <c r="FI1" s="163"/>
      <c r="FJ1" s="163"/>
      <c r="FK1" s="163"/>
      <c r="FL1" s="163"/>
      <c r="FM1" s="163"/>
      <c r="FN1" s="163"/>
      <c r="FO1" s="163"/>
      <c r="FP1" s="163"/>
      <c r="FQ1" s="163"/>
      <c r="FR1" s="163"/>
      <c r="FS1" s="163"/>
      <c r="FT1" s="163"/>
      <c r="FU1" s="163"/>
      <c r="FV1" s="163"/>
      <c r="FW1" s="163"/>
      <c r="FX1" s="163"/>
      <c r="FY1" s="163"/>
      <c r="FZ1" s="163"/>
      <c r="GA1" s="163"/>
      <c r="GB1" s="163"/>
      <c r="GC1" s="163"/>
      <c r="GD1" s="163"/>
      <c r="GE1" s="163"/>
      <c r="GF1" s="163"/>
      <c r="GG1" s="163"/>
      <c r="GH1" s="163"/>
      <c r="GI1" s="163"/>
      <c r="GJ1" s="163"/>
      <c r="GK1" s="163"/>
      <c r="GL1" s="163"/>
      <c r="GM1" s="163"/>
      <c r="GN1" s="163"/>
      <c r="GO1" s="163"/>
      <c r="GP1" s="163"/>
      <c r="GQ1" s="163"/>
      <c r="GR1" s="163"/>
      <c r="GS1" s="163"/>
      <c r="GT1" s="163"/>
      <c r="GU1" s="163"/>
      <c r="GV1" s="163"/>
      <c r="GW1" s="163"/>
      <c r="GX1" s="163"/>
      <c r="GY1" s="163"/>
      <c r="GZ1" s="163"/>
      <c r="HA1" s="163"/>
      <c r="HB1" s="163"/>
      <c r="HC1" s="163"/>
      <c r="HD1" s="163"/>
      <c r="HE1" s="163"/>
      <c r="HF1" s="163"/>
      <c r="HG1" s="163"/>
      <c r="HH1" s="163"/>
      <c r="HI1" s="163"/>
      <c r="HJ1" s="163"/>
      <c r="HK1" s="163"/>
      <c r="HL1" s="163"/>
      <c r="HM1" s="163"/>
      <c r="HN1" s="163"/>
      <c r="HO1" s="163"/>
      <c r="HP1" s="163"/>
      <c r="HQ1" s="163"/>
      <c r="HR1" s="163"/>
      <c r="HS1" s="163"/>
      <c r="HT1" s="163"/>
      <c r="HU1" s="163"/>
      <c r="HV1" s="163"/>
      <c r="HW1" s="163"/>
      <c r="HX1" s="163"/>
      <c r="HY1" s="163"/>
      <c r="HZ1" s="163"/>
      <c r="IA1" s="163"/>
      <c r="IB1" s="163"/>
      <c r="IC1" s="163"/>
      <c r="ID1" s="163"/>
      <c r="IE1" s="163"/>
      <c r="IF1" s="163"/>
      <c r="IG1" s="163"/>
      <c r="IH1" s="163"/>
      <c r="II1" s="163"/>
      <c r="IJ1" s="163"/>
      <c r="IK1" s="163"/>
      <c r="IL1" s="163"/>
      <c r="IM1" s="163"/>
      <c r="IN1" s="163"/>
      <c r="IO1" s="163"/>
      <c r="IP1" s="163"/>
      <c r="IQ1" s="163"/>
      <c r="IR1" s="163"/>
      <c r="IS1" s="163"/>
      <c r="IT1" s="163"/>
      <c r="IU1" s="163"/>
      <c r="IV1" s="163"/>
      <c r="IW1" s="163"/>
      <c r="IX1" s="163"/>
      <c r="IY1" s="163"/>
      <c r="IZ1" s="163"/>
      <c r="JA1" s="163"/>
      <c r="JB1" s="163"/>
      <c r="JC1" s="163"/>
      <c r="JD1" s="163"/>
      <c r="JE1" s="163"/>
      <c r="JF1" s="163"/>
      <c r="JG1" s="163"/>
      <c r="JH1" s="163"/>
      <c r="JI1" s="163"/>
      <c r="JJ1" s="163"/>
      <c r="JK1" s="163"/>
      <c r="JL1" s="163"/>
      <c r="JM1" s="163"/>
      <c r="JN1" s="163"/>
      <c r="JO1" s="163"/>
      <c r="JP1" s="163"/>
      <c r="JQ1" s="163"/>
      <c r="JR1" s="163"/>
      <c r="JS1" s="163"/>
      <c r="JT1" s="163"/>
      <c r="JU1" s="163"/>
      <c r="JV1" s="163"/>
      <c r="JW1" s="163"/>
      <c r="JX1" s="163"/>
      <c r="JY1" s="163"/>
      <c r="JZ1" s="163"/>
      <c r="KA1" s="163"/>
      <c r="KB1" s="163"/>
      <c r="KC1" s="163"/>
      <c r="KD1" s="163"/>
      <c r="KE1" s="163"/>
      <c r="KF1" s="163"/>
      <c r="KG1" s="163"/>
      <c r="KH1" s="163"/>
      <c r="KI1" s="163"/>
      <c r="KJ1" s="163"/>
      <c r="KK1" s="163"/>
      <c r="KL1" s="163"/>
      <c r="KM1" s="163"/>
      <c r="KN1" s="163"/>
      <c r="KO1" s="163"/>
      <c r="KP1" s="163"/>
      <c r="KQ1" s="163"/>
      <c r="KR1" s="163"/>
      <c r="KS1" s="163"/>
      <c r="KT1" s="163"/>
      <c r="KU1" s="163"/>
      <c r="KV1" s="163"/>
      <c r="KW1" s="163"/>
      <c r="KX1" s="163"/>
      <c r="KY1" s="163"/>
      <c r="KZ1" s="163"/>
      <c r="LA1" s="163"/>
      <c r="LB1" s="163"/>
      <c r="LC1" s="163"/>
      <c r="LD1" s="163"/>
      <c r="LE1" s="163"/>
      <c r="LF1" s="163"/>
      <c r="LG1" s="163"/>
      <c r="LH1" s="163"/>
      <c r="LI1" s="163"/>
      <c r="LJ1" s="163"/>
      <c r="LK1" s="163"/>
      <c r="LL1" s="163"/>
      <c r="LM1" s="163"/>
      <c r="LN1" s="163"/>
      <c r="LO1" s="163"/>
      <c r="LP1" s="163"/>
      <c r="LQ1" s="163"/>
      <c r="LR1" s="163"/>
      <c r="LS1" s="163"/>
      <c r="LT1" s="163"/>
      <c r="LU1" s="163"/>
      <c r="LV1" s="163"/>
      <c r="LW1" s="163"/>
      <c r="LX1" s="163"/>
      <c r="LY1" s="163"/>
      <c r="LZ1" s="163"/>
      <c r="MA1" s="163"/>
      <c r="MB1" s="163"/>
      <c r="MC1" s="163"/>
      <c r="MD1" s="163"/>
      <c r="ME1" s="163"/>
      <c r="MF1" s="163"/>
      <c r="MG1" s="163"/>
      <c r="MH1" s="163"/>
      <c r="MI1" s="163"/>
      <c r="MJ1" s="163"/>
      <c r="MK1" s="163"/>
      <c r="ML1" s="163"/>
      <c r="MM1" s="163"/>
      <c r="MN1" s="163"/>
      <c r="MO1" s="163"/>
      <c r="MP1" s="163"/>
      <c r="MQ1" s="163"/>
      <c r="MR1" s="163"/>
      <c r="MS1" s="163"/>
      <c r="MT1" s="163"/>
      <c r="MU1" s="163"/>
      <c r="MV1" s="163"/>
      <c r="MW1" s="163"/>
      <c r="MX1" s="163"/>
      <c r="MY1" s="163"/>
      <c r="MZ1" s="163"/>
      <c r="NA1" s="163"/>
      <c r="NB1" s="163"/>
      <c r="NC1" s="163"/>
      <c r="ND1" s="163"/>
      <c r="NE1" s="163"/>
      <c r="NF1" s="163"/>
      <c r="NG1" s="163"/>
      <c r="NH1" s="163"/>
      <c r="NI1" s="163"/>
      <c r="NJ1" s="163"/>
      <c r="NK1" s="163"/>
      <c r="NL1" s="163"/>
      <c r="NM1" s="163"/>
      <c r="NN1" s="163"/>
      <c r="NO1" s="163"/>
      <c r="NP1" s="163"/>
      <c r="NQ1" s="163"/>
      <c r="NR1" s="163"/>
      <c r="NS1" s="163"/>
      <c r="NT1" s="163"/>
      <c r="NU1" s="163"/>
      <c r="NV1" s="163"/>
      <c r="NW1" s="163"/>
      <c r="NX1" s="163"/>
      <c r="NY1" s="163"/>
      <c r="NZ1" s="163"/>
      <c r="OA1" s="163"/>
      <c r="OB1" s="163"/>
      <c r="OC1" s="163"/>
      <c r="OD1" s="163"/>
      <c r="OE1" s="163"/>
      <c r="OF1" s="163"/>
      <c r="OG1" s="163"/>
      <c r="OH1" s="163"/>
      <c r="OI1" s="163"/>
      <c r="OJ1" s="163"/>
      <c r="OK1" s="163"/>
      <c r="OL1" s="163"/>
      <c r="OM1" s="163"/>
      <c r="ON1" s="163"/>
      <c r="OO1" s="163"/>
      <c r="OP1" s="163"/>
      <c r="OQ1" s="163"/>
      <c r="OR1" s="163"/>
      <c r="OS1" s="163"/>
      <c r="OT1" s="163"/>
      <c r="OU1" s="163"/>
      <c r="OV1" s="163"/>
      <c r="OW1" s="163"/>
      <c r="OX1" s="163"/>
      <c r="OY1" s="163"/>
      <c r="OZ1" s="163"/>
      <c r="PA1" s="163"/>
      <c r="PB1" s="163"/>
      <c r="PC1" s="163"/>
      <c r="PD1" s="163"/>
      <c r="PE1" s="163"/>
      <c r="PF1" s="163"/>
      <c r="PG1" s="163"/>
      <c r="PH1" s="163"/>
      <c r="PI1" s="163"/>
      <c r="PJ1" s="163"/>
      <c r="PK1" s="163"/>
      <c r="PL1" s="163"/>
      <c r="PM1" s="163"/>
      <c r="PN1" s="163"/>
      <c r="PO1" s="163"/>
      <c r="PP1" s="163"/>
      <c r="PQ1" s="163"/>
      <c r="PR1" s="163"/>
      <c r="PS1" s="163"/>
      <c r="PT1" s="163"/>
      <c r="PU1" s="163"/>
      <c r="PV1" s="163"/>
      <c r="PW1" s="163"/>
      <c r="PX1" s="163"/>
      <c r="PY1" s="163"/>
      <c r="PZ1" s="163"/>
      <c r="QA1" s="163"/>
      <c r="QB1" s="163"/>
      <c r="QC1" s="163"/>
      <c r="QD1" s="163"/>
      <c r="QE1" s="163"/>
      <c r="QF1" s="163"/>
      <c r="QG1" s="163"/>
      <c r="QH1" s="163"/>
      <c r="QI1" s="163"/>
      <c r="QJ1" s="163"/>
      <c r="QK1" s="163"/>
      <c r="QL1" s="163"/>
      <c r="QM1" s="163"/>
      <c r="QN1" s="163"/>
      <c r="QO1" s="163"/>
      <c r="QP1" s="163"/>
      <c r="QQ1" s="163"/>
      <c r="QR1" s="163"/>
      <c r="QS1" s="163"/>
      <c r="QT1" s="163"/>
      <c r="QU1" s="163"/>
      <c r="QV1" s="163"/>
      <c r="QW1" s="163"/>
      <c r="QX1" s="163"/>
      <c r="QY1" s="163"/>
      <c r="QZ1" s="163"/>
      <c r="RA1" s="163"/>
      <c r="RB1" s="163"/>
      <c r="RC1" s="163"/>
      <c r="RD1" s="163"/>
      <c r="RE1" s="163"/>
      <c r="RF1" s="163"/>
      <c r="RG1" s="163"/>
      <c r="RH1" s="163"/>
      <c r="RI1" s="163"/>
      <c r="RJ1" s="163"/>
      <c r="RK1" s="163"/>
      <c r="RL1" s="163"/>
      <c r="RM1" s="163"/>
      <c r="RN1" s="163"/>
      <c r="RO1" s="163"/>
      <c r="RP1" s="163"/>
      <c r="RQ1" s="163"/>
      <c r="RR1" s="163"/>
      <c r="RS1" s="163"/>
      <c r="RT1" s="163"/>
      <c r="RU1" s="163"/>
      <c r="RV1" s="163"/>
      <c r="RW1" s="163"/>
      <c r="RX1" s="163"/>
      <c r="RY1" s="163"/>
      <c r="RZ1" s="163"/>
      <c r="SA1" s="163"/>
      <c r="SB1" s="163"/>
      <c r="SC1" s="163"/>
      <c r="SD1" s="163"/>
      <c r="SE1" s="163"/>
      <c r="SF1" s="163"/>
      <c r="SG1" s="163"/>
      <c r="SH1" s="163"/>
      <c r="SI1" s="163"/>
      <c r="SJ1" s="163"/>
      <c r="SK1" s="163"/>
      <c r="SL1" s="163"/>
      <c r="SM1" s="163"/>
      <c r="SN1" s="163"/>
      <c r="SO1" s="163"/>
      <c r="SP1" s="163"/>
      <c r="SQ1" s="163"/>
      <c r="SR1" s="163"/>
      <c r="SS1" s="163"/>
      <c r="ST1" s="163"/>
      <c r="SU1" s="163"/>
      <c r="SV1" s="163"/>
      <c r="SW1" s="163"/>
      <c r="SX1" s="163"/>
      <c r="SY1" s="163"/>
      <c r="SZ1" s="163"/>
      <c r="TA1" s="163"/>
      <c r="TB1" s="163"/>
      <c r="TC1" s="163"/>
      <c r="TD1" s="163"/>
      <c r="TE1" s="163"/>
      <c r="TF1" s="163"/>
      <c r="TG1" s="163"/>
      <c r="TH1" s="163"/>
      <c r="TI1" s="163"/>
      <c r="TJ1" s="163"/>
      <c r="TK1" s="163"/>
      <c r="TL1" s="163"/>
      <c r="TM1" s="163"/>
      <c r="TN1" s="163"/>
      <c r="TO1" s="163"/>
      <c r="TP1" s="163"/>
      <c r="TQ1" s="163"/>
      <c r="TR1" s="163"/>
      <c r="TS1" s="163"/>
      <c r="TT1" s="163"/>
      <c r="TU1" s="163"/>
      <c r="TV1" s="163"/>
      <c r="TW1" s="163"/>
      <c r="TX1" s="163"/>
      <c r="TY1" s="163"/>
      <c r="TZ1" s="163"/>
      <c r="UA1" s="163"/>
      <c r="UB1" s="163"/>
      <c r="UC1" s="163"/>
      <c r="UD1" s="163"/>
      <c r="UE1" s="163"/>
      <c r="UF1" s="163"/>
      <c r="UG1" s="163"/>
      <c r="UH1" s="163"/>
      <c r="UI1" s="163"/>
      <c r="UJ1" s="163"/>
      <c r="UK1" s="163"/>
      <c r="UL1" s="163"/>
      <c r="UM1" s="163"/>
      <c r="UN1" s="163"/>
      <c r="UO1" s="163"/>
      <c r="UP1" s="163"/>
      <c r="UQ1" s="163"/>
      <c r="UR1" s="163"/>
      <c r="US1" s="163"/>
      <c r="UT1" s="163"/>
      <c r="UU1" s="163"/>
      <c r="UV1" s="163"/>
      <c r="UW1" s="163"/>
      <c r="UX1" s="163"/>
      <c r="UY1" s="163"/>
      <c r="UZ1" s="163"/>
      <c r="VA1" s="163"/>
      <c r="VB1" s="163"/>
      <c r="VC1" s="163"/>
      <c r="VD1" s="163"/>
      <c r="VE1" s="163"/>
      <c r="VF1" s="163"/>
      <c r="VG1" s="163"/>
      <c r="VH1" s="163"/>
      <c r="VI1" s="163"/>
      <c r="VJ1" s="163"/>
      <c r="VK1" s="163"/>
      <c r="VL1" s="163"/>
      <c r="VM1" s="163"/>
      <c r="VN1" s="163"/>
      <c r="VO1" s="163"/>
      <c r="VP1" s="163"/>
      <c r="VQ1" s="163"/>
      <c r="VR1" s="163"/>
      <c r="VS1" s="163"/>
      <c r="VT1" s="163"/>
      <c r="VU1" s="163"/>
      <c r="VV1" s="163"/>
      <c r="VW1" s="163"/>
      <c r="VX1" s="163"/>
      <c r="VY1" s="163"/>
      <c r="VZ1" s="163"/>
      <c r="WA1" s="163"/>
      <c r="WB1" s="163"/>
      <c r="WC1" s="163"/>
      <c r="WD1" s="163"/>
      <c r="WE1" s="163"/>
      <c r="WF1" s="163"/>
      <c r="WG1" s="163"/>
      <c r="WH1" s="163"/>
      <c r="WI1" s="163"/>
      <c r="WJ1" s="163"/>
      <c r="WK1" s="163"/>
      <c r="WL1" s="163"/>
      <c r="WM1" s="163"/>
      <c r="WN1" s="163"/>
      <c r="WO1" s="163"/>
      <c r="WP1" s="163"/>
      <c r="WQ1" s="163"/>
      <c r="WR1" s="163"/>
      <c r="WS1" s="163"/>
      <c r="WT1" s="163"/>
      <c r="WU1" s="163"/>
      <c r="WV1" s="163"/>
      <c r="WW1" s="163"/>
      <c r="WX1" s="163"/>
      <c r="WY1" s="163"/>
      <c r="WZ1" s="163"/>
      <c r="XA1" s="163"/>
      <c r="XB1" s="163"/>
      <c r="XC1" s="163"/>
      <c r="XD1" s="163"/>
      <c r="XE1" s="163"/>
      <c r="XF1" s="163"/>
      <c r="XG1" s="163"/>
      <c r="XH1" s="163"/>
      <c r="XI1" s="163"/>
      <c r="XJ1" s="163"/>
      <c r="XK1" s="163"/>
      <c r="XL1" s="163"/>
      <c r="XM1" s="163"/>
      <c r="XN1" s="163"/>
      <c r="XO1" s="163"/>
      <c r="XP1" s="163"/>
      <c r="XQ1" s="163"/>
      <c r="XR1" s="163"/>
      <c r="XS1" s="163"/>
      <c r="XT1" s="163"/>
      <c r="XU1" s="163"/>
      <c r="XV1" s="163"/>
      <c r="XW1" s="163"/>
      <c r="XX1" s="163"/>
      <c r="XY1" s="163"/>
      <c r="XZ1" s="163"/>
      <c r="YA1" s="163"/>
      <c r="YB1" s="163"/>
      <c r="YC1" s="163"/>
      <c r="YD1" s="163"/>
      <c r="YE1" s="163"/>
      <c r="YF1" s="163"/>
      <c r="YG1" s="163"/>
      <c r="YH1" s="163"/>
      <c r="YI1" s="163"/>
      <c r="YJ1" s="163"/>
      <c r="YK1" s="163"/>
      <c r="YL1" s="163"/>
      <c r="YM1" s="163"/>
      <c r="YN1" s="163"/>
      <c r="YO1" s="163"/>
      <c r="YP1" s="163"/>
      <c r="YQ1" s="163"/>
      <c r="YR1" s="163"/>
      <c r="YS1" s="163"/>
      <c r="YT1" s="163"/>
      <c r="YU1" s="163"/>
      <c r="YV1" s="163"/>
      <c r="YW1" s="163"/>
      <c r="YX1" s="163"/>
      <c r="YY1" s="163"/>
      <c r="YZ1" s="163"/>
      <c r="ZA1" s="163"/>
      <c r="ZB1" s="163"/>
      <c r="ZC1" s="163"/>
      <c r="ZD1" s="163"/>
      <c r="ZE1" s="163"/>
      <c r="ZF1" s="163"/>
      <c r="ZG1" s="163"/>
      <c r="ZH1" s="163"/>
      <c r="ZI1" s="163"/>
      <c r="ZJ1" s="163"/>
      <c r="ZK1" s="163"/>
      <c r="ZL1" s="163"/>
      <c r="ZM1" s="163"/>
      <c r="ZN1" s="163"/>
      <c r="ZO1" s="163"/>
      <c r="ZP1" s="163"/>
      <c r="ZQ1" s="163"/>
      <c r="ZR1" s="163"/>
      <c r="ZS1" s="163"/>
      <c r="ZT1" s="163"/>
      <c r="ZU1" s="163"/>
      <c r="ZV1" s="163"/>
      <c r="ZW1" s="163"/>
      <c r="ZX1" s="163"/>
      <c r="ZY1" s="163"/>
      <c r="ZZ1" s="163"/>
      <c r="AAA1" s="163"/>
      <c r="AAB1" s="163"/>
      <c r="AAC1" s="163"/>
      <c r="AAD1" s="163"/>
      <c r="AAE1" s="163"/>
      <c r="AAF1" s="163"/>
      <c r="AAG1" s="163"/>
      <c r="AAH1" s="163"/>
      <c r="AAI1" s="163"/>
      <c r="AAJ1" s="163"/>
      <c r="AAK1" s="163"/>
      <c r="AAL1" s="163"/>
      <c r="AAM1" s="163"/>
      <c r="AAN1" s="163"/>
      <c r="AAO1" s="163"/>
      <c r="AAP1" s="163"/>
      <c r="AAQ1" s="163"/>
      <c r="AAR1" s="163"/>
      <c r="AAS1" s="163"/>
      <c r="AAT1" s="163"/>
      <c r="AAU1" s="163"/>
      <c r="AAV1" s="163"/>
      <c r="AAW1" s="163"/>
      <c r="AAX1" s="163"/>
      <c r="AAY1" s="163"/>
      <c r="AAZ1" s="163"/>
      <c r="ABA1" s="163"/>
      <c r="ABB1" s="163"/>
      <c r="ABC1" s="163"/>
      <c r="ABD1" s="163"/>
      <c r="ABE1" s="163"/>
      <c r="ABF1" s="163"/>
      <c r="ABG1" s="163"/>
      <c r="ABH1" s="163"/>
      <c r="ABI1" s="163"/>
      <c r="ABJ1" s="163"/>
      <c r="ABK1" s="163"/>
      <c r="ABL1" s="163"/>
      <c r="ABM1" s="163"/>
      <c r="ABN1" s="163"/>
      <c r="ABO1" s="163"/>
      <c r="ABP1" s="163"/>
      <c r="ABQ1" s="163"/>
      <c r="ABR1" s="163"/>
      <c r="ABS1" s="163"/>
      <c r="ABT1" s="163"/>
      <c r="ABU1" s="163"/>
      <c r="ABV1" s="163"/>
      <c r="ABW1" s="163"/>
      <c r="ABX1" s="163"/>
      <c r="ABY1" s="163"/>
      <c r="ABZ1" s="163"/>
      <c r="ACA1" s="163"/>
      <c r="ACB1" s="163"/>
      <c r="ACC1" s="163"/>
      <c r="ACD1" s="163"/>
      <c r="ACE1" s="163"/>
      <c r="ACF1" s="163"/>
      <c r="ACG1" s="163"/>
      <c r="ACH1" s="163"/>
      <c r="ACI1" s="163"/>
      <c r="ACJ1" s="163"/>
      <c r="ACK1" s="163"/>
      <c r="ACL1" s="163"/>
      <c r="ACM1" s="163"/>
      <c r="ACN1" s="163"/>
      <c r="ACO1" s="163"/>
      <c r="ACP1" s="163"/>
      <c r="ACQ1" s="163"/>
      <c r="ACR1" s="163"/>
      <c r="ACS1" s="163"/>
      <c r="ACT1" s="163"/>
      <c r="ACU1" s="163"/>
      <c r="ACV1" s="163"/>
      <c r="ACW1" s="163"/>
      <c r="ACX1" s="163"/>
      <c r="ACY1" s="163"/>
      <c r="ACZ1" s="163"/>
      <c r="ADA1" s="163"/>
      <c r="ADB1" s="163"/>
      <c r="ADC1" s="163"/>
      <c r="ADD1" s="163"/>
      <c r="ADE1" s="163"/>
      <c r="ADF1" s="163"/>
      <c r="ADG1" s="163"/>
      <c r="ADH1" s="163"/>
      <c r="ADI1" s="163"/>
      <c r="ADJ1" s="163"/>
      <c r="ADK1" s="163"/>
      <c r="ADL1" s="163"/>
      <c r="ADM1" s="163"/>
      <c r="ADN1" s="163"/>
      <c r="ADO1" s="163"/>
      <c r="ADP1" s="163"/>
      <c r="ADQ1" s="163"/>
      <c r="ADR1" s="163"/>
      <c r="ADS1" s="163"/>
      <c r="ADT1" s="163"/>
      <c r="ADU1" s="163"/>
      <c r="ADV1" s="163"/>
      <c r="ADW1" s="163"/>
      <c r="ADX1" s="163"/>
      <c r="ADY1" s="163"/>
      <c r="ADZ1" s="163"/>
      <c r="AEA1" s="163"/>
      <c r="AEB1" s="163"/>
      <c r="AEC1" s="163"/>
      <c r="AED1" s="163"/>
      <c r="AEE1" s="163"/>
      <c r="AEF1" s="163"/>
      <c r="AEG1" s="163"/>
      <c r="AEH1" s="163"/>
      <c r="AEI1" s="163"/>
      <c r="AEJ1" s="163"/>
      <c r="AEK1" s="163"/>
      <c r="AEL1" s="163"/>
      <c r="AEM1" s="163"/>
      <c r="AEN1" s="163"/>
    </row>
    <row r="2" spans="1:820" s="169" customFormat="1">
      <c r="A2" s="168"/>
      <c r="B2" s="339" t="s">
        <v>317</v>
      </c>
      <c r="C2" s="339"/>
      <c r="D2" s="339"/>
      <c r="E2" s="339"/>
      <c r="F2" s="339"/>
      <c r="G2" s="339"/>
      <c r="H2" s="339"/>
      <c r="I2" s="339"/>
      <c r="J2" s="339"/>
      <c r="K2" s="339"/>
      <c r="L2" s="339"/>
      <c r="M2" s="339"/>
      <c r="N2" s="141"/>
      <c r="O2" s="339" t="s">
        <v>318</v>
      </c>
      <c r="P2" s="339"/>
      <c r="Q2" s="339"/>
      <c r="R2" s="339"/>
      <c r="S2" s="339"/>
      <c r="T2" s="339"/>
      <c r="U2" s="339"/>
      <c r="V2" s="339"/>
      <c r="W2" s="339"/>
      <c r="X2" s="339"/>
      <c r="Y2" s="339"/>
      <c r="Z2" s="339"/>
      <c r="AA2" s="141"/>
      <c r="AB2" s="339" t="s">
        <v>319</v>
      </c>
      <c r="AC2" s="339"/>
      <c r="AD2" s="339"/>
      <c r="AE2" s="339"/>
      <c r="AF2" s="339"/>
      <c r="AG2" s="339"/>
      <c r="AH2" s="339"/>
      <c r="AI2" s="339"/>
      <c r="AJ2" s="339"/>
      <c r="AK2" s="339"/>
      <c r="AL2" s="339"/>
      <c r="AM2" s="339"/>
      <c r="AN2" s="168"/>
      <c r="AO2" s="339" t="s">
        <v>321</v>
      </c>
      <c r="AP2" s="339"/>
      <c r="AQ2" s="339"/>
      <c r="AR2" s="339"/>
      <c r="AS2" s="339"/>
      <c r="AT2" s="339"/>
      <c r="AU2" s="339"/>
      <c r="AV2" s="339"/>
      <c r="AW2" s="339"/>
      <c r="AX2" s="339"/>
      <c r="AY2" s="339"/>
      <c r="AZ2" s="339"/>
      <c r="BA2" s="168"/>
      <c r="BB2" s="339" t="s">
        <v>322</v>
      </c>
      <c r="BC2" s="339"/>
      <c r="BD2" s="339"/>
      <c r="BE2" s="339"/>
      <c r="BF2" s="339"/>
      <c r="BG2" s="339"/>
      <c r="BH2" s="339"/>
      <c r="BI2" s="339"/>
      <c r="BJ2" s="339"/>
      <c r="BK2" s="339"/>
      <c r="BL2" s="339"/>
      <c r="BM2" s="339"/>
      <c r="BN2" s="168"/>
      <c r="BO2" s="339" t="s">
        <v>323</v>
      </c>
      <c r="BP2" s="339"/>
      <c r="BQ2" s="339"/>
      <c r="BR2" s="339"/>
      <c r="BS2" s="339"/>
      <c r="BT2" s="339"/>
      <c r="BU2" s="339"/>
      <c r="BV2" s="339"/>
      <c r="BW2" s="339"/>
      <c r="BX2" s="339"/>
      <c r="BY2" s="339"/>
      <c r="BZ2" s="339"/>
      <c r="CA2" s="168"/>
      <c r="CB2" s="339" t="s">
        <v>326</v>
      </c>
      <c r="CC2" s="339"/>
      <c r="CD2" s="339"/>
      <c r="CE2" s="339"/>
      <c r="CF2" s="339"/>
      <c r="CG2" s="339"/>
      <c r="CH2" s="339"/>
      <c r="CI2" s="339"/>
      <c r="CJ2" s="339"/>
      <c r="CK2" s="339"/>
      <c r="CL2" s="339"/>
      <c r="CM2" s="339"/>
      <c r="CN2" s="168"/>
      <c r="CO2" s="339" t="s">
        <v>325</v>
      </c>
      <c r="CP2" s="339"/>
      <c r="CQ2" s="339"/>
      <c r="CR2" s="339"/>
      <c r="CS2" s="339"/>
      <c r="CT2" s="339"/>
      <c r="CU2" s="339"/>
      <c r="CV2" s="339"/>
      <c r="CW2" s="339"/>
      <c r="CX2" s="339"/>
      <c r="CY2" s="339"/>
      <c r="CZ2" s="339"/>
      <c r="DA2" s="168"/>
      <c r="DB2" s="339" t="s">
        <v>324</v>
      </c>
      <c r="DC2" s="339"/>
      <c r="DD2" s="339"/>
      <c r="DE2" s="339"/>
      <c r="DF2" s="339"/>
      <c r="DG2" s="339"/>
      <c r="DH2" s="339"/>
      <c r="DI2" s="339"/>
      <c r="DJ2" s="339"/>
      <c r="DK2" s="339"/>
      <c r="DL2" s="339"/>
      <c r="DM2" s="339"/>
      <c r="DN2" s="168"/>
      <c r="DO2" s="339" t="s">
        <v>327</v>
      </c>
      <c r="DP2" s="339"/>
      <c r="DQ2" s="339"/>
      <c r="DR2" s="339"/>
      <c r="DS2" s="339"/>
      <c r="DT2" s="339"/>
      <c r="DU2" s="339"/>
      <c r="DV2" s="339"/>
      <c r="DW2" s="339"/>
      <c r="DX2" s="339"/>
      <c r="DY2" s="339"/>
      <c r="DZ2" s="339"/>
      <c r="EA2" s="168"/>
      <c r="EB2" s="339" t="s">
        <v>328</v>
      </c>
      <c r="EC2" s="339"/>
      <c r="ED2" s="339"/>
      <c r="EE2" s="339"/>
      <c r="EF2" s="339"/>
      <c r="EG2" s="339"/>
      <c r="EH2" s="339"/>
      <c r="EI2" s="339"/>
      <c r="EJ2" s="339"/>
      <c r="EK2" s="339"/>
      <c r="EL2" s="339"/>
      <c r="EM2" s="339"/>
      <c r="EN2" s="168"/>
      <c r="EO2" s="339" t="s">
        <v>329</v>
      </c>
      <c r="EP2" s="339"/>
      <c r="EQ2" s="339"/>
      <c r="ER2" s="339"/>
      <c r="ES2" s="339"/>
      <c r="ET2" s="339"/>
      <c r="EU2" s="339"/>
      <c r="EV2" s="339"/>
      <c r="EW2" s="339"/>
      <c r="EX2" s="339"/>
      <c r="EY2" s="339"/>
      <c r="EZ2" s="339"/>
      <c r="FA2" s="168"/>
      <c r="FB2" s="339" t="s">
        <v>330</v>
      </c>
      <c r="FC2" s="339"/>
      <c r="FD2" s="339"/>
      <c r="FE2" s="339"/>
      <c r="FF2" s="339"/>
      <c r="FG2" s="339"/>
      <c r="FH2" s="339"/>
      <c r="FI2" s="339"/>
      <c r="FJ2" s="339"/>
      <c r="FK2" s="339"/>
      <c r="FL2" s="339"/>
      <c r="FM2" s="339"/>
      <c r="FN2" s="168"/>
      <c r="FO2" s="339" t="s">
        <v>331</v>
      </c>
      <c r="FP2" s="339"/>
      <c r="FQ2" s="339"/>
      <c r="FR2" s="339"/>
      <c r="FS2" s="339"/>
      <c r="FT2" s="339"/>
      <c r="FU2" s="339"/>
      <c r="FV2" s="339"/>
      <c r="FW2" s="339"/>
      <c r="FX2" s="339"/>
      <c r="FY2" s="339"/>
      <c r="FZ2" s="339"/>
      <c r="GA2" s="168"/>
      <c r="GB2" s="339" t="s">
        <v>332</v>
      </c>
      <c r="GC2" s="339"/>
      <c r="GD2" s="339"/>
      <c r="GE2" s="339"/>
      <c r="GF2" s="339"/>
      <c r="GG2" s="339"/>
      <c r="GH2" s="339"/>
      <c r="GI2" s="339"/>
      <c r="GJ2" s="339"/>
      <c r="GK2" s="339"/>
      <c r="GL2" s="339"/>
      <c r="GM2" s="339"/>
      <c r="GN2" s="168"/>
      <c r="GO2" s="339" t="s">
        <v>333</v>
      </c>
      <c r="GP2" s="339"/>
      <c r="GQ2" s="339"/>
      <c r="GR2" s="339"/>
      <c r="GS2" s="339"/>
      <c r="GT2" s="339"/>
      <c r="GU2" s="339"/>
      <c r="GV2" s="339"/>
      <c r="GW2" s="339"/>
      <c r="GX2" s="339"/>
      <c r="GY2" s="339"/>
      <c r="GZ2" s="339"/>
      <c r="HA2" s="168"/>
      <c r="HB2" s="339" t="s">
        <v>334</v>
      </c>
      <c r="HC2" s="339"/>
      <c r="HD2" s="339"/>
      <c r="HE2" s="339"/>
      <c r="HF2" s="339"/>
      <c r="HG2" s="339"/>
      <c r="HH2" s="339"/>
      <c r="HI2" s="339"/>
      <c r="HJ2" s="339"/>
      <c r="HK2" s="339"/>
      <c r="HL2" s="339"/>
      <c r="HM2" s="339"/>
      <c r="HN2" s="168"/>
      <c r="HO2" s="339" t="s">
        <v>335</v>
      </c>
      <c r="HP2" s="339"/>
      <c r="HQ2" s="339"/>
      <c r="HR2" s="339"/>
      <c r="HS2" s="339"/>
      <c r="HT2" s="339"/>
      <c r="HU2" s="339"/>
      <c r="HV2" s="339"/>
      <c r="HW2" s="339"/>
      <c r="HX2" s="339"/>
      <c r="HY2" s="339"/>
      <c r="HZ2" s="339"/>
      <c r="IA2" s="168"/>
      <c r="IB2" s="339" t="s">
        <v>793</v>
      </c>
      <c r="IC2" s="339"/>
      <c r="ID2" s="339"/>
      <c r="IE2" s="339"/>
      <c r="IF2" s="339"/>
      <c r="IG2" s="339"/>
      <c r="IH2" s="339"/>
      <c r="II2" s="339"/>
      <c r="IJ2" s="339"/>
      <c r="IK2" s="339"/>
      <c r="IL2" s="339"/>
      <c r="IM2" s="339"/>
      <c r="IN2" s="168"/>
      <c r="IO2" s="339" t="s">
        <v>794</v>
      </c>
      <c r="IP2" s="339"/>
      <c r="IQ2" s="339"/>
      <c r="IR2" s="339"/>
      <c r="IS2" s="339"/>
      <c r="IT2" s="339"/>
      <c r="IU2" s="339"/>
      <c r="IV2" s="339"/>
      <c r="IW2" s="339"/>
      <c r="IX2" s="339"/>
      <c r="IY2" s="339"/>
      <c r="IZ2" s="339"/>
      <c r="JA2" s="168"/>
      <c r="JB2" s="339" t="s">
        <v>795</v>
      </c>
      <c r="JC2" s="339"/>
      <c r="JD2" s="339"/>
      <c r="JE2" s="339"/>
      <c r="JF2" s="339"/>
      <c r="JG2" s="339"/>
      <c r="JH2" s="339"/>
      <c r="JI2" s="339"/>
      <c r="JJ2" s="339"/>
      <c r="JK2" s="339"/>
      <c r="JL2" s="339"/>
      <c r="JM2" s="339"/>
      <c r="JN2" s="168"/>
      <c r="JO2" s="339" t="s">
        <v>337</v>
      </c>
      <c r="JP2" s="339"/>
      <c r="JQ2" s="339"/>
      <c r="JR2" s="339"/>
      <c r="JS2" s="339"/>
      <c r="JT2" s="339"/>
      <c r="JU2" s="339"/>
      <c r="JV2" s="339"/>
      <c r="JW2" s="339"/>
      <c r="JX2" s="339"/>
      <c r="JY2" s="339"/>
      <c r="JZ2" s="339"/>
      <c r="KA2" s="168"/>
      <c r="KB2" s="339" t="s">
        <v>338</v>
      </c>
      <c r="KC2" s="339"/>
      <c r="KD2" s="339"/>
      <c r="KE2" s="339"/>
      <c r="KF2" s="339"/>
      <c r="KG2" s="339"/>
      <c r="KH2" s="339"/>
      <c r="KI2" s="339"/>
      <c r="KJ2" s="339"/>
      <c r="KK2" s="339"/>
      <c r="KL2" s="339"/>
      <c r="KM2" s="339"/>
      <c r="KN2" s="168"/>
      <c r="KO2" s="339" t="s">
        <v>336</v>
      </c>
      <c r="KP2" s="339"/>
      <c r="KQ2" s="339"/>
      <c r="KR2" s="339"/>
      <c r="KS2" s="339"/>
      <c r="KT2" s="339"/>
      <c r="KU2" s="339"/>
      <c r="KV2" s="339"/>
      <c r="KW2" s="339"/>
      <c r="KX2" s="339"/>
      <c r="KY2" s="339"/>
      <c r="KZ2" s="339"/>
      <c r="LA2" s="168"/>
      <c r="LB2" s="339" t="s">
        <v>339</v>
      </c>
      <c r="LC2" s="339"/>
      <c r="LD2" s="339"/>
      <c r="LE2" s="339"/>
      <c r="LF2" s="339"/>
      <c r="LG2" s="339"/>
      <c r="LH2" s="339"/>
      <c r="LI2" s="339"/>
      <c r="LJ2" s="339"/>
      <c r="LK2" s="339"/>
      <c r="LL2" s="339"/>
      <c r="LM2" s="339"/>
      <c r="LN2" s="168"/>
      <c r="LO2" s="339" t="s">
        <v>340</v>
      </c>
      <c r="LP2" s="339"/>
      <c r="LQ2" s="339"/>
      <c r="LR2" s="339"/>
      <c r="LS2" s="339"/>
      <c r="LT2" s="339"/>
      <c r="LU2" s="339"/>
      <c r="LV2" s="339"/>
      <c r="LW2" s="339"/>
      <c r="LX2" s="339"/>
      <c r="LY2" s="339"/>
      <c r="LZ2" s="339"/>
      <c r="MA2" s="168"/>
      <c r="MB2" s="339" t="s">
        <v>341</v>
      </c>
      <c r="MC2" s="339"/>
      <c r="MD2" s="339"/>
      <c r="ME2" s="339"/>
      <c r="MF2" s="339"/>
      <c r="MG2" s="339"/>
      <c r="MH2" s="339"/>
      <c r="MI2" s="339"/>
      <c r="MJ2" s="339"/>
      <c r="MK2" s="339"/>
      <c r="ML2" s="339"/>
      <c r="MM2" s="339"/>
      <c r="MN2" s="168"/>
      <c r="MO2" s="339" t="s">
        <v>342</v>
      </c>
      <c r="MP2" s="339"/>
      <c r="MQ2" s="339"/>
      <c r="MR2" s="339"/>
      <c r="MS2" s="339"/>
      <c r="MT2" s="339"/>
      <c r="MU2" s="339"/>
      <c r="MV2" s="339"/>
      <c r="MW2" s="339"/>
      <c r="MX2" s="339"/>
      <c r="MY2" s="339"/>
      <c r="MZ2" s="339"/>
      <c r="NA2" s="168"/>
      <c r="NB2" s="339" t="s">
        <v>343</v>
      </c>
      <c r="NC2" s="339"/>
      <c r="ND2" s="339"/>
      <c r="NE2" s="339"/>
      <c r="NF2" s="339"/>
      <c r="NG2" s="339"/>
      <c r="NH2" s="339"/>
      <c r="NI2" s="339"/>
      <c r="NJ2" s="339"/>
      <c r="NK2" s="339"/>
      <c r="NL2" s="339"/>
      <c r="NM2" s="339"/>
      <c r="NN2" s="168"/>
      <c r="NO2" s="339" t="s">
        <v>344</v>
      </c>
      <c r="NP2" s="339"/>
      <c r="NQ2" s="339"/>
      <c r="NR2" s="339"/>
      <c r="NS2" s="339"/>
      <c r="NT2" s="339"/>
      <c r="NU2" s="339"/>
      <c r="NV2" s="339"/>
      <c r="NW2" s="339"/>
      <c r="NX2" s="339"/>
      <c r="NY2" s="339"/>
      <c r="NZ2" s="339"/>
      <c r="OA2" s="168"/>
      <c r="OB2" s="339" t="s">
        <v>345</v>
      </c>
      <c r="OC2" s="339"/>
      <c r="OD2" s="339"/>
      <c r="OE2" s="339"/>
      <c r="OF2" s="339"/>
      <c r="OG2" s="339"/>
      <c r="OH2" s="339"/>
      <c r="OI2" s="339"/>
      <c r="OJ2" s="339"/>
      <c r="OK2" s="339"/>
      <c r="OL2" s="339"/>
      <c r="OM2" s="339"/>
      <c r="ON2" s="168"/>
      <c r="OO2" s="339" t="s">
        <v>346</v>
      </c>
      <c r="OP2" s="339"/>
      <c r="OQ2" s="339"/>
      <c r="OR2" s="339"/>
      <c r="OS2" s="339"/>
      <c r="OT2" s="339"/>
      <c r="OU2" s="339"/>
      <c r="OV2" s="339"/>
      <c r="OW2" s="339"/>
      <c r="OX2" s="339"/>
      <c r="OY2" s="339"/>
      <c r="OZ2" s="339"/>
      <c r="PA2" s="168"/>
      <c r="PB2" s="339" t="s">
        <v>347</v>
      </c>
      <c r="PC2" s="339"/>
      <c r="PD2" s="339"/>
      <c r="PE2" s="339"/>
      <c r="PF2" s="339"/>
      <c r="PG2" s="339"/>
      <c r="PH2" s="339"/>
      <c r="PI2" s="339"/>
      <c r="PJ2" s="339"/>
      <c r="PK2" s="339"/>
      <c r="PL2" s="339"/>
      <c r="PM2" s="339"/>
      <c r="PN2" s="168"/>
      <c r="PO2" s="339" t="s">
        <v>348</v>
      </c>
      <c r="PP2" s="339"/>
      <c r="PQ2" s="339"/>
      <c r="PR2" s="339"/>
      <c r="PS2" s="339"/>
      <c r="PT2" s="339"/>
      <c r="PU2" s="339"/>
      <c r="PV2" s="339"/>
      <c r="PW2" s="339"/>
      <c r="PX2" s="339"/>
      <c r="PY2" s="339"/>
      <c r="PZ2" s="339"/>
      <c r="QA2" s="168"/>
      <c r="QB2" s="339" t="s">
        <v>349</v>
      </c>
      <c r="QC2" s="339"/>
      <c r="QD2" s="339"/>
      <c r="QE2" s="339"/>
      <c r="QF2" s="339"/>
      <c r="QG2" s="339"/>
      <c r="QH2" s="339"/>
      <c r="QI2" s="339"/>
      <c r="QJ2" s="339"/>
      <c r="QK2" s="339"/>
      <c r="QL2" s="339"/>
      <c r="QM2" s="339"/>
      <c r="QN2" s="168"/>
      <c r="QO2" s="339" t="s">
        <v>350</v>
      </c>
      <c r="QP2" s="339"/>
      <c r="QQ2" s="339"/>
      <c r="QR2" s="339"/>
      <c r="QS2" s="339"/>
      <c r="QT2" s="339"/>
      <c r="QU2" s="339"/>
      <c r="QV2" s="339"/>
      <c r="QW2" s="339"/>
      <c r="QX2" s="339"/>
      <c r="QY2" s="339"/>
      <c r="QZ2" s="339"/>
      <c r="RA2" s="168"/>
      <c r="RB2" s="339" t="s">
        <v>351</v>
      </c>
      <c r="RC2" s="339"/>
      <c r="RD2" s="339"/>
      <c r="RE2" s="339"/>
      <c r="RF2" s="339"/>
      <c r="RG2" s="339"/>
      <c r="RH2" s="339"/>
      <c r="RI2" s="339"/>
      <c r="RJ2" s="339"/>
      <c r="RK2" s="339"/>
      <c r="RL2" s="339"/>
      <c r="RM2" s="339"/>
      <c r="RN2" s="168"/>
      <c r="RO2" s="339" t="s">
        <v>352</v>
      </c>
      <c r="RP2" s="339"/>
      <c r="RQ2" s="339"/>
      <c r="RR2" s="339"/>
      <c r="RS2" s="339"/>
      <c r="RT2" s="339"/>
      <c r="RU2" s="339"/>
      <c r="RV2" s="339"/>
      <c r="RW2" s="339"/>
      <c r="RX2" s="339"/>
      <c r="RY2" s="339"/>
      <c r="RZ2" s="339"/>
      <c r="SA2" s="168"/>
      <c r="SB2" s="339" t="s">
        <v>353</v>
      </c>
      <c r="SC2" s="339"/>
      <c r="SD2" s="339"/>
      <c r="SE2" s="339"/>
      <c r="SF2" s="339"/>
      <c r="SG2" s="339"/>
      <c r="SH2" s="339"/>
      <c r="SI2" s="339"/>
      <c r="SJ2" s="339"/>
      <c r="SK2" s="339"/>
      <c r="SL2" s="339"/>
      <c r="SM2" s="339"/>
      <c r="SN2" s="168"/>
      <c r="SO2" s="339" t="s">
        <v>354</v>
      </c>
      <c r="SP2" s="339"/>
      <c r="SQ2" s="339"/>
      <c r="SR2" s="339"/>
      <c r="SS2" s="339"/>
      <c r="ST2" s="339"/>
      <c r="SU2" s="339"/>
      <c r="SV2" s="339"/>
      <c r="SW2" s="339"/>
      <c r="SX2" s="339"/>
      <c r="SY2" s="339"/>
      <c r="SZ2" s="339"/>
      <c r="TA2" s="168"/>
      <c r="TB2" s="339" t="s">
        <v>355</v>
      </c>
      <c r="TC2" s="339"/>
      <c r="TD2" s="339"/>
      <c r="TE2" s="339"/>
      <c r="TF2" s="339"/>
      <c r="TG2" s="339"/>
      <c r="TH2" s="339"/>
      <c r="TI2" s="339"/>
      <c r="TJ2" s="339"/>
      <c r="TK2" s="339"/>
      <c r="TL2" s="339"/>
      <c r="TM2" s="339"/>
      <c r="TN2" s="168"/>
      <c r="TO2" s="339" t="s">
        <v>356</v>
      </c>
      <c r="TP2" s="339"/>
      <c r="TQ2" s="339"/>
      <c r="TR2" s="339"/>
      <c r="TS2" s="339"/>
      <c r="TT2" s="339"/>
      <c r="TU2" s="339"/>
      <c r="TV2" s="339"/>
      <c r="TW2" s="339"/>
      <c r="TX2" s="339"/>
      <c r="TY2" s="339"/>
      <c r="TZ2" s="339"/>
      <c r="UA2" s="168"/>
      <c r="UB2" s="339" t="s">
        <v>357</v>
      </c>
      <c r="UC2" s="339"/>
      <c r="UD2" s="339"/>
      <c r="UE2" s="339"/>
      <c r="UF2" s="339"/>
      <c r="UG2" s="339"/>
      <c r="UH2" s="339"/>
      <c r="UI2" s="339"/>
      <c r="UJ2" s="339"/>
      <c r="UK2" s="339"/>
      <c r="UL2" s="339"/>
      <c r="UM2" s="339"/>
      <c r="UN2" s="168"/>
      <c r="UO2" s="339" t="s">
        <v>358</v>
      </c>
      <c r="UP2" s="339"/>
      <c r="UQ2" s="339"/>
      <c r="UR2" s="339"/>
      <c r="US2" s="339"/>
      <c r="UT2" s="339"/>
      <c r="UU2" s="339"/>
      <c r="UV2" s="339"/>
      <c r="UW2" s="339"/>
      <c r="UX2" s="339"/>
      <c r="UY2" s="339"/>
      <c r="UZ2" s="339"/>
      <c r="VA2" s="168"/>
      <c r="VB2" s="339" t="s">
        <v>359</v>
      </c>
      <c r="VC2" s="339"/>
      <c r="VD2" s="339"/>
      <c r="VE2" s="339"/>
      <c r="VF2" s="339"/>
      <c r="VG2" s="339"/>
      <c r="VH2" s="339"/>
      <c r="VI2" s="339"/>
      <c r="VJ2" s="339"/>
      <c r="VK2" s="339"/>
      <c r="VL2" s="339"/>
      <c r="VM2" s="339"/>
      <c r="VN2" s="168"/>
      <c r="VO2" s="339" t="s">
        <v>360</v>
      </c>
      <c r="VP2" s="339"/>
      <c r="VQ2" s="339"/>
      <c r="VR2" s="339"/>
      <c r="VS2" s="339"/>
      <c r="VT2" s="339"/>
      <c r="VU2" s="339"/>
      <c r="VV2" s="339"/>
      <c r="VW2" s="339"/>
      <c r="VX2" s="339"/>
      <c r="VY2" s="339"/>
      <c r="VZ2" s="339"/>
      <c r="WA2" s="168"/>
      <c r="WB2" s="339" t="s">
        <v>361</v>
      </c>
      <c r="WC2" s="339"/>
      <c r="WD2" s="339"/>
      <c r="WE2" s="339"/>
      <c r="WF2" s="339"/>
      <c r="WG2" s="339"/>
      <c r="WH2" s="339"/>
      <c r="WI2" s="339"/>
      <c r="WJ2" s="339"/>
      <c r="WK2" s="339"/>
      <c r="WL2" s="339"/>
      <c r="WM2" s="339"/>
      <c r="WN2" s="168"/>
      <c r="WO2" s="339" t="s">
        <v>362</v>
      </c>
      <c r="WP2" s="339"/>
      <c r="WQ2" s="339"/>
      <c r="WR2" s="339"/>
      <c r="WS2" s="339"/>
      <c r="WT2" s="339"/>
      <c r="WU2" s="339"/>
      <c r="WV2" s="339"/>
      <c r="WW2" s="339"/>
      <c r="WX2" s="339"/>
      <c r="WY2" s="339"/>
      <c r="WZ2" s="339"/>
      <c r="XA2" s="168"/>
      <c r="XB2" s="339" t="s">
        <v>363</v>
      </c>
      <c r="XC2" s="339"/>
      <c r="XD2" s="339"/>
      <c r="XE2" s="339"/>
      <c r="XF2" s="339"/>
      <c r="XG2" s="339"/>
      <c r="XH2" s="339"/>
      <c r="XI2" s="339"/>
      <c r="XJ2" s="339"/>
      <c r="XK2" s="339"/>
      <c r="XL2" s="339"/>
      <c r="XM2" s="339"/>
      <c r="XN2" s="168"/>
      <c r="XO2" s="339" t="s">
        <v>365</v>
      </c>
      <c r="XP2" s="339"/>
      <c r="XQ2" s="339"/>
      <c r="XR2" s="339"/>
      <c r="XS2" s="339"/>
      <c r="XT2" s="339"/>
      <c r="XU2" s="339"/>
      <c r="XV2" s="339"/>
      <c r="XW2" s="339"/>
      <c r="XX2" s="339"/>
      <c r="XY2" s="339"/>
      <c r="XZ2" s="339"/>
      <c r="YA2" s="168"/>
      <c r="YB2" s="339" t="s">
        <v>364</v>
      </c>
      <c r="YC2" s="339"/>
      <c r="YD2" s="339"/>
      <c r="YE2" s="339"/>
      <c r="YF2" s="339"/>
      <c r="YG2" s="339"/>
      <c r="YH2" s="339"/>
      <c r="YI2" s="339"/>
      <c r="YJ2" s="339"/>
      <c r="YK2" s="339"/>
      <c r="YL2" s="339"/>
      <c r="YM2" s="339"/>
      <c r="YN2" s="168"/>
      <c r="YO2" s="339" t="s">
        <v>366</v>
      </c>
      <c r="YP2" s="339"/>
      <c r="YQ2" s="339"/>
      <c r="YR2" s="339"/>
      <c r="YS2" s="339"/>
      <c r="YT2" s="339"/>
      <c r="YU2" s="339"/>
      <c r="YV2" s="339"/>
      <c r="YW2" s="339"/>
      <c r="YX2" s="339"/>
      <c r="YY2" s="339"/>
      <c r="YZ2" s="339"/>
      <c r="ZA2" s="168"/>
      <c r="ZB2" s="339" t="s">
        <v>367</v>
      </c>
      <c r="ZC2" s="339"/>
      <c r="ZD2" s="339"/>
      <c r="ZE2" s="339"/>
      <c r="ZF2" s="339"/>
      <c r="ZG2" s="339"/>
      <c r="ZH2" s="339"/>
      <c r="ZI2" s="339"/>
      <c r="ZJ2" s="339"/>
      <c r="ZK2" s="339"/>
      <c r="ZL2" s="339"/>
      <c r="ZM2" s="339"/>
      <c r="ZN2" s="168"/>
      <c r="ZO2" s="339" t="s">
        <v>368</v>
      </c>
      <c r="ZP2" s="339"/>
      <c r="ZQ2" s="339"/>
      <c r="ZR2" s="339"/>
      <c r="ZS2" s="339"/>
      <c r="ZT2" s="339"/>
      <c r="ZU2" s="339"/>
      <c r="ZV2" s="339"/>
      <c r="ZW2" s="339"/>
      <c r="ZX2" s="339"/>
      <c r="ZY2" s="339"/>
      <c r="ZZ2" s="339"/>
      <c r="AAA2" s="168"/>
      <c r="AAB2" s="339" t="s">
        <v>369</v>
      </c>
      <c r="AAC2" s="339"/>
      <c r="AAD2" s="339"/>
      <c r="AAE2" s="339"/>
      <c r="AAF2" s="339"/>
      <c r="AAG2" s="339"/>
      <c r="AAH2" s="339"/>
      <c r="AAI2" s="339"/>
      <c r="AAJ2" s="339"/>
      <c r="AAK2" s="339"/>
      <c r="AAL2" s="339"/>
      <c r="AAM2" s="339"/>
      <c r="AAN2" s="168"/>
      <c r="AAO2" s="339" t="s">
        <v>370</v>
      </c>
      <c r="AAP2" s="339"/>
      <c r="AAQ2" s="339"/>
      <c r="AAR2" s="339"/>
      <c r="AAS2" s="339"/>
      <c r="AAT2" s="339"/>
      <c r="AAU2" s="339"/>
      <c r="AAV2" s="339"/>
      <c r="AAW2" s="339"/>
      <c r="AAX2" s="339"/>
      <c r="AAY2" s="339"/>
      <c r="AAZ2" s="339"/>
      <c r="ABA2" s="168"/>
      <c r="ABB2" s="339" t="s">
        <v>371</v>
      </c>
      <c r="ABC2" s="339"/>
      <c r="ABD2" s="339"/>
      <c r="ABE2" s="339"/>
      <c r="ABF2" s="339"/>
      <c r="ABG2" s="339"/>
      <c r="ABH2" s="339"/>
      <c r="ABI2" s="339"/>
      <c r="ABJ2" s="339"/>
      <c r="ABK2" s="339"/>
      <c r="ABL2" s="339"/>
      <c r="ABM2" s="339"/>
      <c r="ABN2" s="168"/>
      <c r="ABO2" s="339" t="s">
        <v>372</v>
      </c>
      <c r="ABP2" s="339"/>
      <c r="ABQ2" s="339"/>
      <c r="ABR2" s="339"/>
      <c r="ABS2" s="339"/>
      <c r="ABT2" s="339"/>
      <c r="ABU2" s="339"/>
      <c r="ABV2" s="339"/>
      <c r="ABW2" s="339"/>
      <c r="ABX2" s="339"/>
      <c r="ABY2" s="339"/>
      <c r="ABZ2" s="339"/>
      <c r="ACA2" s="168"/>
      <c r="ACB2" s="339" t="s">
        <v>374</v>
      </c>
      <c r="ACC2" s="339"/>
      <c r="ACD2" s="339"/>
      <c r="ACE2" s="339"/>
      <c r="ACF2" s="339"/>
      <c r="ACG2" s="339"/>
      <c r="ACH2" s="339"/>
      <c r="ACI2" s="339"/>
      <c r="ACJ2" s="339"/>
      <c r="ACK2" s="339"/>
      <c r="ACL2" s="339"/>
      <c r="ACM2" s="339"/>
      <c r="ACN2" s="168"/>
      <c r="ACO2" s="339" t="s">
        <v>373</v>
      </c>
      <c r="ACP2" s="339"/>
      <c r="ACQ2" s="339"/>
      <c r="ACR2" s="339"/>
      <c r="ACS2" s="339"/>
      <c r="ACT2" s="339"/>
      <c r="ACU2" s="339"/>
      <c r="ACV2" s="339"/>
      <c r="ACW2" s="339"/>
      <c r="ACX2" s="339"/>
      <c r="ACY2" s="339"/>
      <c r="ACZ2" s="339"/>
      <c r="ADA2" s="168"/>
      <c r="ADB2" s="339" t="s">
        <v>375</v>
      </c>
      <c r="ADC2" s="339"/>
      <c r="ADD2" s="339"/>
      <c r="ADE2" s="339"/>
      <c r="ADF2" s="339"/>
      <c r="ADG2" s="339"/>
      <c r="ADH2" s="339"/>
      <c r="ADI2" s="339"/>
      <c r="ADJ2" s="339"/>
      <c r="ADK2" s="339"/>
      <c r="ADL2" s="339"/>
      <c r="ADM2" s="339"/>
      <c r="ADN2" s="168"/>
      <c r="ADO2" s="339" t="s">
        <v>376</v>
      </c>
      <c r="ADP2" s="339"/>
      <c r="ADQ2" s="339"/>
      <c r="ADR2" s="339"/>
      <c r="ADS2" s="339"/>
      <c r="ADT2" s="339"/>
      <c r="ADU2" s="339"/>
      <c r="ADV2" s="339"/>
      <c r="ADW2" s="339"/>
      <c r="ADX2" s="339"/>
      <c r="ADY2" s="339"/>
      <c r="ADZ2" s="339"/>
      <c r="AEA2" s="168"/>
      <c r="AEB2" s="339" t="s">
        <v>377</v>
      </c>
      <c r="AEC2" s="339"/>
      <c r="AED2" s="339"/>
      <c r="AEE2" s="339"/>
      <c r="AEF2" s="339"/>
      <c r="AEG2" s="339"/>
      <c r="AEH2" s="339"/>
      <c r="AEI2" s="339"/>
      <c r="AEJ2" s="339"/>
      <c r="AEK2" s="339"/>
      <c r="AEL2" s="339"/>
      <c r="AEM2" s="339"/>
      <c r="AEN2" s="168"/>
    </row>
    <row r="3" spans="1:820">
      <c r="A3" s="163"/>
      <c r="B3" s="11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11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11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163"/>
      <c r="AO3" s="111"/>
      <c r="AP3" s="81"/>
      <c r="AQ3" s="81"/>
      <c r="AR3" s="81"/>
      <c r="AS3" s="81"/>
      <c r="AT3" s="81"/>
      <c r="AU3" s="81"/>
      <c r="AV3" s="81"/>
      <c r="AW3" s="81"/>
      <c r="AX3" s="81"/>
      <c r="AY3" s="81"/>
      <c r="AZ3" s="81"/>
      <c r="BA3" s="163"/>
      <c r="BB3" s="111"/>
      <c r="BC3" s="81"/>
      <c r="BD3" s="81"/>
      <c r="BE3" s="81"/>
      <c r="BF3" s="81"/>
      <c r="BG3" s="81"/>
      <c r="BH3" s="81"/>
      <c r="BI3" s="81"/>
      <c r="BJ3" s="81"/>
      <c r="BK3" s="81"/>
      <c r="BL3" s="81"/>
      <c r="BM3" s="81"/>
      <c r="BN3" s="163"/>
      <c r="BO3" s="111"/>
      <c r="BP3" s="81"/>
      <c r="BQ3" s="81"/>
      <c r="BR3" s="81"/>
      <c r="BS3" s="81"/>
      <c r="BT3" s="81"/>
      <c r="BU3" s="81"/>
      <c r="BV3" s="81"/>
      <c r="BW3" s="81"/>
      <c r="BX3" s="81"/>
      <c r="BY3" s="81"/>
      <c r="BZ3" s="81"/>
      <c r="CA3" s="163"/>
      <c r="CB3" s="111"/>
      <c r="CC3" s="81"/>
      <c r="CD3" s="81"/>
      <c r="CE3" s="81"/>
      <c r="CF3" s="81"/>
      <c r="CG3" s="81"/>
      <c r="CH3" s="81"/>
      <c r="CI3" s="81"/>
      <c r="CJ3" s="81"/>
      <c r="CK3" s="81"/>
      <c r="CL3" s="81"/>
      <c r="CM3" s="81"/>
      <c r="CN3" s="163"/>
      <c r="CO3" s="111"/>
      <c r="CP3" s="81"/>
      <c r="CQ3" s="81"/>
      <c r="CR3" s="81"/>
      <c r="CS3" s="81"/>
      <c r="CT3" s="81"/>
      <c r="CU3" s="81"/>
      <c r="CV3" s="81"/>
      <c r="CW3" s="81"/>
      <c r="CX3" s="81"/>
      <c r="CY3" s="81"/>
      <c r="CZ3" s="81"/>
      <c r="DA3" s="163"/>
      <c r="DB3" s="111"/>
      <c r="DC3" s="81"/>
      <c r="DD3" s="81"/>
      <c r="DE3" s="81"/>
      <c r="DF3" s="81"/>
      <c r="DG3" s="81"/>
      <c r="DH3" s="81"/>
      <c r="DI3" s="81"/>
      <c r="DJ3" s="81"/>
      <c r="DK3" s="81"/>
      <c r="DL3" s="81"/>
      <c r="DM3" s="81"/>
      <c r="DN3" s="163"/>
      <c r="DO3" s="111"/>
      <c r="DP3" s="81"/>
      <c r="DQ3" s="81"/>
      <c r="DR3" s="81"/>
      <c r="DS3" s="81"/>
      <c r="DT3" s="81"/>
      <c r="DU3" s="81"/>
      <c r="DV3" s="81"/>
      <c r="DW3" s="81"/>
      <c r="DX3" s="81"/>
      <c r="DY3" s="81"/>
      <c r="DZ3" s="81"/>
      <c r="EA3" s="163"/>
      <c r="EB3" s="111"/>
      <c r="EC3" s="81"/>
      <c r="ED3" s="81"/>
      <c r="EE3" s="81"/>
      <c r="EF3" s="81"/>
      <c r="EG3" s="81"/>
      <c r="EH3" s="81"/>
      <c r="EI3" s="81"/>
      <c r="EJ3" s="81"/>
      <c r="EK3" s="81"/>
      <c r="EL3" s="81"/>
      <c r="EM3" s="81"/>
      <c r="EN3" s="163"/>
      <c r="EO3" s="111"/>
      <c r="EP3" s="81"/>
      <c r="EQ3" s="81"/>
      <c r="ER3" s="81"/>
      <c r="ES3" s="81"/>
      <c r="ET3" s="81"/>
      <c r="EU3" s="81"/>
      <c r="EV3" s="81"/>
      <c r="EW3" s="81"/>
      <c r="EX3" s="81"/>
      <c r="EY3" s="81"/>
      <c r="EZ3" s="81"/>
      <c r="FA3" s="163"/>
      <c r="FB3" s="111"/>
      <c r="FC3" s="81"/>
      <c r="FD3" s="81"/>
      <c r="FE3" s="81"/>
      <c r="FF3" s="81"/>
      <c r="FG3" s="81"/>
      <c r="FH3" s="81"/>
      <c r="FI3" s="81"/>
      <c r="FJ3" s="81"/>
      <c r="FK3" s="81"/>
      <c r="FL3" s="81"/>
      <c r="FM3" s="81"/>
      <c r="FN3" s="163"/>
      <c r="FO3" s="111"/>
      <c r="FP3" s="81"/>
      <c r="FQ3" s="81"/>
      <c r="FR3" s="81"/>
      <c r="FS3" s="81"/>
      <c r="FT3" s="81"/>
      <c r="FU3" s="81"/>
      <c r="FV3" s="81"/>
      <c r="FW3" s="81"/>
      <c r="FX3" s="81"/>
      <c r="FY3" s="81"/>
      <c r="FZ3" s="81"/>
      <c r="GA3" s="163"/>
      <c r="GB3" s="111"/>
      <c r="GC3" s="81"/>
      <c r="GD3" s="81"/>
      <c r="GE3" s="81"/>
      <c r="GF3" s="81"/>
      <c r="GG3" s="81"/>
      <c r="GH3" s="81"/>
      <c r="GI3" s="81"/>
      <c r="GJ3" s="81"/>
      <c r="GK3" s="81"/>
      <c r="GL3" s="81"/>
      <c r="GM3" s="81"/>
      <c r="GN3" s="163"/>
      <c r="GO3" s="111"/>
      <c r="GP3" s="81"/>
      <c r="GQ3" s="81"/>
      <c r="GR3" s="81"/>
      <c r="GS3" s="81"/>
      <c r="GT3" s="81"/>
      <c r="GU3" s="81"/>
      <c r="GV3" s="81"/>
      <c r="GW3" s="81"/>
      <c r="GX3" s="81"/>
      <c r="GY3" s="81"/>
      <c r="GZ3" s="81"/>
      <c r="HA3" s="163"/>
      <c r="HB3" s="111"/>
      <c r="HC3" s="81"/>
      <c r="HD3" s="81"/>
      <c r="HE3" s="81"/>
      <c r="HF3" s="81"/>
      <c r="HG3" s="81"/>
      <c r="HH3" s="81"/>
      <c r="HI3" s="81"/>
      <c r="HJ3" s="81"/>
      <c r="HK3" s="81"/>
      <c r="HL3" s="81"/>
      <c r="HM3" s="81"/>
      <c r="HN3" s="163"/>
      <c r="HO3" s="111"/>
      <c r="HP3" s="81"/>
      <c r="HQ3" s="81"/>
      <c r="HR3" s="81"/>
      <c r="HS3" s="81"/>
      <c r="HT3" s="81"/>
      <c r="HU3" s="81"/>
      <c r="HV3" s="81"/>
      <c r="HW3" s="81"/>
      <c r="HX3" s="81"/>
      <c r="HY3" s="81"/>
      <c r="HZ3" s="81"/>
      <c r="IA3" s="163"/>
      <c r="IB3" s="111"/>
      <c r="IC3" s="81"/>
      <c r="ID3" s="81"/>
      <c r="IE3" s="81"/>
      <c r="IF3" s="81"/>
      <c r="IG3" s="81"/>
      <c r="IH3" s="81"/>
      <c r="II3" s="81"/>
      <c r="IJ3" s="81"/>
      <c r="IK3" s="81"/>
      <c r="IL3" s="81"/>
      <c r="IM3" s="81"/>
      <c r="IN3" s="163"/>
      <c r="IO3" s="111"/>
      <c r="IP3" s="81"/>
      <c r="IQ3" s="81"/>
      <c r="IR3" s="81"/>
      <c r="IS3" s="81"/>
      <c r="IT3" s="81"/>
      <c r="IU3" s="81"/>
      <c r="IV3" s="81"/>
      <c r="IW3" s="81"/>
      <c r="IX3" s="81"/>
      <c r="IY3" s="81"/>
      <c r="IZ3" s="81"/>
      <c r="JA3" s="163"/>
      <c r="JB3" s="111"/>
      <c r="JC3" s="81"/>
      <c r="JD3" s="81"/>
      <c r="JE3" s="81"/>
      <c r="JF3" s="81"/>
      <c r="JG3" s="81"/>
      <c r="JH3" s="81"/>
      <c r="JI3" s="81"/>
      <c r="JJ3" s="81"/>
      <c r="JK3" s="81"/>
      <c r="JL3" s="81"/>
      <c r="JM3" s="81"/>
      <c r="JN3" s="163"/>
      <c r="JO3" s="111"/>
      <c r="JP3" s="81"/>
      <c r="JQ3" s="81"/>
      <c r="JR3" s="81"/>
      <c r="JS3" s="81"/>
      <c r="JT3" s="81"/>
      <c r="JU3" s="81"/>
      <c r="JV3" s="81"/>
      <c r="JW3" s="81"/>
      <c r="JX3" s="81"/>
      <c r="JY3" s="81"/>
      <c r="JZ3" s="81"/>
      <c r="KA3" s="163"/>
      <c r="KB3" s="111"/>
      <c r="KC3" s="81"/>
      <c r="KD3" s="81"/>
      <c r="KE3" s="81"/>
      <c r="KF3" s="81"/>
      <c r="KG3" s="81"/>
      <c r="KH3" s="81"/>
      <c r="KI3" s="81"/>
      <c r="KJ3" s="81"/>
      <c r="KK3" s="81"/>
      <c r="KL3" s="81"/>
      <c r="KM3" s="81"/>
      <c r="KN3" s="163"/>
      <c r="KO3" s="111"/>
      <c r="KP3" s="81"/>
      <c r="KQ3" s="81"/>
      <c r="KR3" s="81"/>
      <c r="KS3" s="81"/>
      <c r="KT3" s="81"/>
      <c r="KU3" s="81"/>
      <c r="KV3" s="81"/>
      <c r="KW3" s="81"/>
      <c r="KX3" s="81"/>
      <c r="KY3" s="81"/>
      <c r="KZ3" s="81"/>
      <c r="LA3" s="163"/>
      <c r="LB3" s="111"/>
      <c r="LC3" s="81"/>
      <c r="LD3" s="81"/>
      <c r="LE3" s="81"/>
      <c r="LF3" s="81"/>
      <c r="LG3" s="81"/>
      <c r="LH3" s="81"/>
      <c r="LI3" s="81"/>
      <c r="LJ3" s="81"/>
      <c r="LK3" s="81"/>
      <c r="LL3" s="81"/>
      <c r="LM3" s="81"/>
      <c r="LN3" s="163"/>
      <c r="LO3" s="111"/>
      <c r="LP3" s="81"/>
      <c r="LQ3" s="81"/>
      <c r="LR3" s="81"/>
      <c r="LS3" s="81"/>
      <c r="LT3" s="81"/>
      <c r="LU3" s="81"/>
      <c r="LV3" s="81"/>
      <c r="LW3" s="81"/>
      <c r="LX3" s="81"/>
      <c r="LY3" s="81"/>
      <c r="LZ3" s="81"/>
      <c r="MA3" s="163"/>
      <c r="MB3" s="111"/>
      <c r="MC3" s="81"/>
      <c r="MD3" s="81"/>
      <c r="ME3" s="81"/>
      <c r="MF3" s="81"/>
      <c r="MG3" s="81"/>
      <c r="MH3" s="81"/>
      <c r="MI3" s="81"/>
      <c r="MJ3" s="81"/>
      <c r="MK3" s="81"/>
      <c r="ML3" s="81"/>
      <c r="MM3" s="81"/>
      <c r="MN3" s="163"/>
      <c r="MO3" s="111"/>
      <c r="MP3" s="81"/>
      <c r="MQ3" s="81"/>
      <c r="MR3" s="81"/>
      <c r="MS3" s="81"/>
      <c r="MT3" s="81"/>
      <c r="MU3" s="81"/>
      <c r="MV3" s="81"/>
      <c r="MW3" s="81"/>
      <c r="MX3" s="81"/>
      <c r="MY3" s="81"/>
      <c r="MZ3" s="81"/>
      <c r="NA3" s="163"/>
      <c r="NB3" s="111"/>
      <c r="NC3" s="81"/>
      <c r="ND3" s="81"/>
      <c r="NE3" s="81"/>
      <c r="NF3" s="81"/>
      <c r="NG3" s="81"/>
      <c r="NH3" s="81"/>
      <c r="NI3" s="81"/>
      <c r="NJ3" s="81"/>
      <c r="NK3" s="81"/>
      <c r="NL3" s="81"/>
      <c r="NM3" s="81"/>
      <c r="NN3" s="163"/>
      <c r="NO3" s="111"/>
      <c r="NP3" s="81"/>
      <c r="NQ3" s="81"/>
      <c r="NR3" s="81"/>
      <c r="NS3" s="81"/>
      <c r="NT3" s="81"/>
      <c r="NU3" s="81"/>
      <c r="NV3" s="81"/>
      <c r="NW3" s="81"/>
      <c r="NX3" s="81"/>
      <c r="NY3" s="81"/>
      <c r="NZ3" s="81"/>
      <c r="OA3" s="163"/>
      <c r="OB3" s="111"/>
      <c r="OC3" s="81"/>
      <c r="OD3" s="81"/>
      <c r="OE3" s="81"/>
      <c r="OF3" s="81"/>
      <c r="OG3" s="81"/>
      <c r="OH3" s="81"/>
      <c r="OI3" s="81"/>
      <c r="OJ3" s="81"/>
      <c r="OK3" s="81"/>
      <c r="OL3" s="81"/>
      <c r="OM3" s="81"/>
      <c r="ON3" s="163"/>
      <c r="OO3" s="111"/>
      <c r="OP3" s="81"/>
      <c r="OQ3" s="81"/>
      <c r="OR3" s="81"/>
      <c r="OS3" s="81"/>
      <c r="OT3" s="81"/>
      <c r="OU3" s="81"/>
      <c r="OV3" s="81"/>
      <c r="OW3" s="81"/>
      <c r="OX3" s="81"/>
      <c r="OY3" s="81"/>
      <c r="OZ3" s="81"/>
      <c r="PA3" s="163"/>
      <c r="PB3" s="111"/>
      <c r="PC3" s="81"/>
      <c r="PD3" s="81"/>
      <c r="PE3" s="81"/>
      <c r="PF3" s="81"/>
      <c r="PG3" s="81"/>
      <c r="PH3" s="81"/>
      <c r="PI3" s="81"/>
      <c r="PJ3" s="81"/>
      <c r="PK3" s="81"/>
      <c r="PL3" s="81"/>
      <c r="PM3" s="81"/>
      <c r="PN3" s="163"/>
      <c r="PO3" s="111"/>
      <c r="PP3" s="81"/>
      <c r="PQ3" s="81"/>
      <c r="PR3" s="81"/>
      <c r="PS3" s="81"/>
      <c r="PT3" s="81"/>
      <c r="PU3" s="81"/>
      <c r="PV3" s="81"/>
      <c r="PW3" s="81"/>
      <c r="PX3" s="81"/>
      <c r="PY3" s="81"/>
      <c r="PZ3" s="81"/>
      <c r="QA3" s="163"/>
      <c r="QB3" s="111"/>
      <c r="QC3" s="81"/>
      <c r="QD3" s="81"/>
      <c r="QE3" s="81"/>
      <c r="QF3" s="81"/>
      <c r="QG3" s="81"/>
      <c r="QH3" s="81"/>
      <c r="QI3" s="81"/>
      <c r="QJ3" s="81"/>
      <c r="QK3" s="81"/>
      <c r="QL3" s="81"/>
      <c r="QM3" s="81"/>
      <c r="QN3" s="163"/>
      <c r="QO3" s="111"/>
      <c r="QP3" s="81"/>
      <c r="QQ3" s="81"/>
      <c r="QR3" s="81"/>
      <c r="QS3" s="81"/>
      <c r="QT3" s="81"/>
      <c r="QU3" s="81"/>
      <c r="QV3" s="81"/>
      <c r="QW3" s="81"/>
      <c r="QX3" s="81"/>
      <c r="QY3" s="81"/>
      <c r="QZ3" s="81"/>
      <c r="RA3" s="163"/>
      <c r="RB3" s="111"/>
      <c r="RC3" s="81"/>
      <c r="RD3" s="81"/>
      <c r="RE3" s="81"/>
      <c r="RF3" s="81"/>
      <c r="RG3" s="81"/>
      <c r="RH3" s="81"/>
      <c r="RI3" s="81"/>
      <c r="RJ3" s="81"/>
      <c r="RK3" s="81"/>
      <c r="RL3" s="81"/>
      <c r="RM3" s="81"/>
      <c r="RN3" s="163"/>
      <c r="RO3" s="111"/>
      <c r="RP3" s="81"/>
      <c r="RQ3" s="81"/>
      <c r="RR3" s="81"/>
      <c r="RS3" s="81"/>
      <c r="RT3" s="81"/>
      <c r="RU3" s="81"/>
      <c r="RV3" s="81"/>
      <c r="RW3" s="81"/>
      <c r="RX3" s="81"/>
      <c r="RY3" s="81"/>
      <c r="RZ3" s="81"/>
      <c r="SA3" s="163"/>
      <c r="SB3" s="111"/>
      <c r="SC3" s="81"/>
      <c r="SD3" s="81"/>
      <c r="SE3" s="81"/>
      <c r="SF3" s="81"/>
      <c r="SG3" s="81"/>
      <c r="SH3" s="81"/>
      <c r="SI3" s="81"/>
      <c r="SJ3" s="81"/>
      <c r="SK3" s="81"/>
      <c r="SL3" s="81"/>
      <c r="SM3" s="81"/>
      <c r="SN3" s="163"/>
      <c r="SO3" s="111"/>
      <c r="SP3" s="81"/>
      <c r="SQ3" s="81"/>
      <c r="SR3" s="81"/>
      <c r="SS3" s="81"/>
      <c r="ST3" s="81"/>
      <c r="SU3" s="81"/>
      <c r="SV3" s="81"/>
      <c r="SW3" s="81"/>
      <c r="SX3" s="81"/>
      <c r="SY3" s="81"/>
      <c r="SZ3" s="81"/>
      <c r="TA3" s="163"/>
      <c r="TB3" s="111"/>
      <c r="TC3" s="81"/>
      <c r="TD3" s="81"/>
      <c r="TE3" s="81"/>
      <c r="TF3" s="81"/>
      <c r="TG3" s="81"/>
      <c r="TH3" s="81"/>
      <c r="TI3" s="81"/>
      <c r="TJ3" s="81"/>
      <c r="TK3" s="81"/>
      <c r="TL3" s="81"/>
      <c r="TM3" s="81"/>
      <c r="TN3" s="163"/>
      <c r="TO3" s="111"/>
      <c r="TP3" s="81"/>
      <c r="TQ3" s="81"/>
      <c r="TR3" s="81"/>
      <c r="TS3" s="81"/>
      <c r="TT3" s="81"/>
      <c r="TU3" s="81"/>
      <c r="TV3" s="81"/>
      <c r="TW3" s="81"/>
      <c r="TX3" s="81"/>
      <c r="TY3" s="81"/>
      <c r="TZ3" s="81"/>
      <c r="UA3" s="163"/>
      <c r="UB3" s="111"/>
      <c r="UC3" s="81"/>
      <c r="UD3" s="81"/>
      <c r="UE3" s="81"/>
      <c r="UF3" s="81"/>
      <c r="UG3" s="81"/>
      <c r="UH3" s="81"/>
      <c r="UI3" s="81"/>
      <c r="UJ3" s="81"/>
      <c r="UK3" s="81"/>
      <c r="UL3" s="81"/>
      <c r="UM3" s="81"/>
      <c r="UN3" s="163"/>
      <c r="UO3" s="111"/>
      <c r="UP3" s="81"/>
      <c r="UQ3" s="81"/>
      <c r="UR3" s="81"/>
      <c r="US3" s="81"/>
      <c r="UT3" s="81"/>
      <c r="UU3" s="81"/>
      <c r="UV3" s="81"/>
      <c r="UW3" s="81"/>
      <c r="UX3" s="81"/>
      <c r="UY3" s="81"/>
      <c r="UZ3" s="81"/>
      <c r="VA3" s="163"/>
      <c r="VB3" s="111"/>
      <c r="VC3" s="81"/>
      <c r="VD3" s="81"/>
      <c r="VE3" s="81"/>
      <c r="VF3" s="81"/>
      <c r="VG3" s="81"/>
      <c r="VH3" s="81"/>
      <c r="VI3" s="81"/>
      <c r="VJ3" s="81"/>
      <c r="VK3" s="81"/>
      <c r="VL3" s="81"/>
      <c r="VM3" s="81"/>
      <c r="VN3" s="163"/>
      <c r="VO3" s="111"/>
      <c r="VP3" s="81"/>
      <c r="VQ3" s="81"/>
      <c r="VR3" s="81"/>
      <c r="VS3" s="81"/>
      <c r="VT3" s="81"/>
      <c r="VU3" s="81"/>
      <c r="VV3" s="81"/>
      <c r="VW3" s="81"/>
      <c r="VX3" s="81"/>
      <c r="VY3" s="81"/>
      <c r="VZ3" s="81"/>
      <c r="WA3" s="163"/>
      <c r="WB3" s="111"/>
      <c r="WC3" s="81"/>
      <c r="WD3" s="81"/>
      <c r="WE3" s="81"/>
      <c r="WF3" s="81"/>
      <c r="WG3" s="81"/>
      <c r="WH3" s="81"/>
      <c r="WI3" s="81"/>
      <c r="WJ3" s="81"/>
      <c r="WK3" s="81"/>
      <c r="WL3" s="81"/>
      <c r="WM3" s="81"/>
      <c r="WN3" s="163"/>
      <c r="WO3" s="111"/>
      <c r="WP3" s="81"/>
      <c r="WQ3" s="81"/>
      <c r="WR3" s="81"/>
      <c r="WS3" s="81"/>
      <c r="WT3" s="81"/>
      <c r="WU3" s="81"/>
      <c r="WV3" s="81"/>
      <c r="WW3" s="81"/>
      <c r="WX3" s="81"/>
      <c r="WY3" s="81"/>
      <c r="WZ3" s="81"/>
      <c r="XA3" s="163"/>
      <c r="XB3" s="111"/>
      <c r="XC3" s="81"/>
      <c r="XD3" s="81"/>
      <c r="XE3" s="81"/>
      <c r="XF3" s="81"/>
      <c r="XG3" s="81"/>
      <c r="XH3" s="81"/>
      <c r="XI3" s="81"/>
      <c r="XJ3" s="81"/>
      <c r="XK3" s="81"/>
      <c r="XL3" s="81"/>
      <c r="XM3" s="81"/>
      <c r="XN3" s="163"/>
      <c r="XO3" s="111"/>
      <c r="XP3" s="81"/>
      <c r="XQ3" s="81"/>
      <c r="XR3" s="81"/>
      <c r="XS3" s="81"/>
      <c r="XT3" s="81"/>
      <c r="XU3" s="81"/>
      <c r="XV3" s="81"/>
      <c r="XW3" s="81"/>
      <c r="XX3" s="81"/>
      <c r="XY3" s="81"/>
      <c r="XZ3" s="81"/>
      <c r="YA3" s="163"/>
      <c r="YB3" s="111"/>
      <c r="YC3" s="81"/>
      <c r="YD3" s="81"/>
      <c r="YE3" s="81"/>
      <c r="YF3" s="81"/>
      <c r="YG3" s="81"/>
      <c r="YH3" s="81"/>
      <c r="YI3" s="81"/>
      <c r="YJ3" s="81"/>
      <c r="YK3" s="81"/>
      <c r="YL3" s="81"/>
      <c r="YM3" s="81"/>
      <c r="YN3" s="163"/>
      <c r="YO3" s="111"/>
      <c r="YP3" s="81"/>
      <c r="YQ3" s="81"/>
      <c r="YR3" s="81"/>
      <c r="YS3" s="81"/>
      <c r="YT3" s="81"/>
      <c r="YU3" s="81"/>
      <c r="YV3" s="81"/>
      <c r="YW3" s="81"/>
      <c r="YX3" s="81"/>
      <c r="YY3" s="81"/>
      <c r="YZ3" s="81"/>
      <c r="ZA3" s="163"/>
      <c r="ZB3" s="111"/>
      <c r="ZC3" s="81"/>
      <c r="ZD3" s="81"/>
      <c r="ZE3" s="81"/>
      <c r="ZF3" s="81"/>
      <c r="ZG3" s="81"/>
      <c r="ZH3" s="81"/>
      <c r="ZI3" s="81"/>
      <c r="ZJ3" s="81"/>
      <c r="ZK3" s="81"/>
      <c r="ZL3" s="81"/>
      <c r="ZM3" s="81"/>
      <c r="ZN3" s="163"/>
      <c r="ZO3" s="111"/>
      <c r="ZP3" s="81"/>
      <c r="ZQ3" s="81"/>
      <c r="ZR3" s="81"/>
      <c r="ZS3" s="81"/>
      <c r="ZT3" s="81"/>
      <c r="ZU3" s="81"/>
      <c r="ZV3" s="81"/>
      <c r="ZW3" s="81"/>
      <c r="ZX3" s="81"/>
      <c r="ZY3" s="81"/>
      <c r="ZZ3" s="81"/>
      <c r="AAA3" s="163"/>
      <c r="AAB3" s="111"/>
      <c r="AAC3" s="81"/>
      <c r="AAD3" s="81"/>
      <c r="AAE3" s="81"/>
      <c r="AAF3" s="81"/>
      <c r="AAG3" s="81"/>
      <c r="AAH3" s="81"/>
      <c r="AAI3" s="81"/>
      <c r="AAJ3" s="81"/>
      <c r="AAK3" s="81"/>
      <c r="AAL3" s="81"/>
      <c r="AAM3" s="81"/>
      <c r="AAN3" s="163"/>
      <c r="AAO3" s="111"/>
      <c r="AAP3" s="81"/>
      <c r="AAQ3" s="81"/>
      <c r="AAR3" s="81"/>
      <c r="AAS3" s="81"/>
      <c r="AAT3" s="81"/>
      <c r="AAU3" s="81"/>
      <c r="AAV3" s="81"/>
      <c r="AAW3" s="81"/>
      <c r="AAX3" s="81"/>
      <c r="AAY3" s="81"/>
      <c r="AAZ3" s="81"/>
      <c r="ABA3" s="163"/>
      <c r="ABB3" s="111"/>
      <c r="ABC3" s="81"/>
      <c r="ABD3" s="81"/>
      <c r="ABE3" s="81"/>
      <c r="ABF3" s="81"/>
      <c r="ABG3" s="81"/>
      <c r="ABH3" s="81"/>
      <c r="ABI3" s="81"/>
      <c r="ABJ3" s="81"/>
      <c r="ABK3" s="81"/>
      <c r="ABL3" s="81"/>
      <c r="ABM3" s="81"/>
      <c r="ABN3" s="163"/>
      <c r="ABO3" s="111"/>
      <c r="ABP3" s="81"/>
      <c r="ABQ3" s="81"/>
      <c r="ABR3" s="81"/>
      <c r="ABS3" s="81"/>
      <c r="ABT3" s="81"/>
      <c r="ABU3" s="81"/>
      <c r="ABV3" s="81"/>
      <c r="ABW3" s="81"/>
      <c r="ABX3" s="81"/>
      <c r="ABY3" s="81"/>
      <c r="ABZ3" s="81"/>
      <c r="ACA3" s="163"/>
      <c r="ACB3" s="111"/>
      <c r="ACC3" s="81"/>
      <c r="ACD3" s="81"/>
      <c r="ACE3" s="81"/>
      <c r="ACF3" s="81"/>
      <c r="ACG3" s="81"/>
      <c r="ACH3" s="81"/>
      <c r="ACI3" s="81"/>
      <c r="ACJ3" s="81"/>
      <c r="ACK3" s="81"/>
      <c r="ACL3" s="81"/>
      <c r="ACM3" s="81"/>
      <c r="ACN3" s="163"/>
      <c r="ACO3" s="111"/>
      <c r="ACP3" s="81"/>
      <c r="ACQ3" s="81"/>
      <c r="ACR3" s="81"/>
      <c r="ACS3" s="81"/>
      <c r="ACT3" s="81"/>
      <c r="ACU3" s="81"/>
      <c r="ACV3" s="81"/>
      <c r="ACW3" s="81"/>
      <c r="ACX3" s="81"/>
      <c r="ACY3" s="81"/>
      <c r="ACZ3" s="81"/>
      <c r="ADA3" s="163"/>
      <c r="ADB3" s="111"/>
      <c r="ADC3" s="81"/>
      <c r="ADD3" s="81"/>
      <c r="ADE3" s="81"/>
      <c r="ADF3" s="81"/>
      <c r="ADG3" s="81"/>
      <c r="ADH3" s="81"/>
      <c r="ADI3" s="81"/>
      <c r="ADJ3" s="81"/>
      <c r="ADK3" s="81"/>
      <c r="ADL3" s="81"/>
      <c r="ADM3" s="81"/>
      <c r="ADN3" s="163"/>
      <c r="ADO3" s="111"/>
      <c r="ADP3" s="81"/>
      <c r="ADQ3" s="81"/>
      <c r="ADR3" s="81"/>
      <c r="ADS3" s="81"/>
      <c r="ADT3" s="81"/>
      <c r="ADU3" s="81"/>
      <c r="ADV3" s="81"/>
      <c r="ADW3" s="81"/>
      <c r="ADX3" s="81"/>
      <c r="ADY3" s="81"/>
      <c r="ADZ3" s="81"/>
      <c r="AEA3" s="163"/>
      <c r="AEB3" s="111"/>
      <c r="AEC3" s="81"/>
      <c r="AED3" s="81"/>
      <c r="AEE3" s="81"/>
      <c r="AEF3" s="81"/>
      <c r="AEG3" s="81"/>
      <c r="AEH3" s="81"/>
      <c r="AEI3" s="81"/>
      <c r="AEJ3" s="81"/>
      <c r="AEK3" s="81"/>
      <c r="AEL3" s="81"/>
      <c r="AEM3" s="81"/>
      <c r="AEN3" s="163"/>
    </row>
    <row r="4" spans="1:820">
      <c r="A4" s="163"/>
      <c r="B4" s="161" t="s">
        <v>320</v>
      </c>
      <c r="C4" s="161" t="s">
        <v>211</v>
      </c>
      <c r="D4" s="161" t="s">
        <v>212</v>
      </c>
      <c r="E4" s="161" t="s">
        <v>213</v>
      </c>
      <c r="F4" s="161" t="s">
        <v>214</v>
      </c>
      <c r="G4" s="161" t="s">
        <v>215</v>
      </c>
      <c r="H4" s="161" t="s">
        <v>216</v>
      </c>
      <c r="I4" s="161" t="s">
        <v>217</v>
      </c>
      <c r="J4" s="161" t="s">
        <v>218</v>
      </c>
      <c r="K4" s="161" t="s">
        <v>219</v>
      </c>
      <c r="L4" s="161" t="s">
        <v>220</v>
      </c>
      <c r="M4" s="161" t="s">
        <v>221</v>
      </c>
      <c r="N4" s="81"/>
      <c r="O4" s="161" t="s">
        <v>320</v>
      </c>
      <c r="P4" s="161" t="s">
        <v>211</v>
      </c>
      <c r="Q4" s="161" t="s">
        <v>212</v>
      </c>
      <c r="R4" s="161" t="s">
        <v>213</v>
      </c>
      <c r="S4" s="161" t="s">
        <v>214</v>
      </c>
      <c r="T4" s="161" t="s">
        <v>215</v>
      </c>
      <c r="U4" s="161" t="s">
        <v>216</v>
      </c>
      <c r="V4" s="161" t="s">
        <v>217</v>
      </c>
      <c r="W4" s="161" t="s">
        <v>218</v>
      </c>
      <c r="X4" s="161" t="s">
        <v>219</v>
      </c>
      <c r="Y4" s="161" t="s">
        <v>220</v>
      </c>
      <c r="Z4" s="161" t="s">
        <v>221</v>
      </c>
      <c r="AA4" s="81"/>
      <c r="AB4" s="161" t="s">
        <v>320</v>
      </c>
      <c r="AC4" s="161" t="s">
        <v>211</v>
      </c>
      <c r="AD4" s="161" t="s">
        <v>212</v>
      </c>
      <c r="AE4" s="161" t="s">
        <v>213</v>
      </c>
      <c r="AF4" s="161" t="s">
        <v>214</v>
      </c>
      <c r="AG4" s="161" t="s">
        <v>215</v>
      </c>
      <c r="AH4" s="161" t="s">
        <v>216</v>
      </c>
      <c r="AI4" s="161" t="s">
        <v>217</v>
      </c>
      <c r="AJ4" s="161" t="s">
        <v>218</v>
      </c>
      <c r="AK4" s="161" t="s">
        <v>219</v>
      </c>
      <c r="AL4" s="161" t="s">
        <v>220</v>
      </c>
      <c r="AM4" s="161" t="s">
        <v>221</v>
      </c>
      <c r="AN4" s="163"/>
      <c r="AO4" s="161" t="s">
        <v>320</v>
      </c>
      <c r="AP4" s="161" t="s">
        <v>211</v>
      </c>
      <c r="AQ4" s="161" t="s">
        <v>212</v>
      </c>
      <c r="AR4" s="161" t="s">
        <v>213</v>
      </c>
      <c r="AS4" s="161" t="s">
        <v>214</v>
      </c>
      <c r="AT4" s="161" t="s">
        <v>215</v>
      </c>
      <c r="AU4" s="161" t="s">
        <v>216</v>
      </c>
      <c r="AV4" s="161" t="s">
        <v>217</v>
      </c>
      <c r="AW4" s="161" t="s">
        <v>218</v>
      </c>
      <c r="AX4" s="161" t="s">
        <v>219</v>
      </c>
      <c r="AY4" s="161" t="s">
        <v>220</v>
      </c>
      <c r="AZ4" s="161" t="s">
        <v>221</v>
      </c>
      <c r="BA4" s="163"/>
      <c r="BB4" s="161" t="s">
        <v>320</v>
      </c>
      <c r="BC4" s="161" t="s">
        <v>211</v>
      </c>
      <c r="BD4" s="161" t="s">
        <v>212</v>
      </c>
      <c r="BE4" s="161" t="s">
        <v>213</v>
      </c>
      <c r="BF4" s="161" t="s">
        <v>214</v>
      </c>
      <c r="BG4" s="161" t="s">
        <v>215</v>
      </c>
      <c r="BH4" s="161" t="s">
        <v>216</v>
      </c>
      <c r="BI4" s="161" t="s">
        <v>217</v>
      </c>
      <c r="BJ4" s="161" t="s">
        <v>218</v>
      </c>
      <c r="BK4" s="161" t="s">
        <v>219</v>
      </c>
      <c r="BL4" s="161" t="s">
        <v>220</v>
      </c>
      <c r="BM4" s="161" t="s">
        <v>221</v>
      </c>
      <c r="BN4" s="163"/>
      <c r="BO4" s="161" t="s">
        <v>320</v>
      </c>
      <c r="BP4" s="161" t="s">
        <v>211</v>
      </c>
      <c r="BQ4" s="161" t="s">
        <v>212</v>
      </c>
      <c r="BR4" s="161" t="s">
        <v>213</v>
      </c>
      <c r="BS4" s="161" t="s">
        <v>214</v>
      </c>
      <c r="BT4" s="161" t="s">
        <v>215</v>
      </c>
      <c r="BU4" s="161" t="s">
        <v>216</v>
      </c>
      <c r="BV4" s="161" t="s">
        <v>217</v>
      </c>
      <c r="BW4" s="161" t="s">
        <v>218</v>
      </c>
      <c r="BX4" s="161" t="s">
        <v>219</v>
      </c>
      <c r="BY4" s="161" t="s">
        <v>220</v>
      </c>
      <c r="BZ4" s="161" t="s">
        <v>221</v>
      </c>
      <c r="CA4" s="163"/>
      <c r="CB4" s="161" t="s">
        <v>320</v>
      </c>
      <c r="CC4" s="161" t="s">
        <v>211</v>
      </c>
      <c r="CD4" s="161" t="s">
        <v>212</v>
      </c>
      <c r="CE4" s="161" t="s">
        <v>213</v>
      </c>
      <c r="CF4" s="161" t="s">
        <v>214</v>
      </c>
      <c r="CG4" s="161" t="s">
        <v>215</v>
      </c>
      <c r="CH4" s="161" t="s">
        <v>216</v>
      </c>
      <c r="CI4" s="161" t="s">
        <v>217</v>
      </c>
      <c r="CJ4" s="161" t="s">
        <v>218</v>
      </c>
      <c r="CK4" s="161" t="s">
        <v>219</v>
      </c>
      <c r="CL4" s="161" t="s">
        <v>220</v>
      </c>
      <c r="CM4" s="161" t="s">
        <v>221</v>
      </c>
      <c r="CN4" s="163"/>
      <c r="CO4" s="161" t="s">
        <v>320</v>
      </c>
      <c r="CP4" s="161" t="s">
        <v>211</v>
      </c>
      <c r="CQ4" s="161" t="s">
        <v>212</v>
      </c>
      <c r="CR4" s="161" t="s">
        <v>213</v>
      </c>
      <c r="CS4" s="161" t="s">
        <v>214</v>
      </c>
      <c r="CT4" s="161" t="s">
        <v>215</v>
      </c>
      <c r="CU4" s="161" t="s">
        <v>216</v>
      </c>
      <c r="CV4" s="161" t="s">
        <v>217</v>
      </c>
      <c r="CW4" s="161" t="s">
        <v>218</v>
      </c>
      <c r="CX4" s="161" t="s">
        <v>219</v>
      </c>
      <c r="CY4" s="161" t="s">
        <v>220</v>
      </c>
      <c r="CZ4" s="161" t="s">
        <v>221</v>
      </c>
      <c r="DA4" s="163"/>
      <c r="DB4" s="161" t="s">
        <v>320</v>
      </c>
      <c r="DC4" s="161" t="s">
        <v>211</v>
      </c>
      <c r="DD4" s="161" t="s">
        <v>212</v>
      </c>
      <c r="DE4" s="161" t="s">
        <v>213</v>
      </c>
      <c r="DF4" s="161" t="s">
        <v>214</v>
      </c>
      <c r="DG4" s="161" t="s">
        <v>215</v>
      </c>
      <c r="DH4" s="161" t="s">
        <v>216</v>
      </c>
      <c r="DI4" s="161" t="s">
        <v>217</v>
      </c>
      <c r="DJ4" s="161" t="s">
        <v>218</v>
      </c>
      <c r="DK4" s="161" t="s">
        <v>219</v>
      </c>
      <c r="DL4" s="161" t="s">
        <v>220</v>
      </c>
      <c r="DM4" s="161" t="s">
        <v>221</v>
      </c>
      <c r="DN4" s="163"/>
      <c r="DO4" s="161" t="s">
        <v>320</v>
      </c>
      <c r="DP4" s="161" t="s">
        <v>211</v>
      </c>
      <c r="DQ4" s="161" t="s">
        <v>212</v>
      </c>
      <c r="DR4" s="161" t="s">
        <v>213</v>
      </c>
      <c r="DS4" s="161" t="s">
        <v>214</v>
      </c>
      <c r="DT4" s="161" t="s">
        <v>215</v>
      </c>
      <c r="DU4" s="161" t="s">
        <v>216</v>
      </c>
      <c r="DV4" s="161" t="s">
        <v>217</v>
      </c>
      <c r="DW4" s="161" t="s">
        <v>218</v>
      </c>
      <c r="DX4" s="161" t="s">
        <v>219</v>
      </c>
      <c r="DY4" s="161" t="s">
        <v>220</v>
      </c>
      <c r="DZ4" s="161" t="s">
        <v>221</v>
      </c>
      <c r="EA4" s="163"/>
      <c r="EB4" s="161" t="s">
        <v>320</v>
      </c>
      <c r="EC4" s="161" t="s">
        <v>211</v>
      </c>
      <c r="ED4" s="161" t="s">
        <v>212</v>
      </c>
      <c r="EE4" s="161" t="s">
        <v>213</v>
      </c>
      <c r="EF4" s="161" t="s">
        <v>214</v>
      </c>
      <c r="EG4" s="161" t="s">
        <v>215</v>
      </c>
      <c r="EH4" s="161" t="s">
        <v>216</v>
      </c>
      <c r="EI4" s="161" t="s">
        <v>217</v>
      </c>
      <c r="EJ4" s="161" t="s">
        <v>218</v>
      </c>
      <c r="EK4" s="161" t="s">
        <v>219</v>
      </c>
      <c r="EL4" s="161" t="s">
        <v>220</v>
      </c>
      <c r="EM4" s="161" t="s">
        <v>221</v>
      </c>
      <c r="EN4" s="163"/>
      <c r="EO4" s="161" t="s">
        <v>320</v>
      </c>
      <c r="EP4" s="161" t="s">
        <v>211</v>
      </c>
      <c r="EQ4" s="161" t="s">
        <v>212</v>
      </c>
      <c r="ER4" s="161" t="s">
        <v>213</v>
      </c>
      <c r="ES4" s="161" t="s">
        <v>214</v>
      </c>
      <c r="ET4" s="161" t="s">
        <v>215</v>
      </c>
      <c r="EU4" s="161" t="s">
        <v>216</v>
      </c>
      <c r="EV4" s="161" t="s">
        <v>217</v>
      </c>
      <c r="EW4" s="161" t="s">
        <v>218</v>
      </c>
      <c r="EX4" s="161" t="s">
        <v>219</v>
      </c>
      <c r="EY4" s="161" t="s">
        <v>220</v>
      </c>
      <c r="EZ4" s="161" t="s">
        <v>221</v>
      </c>
      <c r="FA4" s="163"/>
      <c r="FB4" s="161" t="s">
        <v>320</v>
      </c>
      <c r="FC4" s="161" t="s">
        <v>211</v>
      </c>
      <c r="FD4" s="161" t="s">
        <v>212</v>
      </c>
      <c r="FE4" s="161" t="s">
        <v>213</v>
      </c>
      <c r="FF4" s="161" t="s">
        <v>214</v>
      </c>
      <c r="FG4" s="161" t="s">
        <v>215</v>
      </c>
      <c r="FH4" s="161" t="s">
        <v>216</v>
      </c>
      <c r="FI4" s="161" t="s">
        <v>217</v>
      </c>
      <c r="FJ4" s="161" t="s">
        <v>218</v>
      </c>
      <c r="FK4" s="161" t="s">
        <v>219</v>
      </c>
      <c r="FL4" s="161" t="s">
        <v>220</v>
      </c>
      <c r="FM4" s="161" t="s">
        <v>221</v>
      </c>
      <c r="FN4" s="163"/>
      <c r="FO4" s="161" t="s">
        <v>320</v>
      </c>
      <c r="FP4" s="161" t="s">
        <v>211</v>
      </c>
      <c r="FQ4" s="161" t="s">
        <v>212</v>
      </c>
      <c r="FR4" s="161" t="s">
        <v>213</v>
      </c>
      <c r="FS4" s="161" t="s">
        <v>214</v>
      </c>
      <c r="FT4" s="161" t="s">
        <v>215</v>
      </c>
      <c r="FU4" s="161" t="s">
        <v>216</v>
      </c>
      <c r="FV4" s="161" t="s">
        <v>217</v>
      </c>
      <c r="FW4" s="161" t="s">
        <v>218</v>
      </c>
      <c r="FX4" s="161" t="s">
        <v>219</v>
      </c>
      <c r="FY4" s="161" t="s">
        <v>220</v>
      </c>
      <c r="FZ4" s="161" t="s">
        <v>221</v>
      </c>
      <c r="GA4" s="163"/>
      <c r="GB4" s="161" t="s">
        <v>320</v>
      </c>
      <c r="GC4" s="161" t="s">
        <v>211</v>
      </c>
      <c r="GD4" s="161" t="s">
        <v>212</v>
      </c>
      <c r="GE4" s="161" t="s">
        <v>213</v>
      </c>
      <c r="GF4" s="161" t="s">
        <v>214</v>
      </c>
      <c r="GG4" s="161" t="s">
        <v>215</v>
      </c>
      <c r="GH4" s="161" t="s">
        <v>216</v>
      </c>
      <c r="GI4" s="161" t="s">
        <v>217</v>
      </c>
      <c r="GJ4" s="161" t="s">
        <v>218</v>
      </c>
      <c r="GK4" s="161" t="s">
        <v>219</v>
      </c>
      <c r="GL4" s="161" t="s">
        <v>220</v>
      </c>
      <c r="GM4" s="161" t="s">
        <v>221</v>
      </c>
      <c r="GN4" s="163"/>
      <c r="GO4" s="161" t="s">
        <v>320</v>
      </c>
      <c r="GP4" s="161" t="s">
        <v>211</v>
      </c>
      <c r="GQ4" s="161" t="s">
        <v>212</v>
      </c>
      <c r="GR4" s="161" t="s">
        <v>213</v>
      </c>
      <c r="GS4" s="161" t="s">
        <v>214</v>
      </c>
      <c r="GT4" s="161" t="s">
        <v>215</v>
      </c>
      <c r="GU4" s="161" t="s">
        <v>216</v>
      </c>
      <c r="GV4" s="161" t="s">
        <v>217</v>
      </c>
      <c r="GW4" s="161" t="s">
        <v>218</v>
      </c>
      <c r="GX4" s="161" t="s">
        <v>219</v>
      </c>
      <c r="GY4" s="161" t="s">
        <v>220</v>
      </c>
      <c r="GZ4" s="161" t="s">
        <v>221</v>
      </c>
      <c r="HA4" s="163"/>
      <c r="HB4" s="161" t="s">
        <v>320</v>
      </c>
      <c r="HC4" s="161" t="s">
        <v>211</v>
      </c>
      <c r="HD4" s="161" t="s">
        <v>212</v>
      </c>
      <c r="HE4" s="161" t="s">
        <v>213</v>
      </c>
      <c r="HF4" s="161" t="s">
        <v>214</v>
      </c>
      <c r="HG4" s="161" t="s">
        <v>215</v>
      </c>
      <c r="HH4" s="161" t="s">
        <v>216</v>
      </c>
      <c r="HI4" s="161" t="s">
        <v>217</v>
      </c>
      <c r="HJ4" s="161" t="s">
        <v>218</v>
      </c>
      <c r="HK4" s="161" t="s">
        <v>219</v>
      </c>
      <c r="HL4" s="161" t="s">
        <v>220</v>
      </c>
      <c r="HM4" s="161" t="s">
        <v>221</v>
      </c>
      <c r="HN4" s="163"/>
      <c r="HO4" s="161" t="s">
        <v>320</v>
      </c>
      <c r="HP4" s="161" t="s">
        <v>211</v>
      </c>
      <c r="HQ4" s="161" t="s">
        <v>212</v>
      </c>
      <c r="HR4" s="161" t="s">
        <v>213</v>
      </c>
      <c r="HS4" s="161" t="s">
        <v>214</v>
      </c>
      <c r="HT4" s="161" t="s">
        <v>215</v>
      </c>
      <c r="HU4" s="161" t="s">
        <v>216</v>
      </c>
      <c r="HV4" s="161" t="s">
        <v>217</v>
      </c>
      <c r="HW4" s="161" t="s">
        <v>218</v>
      </c>
      <c r="HX4" s="161" t="s">
        <v>219</v>
      </c>
      <c r="HY4" s="161" t="s">
        <v>220</v>
      </c>
      <c r="HZ4" s="161" t="s">
        <v>221</v>
      </c>
      <c r="IA4" s="163"/>
      <c r="IB4" s="161" t="s">
        <v>320</v>
      </c>
      <c r="IC4" s="161" t="s">
        <v>211</v>
      </c>
      <c r="ID4" s="161" t="s">
        <v>212</v>
      </c>
      <c r="IE4" s="161" t="s">
        <v>213</v>
      </c>
      <c r="IF4" s="161" t="s">
        <v>214</v>
      </c>
      <c r="IG4" s="161" t="s">
        <v>215</v>
      </c>
      <c r="IH4" s="161" t="s">
        <v>216</v>
      </c>
      <c r="II4" s="161" t="s">
        <v>217</v>
      </c>
      <c r="IJ4" s="161" t="s">
        <v>218</v>
      </c>
      <c r="IK4" s="161" t="s">
        <v>219</v>
      </c>
      <c r="IL4" s="161" t="s">
        <v>220</v>
      </c>
      <c r="IM4" s="161" t="s">
        <v>221</v>
      </c>
      <c r="IN4" s="163"/>
      <c r="IO4" s="161" t="s">
        <v>320</v>
      </c>
      <c r="IP4" s="161" t="s">
        <v>211</v>
      </c>
      <c r="IQ4" s="161" t="s">
        <v>212</v>
      </c>
      <c r="IR4" s="161" t="s">
        <v>213</v>
      </c>
      <c r="IS4" s="161" t="s">
        <v>214</v>
      </c>
      <c r="IT4" s="161" t="s">
        <v>215</v>
      </c>
      <c r="IU4" s="161" t="s">
        <v>216</v>
      </c>
      <c r="IV4" s="161" t="s">
        <v>217</v>
      </c>
      <c r="IW4" s="161" t="s">
        <v>218</v>
      </c>
      <c r="IX4" s="161" t="s">
        <v>219</v>
      </c>
      <c r="IY4" s="161" t="s">
        <v>220</v>
      </c>
      <c r="IZ4" s="161" t="s">
        <v>221</v>
      </c>
      <c r="JA4" s="163"/>
      <c r="JB4" s="161" t="s">
        <v>320</v>
      </c>
      <c r="JC4" s="161" t="s">
        <v>211</v>
      </c>
      <c r="JD4" s="161" t="s">
        <v>212</v>
      </c>
      <c r="JE4" s="161" t="s">
        <v>213</v>
      </c>
      <c r="JF4" s="161" t="s">
        <v>214</v>
      </c>
      <c r="JG4" s="161" t="s">
        <v>215</v>
      </c>
      <c r="JH4" s="161" t="s">
        <v>216</v>
      </c>
      <c r="JI4" s="161" t="s">
        <v>217</v>
      </c>
      <c r="JJ4" s="161" t="s">
        <v>218</v>
      </c>
      <c r="JK4" s="161" t="s">
        <v>219</v>
      </c>
      <c r="JL4" s="161" t="s">
        <v>220</v>
      </c>
      <c r="JM4" s="161" t="s">
        <v>221</v>
      </c>
      <c r="JN4" s="163"/>
      <c r="JO4" s="162" t="s">
        <v>320</v>
      </c>
      <c r="JP4" s="162" t="s">
        <v>211</v>
      </c>
      <c r="JQ4" s="162" t="s">
        <v>212</v>
      </c>
      <c r="JR4" s="162" t="s">
        <v>213</v>
      </c>
      <c r="JS4" s="162" t="s">
        <v>214</v>
      </c>
      <c r="JT4" s="162" t="s">
        <v>215</v>
      </c>
      <c r="JU4" s="162" t="s">
        <v>216</v>
      </c>
      <c r="JV4" s="162" t="s">
        <v>217</v>
      </c>
      <c r="JW4" s="162" t="s">
        <v>218</v>
      </c>
      <c r="JX4" s="162" t="s">
        <v>219</v>
      </c>
      <c r="JY4" s="162" t="s">
        <v>220</v>
      </c>
      <c r="JZ4" s="162" t="s">
        <v>221</v>
      </c>
      <c r="KA4" s="163"/>
      <c r="KB4" s="162" t="s">
        <v>320</v>
      </c>
      <c r="KC4" s="162" t="s">
        <v>211</v>
      </c>
      <c r="KD4" s="162" t="s">
        <v>212</v>
      </c>
      <c r="KE4" s="162" t="s">
        <v>213</v>
      </c>
      <c r="KF4" s="162" t="s">
        <v>214</v>
      </c>
      <c r="KG4" s="162" t="s">
        <v>215</v>
      </c>
      <c r="KH4" s="162" t="s">
        <v>216</v>
      </c>
      <c r="KI4" s="162" t="s">
        <v>217</v>
      </c>
      <c r="KJ4" s="162" t="s">
        <v>218</v>
      </c>
      <c r="KK4" s="162" t="s">
        <v>219</v>
      </c>
      <c r="KL4" s="162" t="s">
        <v>220</v>
      </c>
      <c r="KM4" s="162" t="s">
        <v>221</v>
      </c>
      <c r="KN4" s="163"/>
      <c r="KO4" s="162" t="s">
        <v>320</v>
      </c>
      <c r="KP4" s="162" t="s">
        <v>211</v>
      </c>
      <c r="KQ4" s="162" t="s">
        <v>212</v>
      </c>
      <c r="KR4" s="162" t="s">
        <v>213</v>
      </c>
      <c r="KS4" s="162" t="s">
        <v>214</v>
      </c>
      <c r="KT4" s="162" t="s">
        <v>215</v>
      </c>
      <c r="KU4" s="162" t="s">
        <v>216</v>
      </c>
      <c r="KV4" s="162" t="s">
        <v>217</v>
      </c>
      <c r="KW4" s="162" t="s">
        <v>218</v>
      </c>
      <c r="KX4" s="162" t="s">
        <v>219</v>
      </c>
      <c r="KY4" s="162" t="s">
        <v>220</v>
      </c>
      <c r="KZ4" s="162" t="s">
        <v>221</v>
      </c>
      <c r="LA4" s="163"/>
      <c r="LB4" s="162" t="s">
        <v>320</v>
      </c>
      <c r="LC4" s="162" t="s">
        <v>211</v>
      </c>
      <c r="LD4" s="162" t="s">
        <v>212</v>
      </c>
      <c r="LE4" s="162" t="s">
        <v>213</v>
      </c>
      <c r="LF4" s="162" t="s">
        <v>214</v>
      </c>
      <c r="LG4" s="162" t="s">
        <v>215</v>
      </c>
      <c r="LH4" s="162" t="s">
        <v>216</v>
      </c>
      <c r="LI4" s="162" t="s">
        <v>217</v>
      </c>
      <c r="LJ4" s="162" t="s">
        <v>218</v>
      </c>
      <c r="LK4" s="162" t="s">
        <v>219</v>
      </c>
      <c r="LL4" s="162" t="s">
        <v>220</v>
      </c>
      <c r="LM4" s="162" t="s">
        <v>221</v>
      </c>
      <c r="LN4" s="163"/>
      <c r="LO4" s="162" t="s">
        <v>320</v>
      </c>
      <c r="LP4" s="162" t="s">
        <v>211</v>
      </c>
      <c r="LQ4" s="162" t="s">
        <v>212</v>
      </c>
      <c r="LR4" s="162" t="s">
        <v>213</v>
      </c>
      <c r="LS4" s="162" t="s">
        <v>214</v>
      </c>
      <c r="LT4" s="162" t="s">
        <v>215</v>
      </c>
      <c r="LU4" s="162" t="s">
        <v>216</v>
      </c>
      <c r="LV4" s="162" t="s">
        <v>217</v>
      </c>
      <c r="LW4" s="162" t="s">
        <v>218</v>
      </c>
      <c r="LX4" s="162" t="s">
        <v>219</v>
      </c>
      <c r="LY4" s="162" t="s">
        <v>220</v>
      </c>
      <c r="LZ4" s="162" t="s">
        <v>221</v>
      </c>
      <c r="MA4" s="163"/>
      <c r="MB4" s="162" t="s">
        <v>320</v>
      </c>
      <c r="MC4" s="162" t="s">
        <v>211</v>
      </c>
      <c r="MD4" s="162" t="s">
        <v>212</v>
      </c>
      <c r="ME4" s="162" t="s">
        <v>213</v>
      </c>
      <c r="MF4" s="162" t="s">
        <v>214</v>
      </c>
      <c r="MG4" s="162" t="s">
        <v>215</v>
      </c>
      <c r="MH4" s="162" t="s">
        <v>216</v>
      </c>
      <c r="MI4" s="162" t="s">
        <v>217</v>
      </c>
      <c r="MJ4" s="162" t="s">
        <v>218</v>
      </c>
      <c r="MK4" s="162" t="s">
        <v>219</v>
      </c>
      <c r="ML4" s="162" t="s">
        <v>220</v>
      </c>
      <c r="MM4" s="162" t="s">
        <v>221</v>
      </c>
      <c r="MN4" s="163"/>
      <c r="MO4" s="162" t="s">
        <v>320</v>
      </c>
      <c r="MP4" s="162" t="s">
        <v>211</v>
      </c>
      <c r="MQ4" s="162" t="s">
        <v>212</v>
      </c>
      <c r="MR4" s="162" t="s">
        <v>213</v>
      </c>
      <c r="MS4" s="162" t="s">
        <v>214</v>
      </c>
      <c r="MT4" s="162" t="s">
        <v>215</v>
      </c>
      <c r="MU4" s="162" t="s">
        <v>216</v>
      </c>
      <c r="MV4" s="162" t="s">
        <v>217</v>
      </c>
      <c r="MW4" s="162" t="s">
        <v>218</v>
      </c>
      <c r="MX4" s="162" t="s">
        <v>219</v>
      </c>
      <c r="MY4" s="162" t="s">
        <v>220</v>
      </c>
      <c r="MZ4" s="162" t="s">
        <v>221</v>
      </c>
      <c r="NA4" s="163"/>
      <c r="NB4" s="162" t="s">
        <v>320</v>
      </c>
      <c r="NC4" s="162" t="s">
        <v>211</v>
      </c>
      <c r="ND4" s="162" t="s">
        <v>212</v>
      </c>
      <c r="NE4" s="162" t="s">
        <v>213</v>
      </c>
      <c r="NF4" s="162" t="s">
        <v>214</v>
      </c>
      <c r="NG4" s="162" t="s">
        <v>215</v>
      </c>
      <c r="NH4" s="162" t="s">
        <v>216</v>
      </c>
      <c r="NI4" s="162" t="s">
        <v>217</v>
      </c>
      <c r="NJ4" s="162" t="s">
        <v>218</v>
      </c>
      <c r="NK4" s="162" t="s">
        <v>219</v>
      </c>
      <c r="NL4" s="162" t="s">
        <v>220</v>
      </c>
      <c r="NM4" s="162" t="s">
        <v>221</v>
      </c>
      <c r="NN4" s="163"/>
      <c r="NO4" s="162" t="s">
        <v>320</v>
      </c>
      <c r="NP4" s="162" t="s">
        <v>211</v>
      </c>
      <c r="NQ4" s="162" t="s">
        <v>212</v>
      </c>
      <c r="NR4" s="162" t="s">
        <v>213</v>
      </c>
      <c r="NS4" s="162" t="s">
        <v>214</v>
      </c>
      <c r="NT4" s="162" t="s">
        <v>215</v>
      </c>
      <c r="NU4" s="162" t="s">
        <v>216</v>
      </c>
      <c r="NV4" s="162" t="s">
        <v>217</v>
      </c>
      <c r="NW4" s="162" t="s">
        <v>218</v>
      </c>
      <c r="NX4" s="162" t="s">
        <v>219</v>
      </c>
      <c r="NY4" s="162" t="s">
        <v>220</v>
      </c>
      <c r="NZ4" s="162" t="s">
        <v>221</v>
      </c>
      <c r="OA4" s="163"/>
      <c r="OB4" s="162" t="s">
        <v>320</v>
      </c>
      <c r="OC4" s="162" t="s">
        <v>211</v>
      </c>
      <c r="OD4" s="162" t="s">
        <v>212</v>
      </c>
      <c r="OE4" s="162" t="s">
        <v>213</v>
      </c>
      <c r="OF4" s="162" t="s">
        <v>214</v>
      </c>
      <c r="OG4" s="162" t="s">
        <v>215</v>
      </c>
      <c r="OH4" s="162" t="s">
        <v>216</v>
      </c>
      <c r="OI4" s="162" t="s">
        <v>217</v>
      </c>
      <c r="OJ4" s="162" t="s">
        <v>218</v>
      </c>
      <c r="OK4" s="162" t="s">
        <v>219</v>
      </c>
      <c r="OL4" s="162" t="s">
        <v>220</v>
      </c>
      <c r="OM4" s="162" t="s">
        <v>221</v>
      </c>
      <c r="ON4" s="163"/>
      <c r="OO4" s="162" t="s">
        <v>320</v>
      </c>
      <c r="OP4" s="162" t="s">
        <v>211</v>
      </c>
      <c r="OQ4" s="162" t="s">
        <v>212</v>
      </c>
      <c r="OR4" s="162" t="s">
        <v>213</v>
      </c>
      <c r="OS4" s="162" t="s">
        <v>214</v>
      </c>
      <c r="OT4" s="162" t="s">
        <v>215</v>
      </c>
      <c r="OU4" s="162" t="s">
        <v>216</v>
      </c>
      <c r="OV4" s="162" t="s">
        <v>217</v>
      </c>
      <c r="OW4" s="162" t="s">
        <v>218</v>
      </c>
      <c r="OX4" s="162" t="s">
        <v>219</v>
      </c>
      <c r="OY4" s="162" t="s">
        <v>220</v>
      </c>
      <c r="OZ4" s="162" t="s">
        <v>221</v>
      </c>
      <c r="PA4" s="163"/>
      <c r="PB4" s="162" t="s">
        <v>320</v>
      </c>
      <c r="PC4" s="162" t="s">
        <v>211</v>
      </c>
      <c r="PD4" s="162" t="s">
        <v>212</v>
      </c>
      <c r="PE4" s="162" t="s">
        <v>213</v>
      </c>
      <c r="PF4" s="162" t="s">
        <v>214</v>
      </c>
      <c r="PG4" s="162" t="s">
        <v>215</v>
      </c>
      <c r="PH4" s="162" t="s">
        <v>216</v>
      </c>
      <c r="PI4" s="162" t="s">
        <v>217</v>
      </c>
      <c r="PJ4" s="162" t="s">
        <v>218</v>
      </c>
      <c r="PK4" s="162" t="s">
        <v>219</v>
      </c>
      <c r="PL4" s="162" t="s">
        <v>220</v>
      </c>
      <c r="PM4" s="162" t="s">
        <v>221</v>
      </c>
      <c r="PN4" s="163"/>
      <c r="PO4" s="162" t="s">
        <v>320</v>
      </c>
      <c r="PP4" s="162" t="s">
        <v>211</v>
      </c>
      <c r="PQ4" s="162" t="s">
        <v>212</v>
      </c>
      <c r="PR4" s="162" t="s">
        <v>213</v>
      </c>
      <c r="PS4" s="162" t="s">
        <v>214</v>
      </c>
      <c r="PT4" s="162" t="s">
        <v>215</v>
      </c>
      <c r="PU4" s="162" t="s">
        <v>216</v>
      </c>
      <c r="PV4" s="162" t="s">
        <v>217</v>
      </c>
      <c r="PW4" s="162" t="s">
        <v>218</v>
      </c>
      <c r="PX4" s="162" t="s">
        <v>219</v>
      </c>
      <c r="PY4" s="162" t="s">
        <v>220</v>
      </c>
      <c r="PZ4" s="162" t="s">
        <v>221</v>
      </c>
      <c r="QA4" s="163"/>
      <c r="QB4" s="162" t="s">
        <v>320</v>
      </c>
      <c r="QC4" s="162" t="s">
        <v>211</v>
      </c>
      <c r="QD4" s="162" t="s">
        <v>212</v>
      </c>
      <c r="QE4" s="162" t="s">
        <v>213</v>
      </c>
      <c r="QF4" s="162" t="s">
        <v>214</v>
      </c>
      <c r="QG4" s="162" t="s">
        <v>215</v>
      </c>
      <c r="QH4" s="162" t="s">
        <v>216</v>
      </c>
      <c r="QI4" s="162" t="s">
        <v>217</v>
      </c>
      <c r="QJ4" s="162" t="s">
        <v>218</v>
      </c>
      <c r="QK4" s="162" t="s">
        <v>219</v>
      </c>
      <c r="QL4" s="162" t="s">
        <v>220</v>
      </c>
      <c r="QM4" s="162" t="s">
        <v>221</v>
      </c>
      <c r="QN4" s="163"/>
      <c r="QO4" s="162" t="s">
        <v>320</v>
      </c>
      <c r="QP4" s="162" t="s">
        <v>211</v>
      </c>
      <c r="QQ4" s="162" t="s">
        <v>212</v>
      </c>
      <c r="QR4" s="162" t="s">
        <v>213</v>
      </c>
      <c r="QS4" s="162" t="s">
        <v>214</v>
      </c>
      <c r="QT4" s="162" t="s">
        <v>215</v>
      </c>
      <c r="QU4" s="162" t="s">
        <v>216</v>
      </c>
      <c r="QV4" s="162" t="s">
        <v>217</v>
      </c>
      <c r="QW4" s="162" t="s">
        <v>218</v>
      </c>
      <c r="QX4" s="162" t="s">
        <v>219</v>
      </c>
      <c r="QY4" s="162" t="s">
        <v>220</v>
      </c>
      <c r="QZ4" s="162" t="s">
        <v>221</v>
      </c>
      <c r="RA4" s="163"/>
      <c r="RB4" s="162" t="s">
        <v>320</v>
      </c>
      <c r="RC4" s="162" t="s">
        <v>211</v>
      </c>
      <c r="RD4" s="162" t="s">
        <v>212</v>
      </c>
      <c r="RE4" s="162" t="s">
        <v>213</v>
      </c>
      <c r="RF4" s="162" t="s">
        <v>214</v>
      </c>
      <c r="RG4" s="162" t="s">
        <v>215</v>
      </c>
      <c r="RH4" s="162" t="s">
        <v>216</v>
      </c>
      <c r="RI4" s="162" t="s">
        <v>217</v>
      </c>
      <c r="RJ4" s="162" t="s">
        <v>218</v>
      </c>
      <c r="RK4" s="162" t="s">
        <v>219</v>
      </c>
      <c r="RL4" s="162" t="s">
        <v>220</v>
      </c>
      <c r="RM4" s="162" t="s">
        <v>221</v>
      </c>
      <c r="RN4" s="163"/>
      <c r="RO4" s="162" t="s">
        <v>320</v>
      </c>
      <c r="RP4" s="162" t="s">
        <v>211</v>
      </c>
      <c r="RQ4" s="162" t="s">
        <v>212</v>
      </c>
      <c r="RR4" s="162" t="s">
        <v>213</v>
      </c>
      <c r="RS4" s="162" t="s">
        <v>214</v>
      </c>
      <c r="RT4" s="162" t="s">
        <v>215</v>
      </c>
      <c r="RU4" s="162" t="s">
        <v>216</v>
      </c>
      <c r="RV4" s="162" t="s">
        <v>217</v>
      </c>
      <c r="RW4" s="162" t="s">
        <v>218</v>
      </c>
      <c r="RX4" s="162" t="s">
        <v>219</v>
      </c>
      <c r="RY4" s="162" t="s">
        <v>220</v>
      </c>
      <c r="RZ4" s="162" t="s">
        <v>221</v>
      </c>
      <c r="SA4" s="163"/>
      <c r="SB4" s="162" t="s">
        <v>320</v>
      </c>
      <c r="SC4" s="162" t="s">
        <v>211</v>
      </c>
      <c r="SD4" s="162" t="s">
        <v>212</v>
      </c>
      <c r="SE4" s="162" t="s">
        <v>213</v>
      </c>
      <c r="SF4" s="162" t="s">
        <v>214</v>
      </c>
      <c r="SG4" s="162" t="s">
        <v>215</v>
      </c>
      <c r="SH4" s="162" t="s">
        <v>216</v>
      </c>
      <c r="SI4" s="162" t="s">
        <v>217</v>
      </c>
      <c r="SJ4" s="162" t="s">
        <v>218</v>
      </c>
      <c r="SK4" s="162" t="s">
        <v>219</v>
      </c>
      <c r="SL4" s="162" t="s">
        <v>220</v>
      </c>
      <c r="SM4" s="162" t="s">
        <v>221</v>
      </c>
      <c r="SN4" s="163"/>
      <c r="SO4" s="162" t="s">
        <v>320</v>
      </c>
      <c r="SP4" s="162" t="s">
        <v>211</v>
      </c>
      <c r="SQ4" s="162" t="s">
        <v>212</v>
      </c>
      <c r="SR4" s="162" t="s">
        <v>213</v>
      </c>
      <c r="SS4" s="162" t="s">
        <v>214</v>
      </c>
      <c r="ST4" s="162" t="s">
        <v>215</v>
      </c>
      <c r="SU4" s="162" t="s">
        <v>216</v>
      </c>
      <c r="SV4" s="162" t="s">
        <v>217</v>
      </c>
      <c r="SW4" s="162" t="s">
        <v>218</v>
      </c>
      <c r="SX4" s="162" t="s">
        <v>219</v>
      </c>
      <c r="SY4" s="162" t="s">
        <v>220</v>
      </c>
      <c r="SZ4" s="162" t="s">
        <v>221</v>
      </c>
      <c r="TA4" s="163"/>
      <c r="TB4" s="162" t="s">
        <v>320</v>
      </c>
      <c r="TC4" s="162" t="s">
        <v>211</v>
      </c>
      <c r="TD4" s="162" t="s">
        <v>212</v>
      </c>
      <c r="TE4" s="162" t="s">
        <v>213</v>
      </c>
      <c r="TF4" s="162" t="s">
        <v>214</v>
      </c>
      <c r="TG4" s="162" t="s">
        <v>215</v>
      </c>
      <c r="TH4" s="162" t="s">
        <v>216</v>
      </c>
      <c r="TI4" s="162" t="s">
        <v>217</v>
      </c>
      <c r="TJ4" s="162" t="s">
        <v>218</v>
      </c>
      <c r="TK4" s="162" t="s">
        <v>219</v>
      </c>
      <c r="TL4" s="162" t="s">
        <v>220</v>
      </c>
      <c r="TM4" s="162" t="s">
        <v>221</v>
      </c>
      <c r="TN4" s="163"/>
      <c r="TO4" s="162" t="s">
        <v>320</v>
      </c>
      <c r="TP4" s="162" t="s">
        <v>211</v>
      </c>
      <c r="TQ4" s="162" t="s">
        <v>212</v>
      </c>
      <c r="TR4" s="162" t="s">
        <v>213</v>
      </c>
      <c r="TS4" s="162" t="s">
        <v>214</v>
      </c>
      <c r="TT4" s="162" t="s">
        <v>215</v>
      </c>
      <c r="TU4" s="162" t="s">
        <v>216</v>
      </c>
      <c r="TV4" s="162" t="s">
        <v>217</v>
      </c>
      <c r="TW4" s="162" t="s">
        <v>218</v>
      </c>
      <c r="TX4" s="162" t="s">
        <v>219</v>
      </c>
      <c r="TY4" s="162" t="s">
        <v>220</v>
      </c>
      <c r="TZ4" s="162" t="s">
        <v>221</v>
      </c>
      <c r="UA4" s="163"/>
      <c r="UB4" s="162" t="s">
        <v>320</v>
      </c>
      <c r="UC4" s="162" t="s">
        <v>211</v>
      </c>
      <c r="UD4" s="162" t="s">
        <v>212</v>
      </c>
      <c r="UE4" s="162" t="s">
        <v>213</v>
      </c>
      <c r="UF4" s="162" t="s">
        <v>214</v>
      </c>
      <c r="UG4" s="162" t="s">
        <v>215</v>
      </c>
      <c r="UH4" s="162" t="s">
        <v>216</v>
      </c>
      <c r="UI4" s="162" t="s">
        <v>217</v>
      </c>
      <c r="UJ4" s="162" t="s">
        <v>218</v>
      </c>
      <c r="UK4" s="162" t="s">
        <v>219</v>
      </c>
      <c r="UL4" s="162" t="s">
        <v>220</v>
      </c>
      <c r="UM4" s="162" t="s">
        <v>221</v>
      </c>
      <c r="UN4" s="163"/>
      <c r="UO4" s="162" t="s">
        <v>320</v>
      </c>
      <c r="UP4" s="162" t="s">
        <v>211</v>
      </c>
      <c r="UQ4" s="162" t="s">
        <v>212</v>
      </c>
      <c r="UR4" s="162" t="s">
        <v>213</v>
      </c>
      <c r="US4" s="162" t="s">
        <v>214</v>
      </c>
      <c r="UT4" s="162" t="s">
        <v>215</v>
      </c>
      <c r="UU4" s="162" t="s">
        <v>216</v>
      </c>
      <c r="UV4" s="162" t="s">
        <v>217</v>
      </c>
      <c r="UW4" s="162" t="s">
        <v>218</v>
      </c>
      <c r="UX4" s="162" t="s">
        <v>219</v>
      </c>
      <c r="UY4" s="162" t="s">
        <v>220</v>
      </c>
      <c r="UZ4" s="162" t="s">
        <v>221</v>
      </c>
      <c r="VA4" s="163"/>
      <c r="VB4" s="162" t="s">
        <v>320</v>
      </c>
      <c r="VC4" s="162" t="s">
        <v>211</v>
      </c>
      <c r="VD4" s="162" t="s">
        <v>212</v>
      </c>
      <c r="VE4" s="162" t="s">
        <v>213</v>
      </c>
      <c r="VF4" s="162" t="s">
        <v>214</v>
      </c>
      <c r="VG4" s="162" t="s">
        <v>215</v>
      </c>
      <c r="VH4" s="162" t="s">
        <v>216</v>
      </c>
      <c r="VI4" s="162" t="s">
        <v>217</v>
      </c>
      <c r="VJ4" s="162" t="s">
        <v>218</v>
      </c>
      <c r="VK4" s="162" t="s">
        <v>219</v>
      </c>
      <c r="VL4" s="162" t="s">
        <v>220</v>
      </c>
      <c r="VM4" s="162" t="s">
        <v>221</v>
      </c>
      <c r="VN4" s="163"/>
      <c r="VO4" s="177" t="s">
        <v>320</v>
      </c>
      <c r="VP4" s="177" t="s">
        <v>211</v>
      </c>
      <c r="VQ4" s="177" t="s">
        <v>212</v>
      </c>
      <c r="VR4" s="177" t="s">
        <v>213</v>
      </c>
      <c r="VS4" s="177" t="s">
        <v>214</v>
      </c>
      <c r="VT4" s="177" t="s">
        <v>215</v>
      </c>
      <c r="VU4" s="177" t="s">
        <v>216</v>
      </c>
      <c r="VV4" s="177" t="s">
        <v>217</v>
      </c>
      <c r="VW4" s="177" t="s">
        <v>218</v>
      </c>
      <c r="VX4" s="177" t="s">
        <v>219</v>
      </c>
      <c r="VY4" s="177" t="s">
        <v>220</v>
      </c>
      <c r="VZ4" s="177" t="s">
        <v>221</v>
      </c>
      <c r="WA4" s="163"/>
      <c r="WB4" s="177" t="s">
        <v>320</v>
      </c>
      <c r="WC4" s="177" t="s">
        <v>211</v>
      </c>
      <c r="WD4" s="177" t="s">
        <v>212</v>
      </c>
      <c r="WE4" s="177" t="s">
        <v>213</v>
      </c>
      <c r="WF4" s="177" t="s">
        <v>214</v>
      </c>
      <c r="WG4" s="177" t="s">
        <v>215</v>
      </c>
      <c r="WH4" s="177" t="s">
        <v>216</v>
      </c>
      <c r="WI4" s="177" t="s">
        <v>217</v>
      </c>
      <c r="WJ4" s="177" t="s">
        <v>218</v>
      </c>
      <c r="WK4" s="177" t="s">
        <v>219</v>
      </c>
      <c r="WL4" s="177" t="s">
        <v>220</v>
      </c>
      <c r="WM4" s="177" t="s">
        <v>221</v>
      </c>
      <c r="WN4" s="163"/>
      <c r="WO4" s="177" t="s">
        <v>320</v>
      </c>
      <c r="WP4" s="177" t="s">
        <v>211</v>
      </c>
      <c r="WQ4" s="177" t="s">
        <v>212</v>
      </c>
      <c r="WR4" s="177" t="s">
        <v>213</v>
      </c>
      <c r="WS4" s="177" t="s">
        <v>214</v>
      </c>
      <c r="WT4" s="177" t="s">
        <v>215</v>
      </c>
      <c r="WU4" s="177" t="s">
        <v>216</v>
      </c>
      <c r="WV4" s="177" t="s">
        <v>217</v>
      </c>
      <c r="WW4" s="177" t="s">
        <v>218</v>
      </c>
      <c r="WX4" s="177" t="s">
        <v>219</v>
      </c>
      <c r="WY4" s="177" t="s">
        <v>220</v>
      </c>
      <c r="WZ4" s="177" t="s">
        <v>221</v>
      </c>
      <c r="XA4" s="163"/>
      <c r="XB4" s="177" t="s">
        <v>320</v>
      </c>
      <c r="XC4" s="177" t="s">
        <v>211</v>
      </c>
      <c r="XD4" s="177" t="s">
        <v>212</v>
      </c>
      <c r="XE4" s="177" t="s">
        <v>213</v>
      </c>
      <c r="XF4" s="177" t="s">
        <v>214</v>
      </c>
      <c r="XG4" s="177" t="s">
        <v>215</v>
      </c>
      <c r="XH4" s="177" t="s">
        <v>216</v>
      </c>
      <c r="XI4" s="177" t="s">
        <v>217</v>
      </c>
      <c r="XJ4" s="177" t="s">
        <v>218</v>
      </c>
      <c r="XK4" s="177" t="s">
        <v>219</v>
      </c>
      <c r="XL4" s="177" t="s">
        <v>220</v>
      </c>
      <c r="XM4" s="177" t="s">
        <v>221</v>
      </c>
      <c r="XN4" s="163"/>
      <c r="XO4" s="177" t="s">
        <v>320</v>
      </c>
      <c r="XP4" s="177" t="s">
        <v>211</v>
      </c>
      <c r="XQ4" s="177" t="s">
        <v>212</v>
      </c>
      <c r="XR4" s="177" t="s">
        <v>213</v>
      </c>
      <c r="XS4" s="177" t="s">
        <v>214</v>
      </c>
      <c r="XT4" s="177" t="s">
        <v>215</v>
      </c>
      <c r="XU4" s="177" t="s">
        <v>216</v>
      </c>
      <c r="XV4" s="177" t="s">
        <v>217</v>
      </c>
      <c r="XW4" s="177" t="s">
        <v>218</v>
      </c>
      <c r="XX4" s="177" t="s">
        <v>219</v>
      </c>
      <c r="XY4" s="177" t="s">
        <v>220</v>
      </c>
      <c r="XZ4" s="177" t="s">
        <v>221</v>
      </c>
      <c r="YA4" s="163"/>
      <c r="YB4" s="177" t="s">
        <v>320</v>
      </c>
      <c r="YC4" s="177" t="s">
        <v>211</v>
      </c>
      <c r="YD4" s="177" t="s">
        <v>212</v>
      </c>
      <c r="YE4" s="177" t="s">
        <v>213</v>
      </c>
      <c r="YF4" s="177" t="s">
        <v>214</v>
      </c>
      <c r="YG4" s="177" t="s">
        <v>215</v>
      </c>
      <c r="YH4" s="177" t="s">
        <v>216</v>
      </c>
      <c r="YI4" s="177" t="s">
        <v>217</v>
      </c>
      <c r="YJ4" s="177" t="s">
        <v>218</v>
      </c>
      <c r="YK4" s="177" t="s">
        <v>219</v>
      </c>
      <c r="YL4" s="177" t="s">
        <v>220</v>
      </c>
      <c r="YM4" s="177" t="s">
        <v>221</v>
      </c>
      <c r="YN4" s="163"/>
      <c r="YO4" s="177" t="s">
        <v>320</v>
      </c>
      <c r="YP4" s="177" t="s">
        <v>211</v>
      </c>
      <c r="YQ4" s="177" t="s">
        <v>212</v>
      </c>
      <c r="YR4" s="177" t="s">
        <v>213</v>
      </c>
      <c r="YS4" s="177" t="s">
        <v>214</v>
      </c>
      <c r="YT4" s="177" t="s">
        <v>215</v>
      </c>
      <c r="YU4" s="177" t="s">
        <v>216</v>
      </c>
      <c r="YV4" s="177" t="s">
        <v>217</v>
      </c>
      <c r="YW4" s="177" t="s">
        <v>218</v>
      </c>
      <c r="YX4" s="177" t="s">
        <v>219</v>
      </c>
      <c r="YY4" s="177" t="s">
        <v>220</v>
      </c>
      <c r="YZ4" s="177" t="s">
        <v>221</v>
      </c>
      <c r="ZA4" s="163"/>
      <c r="ZB4" s="177" t="s">
        <v>320</v>
      </c>
      <c r="ZC4" s="177" t="s">
        <v>211</v>
      </c>
      <c r="ZD4" s="177" t="s">
        <v>212</v>
      </c>
      <c r="ZE4" s="177" t="s">
        <v>213</v>
      </c>
      <c r="ZF4" s="177" t="s">
        <v>214</v>
      </c>
      <c r="ZG4" s="177" t="s">
        <v>215</v>
      </c>
      <c r="ZH4" s="177" t="s">
        <v>216</v>
      </c>
      <c r="ZI4" s="177" t="s">
        <v>217</v>
      </c>
      <c r="ZJ4" s="177" t="s">
        <v>218</v>
      </c>
      <c r="ZK4" s="177" t="s">
        <v>219</v>
      </c>
      <c r="ZL4" s="177" t="s">
        <v>220</v>
      </c>
      <c r="ZM4" s="177" t="s">
        <v>221</v>
      </c>
      <c r="ZN4" s="163"/>
      <c r="ZO4" s="177" t="s">
        <v>320</v>
      </c>
      <c r="ZP4" s="177" t="s">
        <v>211</v>
      </c>
      <c r="ZQ4" s="177" t="s">
        <v>212</v>
      </c>
      <c r="ZR4" s="177" t="s">
        <v>213</v>
      </c>
      <c r="ZS4" s="177" t="s">
        <v>214</v>
      </c>
      <c r="ZT4" s="177" t="s">
        <v>215</v>
      </c>
      <c r="ZU4" s="177" t="s">
        <v>216</v>
      </c>
      <c r="ZV4" s="177" t="s">
        <v>217</v>
      </c>
      <c r="ZW4" s="177" t="s">
        <v>218</v>
      </c>
      <c r="ZX4" s="177" t="s">
        <v>219</v>
      </c>
      <c r="ZY4" s="177" t="s">
        <v>220</v>
      </c>
      <c r="ZZ4" s="177" t="s">
        <v>221</v>
      </c>
      <c r="AAA4" s="163"/>
      <c r="AAB4" s="177" t="s">
        <v>320</v>
      </c>
      <c r="AAC4" s="177" t="s">
        <v>211</v>
      </c>
      <c r="AAD4" s="177" t="s">
        <v>212</v>
      </c>
      <c r="AAE4" s="177" t="s">
        <v>213</v>
      </c>
      <c r="AAF4" s="177" t="s">
        <v>214</v>
      </c>
      <c r="AAG4" s="177" t="s">
        <v>215</v>
      </c>
      <c r="AAH4" s="177" t="s">
        <v>216</v>
      </c>
      <c r="AAI4" s="177" t="s">
        <v>217</v>
      </c>
      <c r="AAJ4" s="177" t="s">
        <v>218</v>
      </c>
      <c r="AAK4" s="177" t="s">
        <v>219</v>
      </c>
      <c r="AAL4" s="177" t="s">
        <v>220</v>
      </c>
      <c r="AAM4" s="177" t="s">
        <v>221</v>
      </c>
      <c r="AAN4" s="163"/>
      <c r="AAO4" s="177" t="s">
        <v>320</v>
      </c>
      <c r="AAP4" s="177" t="s">
        <v>211</v>
      </c>
      <c r="AAQ4" s="177" t="s">
        <v>212</v>
      </c>
      <c r="AAR4" s="177" t="s">
        <v>213</v>
      </c>
      <c r="AAS4" s="177" t="s">
        <v>214</v>
      </c>
      <c r="AAT4" s="177" t="s">
        <v>215</v>
      </c>
      <c r="AAU4" s="177" t="s">
        <v>216</v>
      </c>
      <c r="AAV4" s="177" t="s">
        <v>217</v>
      </c>
      <c r="AAW4" s="177" t="s">
        <v>218</v>
      </c>
      <c r="AAX4" s="177" t="s">
        <v>219</v>
      </c>
      <c r="AAY4" s="177" t="s">
        <v>220</v>
      </c>
      <c r="AAZ4" s="177" t="s">
        <v>221</v>
      </c>
      <c r="ABA4" s="163"/>
      <c r="ABB4" s="177" t="s">
        <v>320</v>
      </c>
      <c r="ABC4" s="177" t="s">
        <v>211</v>
      </c>
      <c r="ABD4" s="177" t="s">
        <v>212</v>
      </c>
      <c r="ABE4" s="177" t="s">
        <v>213</v>
      </c>
      <c r="ABF4" s="177" t="s">
        <v>214</v>
      </c>
      <c r="ABG4" s="177" t="s">
        <v>215</v>
      </c>
      <c r="ABH4" s="177" t="s">
        <v>216</v>
      </c>
      <c r="ABI4" s="177" t="s">
        <v>217</v>
      </c>
      <c r="ABJ4" s="177" t="s">
        <v>218</v>
      </c>
      <c r="ABK4" s="177" t="s">
        <v>219</v>
      </c>
      <c r="ABL4" s="177" t="s">
        <v>220</v>
      </c>
      <c r="ABM4" s="177" t="s">
        <v>221</v>
      </c>
      <c r="ABN4" s="163"/>
      <c r="ABO4" s="177" t="s">
        <v>320</v>
      </c>
      <c r="ABP4" s="177" t="s">
        <v>211</v>
      </c>
      <c r="ABQ4" s="177" t="s">
        <v>212</v>
      </c>
      <c r="ABR4" s="177" t="s">
        <v>213</v>
      </c>
      <c r="ABS4" s="177" t="s">
        <v>214</v>
      </c>
      <c r="ABT4" s="177" t="s">
        <v>215</v>
      </c>
      <c r="ABU4" s="177" t="s">
        <v>216</v>
      </c>
      <c r="ABV4" s="177" t="s">
        <v>217</v>
      </c>
      <c r="ABW4" s="177" t="s">
        <v>218</v>
      </c>
      <c r="ABX4" s="177" t="s">
        <v>219</v>
      </c>
      <c r="ABY4" s="177" t="s">
        <v>220</v>
      </c>
      <c r="ABZ4" s="177" t="s">
        <v>221</v>
      </c>
      <c r="ACA4" s="163"/>
      <c r="ACB4" s="177" t="s">
        <v>320</v>
      </c>
      <c r="ACC4" s="177" t="s">
        <v>211</v>
      </c>
      <c r="ACD4" s="177" t="s">
        <v>212</v>
      </c>
      <c r="ACE4" s="177" t="s">
        <v>213</v>
      </c>
      <c r="ACF4" s="177" t="s">
        <v>214</v>
      </c>
      <c r="ACG4" s="177" t="s">
        <v>215</v>
      </c>
      <c r="ACH4" s="177" t="s">
        <v>216</v>
      </c>
      <c r="ACI4" s="177" t="s">
        <v>217</v>
      </c>
      <c r="ACJ4" s="177" t="s">
        <v>218</v>
      </c>
      <c r="ACK4" s="177" t="s">
        <v>219</v>
      </c>
      <c r="ACL4" s="177" t="s">
        <v>220</v>
      </c>
      <c r="ACM4" s="177" t="s">
        <v>221</v>
      </c>
      <c r="ACN4" s="163"/>
      <c r="ACO4" s="177" t="s">
        <v>320</v>
      </c>
      <c r="ACP4" s="177" t="s">
        <v>211</v>
      </c>
      <c r="ACQ4" s="177" t="s">
        <v>212</v>
      </c>
      <c r="ACR4" s="177" t="s">
        <v>213</v>
      </c>
      <c r="ACS4" s="177" t="s">
        <v>214</v>
      </c>
      <c r="ACT4" s="177" t="s">
        <v>215</v>
      </c>
      <c r="ACU4" s="177" t="s">
        <v>216</v>
      </c>
      <c r="ACV4" s="177" t="s">
        <v>217</v>
      </c>
      <c r="ACW4" s="177" t="s">
        <v>218</v>
      </c>
      <c r="ACX4" s="177" t="s">
        <v>219</v>
      </c>
      <c r="ACY4" s="177" t="s">
        <v>220</v>
      </c>
      <c r="ACZ4" s="177" t="s">
        <v>221</v>
      </c>
      <c r="ADA4" s="163"/>
      <c r="ADB4" s="177" t="s">
        <v>320</v>
      </c>
      <c r="ADC4" s="177" t="s">
        <v>211</v>
      </c>
      <c r="ADD4" s="177" t="s">
        <v>212</v>
      </c>
      <c r="ADE4" s="177" t="s">
        <v>213</v>
      </c>
      <c r="ADF4" s="177" t="s">
        <v>214</v>
      </c>
      <c r="ADG4" s="177" t="s">
        <v>215</v>
      </c>
      <c r="ADH4" s="177" t="s">
        <v>216</v>
      </c>
      <c r="ADI4" s="177" t="s">
        <v>217</v>
      </c>
      <c r="ADJ4" s="177" t="s">
        <v>218</v>
      </c>
      <c r="ADK4" s="177" t="s">
        <v>219</v>
      </c>
      <c r="ADL4" s="177" t="s">
        <v>220</v>
      </c>
      <c r="ADM4" s="177" t="s">
        <v>221</v>
      </c>
      <c r="ADN4" s="163"/>
      <c r="ADO4" s="177" t="s">
        <v>320</v>
      </c>
      <c r="ADP4" s="177" t="s">
        <v>211</v>
      </c>
      <c r="ADQ4" s="177" t="s">
        <v>212</v>
      </c>
      <c r="ADR4" s="177" t="s">
        <v>213</v>
      </c>
      <c r="ADS4" s="177" t="s">
        <v>214</v>
      </c>
      <c r="ADT4" s="177" t="s">
        <v>215</v>
      </c>
      <c r="ADU4" s="177" t="s">
        <v>216</v>
      </c>
      <c r="ADV4" s="177" t="s">
        <v>217</v>
      </c>
      <c r="ADW4" s="177" t="s">
        <v>218</v>
      </c>
      <c r="ADX4" s="177" t="s">
        <v>219</v>
      </c>
      <c r="ADY4" s="177" t="s">
        <v>220</v>
      </c>
      <c r="ADZ4" s="177" t="s">
        <v>221</v>
      </c>
      <c r="AEA4" s="163"/>
      <c r="AEB4" s="177" t="s">
        <v>320</v>
      </c>
      <c r="AEC4" s="177" t="s">
        <v>211</v>
      </c>
      <c r="AED4" s="177" t="s">
        <v>212</v>
      </c>
      <c r="AEE4" s="177" t="s">
        <v>213</v>
      </c>
      <c r="AEF4" s="177" t="s">
        <v>214</v>
      </c>
      <c r="AEG4" s="177" t="s">
        <v>215</v>
      </c>
      <c r="AEH4" s="177" t="s">
        <v>216</v>
      </c>
      <c r="AEI4" s="177" t="s">
        <v>217</v>
      </c>
      <c r="AEJ4" s="177" t="s">
        <v>218</v>
      </c>
      <c r="AEK4" s="177" t="s">
        <v>219</v>
      </c>
      <c r="AEL4" s="177" t="s">
        <v>220</v>
      </c>
      <c r="AEM4" s="177" t="s">
        <v>221</v>
      </c>
      <c r="AEN4" s="163"/>
    </row>
    <row r="5" spans="1:820">
      <c r="A5" s="163"/>
      <c r="B5" s="164">
        <v>1</v>
      </c>
      <c r="C5" s="151">
        <f t="shared" ref="C5:C14" si="0">POWER((1.682993744+1.084517157*LOG(B5)-0.922193127*B5^0.5)+2.326348*(-1.812639397-2.423916024*LOG(B5)+1.883082271*B5^0.5),1/-0.184)</f>
        <v>1.5305273949263425</v>
      </c>
      <c r="D5" s="151">
        <f t="shared" ref="D5:D14" si="1">POWER((1.682993744+1.084517157*LOG(B5)-0.922193127*B5^0.5)+1.959964*(-1.812639397-2.423916024*LOG(B5)+1.883082271*B5^0.5),1/-0.184)</f>
        <v>1.7850795001288478</v>
      </c>
      <c r="E5" s="151">
        <f t="shared" ref="E5:E14" si="2">POWER((1.682993744+1.084517157*LOG(B5)-0.922193127*B5^0.5)+1.644854*(-1.812639397-2.423916024*LOG(B5)+1.883082271*B5^0.5),1/-0.184)</f>
        <v>2.0449193933912007</v>
      </c>
      <c r="F5" s="151">
        <f>POWER((1.682993744+1.084517157*LOG(B5)-0.922193127*B5^0.5)+1.281552*(-1.812639397-2.423916024*LOG(B5)+1.883082271*B5^0.5),1/-0.184)</f>
        <v>2.4021744576371766</v>
      </c>
      <c r="G5" s="151">
        <f>POWER((1.682993744+1.084517157*LOG(B5)-0.922193127*B5^0.5)+0.6755*(-1.812639397-2.423916024*LOG(B5)+1.883082271*B5^0.5),1/-0.184)</f>
        <v>3.1774256354108026</v>
      </c>
      <c r="H5" s="134">
        <f>POWER((1.682993744+1.084517157*LOG(B5)-0.922193127*B5^0.5)+0*(-1.812639397-2.423916024*LOG(B5)+1.883082271*B5^0.5),1/-0.184)</f>
        <v>4.4184209172248421</v>
      </c>
      <c r="I5" s="151">
        <f>POWER((1.682993744+1.084517157*LOG(B5)-0.922193127*B5^0.5)-0.6755*(-1.812639397-2.423916024*LOG(B5)+1.883082271*B5^0.5),1/-0.184)</f>
        <v>6.2763915361767619</v>
      </c>
      <c r="J5" s="151">
        <f t="shared" ref="J5:J14" si="3">POWER((1.682993744+1.084517157*LOG(B5)-0.922193127*B5^0.5)-1.281552*(-1.812639397-2.423916024*LOG(B5)+1.883082271*B5^0.5),1/-0.184)</f>
        <v>8.7780681758177792</v>
      </c>
      <c r="K5" s="151">
        <f t="shared" ref="K5:K14" si="4">POWER((1.682993744+1.084517157*LOG(B5)-0.922193127*B5^0.5)-1.644854*(-1.812639397-2.423916024*LOG(B5)+1.883082271*B5^0.5),1/-0.184)</f>
        <v>10.845486371234875</v>
      </c>
      <c r="L5" s="151">
        <f t="shared" ref="L5:L14" si="5">POWER((1.682993744+1.084517157*LOG(B5)-0.922193127*B5^0.5)-1.959964*(-1.812639397-2.423916024*LOG(B5)+1.883082271*B5^0.5),1/-0.184)</f>
        <v>13.11947714503861</v>
      </c>
      <c r="M5" s="151">
        <f t="shared" ref="M5:M14" si="6">POWER((1.682993744+1.084517157*LOG(B5)-0.922193127*B5^0.5)-2.326348*(-1.812639397-2.423916024*LOG(B5)+1.883082271*B5^0.5),1/-0.184)</f>
        <v>16.512904924536805</v>
      </c>
      <c r="N5" s="163"/>
      <c r="O5" s="164">
        <v>1</v>
      </c>
      <c r="P5" s="151">
        <f t="shared" ref="P5:P13" si="7">POWER((3.918916266+4.390757094*LOG(O5)-3.410386758*O5^0.5)+2.326348*(0.097361964+0.150474931*LOG(O5)-0.024704766*O5^0.5),1/-0.403)</f>
        <v>2.6271914879697884</v>
      </c>
      <c r="Q5" s="151">
        <f t="shared" ref="Q5:Q13" si="8">POWER((3.918916266+4.390757094*LOG(O5)-3.410386758*O5^0.5)+1.959964*(0.097361964+0.150474931*LOG(O5)-0.024704766*O5^0.5),1/-0.403)</f>
        <v>2.9019224121712557</v>
      </c>
      <c r="R5" s="151">
        <f t="shared" ref="R5:R13" si="9">POWER((3.918916266+4.390757094*LOG(O5)-3.410386758*O5^0.5)+1.644854*(0.097361964+0.150474931*LOG(O5)-0.024704766*O5^0.5),1/-0.403)</f>
        <v>3.1715547435978095</v>
      </c>
      <c r="S5" s="151">
        <f>POWER((3.918916266+4.390757094*LOG(O5)-3.410386758*O5^0.5)+1.281552*(0.097361964+0.150474931*LOG(O5)-0.024704766*O5^0.5),1/-0.403)</f>
        <v>3.5281363721401013</v>
      </c>
      <c r="T5" s="151">
        <f>POWER((3.918916266+4.390757094*LOG(O5)-3.410386758*O5^0.5)+0.6755*(0.097361964+0.150474931*LOG(O5)-0.024704766*O5^0.5),1/-0.403)</f>
        <v>4.260433516418602</v>
      </c>
      <c r="U5" s="134">
        <f>POWER((3.918916266+4.390757094*LOG(O5)-3.410386758*O5^0.5)+0*(0.097361964+0.150474931*LOG(O5)-0.024704766*O5^0.5),1/-0.403)</f>
        <v>5.3548094824159582</v>
      </c>
      <c r="V5" s="151">
        <f>POWER((3.918916266+4.390757094*LOG(O5)-3.410386758*O5^0.5)-0.6755*(0.097361964+0.150474931*LOG(O5)-0.024704766*O5^0.5),1/-0.403)</f>
        <v>6.8884177733076477</v>
      </c>
      <c r="W5" s="151">
        <f t="shared" ref="W5:W13" si="10">POWER((3.918916266+4.390757094*LOG(O5)-3.410386758*O5^0.5)-1.281552*(0.097361964+0.150474931*LOG(O5)-0.024704766*O5^0.5),1/-0.403)</f>
        <v>8.8449010845233271</v>
      </c>
      <c r="X5" s="151">
        <f t="shared" ref="X5:X13" si="11">POWER((3.918916266+4.390757094*LOG(O5)-3.410386758*O5^0.5)-1.644854*(0.097361964+0.150474931*LOG(O5)-0.024704766*O5^0.5),1/-0.403)</f>
        <v>10.409792700648696</v>
      </c>
      <c r="Y5" s="151">
        <f t="shared" ref="Y5:Y13" si="12">POWER((3.918916266+4.390757094*LOG(O5)-3.410386758*O5^0.5)-1.959964*(0.097361964+0.150474931*LOG(O5)-0.024704766*O5^0.5),1/-0.403)</f>
        <v>12.10064150301405</v>
      </c>
      <c r="Z5" s="151">
        <f t="shared" ref="Z5:Z13" si="13">POWER((3.918916266+4.390757094*LOG(O5)-3.410386758*O5^0.5)-2.326348*(0.097361964+0.150474931*LOG(O5)-0.024704766*O5^0.5),1/-0.403)</f>
        <v>14.593448093820854</v>
      </c>
      <c r="AA5" s="163"/>
      <c r="AB5" s="164">
        <v>1</v>
      </c>
      <c r="AC5" s="151">
        <f t="shared" ref="AC5:AC14" si="14">POWER((1.768394163+1.159470511*LOG(AB5)-1.027520856*AB5^0.5)+2.326348*(-1.698753938-2.296578262*LOG(AB5)+1.788554766*AB5^0.5),1/-0.225)</f>
        <v>1.2573339287133014</v>
      </c>
      <c r="AD5" s="151">
        <f t="shared" ref="AD5:AD14" si="15">POWER((1.768394163+1.159470511*LOG(AB5)-1.027520856*AB5^0.5)+1.959964*(-1.698753938-2.296578262*LOG(AB5)+1.788554766*AB5^0.5),1/-0.225)</f>
        <v>1.4706205822175398</v>
      </c>
      <c r="AE5" s="151">
        <f t="shared" ref="AE5:AE14" si="16">POWER((1.768394163+1.159470511*LOG(AB5)-1.027520856*AB5^0.5)+1.644854*(-1.698753938-2.296578262*LOG(AB5)+1.788554766*AB5^0.5),1/-0.225)</f>
        <v>1.6904792628269294</v>
      </c>
      <c r="AF5" s="151">
        <f>POWER((1.768394163+1.159470511*LOG(AB5)-1.027520856*AB5^0.5)+1.281552*(-1.698753938-2.296578262*LOG(AB5)+1.788554766*AB5^0.5),1/-0.225)</f>
        <v>1.9962360817734421</v>
      </c>
      <c r="AG5" s="151">
        <f>POWER((1.768394163+1.159470511*LOG(AB5)-1.027520856*AB5^0.5)+0.6755*(-1.698753938-2.296578262*LOG(AB5)+1.788554766*AB5^0.5),1/-0.225)</f>
        <v>2.6730933256681739</v>
      </c>
      <c r="AH5" s="134">
        <f>POWER((1.768394163+1.159470511*LOG(AB5)-1.027520856*AB5^0.5)+0*(-1.698753938-2.296578262*LOG(AB5)+1.788554766*AB5^0.5),1/-0.225)</f>
        <v>3.7924144043832282</v>
      </c>
      <c r="AI5" s="151">
        <f>POWER((1.768394163+1.159470511*LOG(AB5)-1.027520856*AB5^0.5)-0.6755*(-1.698753938-2.296578262*LOG(AB5)+1.788554766*AB5^0.5),1/-0.225)</f>
        <v>5.5437131870306349</v>
      </c>
      <c r="AJ5" s="151">
        <f t="shared" ref="AJ5:AJ14" si="17">POWER((1.768394163+1.159470511*LOG(AB5)-1.027520856*AB5^0.5)-1.281552*(-1.698753938-2.296578262*LOG(AB5)+1.788554766*AB5^0.5),1/-0.225)</f>
        <v>8.0309174111103854</v>
      </c>
      <c r="AK5" s="151">
        <f t="shared" ref="AK5:AK14" si="18">POWER((1.768394163+1.159470511*LOG(AB5)-1.027520856*AB5^0.5)-1.644854*(-1.698753938-2.296578262*LOG(AB5)+1.788554766*AB5^0.5),1/-0.225)</f>
        <v>10.188538340406097</v>
      </c>
      <c r="AL5" s="151">
        <f t="shared" ref="AL5:AL14" si="19">POWER((1.768394163+1.159470511*LOG(AB5)-1.027520856*AB5^0.5)-1.959964*(-1.698753938-2.296578262*LOG(AB5)+1.788554766*AB5^0.5),1/-0.225)</f>
        <v>12.660813194306508</v>
      </c>
      <c r="AM5" s="151">
        <f t="shared" ref="AM5:AM14" si="20">POWER((1.768394163+1.159470511*LOG(AB5)-1.027520856*AB5^0.5)-2.326348*(-1.698753938-2.296578262*LOG(AB5)+1.788554766*AB5^0.5),1/-0.225)</f>
        <v>16.530893015351019</v>
      </c>
      <c r="AN5" s="163"/>
      <c r="AO5" s="164">
        <v>1</v>
      </c>
      <c r="AP5" s="151">
        <f t="shared" ref="AP5:AP14" si="21">POWER((2.026103522-5.606461833*LOG(AO5)+2.783909245*AO5^0.5)-2.326348*(-5.356677244-6.9511465*LOG(AO5)+5.935503943*AO5^0.5),1/0.475)-7.001</f>
        <v>6.6703377238215671</v>
      </c>
      <c r="AQ5" s="151">
        <f t="shared" ref="AQ5:AQ14" si="22">POWER((2.026103522-5.606461833*LOG(AO5)+2.783909245*AO5^0.5)-1.959964*(-5.356677244-6.9511465*LOG(AO5)+5.935503943*AO5^0.5),1/0.475)-7.001</f>
        <v>8.4924496011026562</v>
      </c>
      <c r="AR5" s="151">
        <f t="shared" ref="AR5:AR14" si="23">POWER((2.026103522-5.606461833*LOG(AO5)+2.783909245*AO5^0.5)-1.644854*(-5.356677244-6.9511465*LOG(AO5)+5.935503943*AO5^0.5),1/0.475)-7.001</f>
        <v>10.155534576983833</v>
      </c>
      <c r="AS5" s="151">
        <f>POWER((2.026103522-5.606461833*LOG(AO5)+2.783909245*AO5^0.5)-1.281552*(-5.356677244-6.9511465*LOG(AO5)+5.935503943*AO5^0.5),1/0.475)-7.001</f>
        <v>12.183737171906181</v>
      </c>
      <c r="AT5" s="151">
        <f>POWER((2.026103522-5.606461833*LOG(AO5)+2.783909245*AO5^0.5)-0.6755*(-5.356677244-6.9511465*LOG(AO5)+5.935503943*AO5^0.5),1/0.475)-7.001</f>
        <v>15.832895943085493</v>
      </c>
      <c r="AU5" s="134">
        <f>POWER((2.026103522-5.606461833*LOG(AO5)+2.783909245*AO5^0.5)-0*(-5.356677244-6.9511465*LOG(AO5)+5.935503943*AO5^0.5),1/0.475)-7.001</f>
        <v>20.294894091966746</v>
      </c>
      <c r="AV5" s="151">
        <f>POWER((2.026103522-5.606461833*LOG(AO5)+2.783909245*AO5^0.5)+0.6755*(-5.356677244-6.9511465*LOG(AO5)+5.935503943*AO5^0.5),1/0.475)-7.001</f>
        <v>25.176556724664355</v>
      </c>
      <c r="AW5" s="151">
        <f t="shared" ref="AW5:AW14" si="24">POWER((2.026103522-5.606461833*LOG(AO5)+2.783909245*AO5^0.5)+1.281552*(-5.356677244-6.9511465*LOG(AO5)+5.935503943*AO5^0.5),1/0.475)-7.001</f>
        <v>29.916357523365068</v>
      </c>
      <c r="AX5" s="151">
        <f t="shared" ref="AX5:AX14" si="25">POWER((2.026103522-5.606461833*LOG(AO5)+2.783909245*AO5^0.5)+1.644854*(-5.356677244-6.9511465*LOG(AO5)+5.935503943*AO5^0.5),1/0.475)-7.001</f>
        <v>32.921931999228747</v>
      </c>
      <c r="AY5" s="151">
        <f t="shared" ref="AY5:AY14" si="26">POWER((2.026103522-5.606461833*LOG(AO5)+2.783909245*AO5^0.5)+1.959964*(-5.356677244-6.9511465*LOG(AO5)+5.935503943*AO5^0.5),1/0.475)-7.001</f>
        <v>35.628996457784645</v>
      </c>
      <c r="AZ5" s="151">
        <f t="shared" ref="AZ5:AZ14" si="27">POWER((2.026103522-5.606461833*LOG(AO5)+2.783909245*AO5^0.5)+2.326348*(-5.356677244-6.9511465*LOG(AO5)+5.935503943*AO5^0.5),1/0.475)-7.001</f>
        <v>38.893982956805552</v>
      </c>
      <c r="BA5" s="163"/>
      <c r="BB5" s="164">
        <v>1</v>
      </c>
      <c r="BC5" s="151">
        <f t="shared" ref="BC5:BC13" si="28">POWER((-45.219218509-73.315544907*LOG(BB5)+52.823148136*BB5^0.5)-2.326348*(0.4074002+1.6813908*LOG(BB5)+0.415017278*BB5^0.5),1/0.587)-7.001</f>
        <v>12.340196551228225</v>
      </c>
      <c r="BD5" s="151">
        <f t="shared" ref="BD5:BD13" si="29">POWER((-45.219218509-73.315544907*LOG(BB5)+52.823148136*BB5^0.5)-1.959964*(0.4074002+1.6813908*LOG(BB5)+0.415017278*BB5^0.5),1/0.587)-7.001</f>
        <v>14.117177272630581</v>
      </c>
      <c r="BE5" s="151">
        <f t="shared" ref="BE5:BE13" si="30">POWER((-45.219218509-73.315544907*LOG(BB5)+52.823148136*BB5^0.5)-1.644854*(0.4074002+1.6813908*LOG(BB5)+0.415017278*BB5^0.5),1/0.587)-7.001</f>
        <v>15.696714926854995</v>
      </c>
      <c r="BF5" s="151">
        <f>POWER((-45.219218509-73.315544907*LOG(BB5)+52.823148136*BB5^0.5)-1.281552*(0.4074002+1.6813908*LOG(BB5)+0.415017278*BB5^0.5),1/0.587)-7.001</f>
        <v>17.575819339254643</v>
      </c>
      <c r="BG5" s="151">
        <f>POWER((-45.219218509-73.315544907*LOG(BB5)+52.823148136*BB5^0.5)-0.6755*(0.4074002+1.6813908*LOG(BB5)+0.415017278*BB5^0.5),1/0.587)-7.001</f>
        <v>20.846523084326154</v>
      </c>
      <c r="BH5" s="134">
        <f>POWER((-45.219218509-73.315544907*LOG(BB5)+52.823148136*BB5^0.5)-0*(0.4074002+1.6813908*LOG(BB5)+0.415017278*BB5^0.5),1/0.587)-7.001</f>
        <v>24.688594072889096</v>
      </c>
      <c r="BI5" s="151">
        <f>POWER((-45.219218509-73.315544907*LOG(BB5)+52.823148136*BB5^0.5)+0.6755*(0.4074002+1.6813908*LOG(BB5)+0.415017278*BB5^0.5),1/0.587)-7.001</f>
        <v>28.73344456138874</v>
      </c>
      <c r="BJ5" s="151">
        <f t="shared" ref="BJ5:BJ13" si="31">POWER((-45.219218509-73.315544907*LOG(BB5)+52.823148136*BB5^0.5)+1.281552*(0.4074002+1.6813908*LOG(BB5)+0.415017278*BB5^0.5),1/0.587)-7.001</f>
        <v>32.531565566473958</v>
      </c>
      <c r="BK5" s="151">
        <f t="shared" ref="BK5:BK13" si="32">POWER((-45.219218509-73.315544907*LOG(BB5)+52.823148136*BB5^0.5)+1.644854*(0.4074002+1.6813908*LOG(BB5)+0.415017278*BB5^0.5),1/0.587)-7.001</f>
        <v>34.883837812336665</v>
      </c>
      <c r="BL5" s="151">
        <f t="shared" ref="BL5:BL13" si="33">POWER((-45.219218509-73.315544907*LOG(BB5)+52.823148136*BB5^0.5)+1.959964*(0.4074002+1.6813908*LOG(BB5)+0.415017278*BB5^0.5),1/0.587)-7.001</f>
        <v>36.969344898487634</v>
      </c>
      <c r="BM5" s="151">
        <f t="shared" ref="BM5:BM13" si="34">POWER((-45.219218509-73.315544907*LOG(BB5)+52.823148136*BB5^0.5)+2.326348*(0.4074002+1.6813908*LOG(BB5)+0.415017278*BB5^0.5),1/0.587)-7.001</f>
        <v>39.44657725662718</v>
      </c>
      <c r="BN5" s="163"/>
      <c r="BO5" s="164">
        <v>1</v>
      </c>
      <c r="BP5" s="151">
        <f t="shared" ref="BP5:BP14" si="35">POWER((0.268379962-2.066183748*LOG(BO5)+1.268332069*BO5^0.5)-2.326348*(-2.089642311-2.808512303*LOG(BO5)+2.193198197*BO5^0.5),1/0.148)</f>
        <v>5.7597423424928058</v>
      </c>
      <c r="BQ5" s="151">
        <f t="shared" ref="BQ5:BQ14" si="36">POWER((0.268379962-2.066183748*LOG(BO5)+1.268332069*BO5^0.5)-1.959964*(-2.089642311-2.808512303*LOG(BO5)+2.193198197*BO5^0.5),1/0.148)</f>
        <v>6.9998576031744335</v>
      </c>
      <c r="BR5" s="151">
        <f t="shared" ref="BR5:BR14" si="37">POWER((0.268379962-2.066183748*LOG(BO5)+1.268332069*BO5^0.5)-1.644854*(-2.089642311-2.808512303*LOG(BO5)+2.193198197*BO5^0.5),1/0.148)</f>
        <v>8.2417364682617809</v>
      </c>
      <c r="BS5" s="151">
        <f>POWER((0.268379962-2.066183748*LOG(BO5)+1.268332069*BO5^0.5)-1.281552*(-2.089642311-2.808512303*LOG(BO5)+2.193198197*BO5^0.5),1/0.148)</f>
        <v>9.9020071982653626</v>
      </c>
      <c r="BT5" s="151">
        <f>POWER((0.268379962-2.066183748*LOG(BO5)+1.268332069*BO5^0.5)-0.6755*(-2.089642311-2.808512303*LOG(BO5)+2.193198197*BO5^0.5),1/0.148)</f>
        <v>13.306007010621784</v>
      </c>
      <c r="BU5" s="134">
        <f>POWER((0.268379962-2.066183748*LOG(BO5)+1.268332069*BO5^0.5)-0*(-2.089642311-2.808512303*LOG(BO5)+2.193198197*BO5^0.5),1/0.148)</f>
        <v>18.228883820711285</v>
      </c>
      <c r="BV5" s="151">
        <f>POWER((0.268379962-2.066183748*LOG(BO5)+1.268332069*BO5^0.5)+0.6755*(-2.089642311-2.808512303*LOG(BO5)+2.193198197*BO5^0.5),1/0.148)</f>
        <v>24.625531751014098</v>
      </c>
      <c r="BW5" s="151">
        <f t="shared" ref="BW5:BW14" si="38">POWER((0.268379962-2.066183748*LOG(BO5)+1.268332069*BO5^0.5)+1.281552*(-2.089642311-2.808512303*LOG(BO5)+2.193198197*BO5^0.5),1/0.148)</f>
        <v>31.902831749128723</v>
      </c>
      <c r="BX5" s="151">
        <f t="shared" ref="BX5:BX14" si="39">POWER((0.268379962-2.066183748*LOG(BO5)+1.268332069*BO5^0.5)+1.644854*(-2.089642311-2.808512303*LOG(BO5)+2.193198197*BO5^0.5),1/0.148)</f>
        <v>37.087288285939408</v>
      </c>
      <c r="BY5" s="151">
        <f t="shared" ref="BY5:BY14" si="40">POWER((0.268379962-2.066183748*LOG(BO5)+1.268332069*BO5^0.5)+1.959964*(-2.089642311-2.808512303*LOG(BO5)+2.193198197*BO5^0.5),1/0.148)</f>
        <v>42.149206306123439</v>
      </c>
      <c r="BZ5" s="151">
        <f t="shared" ref="BZ5:BZ14" si="41">POWER((0.268379962-2.066183748*LOG(BO5)+1.268332069*BO5^0.5)+2.326348*(-2.089642311-2.808512303*LOG(BO5)+2.193198197*BO5^0.5),1/0.148)</f>
        <v>48.763998708856661</v>
      </c>
      <c r="CA5" s="163"/>
      <c r="CB5" s="164">
        <v>1</v>
      </c>
      <c r="CC5" s="151">
        <f t="shared" ref="CC5:CC14" si="42">POWER((47.353848369+19.966606953*LOG(CB5)-33.826067581*CB5^0.5)-2.326348*(48.67050404+67.839328208*LOG(CB5)-47.096951719*CB5^0.5),1/0.709)-7.001</f>
        <v>18.248051398494226</v>
      </c>
      <c r="CD5" s="151">
        <f t="shared" ref="CD5:CD14" si="43">POWER((47.353848369+19.966606953*LOG(CB5)-33.826067581*CB5^0.5)-1.959964*(48.67050404+67.839328208*LOG(CB5)-47.096951719*CB5^0.5),1/0.709)-7.001</f>
        <v>20.353494494770079</v>
      </c>
      <c r="CE5" s="151">
        <f t="shared" ref="CE5:CE14" si="44">POWER((47.353848369+19.966606953*LOG(CB5)-33.826067581*CB5^0.5)-1.644854*(48.67050404+67.839328208*LOG(CB5)-47.096951719*CB5^0.5),1/0.709)-7.001</f>
        <v>22.202955136024631</v>
      </c>
      <c r="CF5" s="151">
        <f>POWER((47.353848369+19.966606953*LOG(CB5)-33.826067581*CB5^0.5)-1.281552*(48.67050404+67.839328208*LOG(CB5)-47.096951719*CB5^0.5),1/0.709)-7.001</f>
        <v>24.378322414249283</v>
      </c>
      <c r="CG5" s="151">
        <f>POWER((47.353848369+19.966606953*LOG(CB5)-33.826067581*CB5^0.5)-0.6755*(48.67050404+67.839328208*LOG(CB5)-47.096951719*CB5^0.5),1/0.709)-7.001</f>
        <v>28.106316635128184</v>
      </c>
      <c r="CH5" s="134">
        <f>POWER((47.353848369+19.966606953*LOG(CB5)-33.826067581*CB5^0.5)-0*(48.67050404+67.839328208*LOG(CB5)-47.096951719*CB5^0.5),1/0.709)-7.001</f>
        <v>32.401525425797701</v>
      </c>
      <c r="CI5" s="151">
        <f>POWER((47.353848369+19.966606953*LOG(CB5)-33.826067581*CB5^0.5)+0.6755*(48.67050404+67.839328208*LOG(CB5)-47.096951719*CB5^0.5),1/0.709)-7.001</f>
        <v>36.837628798510579</v>
      </c>
      <c r="CJ5" s="151">
        <f t="shared" ref="CJ5:CJ14" si="45">POWER((47.353848369+19.966606953*LOG(CB5)-33.826067581*CB5^0.5)+1.281552*(48.67050404+67.839328208*LOG(CB5)-47.096951719*CB5^0.5),1/0.709)-7.001</f>
        <v>40.932495555825845</v>
      </c>
      <c r="CK5" s="151">
        <f t="shared" ref="CK5:CK14" si="46">POWER((47.353848369+19.966606953*LOG(CB5)-33.826067581*CB5^0.5)+1.644854*(48.67050404+67.839328208*LOG(CB5)-47.096951719*CB5^0.5),1/0.709)-7.001</f>
        <v>43.437514387717954</v>
      </c>
      <c r="CL5" s="151">
        <f t="shared" ref="CL5:CL14" si="47">POWER((47.353848369+19.966606953*LOG(CB5)-33.826067581*CB5^0.5)+1.959964*(48.67050404+67.839328208*LOG(CB5)-47.096951719*CB5^0.5),1/0.709)-7.001</f>
        <v>45.640025876268787</v>
      </c>
      <c r="CM5" s="151">
        <f t="shared" ref="CM5:CM14" si="48">POWER((47.353848369+19.966606953*LOG(CB5)-33.826067581*CB5^0.5)+2.326348*(48.67050404+67.839328208*LOG(CB5)-47.096951719*CB5^0.5),1/0.709)-7.001</f>
        <v>48.235031786889955</v>
      </c>
      <c r="CN5" s="163"/>
      <c r="CO5" s="164">
        <v>1</v>
      </c>
      <c r="CP5" s="151">
        <f t="shared" ref="CP5:CP13" si="49">POWER((13.306405525-20.580772747*LOG(CO5)-0.020442255*CO5^0.5)-2.326348*(42.162042345+57.993151287*LOG(CO5)-40.663586679*CO5^0.5),1/0.697)-6.001</f>
        <v>20.43125771508528</v>
      </c>
      <c r="CQ5" s="151">
        <f t="shared" ref="CQ5:CQ13" si="50">POWER((13.306405525-20.580772747*LOG(CO5)-0.020442255*CO5^0.5)-1.959964*(42.162042345+57.993151287*LOG(CO5)-40.663586679*CO5^0.5),1/0.697)-6.001</f>
        <v>22.581347986434299</v>
      </c>
      <c r="CR5" s="151">
        <f t="shared" ref="CR5:CR13" si="51">POWER((13.306405525-20.580772747*LOG(CO5)-0.020442255*CO5^0.5)-1.644854*(42.162042345+57.993151287*LOG(CO5)-40.663586679*CO5^0.5),1/0.697)-6.001</f>
        <v>24.470733933211932</v>
      </c>
      <c r="CS5" s="151">
        <f>POWER((13.306405525-20.580772747*LOG(CO5)-0.020442255*CO5^0.5)-1.281552*(42.162042345+57.993151287*LOG(CO5)-40.663586679*CO5^0.5),1/0.697)-6.001</f>
        <v>26.693937686779247</v>
      </c>
      <c r="CT5" s="151">
        <f>POWER((13.306405525-20.580772747*LOG(CO5)-0.020442255*CO5^0.5)-0.6755*(42.162042345+57.993151287*LOG(CO5)-40.663586679*CO5^0.5),1/0.697)-6.001</f>
        <v>30.506160191258022</v>
      </c>
      <c r="CU5" s="134">
        <f>POWER((13.306405525-20.580772747*LOG(CO5)-0.020442255*CO5^0.5)-0*(42.162042345+57.993151287*LOG(CO5)-40.663586679*CO5^0.5),1/0.697)-6.001</f>
        <v>34.901959385193415</v>
      </c>
      <c r="CV5" s="151">
        <f>POWER((13.306405525-20.580772747*LOG(CO5)-0.020442255*CO5^0.5)+0.6755*(42.162042345+57.993151287*LOG(CO5)-40.663586679*CO5^0.5),1/0.697)-6.001</f>
        <v>39.445897907745206</v>
      </c>
      <c r="CW5" s="151">
        <f t="shared" ref="CW5:CW13" si="52">POWER((13.306405525-20.580772747*LOG(CO5)-0.020442255*CO5^0.5)+1.281552*(42.162042345+57.993151287*LOG(CO5)-40.663586679*CO5^0.5),1/0.697)-6.001</f>
        <v>43.643781318770962</v>
      </c>
      <c r="CX5" s="151">
        <f t="shared" ref="CX5:CX13" si="53">POWER((13.306405525-20.580772747*LOG(CO5)-0.020442255*CO5^0.5)+1.644854*(42.162042345+57.993151287*LOG(CO5)-40.663586679*CO5^0.5),1/0.697)-6.001</f>
        <v>46.213423866924131</v>
      </c>
      <c r="CY5" s="151">
        <f t="shared" ref="CY5:CY13" si="54">POWER((13.306405525-20.580772747*LOG(CO5)-0.020442255*CO5^0.5)+1.959964*(42.162042345+57.993151287*LOG(CO5)-40.663586679*CO5^0.5),1/0.697)-6.001</f>
        <v>48.473738208289355</v>
      </c>
      <c r="CZ5" s="151">
        <f t="shared" ref="CZ5:CZ13" si="55">POWER((13.306405525-20.580772747*LOG(CO5)-0.020442255*CO5^0.5)+2.326348*(42.162042345+57.993151287*LOG(CO5)-40.663586679*CO5^0.5),1/0.697)-6.001</f>
        <v>51.138004926939857</v>
      </c>
      <c r="DA5" s="163"/>
      <c r="DB5" s="164">
        <v>1</v>
      </c>
      <c r="DC5" s="151">
        <f t="shared" ref="DC5:DC14" si="56">POWER((-45.085462434-91.53275688*LOG(DB5)+54.713297188*DB5^0.5)-2.326348*(18.025421719+25.999246557*LOG(DB5)-17.03703913*DB5^0.5),1/0.608)-7.001</f>
        <v>19.467141512421584</v>
      </c>
      <c r="DD5" s="151">
        <f t="shared" ref="DD5:DD14" si="57">POWER((-45.085462434-91.53275688*LOG(DB5)+54.713297188*DB5^0.5)-1.959964*(18.025421719+25.999246557*LOG(DB5)-17.03703913*DB5^0.5),1/0.608)-7.001</f>
        <v>21.652335071374225</v>
      </c>
      <c r="DE5" s="151">
        <f t="shared" ref="DE5:DE14" si="58">POWER((-45.085462434-91.53275688*LOG(DB5)+54.713297188*DB5^0.5)-1.644854*(18.025421719+25.999246557*LOG(DB5)-17.03703913*DB5^0.5),1/0.608)-7.001</f>
        <v>23.585651372025218</v>
      </c>
      <c r="DF5" s="151">
        <f>POWER((-45.085462434-91.53275688*LOG(DB5)+54.713297188*DB5^0.5)-1.281552*(18.025421719+25.999246557*LOG(DB5)-17.03703913*DB5^0.5),1/0.608)-7.001</f>
        <v>25.875584485749219</v>
      </c>
      <c r="DG5" s="151">
        <f>POWER((-45.085462434-91.53275688*LOG(DB5)+54.713297188*DB5^0.5)-0.6755*(18.025421719+25.999246557*LOG(DB5)-17.03703913*DB5^0.5),1/0.608)-7.001</f>
        <v>29.838234967616405</v>
      </c>
      <c r="DH5" s="134">
        <f>POWER((-45.085462434-91.53275688*LOG(DB5)+54.713297188*DB5^0.5)-0*(18.025421719+25.999246557*LOG(DB5)-17.03703913*DB5^0.5),1/0.608)-7.001</f>
        <v>34.460572485342652</v>
      </c>
      <c r="DI5" s="151">
        <f>POWER((-45.085462434-91.53275688*LOG(DB5)+54.713297188*DB5^0.5)+0.6755*(18.025421719+25.999246557*LOG(DB5)-17.03703913*DB5^0.5),1/0.608)-7.001</f>
        <v>39.294381673382034</v>
      </c>
      <c r="DJ5" s="151">
        <f t="shared" ref="DJ5:DJ14" si="59">POWER((-45.085462434-91.53275688*LOG(DB5)+54.713297188*DB5^0.5)+1.281552*(18.025421719+25.999246557*LOG(DB5)-17.03703913*DB5^0.5),1/0.608)-7.001</f>
        <v>43.807100884813373</v>
      </c>
      <c r="DK5" s="151">
        <f t="shared" ref="DK5:DK14" si="60">POWER((-45.085462434-91.53275688*LOG(DB5)+54.713297188*DB5^0.5)+1.644854*(18.025421719+25.999246557*LOG(DB5)-17.03703913*DB5^0.5),1/0.608)-7.001</f>
        <v>46.59057716548368</v>
      </c>
      <c r="DL5" s="151">
        <f t="shared" ref="DL5:DL14" si="61">POWER((-45.085462434-91.53275688*LOG(DB5)+54.713297188*DB5^0.5)+1.959964*(18.025421719+25.999246557*LOG(DB5)-17.03703913*DB5^0.5),1/0.608)-7.001</f>
        <v>49.051707093627797</v>
      </c>
      <c r="DM5" s="151">
        <f t="shared" ref="DM5:DM14" si="62">POWER((-45.085462434-91.53275688*LOG(DB5)+54.713297188*DB5^0.5)+2.326348*(18.025421719+25.999246557*LOG(DB5)-17.03703913*DB5^0.5),1/0.608)-7.001</f>
        <v>51.967480548812333</v>
      </c>
      <c r="DN5" s="163"/>
      <c r="DO5" s="164">
        <v>1</v>
      </c>
      <c r="DP5" s="151">
        <f t="shared" ref="DP5:DP14" si="63">POWER((0.312976081-0.003264959*LOG(DO5)-0.148982709*DO5^0.5)+2.326348*(0.125982892+0.1552734*LOG(DO5)-0.108647238*DO5^0.5),1/-0.663)</f>
        <v>10.971051030185794</v>
      </c>
      <c r="DQ5" s="151">
        <f t="shared" ref="DQ5:DQ14" si="64">POWER((0.312976081-0.003264959*LOG(DO5)-0.148982709*DO5^0.5)+1.959964*(0.125982892+0.1552734*LOG(DO5)-0.108647238*DO5^0.5),1/-0.663)</f>
        <v>11.506254880110765</v>
      </c>
      <c r="DR5" s="151">
        <f t="shared" ref="DR5:DR14" si="65">POWER((0.312976081-0.003264959*LOG(DO5)-0.148982709*DO5^0.5)+1.644854*(0.125982892+0.1552734*LOG(DO5)-0.108647238*DO5^0.5),1/-0.663)</f>
        <v>12.00225362942205</v>
      </c>
      <c r="DS5" s="151">
        <f>POWER((0.312976081-0.003264959*LOG(DO5)-0.148982709*DO5^0.5)+1.281552*(0.125982892+0.1552734*LOG(DO5)-0.108647238*DO5^0.5),1/-0.663)</f>
        <v>12.619774196744849</v>
      </c>
      <c r="DT5" s="151">
        <f>POWER((0.312976081-0.003264959*LOG(DO5)-0.148982709*DO5^0.5)+0.6755*(0.125982892+0.1552734*LOG(DO5)-0.108647238*DO5^0.5),1/-0.663)</f>
        <v>13.775076010213514</v>
      </c>
      <c r="DU5" s="134">
        <f>POWER((0.312976081-0.003264959*LOG(DO5)-0.148982709*DO5^0.5)+0*(0.125982892+0.1552734*LOG(DO5)-0.108647238*DO5^0.5),1/-0.663)</f>
        <v>15.285303402572644</v>
      </c>
      <c r="DV5" s="151">
        <f>POWER((0.312976081-0.003264959*LOG(DO5)-0.148982709*DO5^0.5)-0.6755*(0.125982892+0.1552734*LOG(DO5)-0.108647238*DO5^0.5),1/-0.663)</f>
        <v>17.09238591317397</v>
      </c>
      <c r="DW5" s="151">
        <f t="shared" ref="DW5:DW14" si="66">POWER((0.312976081-0.003264959*LOG(DO5)-0.148982709*DO5^0.5)-1.281552*(0.125982892+0.1552734*LOG(DO5)-0.108647238*DO5^0.5),1/-0.663)</f>
        <v>19.038383601595687</v>
      </c>
      <c r="DX5" s="151">
        <f t="shared" ref="DX5:DX14" si="67">POWER((0.312976081-0.003264959*LOG(DO5)-0.148982709*DO5^0.5)-1.644854*(0.125982892+0.1552734*LOG(DO5)-0.108647238*DO5^0.5),1/-0.663)</f>
        <v>20.388951368672537</v>
      </c>
      <c r="DY5" s="151">
        <f t="shared" ref="DY5:DY14" si="68">POWER((0.312976081-0.003264959*LOG(DO5)-0.148982709*DO5^0.5)-1.959964*(0.125982892+0.1552734*LOG(DO5)-0.108647238*DO5^0.5),1/-0.663)</f>
        <v>21.694726256177212</v>
      </c>
      <c r="DZ5" s="151">
        <f t="shared" ref="DZ5:DZ14" si="69">POWER((0.312976081-0.003264959*LOG(DO5)-0.148982709*DO5^0.5)-2.326348*(0.125982892+0.1552734*LOG(DO5)-0.108647238*DO5^0.5),1/-0.663)</f>
        <v>23.397112037577699</v>
      </c>
      <c r="EA5" s="163"/>
      <c r="EB5" s="164">
        <v>1</v>
      </c>
      <c r="EC5" s="151">
        <f t="shared" ref="EC5:EC13" si="70">POWER((-0.491837944-1.097428833*LOG(EB5)+0.687074684*EB5^0.5)+2.326348*(0.395374596+0.497221035*LOG(EB5)-0.377854324*EB5^0.5),1/-0.608)</f>
        <v>10.750035456898226</v>
      </c>
      <c r="ED5" s="151">
        <f t="shared" ref="ED5:ED13" si="71">POWER((-0.491837944-1.097428833*LOG(EB5)+0.687074684*EB5^0.5)+1.959964*(0.395374596+0.497221035*LOG(EB5)-0.377854324*EB5^0.5),1/-0.608)</f>
        <v>11.248853112145135</v>
      </c>
      <c r="EE5" s="151">
        <f t="shared" ref="EE5:EE13" si="72">POWER((-0.491837944-1.097428833*LOG(EB5)+0.687074684*EB5^0.5)+1.644854*(0.395374596+0.497221035*LOG(EB5)-0.377854324*EB5^0.5),1/-0.608)</f>
        <v>11.708346425727854</v>
      </c>
      <c r="EF5" s="151">
        <f>POWER((-0.491837944-1.097428833*LOG(EB5)+0.687074684*EB5^0.5)+1.281552*(0.395374596+0.497221035*LOG(EB5)-0.377854324*EB5^0.5),1/-0.608)</f>
        <v>12.276705656052114</v>
      </c>
      <c r="EG5" s="151">
        <f>POWER((-0.491837944-1.097428833*LOG(EB5)+0.687074684*EB5^0.5)+0.6755*(0.395374596+0.497221035*LOG(EB5)-0.377854324*EB5^0.5),1/-0.608)</f>
        <v>13.329119324647198</v>
      </c>
      <c r="EH5" s="134">
        <f>POWER((-0.491837944-1.097428833*LOG(EB5)+0.687074684*EB5^0.5)+0*(0.395374596+0.497221035*LOG(EB5)-0.377854324*EB5^0.5),1/-0.608)</f>
        <v>14.683837182267487</v>
      </c>
      <c r="EI5" s="151">
        <f>POWER((-0.491837944-1.097428833*LOG(EB5)+0.687074684*EB5^0.5)-0.6755*(0.395374596+0.497221035*LOG(EB5)-0.377854324*EB5^0.5),1/-0.608)</f>
        <v>16.274485273899302</v>
      </c>
      <c r="EJ5" s="151">
        <f t="shared" ref="EJ5:EJ13" si="73">POWER((-0.491837944-1.097428833*LOG(EB5)+0.687074684*EB5^0.5)-1.281552*(0.395374596+0.497221035*LOG(EB5)-0.377854324*EB5^0.5),1/-0.608)</f>
        <v>17.951787485535441</v>
      </c>
      <c r="EK5" s="151">
        <f t="shared" ref="EK5:EK13" si="74">POWER((-0.491837944-1.097428833*LOG(EB5)+0.687074684*EB5^0.5)-1.644854*(0.395374596+0.497221035*LOG(EB5)-0.377854324*EB5^0.5),1/-0.608)</f>
        <v>19.09495451258578</v>
      </c>
      <c r="EL5" s="151">
        <f t="shared" ref="EL5:EL13" si="75">POWER((-0.491837944-1.097428833*LOG(EB5)+0.687074684*EB5^0.5)-1.959964*(0.395374596+0.497221035*LOG(EB5)-0.377854324*EB5^0.5),1/-0.608)</f>
        <v>20.18445344622905</v>
      </c>
      <c r="EM5" s="151">
        <f t="shared" ref="EM5:EM13" si="76">POWER((-0.491837944-1.097428833*LOG(EB5)+0.687074684*EB5^0.5)-2.326348*(0.395374596+0.497221035*LOG(EB5)-0.377854324*EB5^0.5),1/-0.608)</f>
        <v>21.582346324015852</v>
      </c>
      <c r="EN5" s="163"/>
      <c r="EO5" s="164">
        <v>1</v>
      </c>
      <c r="EP5" s="151">
        <f t="shared" ref="EP5:EP14" si="77">POWER((-0.28462115-1.141821069*LOG(EO5)+0.613513047*EO5^0.5)+2.326348*(0.50991043+0.702248061*LOG(EO5)-0.49267128*EO5^0.5),1/-0.417)</f>
        <v>10.922370820449883</v>
      </c>
      <c r="EQ5" s="151">
        <f t="shared" ref="EQ5:EQ14" si="78">POWER((-0.28462115-1.141821069*LOG(EO5)+0.613513047*EO5^0.5)+1.959964*(0.50991043+0.702248061*LOG(EO5)-0.49267128*EO5^0.5),1/-0.417)</f>
        <v>11.384088795720334</v>
      </c>
      <c r="ER5" s="151">
        <f t="shared" ref="ER5:ER14" si="79">POWER((-0.28462115-1.141821069*LOG(EO5)+0.613513047*EO5^0.5)+1.644854*(0.50991043+0.702248061*LOG(EO5)-0.49267128*EO5^0.5),1/-0.417)</f>
        <v>11.803627333239058</v>
      </c>
      <c r="ES5" s="151">
        <f>POWER((-0.28462115-1.141821069*LOG(EO5)+0.613513047*EO5^0.5)+1.281552*(0.50991043+0.702248061*LOG(EO5)-0.49267128*EO5^0.5),1/-0.417)</f>
        <v>12.315039698719689</v>
      </c>
      <c r="ET5" s="151">
        <f>POWER((-0.28462115-1.141821069*LOG(EO5)+0.613513047*EO5^0.5)+0.6755*(0.50991043+0.702248061*LOG(EO5)-0.49267128*EO5^0.5),1/-0.417)</f>
        <v>13.240619783053962</v>
      </c>
      <c r="EU5" s="134">
        <f>POWER((-0.28462115-1.141821069*LOG(EO5)+0.613513047*EO5^0.5)+0*(0.50991043+0.702248061*LOG(EO5)-0.49267128*EO5^0.5),1/-0.417)</f>
        <v>14.392819078445635</v>
      </c>
      <c r="EV5" s="151">
        <f>POWER((-0.28462115-1.141821069*LOG(EO5)+0.613513047*EO5^0.5)-0.6755*(0.50991043+0.702248061*LOG(EO5)-0.49267128*EO5^0.5),1/-0.417)</f>
        <v>15.692418420919079</v>
      </c>
      <c r="EW5" s="151">
        <f t="shared" ref="EW5:EW14" si="80">POWER((-0.28462115-1.141821069*LOG(EO5)+0.613513047*EO5^0.5)-1.281552*(0.50991043+0.702248061*LOG(EO5)-0.49267128*EO5^0.5),1/-0.417)</f>
        <v>17.004583166051084</v>
      </c>
      <c r="EX5" s="151">
        <f t="shared" ref="EX5:EX14" si="81">POWER((-0.28462115-1.141821069*LOG(EO5)+0.613513047*EO5^0.5)-1.644854*(0.50991043+0.702248061*LOG(EO5)-0.49267128*EO5^0.5),1/-0.417)</f>
        <v>17.866797533217081</v>
      </c>
      <c r="EY5" s="151">
        <f t="shared" ref="EY5:EY14" si="82">POWER((-0.28462115-1.141821069*LOG(EO5)+0.613513047*EO5^0.5)-1.959964*(0.50991043+0.702248061*LOG(EO5)-0.49267128*EO5^0.5),1/-0.417)</f>
        <v>18.665674942643236</v>
      </c>
      <c r="EZ5" s="151">
        <f t="shared" ref="EZ5:EZ14" si="83">POWER((-0.28462115-1.141821069*LOG(EO5)+0.613513047*EO5^0.5)-2.326348*(0.50991043+0.702248061*LOG(EO5)-0.49267128*EO5^0.5),1/-0.417)</f>
        <v>19.659683112077957</v>
      </c>
      <c r="FA5" s="163"/>
      <c r="FB5" s="164">
        <v>1</v>
      </c>
      <c r="FC5" s="151">
        <f t="shared" ref="FC5:FC14" si="84">POWER((1.754731141+1.191242876*LOG(FB5)-1.167972681*FB5^0.5)+2.326348*(0.518108993+0.686659608*LOG(FB5)-0.489966614*FB5^0.5),1/-0.251)</f>
        <v>5.4884029084898929</v>
      </c>
      <c r="FD5" s="151">
        <f t="shared" ref="FD5:FD14" si="85">POWER((1.754731141+1.191242876*LOG(FB5)-1.167972681*FB5^0.5)+1.959964*(0.518108993+0.686659608*LOG(FB5)-0.489966614*FB5^0.5),1/-0.251)</f>
        <v>5.8481398082141469</v>
      </c>
      <c r="FE5" s="151">
        <f t="shared" ref="FE5:FE14" si="86">POWER((1.754731141+1.191242876*LOG(FB5)-1.167972681*FB5^0.5)+1.644854*(0.518108993+0.686659608*LOG(FB5)-0.489966614*FB5^0.5),1/-0.251)</f>
        <v>6.1814097968192394</v>
      </c>
      <c r="FF5" s="151">
        <f>POWER((1.754731141+1.191242876*LOG(FB5)-1.167972681*FB5^0.5)+1.281552*(0.518108993+0.686659608*LOG(FB5)-0.489966614*FB5^0.5),1/-0.251)</f>
        <v>6.5956945428183449</v>
      </c>
      <c r="FG5" s="151">
        <f>POWER((1.754731141+1.191242876*LOG(FB5)-1.167972681*FB5^0.5)+0.6755*(0.518108993+0.686659608*LOG(FB5)-0.489966614*FB5^0.5),1/-0.251)</f>
        <v>7.3672201452156294</v>
      </c>
      <c r="FH5" s="134">
        <f>POWER((1.754731141+1.191242876*LOG(FB5)-1.167972681*FB5^0.5)+0*(0.518108993+0.686659608*LOG(FB5)-0.489966614*FB5^0.5),1/-0.251)</f>
        <v>8.3651295086769313</v>
      </c>
      <c r="FI5" s="151">
        <f>POWER((1.754731141+1.191242876*LOG(FB5)-1.167972681*FB5^0.5)-0.6755*(0.518108993+0.686659608*LOG(FB5)-0.489966614*FB5^0.5),1/-0.251)</f>
        <v>9.5380335713910167</v>
      </c>
      <c r="FJ5" s="151">
        <f t="shared" ref="FJ5:FJ14" si="87">POWER((1.754731141+1.191242876*LOG(FB5)-1.167972681*FB5^0.5)-1.281552*(0.518108993+0.686659608*LOG(FB5)-0.489966614*FB5^0.5),1/-0.251)</f>
        <v>10.770461091031052</v>
      </c>
      <c r="FK5" s="151">
        <f t="shared" ref="FK5:FK14" si="88">POWER((1.754731141+1.191242876*LOG(FB5)-1.167972681*FB5^0.5)-1.644854*(0.518108993+0.686659608*LOG(FB5)-0.489966614*FB5^0.5),1/-0.251)</f>
        <v>11.605404317461712</v>
      </c>
      <c r="FL5" s="151">
        <f t="shared" ref="FL5:FL14" si="89">POWER((1.754731141+1.191242876*LOG(FB5)-1.167972681*FB5^0.5)-1.959964*(0.518108993+0.686659608*LOG(FB5)-0.489966614*FB5^0.5),1/-0.251)</f>
        <v>12.396115887245728</v>
      </c>
      <c r="FM5" s="151">
        <f t="shared" ref="FM5:FM14" si="90">POWER((1.754731141+1.191242876*LOG(FB5)-1.167972681*FB5^0.5)-2.326348*(0.518108993+0.686659608*LOG(FB5)-0.489966614*FB5^0.5),1/-0.251)</f>
        <v>13.402178960618057</v>
      </c>
      <c r="FN5" s="163"/>
      <c r="FO5" s="164">
        <v>1</v>
      </c>
      <c r="FP5" s="151">
        <f t="shared" ref="FP5:FP13" si="91">POWER((1.064968235+0.175132754*LOG(FO5)-0.280186618*FO5^0.5)+2.326348*(0.725917371+0.956542969*LOG(FO5)-0.710572201*FO5^0.5),1/-0.115)</f>
        <v>5.5877324946847189</v>
      </c>
      <c r="FQ5" s="151">
        <f t="shared" ref="FQ5:FQ13" si="92">POWER((1.064968235+0.175132754*LOG(FO5)-0.280186618*FO5^0.5)+1.959964*(0.725917371+0.956542969*LOG(FO5)-0.710572201*FO5^0.5),1/-0.115)</f>
        <v>5.9320177379376462</v>
      </c>
      <c r="FR5" s="151">
        <f t="shared" ref="FR5:FR13" si="93">POWER((1.064968235+0.175132754*LOG(FO5)-0.280186618*FO5^0.5)+1.644854*(0.725917371+0.956542969*LOG(FO5)-0.710572201*FO5^0.5),1/-0.115)</f>
        <v>6.2471082286440032</v>
      </c>
      <c r="FS5" s="151">
        <f>POWER((1.064968235+0.175132754*LOG(FO5)-0.280186618*FO5^0.5)+1.281552*(0.725917371+0.956542969*LOG(FO5)-0.710572201*FO5^0.5),1/-0.115)</f>
        <v>6.6337675162680139</v>
      </c>
      <c r="FT5" s="151">
        <f>POWER((1.064968235+0.175132754*LOG(FO5)-0.280186618*FO5^0.5)+0.6755*(0.725917371+0.956542969*LOG(FO5)-0.710572201*FO5^0.5),1/-0.115)</f>
        <v>7.3396143447398545</v>
      </c>
      <c r="FU5" s="134">
        <f>POWER((1.064968235+0.175132754*LOG(FO5)-0.280186618*FO5^0.5)+0*(0.725917371+0.956542969*LOG(FO5)-0.710572201*FO5^0.5),1/-0.115)</f>
        <v>8.226737496076673</v>
      </c>
      <c r="FV5" s="151">
        <f>POWER((1.064968235+0.175132754*LOG(FO5)-0.280186618*FO5^0.5)-0.6755*(0.725917371+0.956542969*LOG(FO5)-0.710572201*FO5^0.5),1/-0.115)</f>
        <v>9.2350859298410839</v>
      </c>
      <c r="FW5" s="151">
        <f t="shared" ref="FW5:FW13" si="94">POWER((1.064968235+0.175132754*LOG(FO5)-0.280186618*FO5^0.5)-1.281552*(0.725917371+0.956542969*LOG(FO5)-0.710572201*FO5^0.5),1/-0.115)</f>
        <v>10.258105857906587</v>
      </c>
      <c r="FX5" s="151">
        <f t="shared" ref="FX5:FX13" si="95">POWER((1.064968235+0.175132754*LOG(FO5)-0.280186618*FO5^0.5)-1.644854*(0.725917371+0.956542969*LOG(FO5)-0.710572201*FO5^0.5),1/-0.115)</f>
        <v>10.931625965573049</v>
      </c>
      <c r="FY5" s="151">
        <f t="shared" ref="FY5:FY13" si="96">POWER((1.064968235+0.175132754*LOG(FO5)-0.280186618*FO5^0.5)-1.959964*(0.725917371+0.956542969*LOG(FO5)-0.710572201*FO5^0.5),1/-0.115)</f>
        <v>11.555893640281301</v>
      </c>
      <c r="FZ5" s="151">
        <f t="shared" ref="FZ5:FZ13" si="97">POWER((1.064968235+0.175132754*LOG(FO5)-0.280186618*FO5^0.5)-2.326348*(0.725917371+0.956542969*LOG(FO5)-0.710572201*FO5^0.5),1/-0.115)</f>
        <v>12.332238518897693</v>
      </c>
      <c r="GA5" s="163"/>
      <c r="GB5" s="164">
        <v>1</v>
      </c>
      <c r="GC5" s="151">
        <f t="shared" ref="GC5:GC14" si="98">POWER((0.87050999-0.161947218*LOG(GB5)-0.101614361*GB5^0.5)+2.326348*(0.465177567+0.641918953*LOG(GB5)-0.448587314*GB5^0.5),1/-0.128)</f>
        <v>5.3148327704047906</v>
      </c>
      <c r="GD5" s="151">
        <f t="shared" ref="GD5:GD14" si="99">POWER((0.87050999-0.161947218*LOG(GB5)-0.101614361*GB5^0.5)+1.959964*(0.465177567+0.641918953*LOG(GB5)-0.448587314*GB5^0.5),1/-0.128)</f>
        <v>5.6380191663158818</v>
      </c>
      <c r="GE5" s="151">
        <f t="shared" ref="GE5:GE14" si="100">POWER((0.87050999-0.161947218*LOG(GB5)-0.101614361*GB5^0.5)+1.644854*(0.465177567+0.641918953*LOG(GB5)-0.448587314*GB5^0.5),1/-0.128)</f>
        <v>5.9337837826783097</v>
      </c>
      <c r="GF5" s="151">
        <f>POWER((0.87050999-0.161947218*LOG(GB5)-0.101614361*GB5^0.5)+1.281552*(0.465177567+0.641918953*LOG(GB5)-0.448587314*GB5^0.5),1/-0.128)</f>
        <v>6.2967224616171693</v>
      </c>
      <c r="GG5" s="151">
        <f>POWER((0.87050999-0.161947218*LOG(GB5)-0.101614361*GB5^0.5)+0.6755*(0.465177567+0.641918953*LOG(GB5)-0.448587314*GB5^0.5),1/-0.128)</f>
        <v>6.9593031527861919</v>
      </c>
      <c r="GH5" s="134">
        <f>POWER((0.87050999-0.161947218*LOG(GB5)-0.101614361*GB5^0.5)+0*(0.465177567+0.641918953*LOG(GB5)-0.448587314*GB5^0.5),1/-0.128)</f>
        <v>7.7922163048466802</v>
      </c>
      <c r="GI5" s="151">
        <f>POWER((0.87050999-0.161947218*LOG(GB5)-0.101614361*GB5^0.5)-0.6755*(0.465177567+0.641918953*LOG(GB5)-0.448587314*GB5^0.5),1/-0.128)</f>
        <v>8.7393088971252197</v>
      </c>
      <c r="GJ5" s="151">
        <f t="shared" ref="GJ5:GJ14" si="101">POWER((0.87050999-0.161947218*LOG(GB5)-0.101614361*GB5^0.5)-1.281552*(0.465177567+0.641918953*LOG(GB5)-0.448587314*GB5^0.5),1/-0.128)</f>
        <v>9.7006922561734736</v>
      </c>
      <c r="GK5" s="151">
        <f t="shared" ref="GK5:GK14" si="102">POWER((0.87050999-0.161947218*LOG(GB5)-0.101614361*GB5^0.5)-1.644854*(0.465177567+0.641918953*LOG(GB5)-0.448587314*GB5^0.5),1/-0.128)</f>
        <v>10.333956734259198</v>
      </c>
      <c r="GL5" s="151">
        <f t="shared" ref="GL5:GL14" si="103">POWER((0.87050999-0.161947218*LOG(GB5)-0.101614361*GB5^0.5)-1.959964*(0.465177567+0.641918953*LOG(GB5)-0.448587314*GB5^0.5),1/-0.128)</f>
        <v>10.921161531705723</v>
      </c>
      <c r="GM5" s="151">
        <f t="shared" ref="GM5:GM14" si="104">POWER((0.87050999-0.161947218*LOG(GB5)-0.101614361*GB5^0.5)-2.326348*(0.465177567+0.641918953*LOG(GB5)-0.448587314*GB5^0.5),1/-0.128)</f>
        <v>11.651766730663416</v>
      </c>
      <c r="GN5" s="163"/>
      <c r="GO5" s="164">
        <v>1</v>
      </c>
      <c r="GP5" s="151">
        <f t="shared" ref="GP5:GP14" si="105">POWER((-2.337143506-3.211234197*LOG(GO5)+2.632256086*GO5^0.5)-2.326348*(2.048725044+2.793883738*LOG(GO5)-1.988047906*GO5^0.5),1/2.06)</f>
        <v>0.40321153116541225</v>
      </c>
      <c r="GQ5" s="151">
        <f t="shared" ref="GQ5:GQ14" si="106">POWER((-2.337143506-3.211234197*LOG(GO5)+2.632256086*GO5^0.5)-1.959964*(2.048725044+2.793883738*LOG(GO5)-1.988047906*GO5^0.5),1/2.06)</f>
        <v>0.43049546448695769</v>
      </c>
      <c r="GR5" s="151">
        <f t="shared" ref="GR5:GR14" si="107">POWER((-2.337143506-3.211234197*LOG(GO5)+2.632256086*GO5^0.5)-1.644854*(2.048725044+2.793883738*LOG(GO5)-1.988047906*GO5^0.5),1/2.06)</f>
        <v>0.45257321496280178</v>
      </c>
      <c r="GS5" s="151">
        <f>POWER((-2.337143506-3.211234197*LOG(GO5)+2.632256086*GO5^0.5)-1.281552*(2.048725044+2.793883738*LOG(GO5)-1.988047906*GO5^0.5),1/2.06)</f>
        <v>0.47668826352816451</v>
      </c>
      <c r="GT5" s="151">
        <f>POWER((-2.337143506-3.211234197*LOG(GO5)+2.632256086*GO5^0.5)-0.6755*(2.048725044+2.793883738*LOG(GO5)-1.988047906*GO5^0.5),1/2.06)</f>
        <v>0.51426645645410662</v>
      </c>
      <c r="GU5" s="134">
        <f>POWER((-2.337143506-3.211234197*LOG(GO5)+2.632256086*GO5^0.5)-0*(2.048725044+2.793883738*LOG(GO5)-1.988047906*GO5^0.5),1/2.06)</f>
        <v>0.55298389967761108</v>
      </c>
      <c r="GV5" s="151">
        <f>POWER((-2.337143506-3.211234197*LOG(GO5)+2.632256086*GO5^0.5)+0.6755*(2.048725044+2.793883738*LOG(GO5)-1.988047906*GO5^0.5),1/2.06)</f>
        <v>0.5890204016592171</v>
      </c>
      <c r="GW5" s="151">
        <f t="shared" ref="GW5:GW14" si="108">POWER((-2.337143506-3.211234197*LOG(GO5)+2.632256086*GO5^0.5)+1.281552*(2.048725044+2.793883738*LOG(GO5)-1.988047906*GO5^0.5),1/2.06)</f>
        <v>0.61946981309656401</v>
      </c>
      <c r="GX5" s="151">
        <f t="shared" ref="GX5:GX14" si="109">POWER((-2.337143506-3.211234197*LOG(GO5)+2.632256086*GO5^0.5)+1.644854*(2.048725044+2.793883738*LOG(GO5)-1.988047906*GO5^0.5),1/2.06)</f>
        <v>0.63698524220432184</v>
      </c>
      <c r="GY5" s="151">
        <f t="shared" ref="GY5:GY14" si="110">POWER((-2.337143506-3.211234197*LOG(GO5)+2.632256086*GO5^0.5)+1.959964*(2.048725044+2.793883738*LOG(GO5)-1.988047906*GO5^0.5),1/2.06)</f>
        <v>0.65177391406938445</v>
      </c>
      <c r="GZ5" s="151">
        <f t="shared" ref="GZ5:GZ14" si="111">POWER((-2.337143506-3.211234197*LOG(GO5)+2.632256086*GO5^0.5)+2.326348*(2.048725044+2.793883738*LOG(GO5)-1.988047906*GO5^0.5),1/2.06)</f>
        <v>0.66853375019764949</v>
      </c>
      <c r="HA5" s="163"/>
      <c r="HB5" s="164">
        <v>1</v>
      </c>
      <c r="HC5" s="151">
        <f t="shared" ref="HC5:HC13" si="112">POWER((-5.103477793-6.876446528*LOG(HB5)+5.418607148*HB5^0.5)-2.326348*(2.009950697+2.769531688*LOG(HB5)-1.953601272*HB5^0.5),1/2.04)</f>
        <v>0.43617823633205433</v>
      </c>
      <c r="HD5" s="151">
        <f t="shared" ref="HD5:HD13" si="113">POWER((-5.103477793-6.876446528*LOG(HB5)+5.418607148*HB5^0.5)-1.959964*(2.009950697+2.769531688*LOG(HB5)-1.953601272*HB5^0.5),1/2.04)</f>
        <v>0.4595138845169407</v>
      </c>
      <c r="HE5" s="151">
        <f t="shared" ref="HE5:HE13" si="114">POWER((-5.103477793-6.876446528*LOG(HB5)+5.418607148*HB5^0.5)-1.644854*(2.009950697+2.769531688*LOG(HB5)-1.953601272*HB5^0.5),1/2.04)</f>
        <v>0.47863998416903109</v>
      </c>
      <c r="HF5" s="151">
        <f>POWER((-5.103477793-6.876446528*LOG(HB5)+5.418607148*HB5^0.5)-1.281552*(2.009950697+2.769531688*LOG(HB5)-1.953601272*HB5^0.5),1/2.04)</f>
        <v>0.49974885271678954</v>
      </c>
      <c r="HG5" s="151">
        <f>POWER((-5.103477793-6.876446528*LOG(HB5)+5.418607148*HB5^0.5)-0.6755*(2.009950697+2.769531688*LOG(HB5)-1.953601272*HB5^0.5),1/2.04)</f>
        <v>0.53303529145777617</v>
      </c>
      <c r="HH5" s="134">
        <f>POWER((-5.103477793-6.876446528*LOG(HB5)+5.418607148*HB5^0.5)-0*(2.009950697+2.769531688*LOG(HB5)-1.953601272*HB5^0.5),1/2.04)</f>
        <v>0.56775531189829798</v>
      </c>
      <c r="HI5" s="151">
        <f>POWER((-5.103477793-6.876446528*LOG(HB5)+5.418607148*HB5^0.5)+0.6755*(2.009950697+2.769531688*LOG(HB5)-1.953601272*HB5^0.5),1/2.04)</f>
        <v>0.60039564566557091</v>
      </c>
      <c r="HJ5" s="151">
        <f t="shared" ref="HJ5:HJ13" si="115">POWER((-5.103477793-6.876446528*LOG(HB5)+5.418607148*HB5^0.5)+1.281552*(2.009950697+2.769531688*LOG(HB5)-1.953601272*HB5^0.5),1/2.04)</f>
        <v>0.62818378673556396</v>
      </c>
      <c r="HK5" s="151">
        <f t="shared" ref="HK5:HK13" si="116">POWER((-5.103477793-6.876446528*LOG(HB5)+5.418607148*HB5^0.5)+1.644854*(2.009950697+2.769531688*LOG(HB5)-1.953601272*HB5^0.5),1/2.04)</f>
        <v>0.6442450237912315</v>
      </c>
      <c r="HL5" s="151">
        <f t="shared" ref="HL5:HL13" si="117">POWER((-5.103477793-6.876446528*LOG(HB5)+5.418607148*HB5^0.5)+1.959964*(2.009950697+2.769531688*LOG(HB5)-1.953601272*HB5^0.5),1/2.04)</f>
        <v>0.65784585421307529</v>
      </c>
      <c r="HM5" s="151">
        <f t="shared" ref="HM5:HM13" si="118">POWER((-5.103477793-6.876446528*LOG(HB5)+5.418607148*HB5^0.5)+2.326348*(2.009950697+2.769531688*LOG(HB5)-1.953601272*HB5^0.5),1/2.04)</f>
        <v>0.67330094710380717</v>
      </c>
      <c r="HN5" s="163"/>
      <c r="HO5" s="164">
        <v>1</v>
      </c>
      <c r="HP5" s="151">
        <f t="shared" ref="HP5:HP14" si="119">POWER((-1.773301705-2.457001341*LOG(HO5)+2.060037087*HO5^0.5)-2.326348*(1.715294919+2.295236166*LOG(HO5)-1.645734334*HO5^0.5),1/2.08)</f>
        <v>0.36785543270383919</v>
      </c>
      <c r="HQ5" s="151">
        <f t="shared" ref="HQ5:HQ14" si="120">POWER((-1.773301705-2.457001341*LOG(HO5)+2.060037087*HO5^0.5)-1.959964*(1.715294919+2.295236166*LOG(HO5)-1.645734334*HO5^0.5),1/2.08)</f>
        <v>0.40220260639308797</v>
      </c>
      <c r="HR5" s="151">
        <f t="shared" ref="HR5:HR14" si="121">POWER((-1.773301705-2.457001341*LOG(HO5)+2.060037087*HO5^0.5)-1.644854*(1.715294919+2.295236166*LOG(HO5)-1.645734334*HO5^0.5),1/2.08)</f>
        <v>0.42938980307451879</v>
      </c>
      <c r="HS5" s="151">
        <f>POWER((-1.773301705-2.457001341*LOG(HO5)+2.060037087*HO5^0.5)-1.281552*(1.715294919+2.295236166*LOG(HO5)-1.645734334*HO5^0.5),1/2.08)</f>
        <v>0.45859079189226026</v>
      </c>
      <c r="HT5" s="151">
        <f>POWER((-1.773301705-2.457001341*LOG(HO5)+2.060037087*HO5^0.5)-0.6755*(1.715294919+2.295236166*LOG(HO5)-1.645734334*HO5^0.5),1/2.08)</f>
        <v>0.5032741155583903</v>
      </c>
      <c r="HU5" s="134">
        <f>POWER((-1.773301705-2.457001341*LOG(HO5)+2.060037087*HO5^0.5)-0*(1.715294919+2.295236166*LOG(HO5)-1.645734334*HO5^0.5),1/2.08)</f>
        <v>0.54849629130841582</v>
      </c>
      <c r="HV5" s="151">
        <f>POWER((-1.773301705-2.457001341*LOG(HO5)+2.060037087*HO5^0.5)+0.6755*(1.715294919+2.295236166*LOG(HO5)-1.645734334*HO5^0.5),1/2.08)</f>
        <v>0.59000958804995263</v>
      </c>
      <c r="HW5" s="151">
        <f t="shared" ref="HW5:HW14" si="122">POWER((-1.773301705-2.457001341*LOG(HO5)+2.060037087*HO5^0.5)+1.281552*(1.715294919+2.295236166*LOG(HO5)-1.645734334*HO5^0.5),1/2.08)</f>
        <v>0.62473700787739483</v>
      </c>
      <c r="HX5" s="151">
        <f t="shared" ref="HX5:HX14" si="123">POWER((-1.773301705-2.457001341*LOG(HO5)+2.060037087*HO5^0.5)+1.644854*(1.715294919+2.295236166*LOG(HO5)-1.645734334*HO5^0.5),1/2.08)</f>
        <v>0.64458969306800173</v>
      </c>
      <c r="HY5" s="151">
        <f t="shared" ref="HY5:HY14" si="124">POWER((-1.773301705-2.457001341*LOG(HO5)+2.060037087*HO5^0.5)+1.959964*(1.715294919+2.295236166*LOG(HO5)-1.645734334*HO5^0.5),1/2.08)</f>
        <v>0.6612889976952695</v>
      </c>
      <c r="HZ5" s="151">
        <f t="shared" ref="HZ5:HZ14" si="125">POWER((-1.773301705-2.457001341*LOG(HO5)+2.060037087*HO5^0.5)+2.326348*(1.715294919+2.295236166*LOG(HO5)-1.645734334*HO5^0.5),1/2.08)</f>
        <v>0.68015026434899972</v>
      </c>
      <c r="IA5" s="163"/>
      <c r="IB5" s="164">
        <v>1</v>
      </c>
      <c r="IC5" s="151">
        <f t="shared" ref="IC5:IC14" si="126">POWER((-0.212019047-0.287717312*LOG(IB5)+0.236026398*IB5^0.5)-2.326348*(0.185677414+0.252543806*LOG(IB5)-0.180081093*IB5^0.5),1/3.61)</f>
        <v>0.28663032517087472</v>
      </c>
      <c r="ID5" s="151">
        <f t="shared" ref="ID5:ID14" si="127">POWER((-0.212019047-0.287717312*LOG(IB5)+0.236026398*IB5^0.5)-1.959964*(0.185677414+0.252543806*LOG(IB5)-0.180081093*IB5^0.5),1/3.61)</f>
        <v>0.30054175657814525</v>
      </c>
      <c r="IE5" s="151">
        <f t="shared" ref="IE5:IE14" si="128">POWER((-0.212019047-0.287717312*LOG(IB5)+0.236026398*IB5^0.5)-1.644854*(0.185677414+0.252543806*LOG(IB5)-0.180081093*IB5^0.5),1/3.61)</f>
        <v>0.3112901178293464</v>
      </c>
      <c r="IF5" s="151">
        <f>POWER((-0.212019047-0.287717312*LOG(IB5)+0.236026398*IB5^0.5)-1.281552*(0.185677414+0.252543806*LOG(IB5)-0.180081093*IB5^0.5),1/3.61)</f>
        <v>0.32258856670427016</v>
      </c>
      <c r="IG5" s="151">
        <f>POWER((-0.212019047-0.287717312*LOG(IB5)+0.236026398*IB5^0.5)-0.6755*(0.185677414+0.252543806*LOG(IB5)-0.180081093*IB5^0.5),1/3.61)</f>
        <v>0.33941353377772265</v>
      </c>
      <c r="IH5" s="134">
        <f>POWER((-0.212019047-0.287717312*LOG(IB5)+0.236026398*IB5^0.5)-0*(0.185677414+0.252543806*LOG(IB5)-0.180081093*IB5^0.5),1/3.61)</f>
        <v>0.35591139709394454</v>
      </c>
      <c r="II5" s="151">
        <f>POWER((-0.212019047-0.287717312*LOG(IB5)+0.236026398*IB5^0.5)+0.6755*(0.185677414+0.252543806*LOG(IB5)-0.180081093*IB5^0.5),1/3.61)</f>
        <v>0.37062447092039841</v>
      </c>
      <c r="IJ5" s="151">
        <f t="shared" ref="IJ5:IJ14" si="129">POWER((-0.212019047-0.287717312*LOG(IB5)+0.236026398*IB5^0.5)+1.281552*(0.185677414+0.252543806*LOG(IB5)-0.180081093*IB5^0.5),1/3.61)</f>
        <v>0.38263841701110601</v>
      </c>
      <c r="IK5" s="151">
        <f t="shared" ref="IK5:IK14" si="130">POWER((-0.212019047-0.287717312*LOG(IB5)+0.236026398*IB5^0.5)+1.644854*(0.185677414+0.252543806*LOG(IB5)-0.180081093*IB5^0.5),1/3.61)</f>
        <v>0.38939303629802802</v>
      </c>
      <c r="IL5" s="151">
        <f t="shared" ref="IL5:IL14" si="131">POWER((-0.212019047-0.287717312*LOG(IB5)+0.236026398*IB5^0.5)+1.959964*(0.185677414+0.252543806*LOG(IB5)-0.180081093*IB5^0.5),1/3.61)</f>
        <v>0.39501357094465156</v>
      </c>
      <c r="IM5" s="151">
        <f t="shared" ref="IM5:IM14" si="132">POWER((-0.212019047-0.287717312*LOG(IB5)+0.236026398*IB5^0.5)+2.326348*(0.185677414+0.252543806*LOG(IB5)-0.180081093*IB5^0.5),1/3.61)</f>
        <v>0.40129670623347113</v>
      </c>
      <c r="IN5" s="163"/>
      <c r="IO5" s="164">
        <v>1</v>
      </c>
      <c r="IP5" s="151">
        <f t="shared" ref="IP5:IP13" si="133">POWER((-0.477854256-0.640232384*LOG(IO5)+0.504427869*IO5^0.5)-2.326348*(0.188334016+0.258764915*LOG(IO5)-0.182988876*IO5^0.5),1/3.57)</f>
        <v>0.30332599483026623</v>
      </c>
      <c r="IQ5" s="151">
        <f t="shared" ref="IQ5:IQ13" si="134">POWER((-0.477854256-0.640232384*LOG(IO5)+0.504427869*IO5^0.5)-1.959964*(0.188334016+0.258764915*LOG(IO5)-0.182988876*IO5^0.5),1/3.57)</f>
        <v>0.31455034152155725</v>
      </c>
      <c r="IR5" s="151">
        <f t="shared" ref="IR5:IR13" si="135">POWER((-0.477854256-0.640232384*LOG(IO5)+0.504427869*IO5^0.5)-1.644854*(0.188334016+0.258764915*LOG(IO5)-0.182988876*IO5^0.5),1/3.57)</f>
        <v>0.32344170159421504</v>
      </c>
      <c r="IS5" s="151">
        <f>POWER((-0.477854256-0.640232384*LOG(IO5)+0.504427869*IO5^0.5)-1.281552*(0.188334016+0.258764915*LOG(IO5)-0.182988876*IO5^0.5),1/3.57)</f>
        <v>0.33296969836351986</v>
      </c>
      <c r="IT5" s="151">
        <f>POWER((-0.477854256-0.640232384*LOG(IO5)+0.504427869*IO5^0.5)-0.6755*(0.188334016+0.258764915*LOG(IO5)-0.182988876*IO5^0.5),1/3.57)</f>
        <v>0.34745952609288588</v>
      </c>
      <c r="IU5" s="134">
        <f>POWER((-0.477854256-0.640232384*LOG(IO5)+0.504427869*IO5^0.5)-0*(0.188334016+0.258764915*LOG(IO5)-0.182988876*IO5^0.5),1/3.57)</f>
        <v>0.36196754939391962</v>
      </c>
      <c r="IV5" s="151">
        <f>POWER((-0.477854256-0.640232384*LOG(IO5)+0.504427869*IO5^0.5)+0.6755*(0.188334016+0.258764915*LOG(IO5)-0.182988876*IO5^0.5),1/3.57)</f>
        <v>0.37511825261153531</v>
      </c>
      <c r="IW5" s="151">
        <f t="shared" ref="IW5:IW13" si="136">POWER((-0.477854256-0.640232384*LOG(IO5)+0.504427869*IO5^0.5)+1.281552*(0.188334016+0.258764915*LOG(IO5)-0.182988876*IO5^0.5),1/3.57)</f>
        <v>0.38598448720801976</v>
      </c>
      <c r="IX5" s="151">
        <f t="shared" ref="IX5:IX13" si="137">POWER((-0.477854256-0.640232384*LOG(IO5)+0.504427869*IO5^0.5)+1.644854*(0.188334016+0.258764915*LOG(IO5)-0.182988876*IO5^0.5),1/3.57)</f>
        <v>0.39213898735272301</v>
      </c>
      <c r="IY5" s="151">
        <f t="shared" ref="IY5:IY13" si="138">POWER((-0.477854256-0.640232384*LOG(IO5)+0.504427869*IO5^0.5)+1.959964*(0.188334016+0.258764915*LOG(IO5)-0.182988876*IO5^0.5),1/3.57)</f>
        <v>0.3972830119230279</v>
      </c>
      <c r="IZ5" s="151">
        <f t="shared" ref="IZ5:IZ13" si="139">POWER((-0.477854256-0.640232384*LOG(IO5)+0.504427869*IO5^0.5)+2.326348*(0.188334016+0.258764915*LOG(IO5)-0.182988876*IO5^0.5),1/3.57)</f>
        <v>0.40305658016944518</v>
      </c>
      <c r="JA5" s="163"/>
      <c r="JB5" s="164">
        <v>1</v>
      </c>
      <c r="JC5" s="151">
        <f t="shared" ref="JC5:JC14" si="140">POWER((-0.15671212-0.213608982*LOG(JB5)+0.179321493*JB5^0.5)-2.326348*(0.152390355+0.20336343*LOG(JB5)-0.146184775*JB5^0.5),1/3.65)</f>
        <v>0.26794781889237129</v>
      </c>
      <c r="JD5" s="151">
        <f t="shared" ref="JD5:JD14" si="141">POWER((-0.15671212-0.213608982*LOG(JB5)+0.179321493*JB5^0.5)-1.959964*(0.152390355+0.20336343*LOG(JB5)-0.146184775*JB5^0.5),1/3.65)</f>
        <v>0.28658542146115129</v>
      </c>
      <c r="JE5" s="151">
        <f t="shared" ref="JE5:JE14" si="142">POWER((-0.15671212-0.213608982*LOG(JB5)+0.179321493*JB5^0.5)-1.644854*(0.152390355+0.20336343*LOG(JB5)-0.146184775*JB5^0.5),1/3.65)</f>
        <v>0.30037924743352667</v>
      </c>
      <c r="JF5" s="151">
        <f>POWER((-0.15671212-0.213608982*LOG(JB5)+0.179321493*JB5^0.5)-1.281552*(0.152390355+0.20336343*LOG(JB5)-0.146184775*JB5^0.5),1/3.65)</f>
        <v>0.31444402621776979</v>
      </c>
      <c r="JG5" s="151">
        <f>POWER((-0.15671212-0.213608982*LOG(JB5)+0.179321493*JB5^0.5)-0.6755*(0.152390355+0.20336343*LOG(JB5)-0.146184775*JB5^0.5),1/3.65)</f>
        <v>0.33475013267393733</v>
      </c>
      <c r="JH5" s="134">
        <f>POWER((-0.15671212-0.213608982*LOG(JB5)+0.179321493*JB5^0.5)-0*(0.152390355+0.20336343*LOG(JB5)-0.146184775*JB5^0.5),1/3.65)</f>
        <v>0.35409528354896375</v>
      </c>
      <c r="JI5" s="151">
        <f>POWER((-0.15671212-0.213608982*LOG(JB5)+0.179321493*JB5^0.5)+0.6755*(0.152390355+0.20336343*LOG(JB5)-0.146184775*JB5^0.5),1/3.65)</f>
        <v>0.37098599387928066</v>
      </c>
      <c r="JJ5" s="151">
        <f t="shared" ref="JJ5:JJ14" si="143">POWER((-0.15671212-0.213608982*LOG(JB5)+0.179321493*JB5^0.5)+1.281552*(0.152390355+0.20336343*LOG(JB5)-0.146184775*JB5^0.5),1/3.65)</f>
        <v>0.38457573384276378</v>
      </c>
      <c r="JK5" s="151">
        <f t="shared" ref="JK5:JK14" si="144">POWER((-0.15671212-0.213608982*LOG(JB5)+0.179321493*JB5^0.5)+1.644854*(0.152390355+0.20336343*LOG(JB5)-0.146184775*JB5^0.5),1/3.65)</f>
        <v>0.39214841494406888</v>
      </c>
      <c r="JL5" s="151">
        <f t="shared" ref="JL5:JL14" si="145">POWER((-0.15671212-0.213608982*LOG(JB5)+0.179321493*JB5^0.5)+1.959964*(0.152390355+0.20336343*LOG(JB5)-0.146184775*JB5^0.5),1/3.65)</f>
        <v>0.39841638608208579</v>
      </c>
      <c r="JM5" s="151">
        <f t="shared" ref="JM5:JM14" si="146">POWER((-0.15671212-0.213608982*LOG(JB5)+0.179321493*JB5^0.5)+2.326348*(0.152390355+0.20336343*LOG(JB5)-0.146184775*JB5^0.5),1/3.65)</f>
        <v>0.40539035209250818</v>
      </c>
      <c r="JN5" s="163"/>
      <c r="JO5" s="164">
        <v>0.9</v>
      </c>
      <c r="JP5" s="151">
        <f t="shared" ref="JP5:JP15" si="147">POWER((13.545090033-0.152200731*JO5)-2.326348*(-1.35961988+2.292042064*JO5),1/0.824)-21.001</f>
        <v>-1.0674985057352977</v>
      </c>
      <c r="JQ5" s="151">
        <f t="shared" ref="JQ5:JQ15" si="148">POWER((13.545090033-0.152200731*JO5)-1.959964*(-1.35961988+2.292042064*JO5),1/0.824)-21.001</f>
        <v>-0.53681678594835347</v>
      </c>
      <c r="JR5" s="151">
        <f t="shared" ref="JR5:JR15" si="149">POWER((13.545090033-0.152200731*JO5)-1.644854*(-1.35961988+2.292042064*JO5),1/0.824)-21.001</f>
        <v>-7.8453972400385652E-2</v>
      </c>
      <c r="JS5" s="151">
        <f>POWER((13.545090033-0.152200731*JO5)-1.281552*(-1.35961988+2.292042064*JO5),1/0.824)-21.001</f>
        <v>0.45220997826150366</v>
      </c>
      <c r="JT5" s="151">
        <f>POWER((13.545090033-0.152200731*JO5)-0.6755*(-1.35961988+2.292042064*JO5),1/0.824)-21.001</f>
        <v>1.3425974523756281</v>
      </c>
      <c r="JU5" s="134">
        <f>POWER((13.545090033-0.152200731*JO5)-0*(-1.35961988+2.292042064*JO5),1/0.824)-21.001</f>
        <v>2.3424205980662549</v>
      </c>
      <c r="JV5" s="151">
        <f>POWER((13.545090033-0.152200731*JO5)+0.6755*(-1.35961988+2.292042064*JO5),1/0.824)-21.001</f>
        <v>3.3498396942768061</v>
      </c>
      <c r="JW5" s="151">
        <f t="shared" ref="JW5:JW15" si="150">POWER((13.545090033-0.152200731*JO5)+1.281552*(-1.35961988+2.292042064*JO5),1/0.824)-21.001</f>
        <v>4.2599820185807573</v>
      </c>
      <c r="JX5" s="151">
        <f t="shared" ref="JX5:JX15" si="151">POWER((13.545090033-0.152200731*JO5)+1.644854*(-1.35961988+2.292042064*JO5),1/0.824)-21.001</f>
        <v>4.8083666156935543</v>
      </c>
      <c r="JY5" s="151">
        <f t="shared" ref="JY5:JY15" si="152">POWER((13.545090033-0.152200731*JO5)+1.959964*(-1.35961988+2.292042064*JO5),1/0.824)-21.001</f>
        <v>5.2856760684022603</v>
      </c>
      <c r="JZ5" s="151">
        <f t="shared" ref="JZ5:JZ15" si="153">POWER((13.545090033-0.152200731*JO5)+2.326348*(-1.35961988+2.292042064*JO5),1/0.824)-21.001</f>
        <v>5.842575143539964</v>
      </c>
      <c r="KA5" s="163"/>
      <c r="KB5" s="164">
        <v>0.9</v>
      </c>
      <c r="KC5" s="151">
        <f t="shared" ref="KC5:KC14" si="154">POWER((6.439173033-0.150733151*KB5)-2.326348*(-1.278256614+1.751287361*KB5),1/0.682)-12.001</f>
        <v>0.53738407471487193</v>
      </c>
      <c r="KD5" s="151">
        <f t="shared" ref="KD5:KD14" si="155">POWER((6.439173033-0.150733151*KB5)-1.959964*(-1.278256614+1.751287361*KB5),1/0.682)-12.001</f>
        <v>0.89665735313944062</v>
      </c>
      <c r="KE5" s="151">
        <f t="shared" ref="KE5:KE14" si="156">POWER((6.439173033-0.150733151*KB5)-1.644854*(-1.278256614+1.751287361*KB5),1/0.682)-12.001</f>
        <v>1.2082214899150809</v>
      </c>
      <c r="KF5" s="151">
        <f>POWER((6.439173033-0.150733151*KB5)-1.281552*(-1.278256614+1.751287361*KB5),1/0.682)-12.001</f>
        <v>1.5703564935802472</v>
      </c>
      <c r="KG5" s="151">
        <f>POWER((6.439173033-0.150733151*KB5)-0.6755*(-1.278256614+1.751287361*KB5),1/0.682)-12.001</f>
        <v>2.1813445958119004</v>
      </c>
      <c r="KH5" s="134">
        <f>POWER((6.439173033-0.150733151*KB5)-0*(-1.278256614+1.751287361*KB5),1/0.682)-12.001</f>
        <v>2.8723432839088066</v>
      </c>
      <c r="KI5" s="151">
        <f>POWER((6.439173033-0.150733151*KB5)+0.6755*(-1.278256614+1.751287361*KB5),1/0.682)-12.001</f>
        <v>3.5737060200274833</v>
      </c>
      <c r="KJ5" s="151">
        <f t="shared" ref="KJ5:KJ14" si="157">POWER((6.439173033-0.150733151*KB5)+1.281552*(-1.278256614+1.751287361*KB5),1/0.682)-12.001</f>
        <v>4.2116404611852385</v>
      </c>
      <c r="KK5" s="151">
        <f t="shared" ref="KK5:KK14" si="158">POWER((6.439173033-0.150733151*KB5)+1.644854*(-1.278256614+1.751287361*KB5),1/0.682)-12.001</f>
        <v>4.5979378117015433</v>
      </c>
      <c r="KL5" s="151">
        <f t="shared" ref="KL5:KL14" si="159">POWER((6.439173033-0.150733151*KB5)+1.959964*(-1.278256614+1.751287361*KB5),1/0.682)-12.001</f>
        <v>4.9353262427612403</v>
      </c>
      <c r="KM5" s="151">
        <f t="shared" ref="KM5:KM14" si="160">POWER((6.439173033-0.150733151*KB5)+2.326348*(-1.278256614+1.751287361*KB5),1/0.682)-12.001</f>
        <v>5.3303172231227567</v>
      </c>
      <c r="KN5" s="163"/>
      <c r="KO5" s="164">
        <v>1</v>
      </c>
      <c r="KP5" s="151">
        <f t="shared" ref="KP5:KP14" si="161">POWER((-127.161354547-214.805878556*LOG(KO5)+156.261798324*KO5^0.5)-2.326348*(9.462557415+27.708890334*LOG(KO5)-7.287279534*KO5^0.5),1/1.06)-21.001</f>
        <v>-0.92079239768552767</v>
      </c>
      <c r="KQ5" s="151">
        <f t="shared" ref="KQ5:KQ14" si="162">POWER((-127.161354547-214.805878556*LOG(KO5)+156.261798324*KO5^0.5)-1.959964*(9.462557415+27.708890334*LOG(KO5)-7.287279534*KO5^0.5),1/1.06)-21.001</f>
        <v>-0.29334649410413149</v>
      </c>
      <c r="KR5" s="151">
        <f t="shared" ref="KR5:KR14" si="163">POWER((-127.161354547-214.805878556*LOG(KO5)+156.261798324*KO5^0.5)-1.644854*(9.462557415+27.708890334*LOG(KO5)-7.287279534*KO5^0.5),1/1.06)-21.001</f>
        <v>0.24537848731866774</v>
      </c>
      <c r="KS5" s="151">
        <f>POWER((-127.161354547-214.805878556*LOG(KO5)+156.261798324*KO5^0.5)-1.281552*(9.462557415+27.708890334*LOG(KO5)-7.287279534*KO5^0.5),1/1.06)-21.001</f>
        <v>0.86548015932903155</v>
      </c>
      <c r="KT5" s="151">
        <f>POWER((-127.161354547-214.805878556*LOG(KO5)+156.261798324*KO5^0.5)-0.6755*(9.462557415+27.708890334*LOG(KO5)-7.287279534*KO5^0.5),1/1.06)-21.001</f>
        <v>1.8975910975816817</v>
      </c>
      <c r="KU5" s="134">
        <f>POWER((-127.161354547-214.805878556*LOG(KO5)+156.261798324*KO5^0.5)-0*(9.462557415+27.708890334*LOG(KO5)-7.287279534*KO5^0.5),1/1.06)-21.001</f>
        <v>3.0446969729473388</v>
      </c>
      <c r="KV5" s="151">
        <f>POWER((-127.161354547-214.805878556*LOG(KO5)+156.261798324*KO5^0.5)+0.6755*(9.462557415+27.708890334*LOG(KO5)-7.287279534*KO5^0.5),1/1.06)-21.001</f>
        <v>4.1885274920891362</v>
      </c>
      <c r="KW5" s="151">
        <f t="shared" ref="KW5:KW14" si="164">POWER((-127.161354547-214.805878556*LOG(KO5)+156.261798324*KO5^0.5)+1.281552*(9.462557415+27.708890334*LOG(KO5)-7.287279534*KO5^0.5),1/1.06)-21.001</f>
        <v>5.2121104854606166</v>
      </c>
      <c r="KX5" s="151">
        <f t="shared" ref="KX5:KX14" si="165">POWER((-127.161354547-214.805878556*LOG(KO5)+156.261798324*KO5^0.5)+1.644854*(9.462557415+27.708890334*LOG(KO5)-7.287279534*KO5^0.5),1/1.06)-21.001</f>
        <v>5.8245503592213268</v>
      </c>
      <c r="KY5" s="151">
        <f t="shared" ref="KY5:KY14" si="166">POWER((-127.161354547-214.805878556*LOG(KO5)+156.261798324*KO5^0.5)+1.959964*(9.462557415+27.708890334*LOG(KO5)-7.287279534*KO5^0.5),1/1.06)-21.001</f>
        <v>6.3550708169560792</v>
      </c>
      <c r="KZ5" s="151">
        <f t="shared" ref="KZ5:KZ14" si="167">POWER((-127.161354547-214.805878556*LOG(KO5)+156.261798324*KO5^0.5)+2.326348*(9.462557415+27.708890334*LOG(KO5)-7.287279534*KO5^0.5),1/1.06)-21.001</f>
        <v>6.9711419868175533</v>
      </c>
      <c r="LA5" s="163"/>
      <c r="LB5" s="164">
        <v>0.9</v>
      </c>
      <c r="LC5" s="151">
        <f t="shared" ref="LC5:LC15" si="168">POWER((10.54667503-44.674256612*LOG(LB5)+11.396715269*LB5)-2.326348*(9.199140939+26.464417146*LOG(LB5)-5.875268837*LB5),1/0.795)-36.001</f>
        <v>-1.8347425233472947</v>
      </c>
      <c r="LD5" s="151">
        <f t="shared" ref="LD5:LD15" si="169">POWER((10.54667503-44.674256612*LOG(LB5)+11.396715269*LB5)-1.959964*(9.199140939+26.464417146*LOG(LB5)-5.875268837*LB5),1/0.795)-36.001</f>
        <v>0.75154765918204447</v>
      </c>
      <c r="LE5" s="151">
        <f t="shared" ref="LE5:LE15" si="170">POWER((10.54667503-44.674256612*LOG(LB5)+11.396715269*LB5)-1.644854*(9.199140939+26.464417146*LOG(LB5)-5.875268837*LB5),1/0.795)-36.001</f>
        <v>3.0062528004468518</v>
      </c>
      <c r="LF5" s="151">
        <f>POWER((10.54667503-44.674256612*LOG(LB5)+11.396715269*LB5)-1.281552*(9.199140939+26.464417146*LOG(LB5)-5.875268837*LB5),1/0.795)-36.001</f>
        <v>5.6392983253701487</v>
      </c>
      <c r="LG5" s="151">
        <f>POWER((10.54667503-44.674256612*LOG(LB5)+11.396715269*LB5)-0.6755*(9.199140939+26.464417146*LOG(LB5)-5.875268837*LB5),1/0.795)-36.001</f>
        <v>10.108057346178029</v>
      </c>
      <c r="LH5" s="134">
        <f>POWER((10.54667503-44.674256612*LOG(LB5)+11.396715269*LB5)-0*(9.199140939+26.464417146*LOG(LB5)-5.875268837*LB5),1/0.795)-36.001</f>
        <v>15.195542329771335</v>
      </c>
      <c r="LI5" s="151">
        <f>POWER((10.54667503-44.674256612*LOG(LB5)+11.396715269*LB5)+0.6755*(9.199140939+26.464417146*LOG(LB5)-5.875268837*LB5),1/0.795)-36.001</f>
        <v>20.388950396515682</v>
      </c>
      <c r="LJ5" s="151">
        <f t="shared" ref="LJ5:LJ15" si="171">POWER((10.54667503-44.674256612*LOG(LB5)+11.396715269*LB5)+1.281552*(9.199140939+26.464417146*LOG(LB5)-5.875268837*LB5),1/0.795)-36.001</f>
        <v>25.133725580013824</v>
      </c>
      <c r="LK5" s="151">
        <f t="shared" ref="LK5:LK15" si="172">POWER((10.54667503-44.674256612*LOG(LB5)+11.396715269*LB5)+1.644854*(9.199140939+26.464417146*LOG(LB5)-5.875268837*LB5),1/0.795)-36.001</f>
        <v>28.015039861691797</v>
      </c>
      <c r="LL5" s="151">
        <f t="shared" ref="LL5:LL15" si="173">POWER((10.54667503-44.674256612*LOG(LB5)+11.396715269*LB5)+1.959964*(9.199140939+26.464417146*LOG(LB5)-5.875268837*LB5),1/0.795)-36.001</f>
        <v>30.53590865120055</v>
      </c>
      <c r="LM5" s="151">
        <f t="shared" ref="LM5:LM15" si="174">POWER((10.54667503-44.674256612*LOG(LB5)+11.396715269*LB5)+2.326348*(9.199140939+26.464417146*LOG(LB5)-5.875268837*LB5),1/0.795)-36.001</f>
        <v>33.491751901906859</v>
      </c>
      <c r="LN5" s="163"/>
      <c r="LO5" s="164">
        <v>0.9</v>
      </c>
      <c r="LP5" s="151">
        <f t="shared" ref="LP5:LP14" si="175">POWER((20.849131405-2.421220059*LO5)-2.326348*(-0.198258381+3.271403291*LO5),1/0.771)-31.001</f>
        <v>-5.1311168105890275</v>
      </c>
      <c r="LQ5" s="151">
        <f t="shared" ref="LQ5:LQ14" si="176">POWER((20.849131405-2.421220059*LO5)-1.959964*(-0.198258381+3.271403291*LO5),1/0.771)-31.001</f>
        <v>-2.3496882223131585</v>
      </c>
      <c r="LR5" s="151">
        <f t="shared" ref="LR5:LR14" si="177">POWER((20.849131405-2.421220059*LO5)-1.644854*(-0.198258381+3.271403291*LO5),1/0.771)-31.001</f>
        <v>9.3253558473321618E-2</v>
      </c>
      <c r="LS5" s="151">
        <f>POWER((20.849131405-2.421220059*LO5)-1.281552*(-0.198258381+3.271403291*LO5),1/0.771)-31.001</f>
        <v>2.965282516379343</v>
      </c>
      <c r="LT5" s="151">
        <f>POWER((20.849131405-2.421220059*LO5)-0.6755*(-0.198258381+3.271403291*LO5),1/0.771)-31.001</f>
        <v>7.8814034526362313</v>
      </c>
      <c r="LU5" s="134">
        <f>POWER((20.849131405-2.421220059*LO5)-0*(-0.198258381+3.271403291*LO5),1/0.771)-31.001</f>
        <v>13.533503991717669</v>
      </c>
      <c r="LV5" s="151">
        <f>POWER((20.849131405-2.421220059*LO5)+0.6755*(-0.198258381+3.271403291*LO5),1/0.771)-31.001</f>
        <v>19.355122314462005</v>
      </c>
      <c r="LW5" s="151">
        <f t="shared" ref="LW5:LW14" si="178">POWER((20.849131405-2.421220059*LO5)+1.281552*(-0.198258381+3.271403291*LO5),1/0.771)-31.001</f>
        <v>24.713460405910599</v>
      </c>
      <c r="LX5" s="151">
        <f t="shared" ref="LX5:LX14" si="179">POWER((20.849131405-2.421220059*LO5)+1.644854*(-0.198258381+3.271403291*LO5),1/0.771)-31.001</f>
        <v>27.983866413519667</v>
      </c>
      <c r="LY5" s="151">
        <f t="shared" ref="LY5:LY14" si="180">POWER((20.849131405-2.421220059*LO5)+1.959964*(-0.198258381+3.271403291*LO5),1/0.771)-31.001</f>
        <v>30.854569724660326</v>
      </c>
      <c r="LZ5" s="151">
        <f t="shared" ref="LZ5:LZ14" si="181">POWER((20.849131405-2.421220059*LO5)+2.326348*(-0.198258381+3.271403291*LO5),1/0.771)-31.001</f>
        <v>34.231116903556057</v>
      </c>
      <c r="MA5" s="163"/>
      <c r="MB5" s="164">
        <v>1</v>
      </c>
      <c r="MC5" s="151">
        <f t="shared" ref="MC5:MC14" si="182">POWER((30.115640828-2.513778124*MB5)-2.326348*(1.892259416+3.275649092*MB5),1/0.877)-36.001</f>
        <v>-13.102319652147955</v>
      </c>
      <c r="MD5" s="151">
        <f t="shared" ref="MD5:MD14" si="183">POWER((30.115640828-2.513778124*MB5)-1.959964*(1.892259416+3.275649092*MB5),1/0.877)-36.001</f>
        <v>-9.9028870526826793</v>
      </c>
      <c r="ME5" s="151">
        <f t="shared" ref="ME5:ME14" si="184">POWER((30.115640828-2.513778124*MB5)-1.644854*(1.892259416+3.275649092*MB5),1/0.877)-36.001</f>
        <v>-7.1117751470644421</v>
      </c>
      <c r="MF5" s="151">
        <f>POWER((30.115640828-2.513778124*MB5)-1.281552*(1.892259416+3.275649092*MB5),1/0.877)-36.001</f>
        <v>-3.8522329085482809</v>
      </c>
      <c r="MG5" s="151">
        <f>POWER((30.115640828-2.513778124*MB5)-0.6755*(1.892259416+3.275649092*MB5),1/0.877)-36.001</f>
        <v>1.6755274574614276</v>
      </c>
      <c r="MH5" s="134">
        <f>POWER((30.115640828-2.513778124*MB5)-0*(1.892259416+3.275649092*MB5),1/0.877)-36.001</f>
        <v>7.9563226878875426</v>
      </c>
      <c r="MI5" s="151">
        <f>POWER((30.115640828-2.513778124*MB5)+0.6755*(1.892259416+3.275649092*MB5),1/0.877)-36.001</f>
        <v>14.349804143285546</v>
      </c>
      <c r="MJ5" s="151">
        <f t="shared" ref="MJ5:MJ14" si="185">POWER((30.115640828-2.513778124*MB5)+1.281552*(1.892259416+3.275649092*MB5),1/0.877)-36.001</f>
        <v>20.172778116659096</v>
      </c>
      <c r="MK5" s="151">
        <f t="shared" ref="MK5:MK14" si="186">POWER((30.115640828-2.513778124*MB5)+1.644854*(1.892259416+3.275649092*MB5),1/0.877)-36.001</f>
        <v>23.699877003492098</v>
      </c>
      <c r="ML5" s="151">
        <f t="shared" ref="ML5:ML14" si="187">POWER((30.115640828-2.513778124*MB5)+1.959964*(1.892259416+3.275649092*MB5),1/0.877)-36.001</f>
        <v>26.780065246353274</v>
      </c>
      <c r="MM5" s="151">
        <f t="shared" ref="MM5:MM14" si="188">POWER((30.115640828-2.513778124*MB5)+2.326348*(1.892259416+3.275649092*MB5),1/0.877)-36.001</f>
        <v>30.384929248907163</v>
      </c>
      <c r="MN5" s="163"/>
      <c r="MO5" s="164">
        <v>0.9</v>
      </c>
      <c r="MP5" s="151">
        <f t="shared" ref="MP5:MP15" si="189">POWER((19.29451921+83.033488143*MO5^0.5-53.595151265*MO5)-2.326348*(-147.261328257+256.845529853*MO5^0.5-103.173262205*MO5),1/0.968)-37.001</f>
        <v>10.029456467470361</v>
      </c>
      <c r="MQ5" s="151">
        <f t="shared" ref="MQ5:MQ15" si="190">POWER((19.29451921+83.033488143*MO5^0.5-53.595151265*MO5)-1.959964*(-147.261328257+256.845529853*MO5^0.5-103.173262205*MO5),1/0.968)-37.001</f>
        <v>11.549158888326481</v>
      </c>
      <c r="MR5" s="151">
        <f t="shared" ref="MR5:MR15" si="191">POWER((19.29451921+83.033488143*MO5^0.5-53.595151265*MO5)-1.644854*(-147.261328257+256.845529853*MO5^0.5-103.173262205*MO5),1/0.968)-37.001</f>
        <v>12.857405568904483</v>
      </c>
      <c r="MS5" s="151">
        <f>POWER((19.29451921+83.033488143*MO5^0.5-53.595151265*MO5)-1.281552*(-147.261328257+256.845529853*MO5^0.5-103.173262205*MO5),1/0.968)-37.001</f>
        <v>14.367094593046232</v>
      </c>
      <c r="MT5" s="151">
        <f>POWER((19.29451921+83.033488143*MO5^0.5-53.595151265*MO5)-0.6755*(-147.261328257+256.845529853*MO5^0.5-103.173262205*MO5),1/0.968)-37.001</f>
        <v>16.888667179981432</v>
      </c>
      <c r="MU5" s="134">
        <f>POWER((19.29451921+83.033488143*MO5^0.5-53.595151265*MO5)-0*(-147.261328257+256.845529853*MO5^0.5-103.173262205*MO5),1/0.968)-37.001</f>
        <v>19.703639174995274</v>
      </c>
      <c r="MV5" s="151">
        <f>POWER((19.29451921+83.033488143*MO5^0.5-53.595151265*MO5)+0.6755*(-147.261328257+256.845529853*MO5^0.5-103.173262205*MO5),1/0.968)-37.001</f>
        <v>22.523091815414197</v>
      </c>
      <c r="MW5" s="151">
        <f t="shared" ref="MW5:MW15" si="192">POWER((19.29451921+83.033488143*MO5^0.5-53.595151265*MO5)+1.281552*(-147.261328257+256.845529853*MO5^0.5-103.173262205*MO5),1/0.968)-37.001</f>
        <v>25.056326507901652</v>
      </c>
      <c r="MX5" s="151">
        <f t="shared" ref="MX5:MX15" si="193">POWER((19.29451921+83.033488143*MO5^0.5-53.595151265*MO5)+1.644854*(-147.261328257+256.845529853*MO5^0.5-103.173262205*MO5),1/0.968)-37.001</f>
        <v>26.576488200746788</v>
      </c>
      <c r="MY5" s="151">
        <f t="shared" ref="MY5:MY15" si="194">POWER((19.29451921+83.033488143*MO5^0.5-53.595151265*MO5)+1.959964*(-147.261328257+256.845529853*MO5^0.5-103.173262205*MO5),1/0.968)-37.001</f>
        <v>27.8959441442883</v>
      </c>
      <c r="MZ5" s="151">
        <f t="shared" ref="MZ5:MZ15" si="195">POWER((19.29451921+83.033488143*MO5^0.5-53.595151265*MO5)+2.326348*(-147.261328257+256.845529853*MO5^0.5-103.173262205*MO5),1/0.968)-37.001</f>
        <v>29.431178045475114</v>
      </c>
      <c r="NA5" s="163"/>
      <c r="NB5" s="164">
        <v>0.9</v>
      </c>
      <c r="NC5" s="151">
        <f t="shared" ref="NC5:NC14" si="196">POWER((423.414474397-625.241606513*NB5^0.5+248.554250945*NB5)-2.326348*(-137.449320657+237.971289986*NB5^0.5-94.548148426*NB5),1/0.956)-28.001</f>
        <v>27.45410101361556</v>
      </c>
      <c r="ND5" s="151">
        <f t="shared" ref="ND5:ND14" si="197">POWER((423.414474397-625.241606513*NB5^0.5+248.554250945*NB5)-1.959964*(-137.449320657+237.971289986*NB5^0.5-94.548148426*NB5),1/0.956)-28.001</f>
        <v>28.926001807286521</v>
      </c>
      <c r="NE5" s="151">
        <f t="shared" ref="NE5:NE14" si="198">POWER((423.414474397-625.241606513*NB5^0.5+248.554250945*NB5)-1.644854*(-137.449320657+237.971289986*NB5^0.5-94.548148426*NB5),1/0.956)-28.001</f>
        <v>30.193258407019808</v>
      </c>
      <c r="NF5" s="151">
        <f>POWER((423.414474397-625.241606513*NB5^0.5+248.554250945*NB5)-1.281552*(-137.449320657+237.971289986*NB5^0.5-94.548148426*NB5),1/0.956)-28.001</f>
        <v>31.65583254796385</v>
      </c>
      <c r="NG5" s="151">
        <f>POWER((423.414474397-625.241606513*NB5^0.5+248.554250945*NB5)-0.6755*(-137.449320657+237.971289986*NB5^0.5-94.548148426*NB5),1/0.956)-28.001</f>
        <v>34.099163055246223</v>
      </c>
      <c r="NH5" s="134">
        <f>POWER((423.414474397-625.241606513*NB5^0.5+248.554250945*NB5)-0*(-137.449320657+237.971289986*NB5^0.5-94.548148426*NB5),1/0.956)-28.001</f>
        <v>36.827464631832328</v>
      </c>
      <c r="NI5" s="151">
        <f>POWER((423.414474397-625.241606513*NB5^0.5+248.554250945*NB5)+0.6755*(-137.449320657+237.971289986*NB5^0.5-94.548148426*NB5),1/0.956)-28.001</f>
        <v>39.560829081077671</v>
      </c>
      <c r="NJ5" s="151">
        <f t="shared" ref="NJ5:NJ14" si="199">POWER((423.414474397-625.241606513*NB5^0.5+248.554250945*NB5)+1.281552*(-137.449320657+237.971289986*NB5^0.5-94.548148426*NB5),1/0.956)-28.001</f>
        <v>42.01733163351426</v>
      </c>
      <c r="NK5" s="151">
        <f t="shared" ref="NK5:NK14" si="200">POWER((423.414474397-625.241606513*NB5^0.5+248.554250945*NB5)+1.644854*(-137.449320657+237.971289986*NB5^0.5-94.548148426*NB5),1/0.956)-28.001</f>
        <v>43.491727619537798</v>
      </c>
      <c r="NL5" s="151">
        <f t="shared" ref="NL5:NL14" si="201">POWER((423.414474397-625.241606513*NB5^0.5+248.554250945*NB5)+1.959964*(-137.449320657+237.971289986*NB5^0.5-94.548148426*NB5),1/0.956)-28.001</f>
        <v>44.771630421638321</v>
      </c>
      <c r="NM5" s="151">
        <f t="shared" ref="NM5:NM14" si="202">POWER((423.414474397-625.241606513*NB5^0.5+248.554250945*NB5)+2.326348*(-137.449320657+237.971289986*NB5^0.5-94.548148426*NB5),1/0.956)-28.001</f>
        <v>46.261041442929624</v>
      </c>
      <c r="NN5" s="163"/>
      <c r="NO5" s="164">
        <v>1</v>
      </c>
      <c r="NP5" s="151">
        <f t="shared" ref="NP5:NP14" si="203">POWER((398.218016008-549.697517151*NO5^0.5+209.557779813*NO5)-2.326348*(-148.169572819+253.498694818*NO5^0.5-99.593716874*NO5),1/0.995)-37.001</f>
        <v>8.5973658912241078</v>
      </c>
      <c r="NQ5" s="151">
        <f t="shared" ref="NQ5:NQ14" si="204">POWER((398.218016008-549.697517151*NO5^0.5+209.557779813*NO5)-1.959964*(-148.169572819+253.498694818*NO5^0.5-99.593716874*NO5),1/0.995)-37.001</f>
        <v>10.750260342925621</v>
      </c>
      <c r="NR5" s="151">
        <f t="shared" ref="NR5:NR14" si="205">POWER((398.218016008-549.697517151*NO5^0.5+209.557779813*NO5)-1.644854*(-148.169572819+253.498694818*NO5^0.5-99.593716874*NO5),1/0.995)-37.001</f>
        <v>12.602254891147929</v>
      </c>
      <c r="NS5" s="151">
        <f>POWER((398.218016008-549.697517151*NO5^0.5+209.557779813*NO5)-1.281552*(-148.169572819+253.498694818*NO5^0.5-99.593716874*NO5),1/0.995)-37.001</f>
        <v>14.737916533217458</v>
      </c>
      <c r="NT5" s="151">
        <f>POWER((398.218016008-549.697517151*NO5^0.5+209.557779813*NO5)-0.6755*(-148.169572819+253.498694818*NO5^0.5-99.593716874*NO5),1/0.995)-37.001</f>
        <v>18.301550707899551</v>
      </c>
      <c r="NU5" s="134">
        <f>POWER((398.218016008-549.697517151*NO5^0.5+209.557779813*NO5)-0*(-148.169572819+253.498694818*NO5^0.5-99.593716874*NO5),1/0.995)-37.001</f>
        <v>22.274895926718322</v>
      </c>
      <c r="NV5" s="151">
        <f>POWER((398.218016008-549.697517151*NO5^0.5+209.557779813*NO5)+0.6755*(-148.169572819+253.498694818*NO5^0.5-99.593716874*NO5),1/0.995)-37.001</f>
        <v>26.249574278682665</v>
      </c>
      <c r="NW5" s="151">
        <f t="shared" ref="NW5:NW14" si="206">POWER((398.218016008-549.697517151*NO5^0.5+209.557779813*NO5)+1.281552*(-148.169572819+253.498694818*NO5^0.5-99.593716874*NO5),1/0.995)-37.001</f>
        <v>29.816682956888634</v>
      </c>
      <c r="NX5" s="151">
        <f t="shared" ref="NX5:NX14" si="207">POWER((398.218016008-549.697517151*NO5^0.5+209.557779813*NO5)+1.644854*(-148.169572819+253.498694818*NO5^0.5-99.593716874*NO5),1/0.995)-37.001</f>
        <v>31.955470535951513</v>
      </c>
      <c r="NY5" s="151">
        <f t="shared" ref="NY5:NY14" si="208">POWER((398.218016008-549.697517151*NO5^0.5+209.557779813*NO5)+1.959964*(-148.169572819+253.498694818*NO5^0.5-99.593716874*NO5),1/0.995)-37.001</f>
        <v>33.810817056739744</v>
      </c>
      <c r="NZ5" s="151">
        <f t="shared" ref="NZ5:NZ14" si="209">POWER((398.218016008-549.697517151*NO5^0.5+209.557779813*NO5)+2.326348*(-148.169572819+253.498694818*NO5^0.5-99.593716874*NO5),1/0.995)-37.001</f>
        <v>35.968366701199024</v>
      </c>
      <c r="OA5" s="163"/>
      <c r="OB5" s="164">
        <v>0.9</v>
      </c>
      <c r="OC5" s="151">
        <f t="shared" ref="OC5:OC15" si="210">POWER((1.152993437+0.22937714*LOG(OB5)-0.039235817*OB5)-2.326348*(0.042438047+0.114254348*LOG(OB5)-0.033127552*OB5),1/0.038)</f>
        <v>9.6541543856132428</v>
      </c>
      <c r="OD5" s="151">
        <f t="shared" ref="OD5:OD15" si="211">POWER((1.152993437+0.22937714*LOG(OB5)-0.039235817*OB5)-1.959964*(0.042438047+0.114254348*LOG(OB5)-0.033127552*OB5),1/0.038)</f>
        <v>10.305972938462995</v>
      </c>
      <c r="OE5" s="151">
        <f t="shared" ref="OE5:OE15" si="212">POWER((1.152993437+0.22937714*LOG(OB5)-0.039235817*OB5)-1.644854*(0.042438047+0.114254348*LOG(OB5)-0.033127552*OB5),1/0.038)</f>
        <v>10.900253490765593</v>
      </c>
      <c r="OF5" s="151">
        <f>POWER((1.152993437+0.22937714*LOG(OB5)-0.039235817*OB5)-1.281552*(0.042438047+0.114254348*LOG(OB5)-0.033127552*OB5),1/0.038)</f>
        <v>11.626356187927385</v>
      </c>
      <c r="OG5" s="151">
        <f>POWER((1.152993437+0.22937714*LOG(OB5)-0.039235817*OB5)-0.6755*(0.042438047+0.114254348*LOG(OB5)-0.033127552*OB5),1/0.038)</f>
        <v>12.942318825494256</v>
      </c>
      <c r="OH5" s="134">
        <f>POWER((1.152993437+0.22937714*LOG(OB5)-0.039235817*OB5)-0*(0.042438047+0.114254348*LOG(OB5)-0.033127552*OB5),1/0.038)</f>
        <v>14.577875873625743</v>
      </c>
      <c r="OI5" s="151">
        <f>POWER((1.152993437+0.22937714*LOG(OB5)-0.039235817*OB5)+0.6755*(0.042438047+0.114254348*LOG(OB5)-0.033127552*OB5),1/0.038)</f>
        <v>16.411328619418409</v>
      </c>
      <c r="OJ5" s="151">
        <f t="shared" ref="OJ5:OJ15" si="213">POWER((1.152993437+0.22937714*LOG(OB5)-0.039235817*OB5)+1.281552*(0.042438047+0.114254348*LOG(OB5)-0.033127552*OB5),1/0.038)</f>
        <v>18.243469274761729</v>
      </c>
      <c r="OK5" s="151">
        <f t="shared" ref="OK5:OK15" si="214">POWER((1.152993437+0.22937714*LOG(OB5)-0.039235817*OB5)+1.644854*(0.042438047+0.114254348*LOG(OB5)-0.033127552*OB5),1/0.038)</f>
        <v>19.434452762009361</v>
      </c>
      <c r="OL5" s="151">
        <f t="shared" ref="OL5:OL15" si="215">POWER((1.152993437+0.22937714*LOG(OB5)-0.039235817*OB5)+1.959964*(0.042438047+0.114254348*LOG(OB5)-0.033127552*OB5),1/0.038)</f>
        <v>20.527717083633757</v>
      </c>
      <c r="OM5" s="151">
        <f t="shared" ref="OM5:OM15" si="216">POWER((1.152993437+0.22937714*LOG(OB5)-0.039235817*OB5)+2.326348*(0.042438047+0.114254348*LOG(OB5)-0.033127552*OB5),1/0.038)</f>
        <v>21.87331034661733</v>
      </c>
      <c r="ON5" s="163"/>
      <c r="OO5" s="164">
        <v>0.9</v>
      </c>
      <c r="OP5" s="151">
        <f t="shared" ref="OP5:OP14" si="217">POWER((0.751002866-0.549915644*LOG(OO5)+0.153316645*OO5)+2.326348*(0.025497669+0.052688237*LOG(OO5)-0.016790097*OO5),1/-0.037)</f>
        <v>6.5723887460303176</v>
      </c>
      <c r="OQ5" s="151">
        <f t="shared" ref="OQ5:OQ14" si="218">POWER((0.751002866-0.549915644*LOG(OO5)+0.153316645*OO5)+1.959964*(0.025497669+0.052688237*LOG(OO5)-0.016790097*OO5),1/-0.037)</f>
        <v>7.1541033139073447</v>
      </c>
      <c r="OR5" s="151">
        <f t="shared" ref="OR5:OR14" si="219">POWER((0.751002866-0.549915644*LOG(OO5)+0.153316645*OO5)+1.644854*(0.025497669+0.052688237*LOG(OO5)-0.016790097*OO5),1/-0.037)</f>
        <v>7.6970692375783987</v>
      </c>
      <c r="OS5" s="151">
        <f>POWER((0.751002866-0.549915644*LOG(OO5)+0.153316645*OO5)+1.281552*(0.025497669+0.052688237*LOG(OO5)-0.016790097*OO5),1/-0.037)</f>
        <v>8.376478182687249</v>
      </c>
      <c r="OT5" s="151">
        <f>POWER((0.751002866-0.549915644*LOG(OO5)+0.153316645*OO5)+0.6755*(0.025497669+0.052688237*LOG(OO5)-0.016790097*OO5),1/-0.037)</f>
        <v>9.6516321504003777</v>
      </c>
      <c r="OU5" s="134">
        <f>POWER((0.751002866-0.549915644*LOG(OO5)+0.153316645*OO5)+0*(0.025497669+0.052688237*LOG(OO5)-0.016790097*OO5),1/-0.037)</f>
        <v>11.312908613932477</v>
      </c>
      <c r="OV5" s="151">
        <f>POWER((0.751002866-0.549915644*LOG(OO5)+0.153316645*OO5)-0.6755*(0.025497669+0.052688237*LOG(OO5)-0.016790097*OO5),1/-0.037)</f>
        <v>13.272584485521303</v>
      </c>
      <c r="OW5" s="151">
        <f t="shared" ref="OW5:OW14" si="220">POWER((0.751002866-0.549915644*LOG(OO5)+0.153316645*OO5)-1.281552*(0.025497669+0.052688237*LOG(OO5)-0.016790097*OO5),1/-0.037)</f>
        <v>15.33043990877295</v>
      </c>
      <c r="OX5" s="151">
        <f t="shared" ref="OX5:OX14" si="221">POWER((0.751002866-0.549915644*LOG(OO5)+0.153316645*OO5)-1.644854*(0.025497669+0.052688237*LOG(OO5)-0.016790097*OO5),1/-0.037)</f>
        <v>16.720172858313763</v>
      </c>
      <c r="OY5" s="151">
        <f t="shared" ref="OY5:OY14" si="222">POWER((0.751002866-0.549915644*LOG(OO5)+0.153316645*OO5)-1.959964*(0.025497669+0.052688237*LOG(OO5)-0.016790097*OO5),1/-0.037)</f>
        <v>18.031261753079043</v>
      </c>
      <c r="OZ5" s="151">
        <f t="shared" ref="OZ5:OZ14" si="223">POWER((0.751002866-0.549915644*LOG(OO5)+0.153316645*OO5)-2.326348*(0.025497669+0.052688237*LOG(OO5)-0.016790097*OO5),1/-0.037)</f>
        <v>19.690726023266691</v>
      </c>
      <c r="PA5" s="163"/>
      <c r="PB5" s="164">
        <v>1</v>
      </c>
      <c r="PC5" s="151">
        <f t="shared" ref="PC5:PC14" si="224">POWER((2.004732851+2.185922929*LOG(PB5)-0.479175793*PB5)-2.326348*(0.358935513+1.121555302*LOG(PB5)-0.321176888*PB5),1/0.151)</f>
        <v>11.071219662362999</v>
      </c>
      <c r="PD5" s="151">
        <f t="shared" ref="PD5:PD14" si="225">POWER((2.004732851+2.185922929*LOG(PB5)-0.479175793*PB5)-1.959964*(0.358935513+1.121555302*LOG(PB5)-0.321176888*PB5),1/0.151)</f>
        <v>11.79609052000162</v>
      </c>
      <c r="PE5" s="151">
        <f t="shared" ref="PE5:PE14" si="226">POWER((2.004732851+2.185922929*LOG(PB5)-0.479175793*PB5)-1.644854*(0.358935513+1.121555302*LOG(PB5)-0.321176888*PB5),1/0.151)</f>
        <v>12.45136848733161</v>
      </c>
      <c r="PF5" s="151">
        <f>POWER((2.004732851+2.185922929*LOG(PB5)-0.479175793*PB5)-1.281552*(0.358935513+1.121555302*LOG(PB5)-0.321176888*PB5),1/0.151)</f>
        <v>13.244974359972632</v>
      </c>
      <c r="PG5" s="151">
        <f>POWER((2.004732851+2.185922929*LOG(PB5)-0.479175793*PB5)-0.6755*(0.358935513+1.121555302*LOG(PB5)-0.321176888*PB5),1/0.151)</f>
        <v>14.664432802687475</v>
      </c>
      <c r="PH5" s="134">
        <f>POWER((2.004732851+2.185922929*LOG(PB5)-0.479175793*PB5)-0*(0.358935513+1.121555302*LOG(PB5)-0.321176888*PB5),1/0.151)</f>
        <v>16.396757870485594</v>
      </c>
      <c r="PI5" s="151">
        <f>POWER((2.004732851+2.185922929*LOG(PB5)-0.479175793*PB5)+0.6755*(0.358935513+1.121555302*LOG(PB5)-0.321176888*PB5),1/0.151)</f>
        <v>18.299811936518942</v>
      </c>
      <c r="PJ5" s="151">
        <f t="shared" ref="PJ5:PJ14" si="227">POWER((2.004732851+2.185922929*LOG(PB5)-0.479175793*PB5)+1.281552*(0.358935513+1.121555302*LOG(PB5)-0.321176888*PB5),1/0.151)</f>
        <v>20.163674439820284</v>
      </c>
      <c r="PK5" s="151">
        <f t="shared" ref="PK5:PK14" si="228">POWER((2.004732851+2.185922929*LOG(PB5)-0.479175793*PB5)+1.644854*(0.358935513+1.121555302*LOG(PB5)-0.321176888*PB5),1/0.151)</f>
        <v>21.356398223818825</v>
      </c>
      <c r="PL5" s="151">
        <f t="shared" ref="PL5:PL14" si="229">POWER((2.004732851+2.185922929*LOG(PB5)-0.479175793*PB5)+1.959964*(0.358935513+1.121555302*LOG(PB5)-0.321176888*PB5),1/0.151)</f>
        <v>22.438902101518796</v>
      </c>
      <c r="PM5" s="151">
        <f t="shared" ref="PM5:PM14" si="230">POWER((2.004732851+2.185922929*LOG(PB5)-0.479175793*PB5)+2.326348*(0.358935513+1.121555302*LOG(PB5)-0.321176888*PB5),1/0.151)</f>
        <v>23.7557861230237</v>
      </c>
      <c r="PN5" s="163"/>
      <c r="PO5" s="164">
        <v>0.9</v>
      </c>
      <c r="PP5" s="151">
        <f t="shared" ref="PP5:PP15" si="231">POWER((1.645380332+0.999544616*LOG(PO5)-0.130035639*PO5)-2.326348*(0.191645281+0.481530158*LOG(PO5)-0.132272775*PO5),1/0.189)</f>
        <v>5.187391279316472</v>
      </c>
      <c r="PQ5" s="151">
        <f t="shared" ref="PQ5:PQ15" si="232">POWER((1.645380332+0.999544616*LOG(PO5)-0.130035639*PO5)-1.959964*(0.191645281+0.481530158*LOG(PO5)-0.132272775*PO5),1/0.189)</f>
        <v>5.5709298562615146</v>
      </c>
      <c r="PR5" s="151">
        <f t="shared" ref="PR5:PR15" si="233">POWER((1.645380332+0.999544616*LOG(PO5)-0.130035639*PO5)-1.644854*(0.191645281+0.481530158*LOG(PO5)-0.132272775*PO5),1/0.189)</f>
        <v>5.9188999457211802</v>
      </c>
      <c r="PS5" s="151">
        <f>POWER((1.645380332+0.999544616*LOG(PO5)-0.130035639*PO5)-1.281552*(0.191645281+0.481530158*LOG(PO5)-0.132272775*PO5),1/0.189)</f>
        <v>6.3417522768985437</v>
      </c>
      <c r="PT5" s="151">
        <f>POWER((1.645380332+0.999544616*LOG(PO5)-0.130035639*PO5)-0.6755*(0.191645281+0.481530158*LOG(PO5)-0.132272775*PO5),1/0.189)</f>
        <v>7.1014642238046015</v>
      </c>
      <c r="PU5" s="134">
        <f>POWER((1.645380332+0.999544616*LOG(PO5)-0.130035639*PO5)-0*(0.191645281+0.481530158*LOG(PO5)-0.132272775*PO5),1/0.189)</f>
        <v>8.0335379697595375</v>
      </c>
      <c r="PV5" s="151">
        <f>POWER((1.645380332+0.999544616*LOG(PO5)-0.130035639*PO5)+0.6755*(0.191645281+0.481530158*LOG(PO5)-0.132272775*PO5),1/0.189)</f>
        <v>9.0624539895495388</v>
      </c>
      <c r="PW5" s="151">
        <f t="shared" ref="PW5:PW15" si="234">POWER((1.645380332+0.999544616*LOG(PO5)-0.130035639*PO5)+1.281552*(0.191645281+0.481530158*LOG(PO5)-0.132272775*PO5),1/0.189)</f>
        <v>10.074193107419017</v>
      </c>
      <c r="PX5" s="151">
        <f t="shared" ref="PX5:PX15" si="235">POWER((1.645380332+0.999544616*LOG(PO5)-0.130035639*PO5)+1.644854*(0.191645281+0.481530158*LOG(PO5)-0.132272775*PO5),1/0.189)</f>
        <v>10.72332732284322</v>
      </c>
      <c r="PY5" s="151">
        <f t="shared" ref="PY5:PY15" si="236">POWER((1.645380332+0.999544616*LOG(PO5)-0.130035639*PO5)+1.959964*(0.191645281+0.481530158*LOG(PO5)-0.132272775*PO5),1/0.189)</f>
        <v>11.313449533547271</v>
      </c>
      <c r="PZ5" s="151">
        <f t="shared" ref="PZ5:PZ15" si="237">POWER((1.645380332+0.999544616*LOG(PO5)-0.130035639*PO5)+2.326348*(0.191645281+0.481530158*LOG(PO5)-0.132272775*PO5),1/0.189)</f>
        <v>12.03242998297875</v>
      </c>
      <c r="QA5" s="163"/>
      <c r="QB5" s="164">
        <v>0.9</v>
      </c>
      <c r="QC5" s="151">
        <f t="shared" ref="QC5:QC14" si="238">POWER((1.285644564+0.566206068*LOG(QB5)-0.139255307*QB5)-2.326348*(0.050422678+0.135406289*LOG(QB5)-0.037008723*QB5),1/0.063)</f>
        <v>5.1669229027714172</v>
      </c>
      <c r="QD5" s="151">
        <f t="shared" ref="QD5:QD14" si="239">POWER((1.285644564+0.566206068*LOG(QB5)-0.139255307*QB5)-1.959964*(0.050422678+0.135406289*LOG(QB5)-0.037008723*QB5),1/0.063)</f>
        <v>5.4708465161268087</v>
      </c>
      <c r="QE5" s="151">
        <f t="shared" ref="QE5:QE14" si="240">POWER((1.285644564+0.566206068*LOG(QB5)-0.139255307*QB5)-1.644854*(0.050422678+0.135406289*LOG(QB5)-0.037008723*QB5),1/0.063)</f>
        <v>5.7455551900149109</v>
      </c>
      <c r="QF5" s="151">
        <f>POWER((1.285644564+0.566206068*LOG(QB5)-0.139255307*QB5)-1.281552*(0.050422678+0.135406289*LOG(QB5)-0.037008723*QB5),1/0.063)</f>
        <v>6.078303090355579</v>
      </c>
      <c r="QG5" s="151">
        <f>POWER((1.285644564+0.566206068*LOG(QB5)-0.139255307*QB5)-0.6755*(0.050422678+0.135406289*LOG(QB5)-0.037008723*QB5),1/0.063)</f>
        <v>6.6738716302185725</v>
      </c>
      <c r="QH5" s="134">
        <f>POWER((1.285644564+0.566206068*LOG(QB5)-0.139255307*QB5)-0*(0.050422678+0.135406289*LOG(QB5)-0.037008723*QB5),1/0.063)</f>
        <v>7.4019349969629458</v>
      </c>
      <c r="QI5" s="151">
        <f>POWER((1.285644564+0.566206068*LOG(QB5)-0.139255307*QB5)+0.6755*(0.050422678+0.135406289*LOG(QB5)-0.037008723*QB5),1/0.063)</f>
        <v>8.2039169964678784</v>
      </c>
      <c r="QJ5" s="151">
        <f t="shared" ref="QJ5:QJ14" si="241">POWER((1.285644564+0.566206068*LOG(QB5)-0.139255307*QB5)+1.281552*(0.050422678+0.135406289*LOG(QB5)-0.037008723*QB5),1/0.063)</f>
        <v>8.9920596980406913</v>
      </c>
      <c r="QK5" s="151">
        <f t="shared" ref="QK5:QK14" si="242">POWER((1.285644564+0.566206068*LOG(QB5)-0.139255307*QB5)+1.644854*(0.050422678+0.135406289*LOG(QB5)-0.037008723*QB5),1/0.063)</f>
        <v>9.4979612192189098</v>
      </c>
      <c r="QL5" s="151">
        <f t="shared" ref="QL5:QL14" si="243">POWER((1.285644564+0.566206068*LOG(QB5)-0.139255307*QB5)+1.959964*(0.050422678+0.135406289*LOG(QB5)-0.037008723*QB5),1/0.063)</f>
        <v>9.9582305855260849</v>
      </c>
      <c r="QM5" s="151">
        <f t="shared" ref="QM5:QM14" si="244">POWER((1.285644564+0.566206068*LOG(QB5)-0.139255307*QB5)+2.326348*(0.050422678+0.135406289*LOG(QB5)-0.037008723*QB5),1/0.063)</f>
        <v>10.519650765543163</v>
      </c>
      <c r="QN5" s="163"/>
      <c r="QO5" s="164">
        <v>1</v>
      </c>
      <c r="QP5" s="151">
        <f t="shared" ref="QP5:QP14" si="245">POWER((2.382785296+2.596143874*LOG(QO5)-0.339019551*QO5)-2.326348*(0.472039702+1.14765368*LOG(QO5)-0.320210994*QO5),1/0.327)</f>
        <v>4.9812773975771867</v>
      </c>
      <c r="QQ5" s="151">
        <f t="shared" ref="QQ5:QQ14" si="246">POWER((2.382785296+2.596143874*LOG(QO5)-0.339019551*QO5)-1.959964*(0.472039702+1.14765368*LOG(QO5)-0.320210994*QO5),1/0.327)</f>
        <v>5.4996954886197447</v>
      </c>
      <c r="QR5" s="151">
        <f t="shared" ref="QR5:QR14" si="247">POWER((2.382785296+2.596143874*LOG(QO5)-0.339019551*QO5)-1.644854*(0.472039702+1.14765368*LOG(QO5)-0.320210994*QO5),1/0.327)</f>
        <v>5.9736171692872571</v>
      </c>
      <c r="QS5" s="151">
        <f>POWER((2.382785296+2.596143874*LOG(QO5)-0.339019551*QO5)-1.281552*(0.472039702+1.14765368*LOG(QO5)-0.320210994*QO5),1/0.327)</f>
        <v>6.553251537111243</v>
      </c>
      <c r="QT5" s="151">
        <f>POWER((2.382785296+2.596143874*LOG(QO5)-0.339019551*QO5)-0.6755*(0.472039702+1.14765368*LOG(QO5)-0.320210994*QO5),1/0.327)</f>
        <v>7.6024331014354676</v>
      </c>
      <c r="QU5" s="134">
        <f>POWER((2.382785296+2.596143874*LOG(QO5)-0.339019551*QO5)-0*(0.472039702+1.14765368*LOG(QO5)-0.320210994*QO5),1/0.327)</f>
        <v>8.8987832630925343</v>
      </c>
      <c r="QV5" s="151">
        <f>POWER((2.382785296+2.596143874*LOG(QO5)-0.339019551*QO5)+0.6755*(0.472039702+1.14765368*LOG(QO5)-0.320210994*QO5),1/0.327)</f>
        <v>10.336176594674171</v>
      </c>
      <c r="QW5" s="151">
        <f t="shared" ref="QW5:QW14" si="248">POWER((2.382785296+2.596143874*LOG(QO5)-0.339019551*QO5)+1.281552*(0.472039702+1.14765368*LOG(QO5)-0.320210994*QO5),1/0.327)</f>
        <v>11.751993046751133</v>
      </c>
      <c r="QX5" s="151">
        <f t="shared" ref="QX5:QX14" si="249">POWER((2.382785296+2.596143874*LOG(QO5)-0.339019551*QO5)+1.644854*(0.472039702+1.14765368*LOG(QO5)-0.320210994*QO5),1/0.327)</f>
        <v>12.660290981205417</v>
      </c>
      <c r="QY5" s="151">
        <f t="shared" ref="QY5:QY14" si="250">POWER((2.382785296+2.596143874*LOG(QO5)-0.339019551*QO5)+1.959964*(0.472039702+1.14765368*LOG(QO5)-0.320210994*QO5),1/0.327)</f>
        <v>13.485386213390886</v>
      </c>
      <c r="QZ5" s="151">
        <f t="shared" ref="QZ5:QZ14" si="251">POWER((2.382785296+2.596143874*LOG(QO5)-0.339019551*QO5)+2.326348*(0.472039702+1.14765368*LOG(QO5)-0.320210994*QO5),1/0.327)</f>
        <v>14.489349779600804</v>
      </c>
      <c r="RA5" s="163"/>
      <c r="RB5" s="164">
        <v>0.9</v>
      </c>
      <c r="RC5" s="151">
        <f t="shared" ref="RC5:RC15" si="252">POWER((1.134042161+0.177130063*LOG(RB5)-0.028311435*RB5)+2.326348*(0.044481038+0.147212303*LOG(RB5)-0.016660659*RB5),1/-0.154)</f>
        <v>0.39589177169425804</v>
      </c>
      <c r="RD5" s="151">
        <f t="shared" ref="RD5:RD15" si="253">POWER((1.134042161+0.177130063*LOG(RB5)-0.028311435*RB5)+1.959964*(0.044481038+0.147212303*LOG(RB5)-0.016660659*RB5),1/-0.154)</f>
        <v>0.4149836706402667</v>
      </c>
      <c r="RE5" s="151">
        <f t="shared" ref="RE5:RE15" si="254">POWER((1.134042161+0.177130063*LOG(RB5)-0.028311435*RB5)+1.644854*(0.044481038+0.147212303*LOG(RB5)-0.016660659*RB5),1/-0.154)</f>
        <v>0.43225742671015704</v>
      </c>
      <c r="RF5" s="151">
        <f>POWER((1.134042161+0.177130063*LOG(RB5)-0.028311435*RB5)+1.281552*(0.044481038+0.147212303*LOG(RB5)-0.016660659*RB5),1/-0.154)</f>
        <v>0.45321228694424726</v>
      </c>
      <c r="RG5" s="151">
        <f>POWER((1.134042161+0.177130063*LOG(RB5)-0.028311435*RB5)+0.6755*(0.044481038+0.147212303*LOG(RB5)-0.016660659*RB5),1/-0.154)</f>
        <v>0.49083462910074888</v>
      </c>
      <c r="RH5" s="134">
        <f>POWER((1.134042161+0.177130063*LOG(RB5)-0.028311435*RB5)+0*(0.044481038+0.147212303*LOG(RB5)-0.016660659*RB5),1/-0.154)</f>
        <v>0.5370878855936283</v>
      </c>
      <c r="RI5" s="151">
        <f>POWER((1.134042161+0.177130063*LOG(RB5)-0.028311435*RB5)-0.6755*(0.044481038+0.147212303*LOG(RB5)-0.016660659*RB5),1/-0.154)</f>
        <v>0.58844455692142417</v>
      </c>
      <c r="RJ5" s="151">
        <f t="shared" ref="RJ5:RJ15" si="255">POWER((1.134042161+0.177130063*LOG(RB5)-0.028311435*RB5)-1.281552*(0.044481038+0.147212303*LOG(RB5)-0.016660659*RB5),1/-0.154)</f>
        <v>0.63939507506689164</v>
      </c>
      <c r="RK5" s="151">
        <f t="shared" ref="RK5:RK15" si="256">POWER((1.134042161+0.177130063*LOG(RB5)-0.028311435*RB5)-1.644854*(0.044481038+0.147212303*LOG(RB5)-0.016660659*RB5),1/-0.154)</f>
        <v>0.67237433402406055</v>
      </c>
      <c r="RL5" s="151">
        <f t="shared" ref="RL5:RL15" si="257">POWER((1.134042161+0.177130063*LOG(RB5)-0.028311435*RB5)-1.959964*(0.044481038+0.147212303*LOG(RB5)-0.016660659*RB5),1/-0.154)</f>
        <v>0.70257649736438521</v>
      </c>
      <c r="RM5" s="151">
        <f t="shared" ref="RM5:RM15" si="258">POWER((1.134042161+0.177130063*LOG(RB5)-0.028311435*RB5)-2.326348*(0.044481038+0.147212303*LOG(RB5)-0.016660659*RB5),1/-0.154)</f>
        <v>0.73968148138167611</v>
      </c>
      <c r="RN5" s="163"/>
      <c r="RO5" s="164">
        <v>0.9</v>
      </c>
      <c r="RP5" s="151">
        <f t="shared" ref="RP5:RP14" si="259">POWER((1.108874048+0.038665418*RO5)+2.326348*(-0.018699755+0.057534012*RO5),1/-0.215)</f>
        <v>0.39562406210249507</v>
      </c>
      <c r="RQ5" s="151">
        <f t="shared" ref="RQ5:RQ14" si="260">POWER((1.108874048+0.038665418*RO5)+1.959964*(-0.018699755+0.057534012*RO5),1/-0.215)</f>
        <v>0.41441966281850257</v>
      </c>
      <c r="RR5" s="151">
        <f t="shared" ref="RR5:RR14" si="261">POWER((1.108874048+0.038665418*RO5)+1.644854*(-0.018699755+0.057534012*RO5),1/-0.215)</f>
        <v>0.43145886194887045</v>
      </c>
      <c r="RS5" s="151">
        <f>POWER((1.108874048+0.038665418*RO5)+1.281552*(-0.018699755+0.057534012*RO5),1/-0.215)</f>
        <v>0.45217301921423991</v>
      </c>
      <c r="RT5" s="151">
        <f>POWER((1.108874048+0.038665418*RO5)+0.6755*(-0.018699755+0.057534012*RO5),1/-0.215)</f>
        <v>0.4894870376766593</v>
      </c>
      <c r="RU5" s="134">
        <f>POWER((1.108874048+0.038665418*RO5)+0*(-0.018699755+0.057534012*RO5),1/-0.215)</f>
        <v>0.5355853057072214</v>
      </c>
      <c r="RV5" s="151">
        <f>POWER((1.108874048+0.038665418*RO5)-0.6755*(-0.018699755+0.057534012*RO5),1/-0.215)</f>
        <v>0.58706666580783307</v>
      </c>
      <c r="RW5" s="151">
        <f t="shared" ref="RW5:RW14" si="262">POWER((1.108874048+0.038665418*RO5)-1.281552*(-0.018699755+0.057534012*RO5),1/-0.215)</f>
        <v>0.63845492615314303</v>
      </c>
      <c r="RX5" s="151">
        <f t="shared" ref="RX5:RX14" si="263">POWER((1.108874048+0.038665418*RO5)-1.644854*(-0.018699755+0.057534012*RO5),1/-0.215)</f>
        <v>0.67188595145022989</v>
      </c>
      <c r="RY5" s="151">
        <f t="shared" ref="RY5:RY14" si="264">POWER((1.108874048+0.038665418*RO5)-1.959964*(-0.018699755+0.057534012*RO5),1/-0.215)</f>
        <v>0.7026185441932975</v>
      </c>
      <c r="RZ5" s="151">
        <f t="shared" ref="RZ5:RZ14" si="265">POWER((1.108874048+0.038665418*RO5)-2.326348*(-0.018699755+0.057534012*RO5),1/-0.215)</f>
        <v>0.7405283152227875</v>
      </c>
      <c r="SA5" s="163"/>
      <c r="SB5" s="164">
        <v>1</v>
      </c>
      <c r="SC5" s="151">
        <f t="shared" ref="SC5:SC14" si="266">POWER((1.007330258+0.001864755*SB5)+2.326348*(0.000067087+0.002099647*SB5),1/-0.013)</f>
        <v>0.33711731632677838</v>
      </c>
      <c r="SD5" s="151">
        <f t="shared" ref="SD5:SD14" si="267">POWER((1.007330258+0.001864755*SB5)+1.959964*(0.000067087+0.002099647*SB5),1/-0.013)</f>
        <v>0.35804667496255976</v>
      </c>
      <c r="SE5" s="151">
        <f t="shared" ref="SE5:SE14" si="268">POWER((1.007330258+0.001864755*SB5)+1.644854*(0.000067087+0.002099647*SB5),1/-0.013)</f>
        <v>0.37709765625000979</v>
      </c>
      <c r="SF5" s="151">
        <f>POWER((1.007330258+0.001864755*SB5)+1.281552*(0.000067087+0.002099647*SB5),1/-0.013)</f>
        <v>0.40034104694306916</v>
      </c>
      <c r="SG5" s="151">
        <f>POWER((1.007330258+0.001864755*SB5)+0.6755*(0.000067087+0.002099647*SB5),1/-0.013)</f>
        <v>0.44239291649264745</v>
      </c>
      <c r="SH5" s="134">
        <f>POWER((1.007330258+0.001864755*SB5)+0*(0.000067087+0.002099647*SB5),1/-0.013)</f>
        <v>0.49456502829597726</v>
      </c>
      <c r="SI5" s="151">
        <f>POWER((1.007330258+0.001864755*SB5)-0.6755*(0.000067087+0.002099647*SB5),1/-0.013)</f>
        <v>0.55297934440617824</v>
      </c>
      <c r="SJ5" s="151">
        <f t="shared" ref="SJ5:SJ14" si="269">POWER((1.007330258+0.001864755*SB5)-1.281552*(0.000067087+0.002099647*SB5),1/-0.013)</f>
        <v>0.61132140391902767</v>
      </c>
      <c r="SK5" s="151">
        <f t="shared" ref="SK5:SK14" si="270">POWER((1.007330258+0.001864755*SB5)-1.644854*(0.000067087+0.002099647*SB5),1/-0.013)</f>
        <v>0.64924649214872721</v>
      </c>
      <c r="SL5" s="151">
        <f t="shared" ref="SL5:SL14" si="271">POWER((1.007330258+0.001864755*SB5)-1.959964*(0.000067087+0.002099647*SB5),1/-0.013)</f>
        <v>0.68406713504795635</v>
      </c>
      <c r="SM5" s="151">
        <f t="shared" ref="SM5:SM14" si="272">POWER((1.007330258+0.001864755*SB5)-2.326348*(0.000067087+0.002099647*SB5),1/-0.013)</f>
        <v>0.72694097936393587</v>
      </c>
      <c r="SN5" s="163"/>
      <c r="SO5" s="164">
        <v>0.9</v>
      </c>
      <c r="SP5" s="151">
        <f t="shared" ref="SP5:SP15" si="273">POWER((0.585447306-0.220337907*LOG(SO5)+0.041343612*SO5)-2.326348*(0.042518154+0.13650332*LOG(SO5)-0.013004435*SO5),1/0.437)</f>
        <v>0.28252108817264793</v>
      </c>
      <c r="SQ5" s="151">
        <f t="shared" ref="SQ5:SQ15" si="274">POWER((0.585447306-0.220337907*LOG(SO5)+0.041343612*SO5)-1.959964*(0.042518154+0.13650332*LOG(SO5)-0.013004435*SO5),1/0.437)</f>
        <v>0.29273349556501482</v>
      </c>
      <c r="SR5" s="151">
        <f t="shared" ref="SR5:SR15" si="275">POWER((0.585447306-0.220337907*LOG(SO5)+0.041343612*SO5)-1.644854*(0.042518154+0.13650332*LOG(SO5)-0.013004435*SO5),1/0.437)</f>
        <v>0.30168034837710261</v>
      </c>
      <c r="SS5" s="151">
        <f t="shared" ref="SS5:SS15" si="276">POWER((0.585447306-0.220337907*LOG(SO5)+0.041343612*SO5)-1.281552*(0.042518154+0.13650332*LOG(SO5)-0.013004435*SO5),1/0.437)</f>
        <v>0.31218409952395554</v>
      </c>
      <c r="ST5" s="151">
        <f t="shared" ref="ST5" si="277">POWER((0.585447306-0.220337907*LOG(SO5)+0.041343612*SO5)-0.6755*(0.042518154+0.13650332*LOG(SO5)-0.013004435*SO5),1/0.437)</f>
        <v>0.3301580262376973</v>
      </c>
      <c r="SU5" s="134">
        <f t="shared" ref="SU5" si="278">POWER((0.585447306-0.220337907*LOG(SO5)+0.041343612*SO5)-0*(0.042518154+0.13650332*LOG(SO5)-0.013004435*SO5),1/0.437)</f>
        <v>0.35086162408414584</v>
      </c>
      <c r="SV5" s="151">
        <f t="shared" ref="SV5" si="279">POWER((0.585447306-0.220337907*LOG(SO5)+0.041343612*SO5)+0.6755*(0.042518154+0.13650332*LOG(SO5)-0.013004435*SO5),1/0.437)</f>
        <v>0.37227679883552706</v>
      </c>
      <c r="SW5" s="151">
        <f t="shared" ref="SW5:SW15" si="280">POWER((0.585447306-0.220337907*LOG(SO5)+0.041343612*SO5)+1.281552*(0.042518154+0.13650332*LOG(SO5)-0.013004435*SO5),1/0.437)</f>
        <v>0.39210027093822308</v>
      </c>
      <c r="SX5" s="151">
        <f t="shared" ref="SX5:SX15" si="281">POWER((0.585447306-0.220337907*LOG(SO5)+0.041343612*SO5)+1.644854*(0.042518154+0.13650332*LOG(SO5)-0.013004435*SO5),1/0.437)</f>
        <v>0.40426181352868429</v>
      </c>
      <c r="SY5" s="151">
        <f t="shared" ref="SY5:SY15" si="282">POWER((0.585447306-0.220337907*LOG(SO5)+0.041343612*SO5)+1.959964*(0.042518154+0.13650332*LOG(SO5)-0.013004435*SO5),1/0.437)</f>
        <v>0.41497978795647034</v>
      </c>
      <c r="SZ5" s="151">
        <f t="shared" ref="SZ5:SZ15" si="283">POWER((0.585447306-0.220337907*LOG(SO5)+0.041343612*SO5)+2.326348*(0.042518154+0.13650332*LOG(SO5)-0.013004435*SO5),1/0.437)</f>
        <v>0.42764065382458288</v>
      </c>
      <c r="TA5" s="163"/>
      <c r="TB5" s="164">
        <v>0.9</v>
      </c>
      <c r="TC5" s="151">
        <f t="shared" ref="TC5:TC14" si="284">POWER((0.845806971-0.014784389*TB5)-2.326348*(-0.006850927+0.021748233*TB5),1/0.174)</f>
        <v>0.28319793732081594</v>
      </c>
      <c r="TD5" s="151">
        <f t="shared" ref="TD5:TD14" si="285">POWER((0.845806971-0.014784389*TB5)-1.959964*(-0.006850927+0.021748233*TB5),1/0.174)</f>
        <v>0.29277808436753971</v>
      </c>
      <c r="TE5" s="151">
        <f t="shared" ref="TE5:TE14" si="286">POWER((0.845806971-0.014784389*TB5)-1.644854*(-0.006850927+0.021748233*TB5),1/0.174)</f>
        <v>0.30123018230454357</v>
      </c>
      <c r="TF5" s="151">
        <f>POWER((0.845806971-0.014784389*TB5)-1.281552*(-0.006850927+0.021748233*TB5),1/0.174)</f>
        <v>0.31122404513874313</v>
      </c>
      <c r="TG5" s="151">
        <f>POWER((0.845806971-0.014784389*TB5)-0.6755*(-0.006850927+0.021748233*TB5),1/0.174)</f>
        <v>0.32850447368222202</v>
      </c>
      <c r="TH5" s="134">
        <f>POWER((0.845806971-0.014784389*TB5)-0*(-0.006850927+0.021748233*TB5),1/0.174)</f>
        <v>0.34869139839915919</v>
      </c>
      <c r="TI5" s="151">
        <f>POWER((0.845806971-0.014784389*TB5)+0.6755*(-0.006850927+0.021748233*TB5),1/0.174)</f>
        <v>0.36989220503907949</v>
      </c>
      <c r="TJ5" s="151">
        <f t="shared" ref="TJ5:TJ14" si="287">POWER((0.845806971-0.014784389*TB5)+1.281552*(-0.006850927+0.021748233*TB5),1/0.174)</f>
        <v>0.38980891514226917</v>
      </c>
      <c r="TK5" s="151">
        <f t="shared" ref="TK5:TK14" si="288">POWER((0.845806971-0.014784389*TB5)+1.644854*(-0.006850927+0.021748233*TB5),1/0.174)</f>
        <v>0.40216694136937725</v>
      </c>
      <c r="TL5" s="151">
        <f t="shared" ref="TL5:TL14" si="289">POWER((0.845806971-0.014784389*TB5)+1.959964*(-0.006850927+0.021748233*TB5),1/0.174)</f>
        <v>0.41314607742356174</v>
      </c>
      <c r="TM5" s="151">
        <f t="shared" ref="TM5:TM14" si="290">POWER((0.845806971-0.014784389*TB5)+2.326348*(-0.006850927+0.021748233*TB5),1/0.174)</f>
        <v>0.42622182399674657</v>
      </c>
      <c r="TN5" s="163"/>
      <c r="TO5" s="164">
        <v>1</v>
      </c>
      <c r="TP5" s="151">
        <f t="shared" ref="TP5:TP14" si="291">POWER((0.642283762-0.02558325*TO5)-2.326348*(0.001158705+0.028530853*TO5),1/0.437)</f>
        <v>0.25210225363512778</v>
      </c>
      <c r="TQ5" s="151">
        <f t="shared" ref="TQ5:TQ14" si="292">POWER((0.642283762-0.02558325*TO5)-1.959964*(0.001158705+0.028530853*TO5),1/0.437)</f>
        <v>0.26370814706641293</v>
      </c>
      <c r="TR5" s="151">
        <f t="shared" ref="TR5:TR14" si="293">POWER((0.642283762-0.02558325*TO5)-1.644854*(0.001158705+0.028530853*TO5),1/0.437)</f>
        <v>0.27392566780123601</v>
      </c>
      <c r="TS5" s="151">
        <f>POWER((0.642283762-0.02558325*TO5)-1.281552*(0.001158705+0.028530853*TO5),1/0.437)</f>
        <v>0.28597792638536945</v>
      </c>
      <c r="TT5" s="151">
        <f>POWER((0.642283762-0.02558325*TO5)-0.6755*(0.001158705+0.028530853*TO5),1/0.437)</f>
        <v>0.30673594623531858</v>
      </c>
      <c r="TU5" s="134">
        <f>POWER((0.642283762-0.02558325*TO5)-0*(0.001158705+0.028530853*TO5),1/0.437)</f>
        <v>0.33084215755139706</v>
      </c>
      <c r="TV5" s="151">
        <f>POWER((0.642283762-0.02558325*TO5)+0.6755*(0.001158705+0.028530853*TO5),1/0.437)</f>
        <v>0.35597986609049898</v>
      </c>
      <c r="TW5" s="151">
        <f t="shared" ref="TW5:TW14" si="294">POWER((0.642283762-0.02558325*TO5)+1.281552*(0.001158705+0.028530853*TO5),1/0.437)</f>
        <v>0.379418913752398</v>
      </c>
      <c r="TX5" s="151">
        <f t="shared" ref="TX5:TX14" si="295">POWER((0.642283762-0.02558325*TO5)+1.644854*(0.001158705+0.028530853*TO5),1/0.437)</f>
        <v>0.3938741661169769</v>
      </c>
      <c r="TY5" s="151">
        <f t="shared" ref="TY5:TY14" si="296">POWER((0.642283762-0.02558325*TO5)+1.959964*(0.001158705+0.028530853*TO5),1/0.437)</f>
        <v>0.40665887582001475</v>
      </c>
      <c r="TZ5" s="151">
        <f t="shared" ref="TZ5:TZ14" si="297">POWER((0.642283762-0.02558325*TO5)+2.326348*(0.001158705+0.028530853*TO5),1/0.437)</f>
        <v>0.42181360412186941</v>
      </c>
      <c r="UA5" s="163"/>
      <c r="UB5" s="164">
        <v>0.9</v>
      </c>
      <c r="UC5" s="151">
        <f t="shared" ref="UC5:UC15" si="298">POWER((307.912688556+12.160540733*UB5)-2.326348*(-35.875007962+69.368539777*UB5),1/1.42)-64.001</f>
        <v>-14.201183563267584</v>
      </c>
      <c r="UD5" s="151">
        <f t="shared" ref="UD5:UD15" si="299">POWER((307.912688556+12.160540733*UB5)-1.959964*(-35.875007962+69.368539777*UB5),1/1.42)-64.001</f>
        <v>-12.881141828914188</v>
      </c>
      <c r="UE5" s="151">
        <f t="shared" ref="UE5:UE15" si="300">POWER((307.912688556+12.160540733*UB5)-1.644854*(-35.875007962+69.368539777*UB5),1/1.42)-64.001</f>
        <v>-11.757189877292284</v>
      </c>
      <c r="UF5" s="151">
        <f>POWER((307.912688556+12.160540733*UB5)-1.281552*(-35.875007962+69.368539777*UB5),1/1.42)-64.001</f>
        <v>-10.473812406434227</v>
      </c>
      <c r="UG5" s="151">
        <f>POWER((307.912688556+12.160540733*UB5)-0.6755*(-35.875007962+69.368539777*UB5),1/1.42)-64.001</f>
        <v>-8.3611213027043476</v>
      </c>
      <c r="UH5" s="134">
        <f>POWER((307.912688556+12.160540733*UB5)-0*(-35.875007962+69.368539777*UB5),1/1.42)-64.001</f>
        <v>-6.0453325869889127</v>
      </c>
      <c r="UI5" s="151">
        <f>POWER((307.912688556+12.160540733*UB5)+0.6755*(-35.875007962+69.368539777*UB5),1/1.42)-64.001</f>
        <v>-3.7677836589588765</v>
      </c>
      <c r="UJ5" s="151">
        <f t="shared" ref="UJ5:UJ15" si="301">POWER((307.912688556+12.160540733*UB5)+1.281552*(-35.875007962+69.368539777*UB5),1/1.42)-64.001</f>
        <v>-1.7547728582149986</v>
      </c>
      <c r="UK5" s="151">
        <f t="shared" ref="UK5:UK15" si="302">POWER((307.912688556+12.160540733*UB5)+1.644854*(-35.875007962+69.368539777*UB5),1/1.42)-64.001</f>
        <v>-0.56109623711414258</v>
      </c>
      <c r="UL5" s="151">
        <f t="shared" ref="UL5:UL15" si="303">POWER((307.912688556+12.160540733*UB5)+1.959964*(-35.875007962+69.368539777*UB5),1/1.42)-64.001</f>
        <v>0.46664770409016398</v>
      </c>
      <c r="UM5" s="151">
        <f t="shared" ref="UM5:UM15" si="304">POWER((307.912688556+12.160540733*UB5)+2.326348*(-35.875007962+69.368539777*UB5),1/1.42)-64.001</f>
        <v>1.6530421168756249</v>
      </c>
      <c r="UN5" s="163"/>
      <c r="UO5" s="164">
        <v>0.9</v>
      </c>
      <c r="UP5" s="151">
        <f t="shared" ref="UP5:UP13" si="305">POWER((31.019233396+0.735282764*UO5)-2.326348*(-8.332846698+12.370888182*UO5),1/1.02)-34.001</f>
        <v>-10.378259364752676</v>
      </c>
      <c r="UQ5" s="151">
        <f t="shared" ref="UQ5:UQ14" si="306">POWER((31.019233396+0.735282764*UO5)-1.959964*(-8.332846698+12.370888182*UO5),1/1.02)-34.001</f>
        <v>-9.4341893923997553</v>
      </c>
      <c r="UR5" s="151">
        <f t="shared" ref="UR5:UR14" si="307">POWER((31.019233396+0.735282764*UO5)-1.644854*(-8.332846698+12.370888182*UO5),1/1.02)-34.001</f>
        <v>-8.6228194423943094</v>
      </c>
      <c r="US5" s="151">
        <f>POWER((31.019233396+0.735282764*UO5)-1.281552*(-8.332846698+12.370888182*UO5),1/1.02)-34.001</f>
        <v>-7.6880034746444323</v>
      </c>
      <c r="UT5" s="151">
        <f>POWER((31.019233396+0.735282764*UO5)-0.6755*(-8.332846698+12.370888182*UO5),1/1.02)-34.001</f>
        <v>-6.1300307724992429</v>
      </c>
      <c r="UU5" s="134">
        <f>POWER((31.019233396+0.735282764*UO5)-0*(-8.332846698+12.370888182*UO5),1/1.02)-34.001</f>
        <v>-4.3955757064856336</v>
      </c>
      <c r="UV5" s="151">
        <f>POWER((31.019233396+0.735282764*UO5)+0.6755*(-8.332846698+12.370888182*UO5),1/1.02)-34.001</f>
        <v>-2.6631517430981013</v>
      </c>
      <c r="UW5" s="151">
        <f t="shared" ref="UW5:UW14" si="308">POWER((31.019233396+0.735282764*UO5)+1.281552*(-8.332846698+12.370888182*UO5),1/1.02)-34.001</f>
        <v>-1.1104702496061662</v>
      </c>
      <c r="UX5" s="151">
        <f t="shared" ref="UX5:UX14" si="309">POWER((31.019233396+0.735282764*UO5)+1.644854*(-8.332846698+12.370888182*UO5),1/1.02)-34.001</f>
        <v>-0.18041168193463619</v>
      </c>
      <c r="UY5" s="151">
        <f t="shared" ref="UY5:UY14" si="310">POWER((31.019233396+0.735282764*UO5)+1.959964*(-8.332846698+12.370888182*UO5),1/1.02)-34.001</f>
        <v>0.62586005270560463</v>
      </c>
      <c r="UZ5" s="151">
        <f t="shared" ref="UZ5:UZ14" si="311">POWER((31.019233396+0.735282764*UO5)+2.326348*(-8.332846698+12.370888182*UO5),1/1.02)-34.001</f>
        <v>1.5628552330083707</v>
      </c>
      <c r="VA5" s="163"/>
      <c r="VB5" s="164">
        <v>1</v>
      </c>
      <c r="VC5" s="151">
        <f t="shared" ref="VC5:VC14" si="312">POWER((687.431014046+57.041837991*VB5)-2.326348*(-72.845322325+166.376613327*VB5),1/1.64)-64.001</f>
        <v>-18.335986523920177</v>
      </c>
      <c r="VD5" s="151">
        <f t="shared" ref="VD5:VD14" si="313">POWER((687.431014046+57.041837991*VB5)-1.959964*(-72.845322325+166.376613327*VB5),1/1.64)-64.001</f>
        <v>-16.547312053079935</v>
      </c>
      <c r="VE5" s="151">
        <f t="shared" ref="VE5:VE14" si="314">POWER((687.431014046+57.041837991*VB5)-1.644854*(-72.845322325+166.376613327*VB5),1/1.64)-64.001</f>
        <v>-15.042802477064185</v>
      </c>
      <c r="VF5" s="151">
        <f>POWER((687.431014046+57.041837991*VB5)-1.281552*(-72.845322325+166.376613327*VB5),1/1.64)-64.001</f>
        <v>-13.344101968615313</v>
      </c>
      <c r="VG5" s="151">
        <f>POWER((687.431014046+57.041837991*VB5)-0.6755*(-72.845322325+166.376613327*VB5),1/1.64)-64.001</f>
        <v>-10.588558482176033</v>
      </c>
      <c r="VH5" s="134">
        <f>POWER((687.431014046+57.041837991*VB5)-0*(-72.845322325+166.376613327*VB5),1/1.64)-64.001</f>
        <v>-7.62070330832222</v>
      </c>
      <c r="VI5" s="151">
        <f>POWER((687.431014046+57.041837991*VB5)+0.6755*(-72.845322325+166.376613327*VB5),1/1.64)-64.001</f>
        <v>-4.7496658606038622</v>
      </c>
      <c r="VJ5" s="151">
        <f t="shared" ref="VJ5:VJ14" si="315">POWER((687.431014046+57.041837991*VB5)+1.281552*(-72.845322325+166.376613327*VB5),1/1.64)-64.001</f>
        <v>-2.2476167802288245</v>
      </c>
      <c r="VK5" s="151">
        <f t="shared" ref="VK5:VK14" si="316">POWER((687.431014046+57.041837991*VB5)+1.644854*(-72.845322325+166.376613327*VB5),1/1.64)-64.001</f>
        <v>-0.77844199841631223</v>
      </c>
      <c r="VL5" s="151">
        <f t="shared" ref="VL5:VL14" si="317">POWER((687.431014046+57.041837991*VB5)+1.959964*(-72.845322325+166.376613327*VB5),1/1.64)-64.001</f>
        <v>0.47836824677889922</v>
      </c>
      <c r="VM5" s="151">
        <f t="shared" ref="VM5:VM14" si="318">POWER((687.431014046+57.041837991*VB5)+2.326348*(-72.845322325+166.376613327*VB5),1/1.64)-64.001</f>
        <v>1.9202572352446339</v>
      </c>
      <c r="VN5" s="163"/>
      <c r="VO5" s="164">
        <v>0.9</v>
      </c>
      <c r="VP5" s="151">
        <f t="shared" ref="VP5:VP15" si="319">POWER((6.947615311+1.235816567*VO5)-2.326348*(-0.111801844+1.607497765*VO5),1/0.585)-55.001</f>
        <v>-39.583850899724688</v>
      </c>
      <c r="VQ5" s="151">
        <f t="shared" ref="VQ5:VQ15" si="320">POWER((6.947615311+1.235816567*VO5)-1.959964*(-0.111801844+1.607497765*VO5),1/0.585)-55.001</f>
        <v>-36.891836714980911</v>
      </c>
      <c r="VR5" s="151">
        <f t="shared" ref="VR5:VR15" si="321">POWER((6.947615311+1.235816567*VO5)-1.644854*(-0.111801844+1.607497765*VO5),1/0.585)-55.001</f>
        <v>-34.43454192619032</v>
      </c>
      <c r="VS5" s="151">
        <f>POWER((6.947615311+1.235816567*VO5)-1.281552*(-0.111801844+1.607497765*VO5),1/0.585)-55.001</f>
        <v>-31.442296231413525</v>
      </c>
      <c r="VT5" s="151">
        <f>POWER((6.947615311+1.235816567*VO5)-0.6755*(-0.111801844+1.607497765*VO5),1/0.585)-55.001</f>
        <v>-26.081409273483917</v>
      </c>
      <c r="VU5" s="134">
        <f>POWER((6.947615311+1.235816567*VO5)-0*(-0.111801844+1.607497765*VO5),1/0.585)-55.001</f>
        <v>-19.5786904527247</v>
      </c>
      <c r="VV5" s="151">
        <f>POWER((6.947615311+1.235816567*VO5)+0.6755*(-0.111801844+1.607497765*VO5),1/0.585)-55.001</f>
        <v>-12.538063754763847</v>
      </c>
      <c r="VW5" s="151">
        <f t="shared" ref="VW5:VW15" si="322">POWER((6.947615311+1.235816567*VO5)+1.281552*(-0.111801844+1.607497765*VO5),1/0.585)-55.001</f>
        <v>-5.7769791650048745</v>
      </c>
      <c r="VX5" s="151">
        <f t="shared" ref="VX5:VX15" si="323">POWER((6.947615311+1.235816567*VO5)+1.644854*(-0.111801844+1.607497765*VO5),1/0.585)-55.001</f>
        <v>-1.5271309720737207</v>
      </c>
      <c r="VY5" s="151">
        <f t="shared" ref="VY5:VY15" si="324">POWER((6.947615311+1.235816567*VO5)+1.959964*(-0.111801844+1.607497765*VO5),1/0.585)-55.001</f>
        <v>2.2764907944545314</v>
      </c>
      <c r="VZ5" s="151">
        <f t="shared" ref="VZ5:VZ15" si="325">POWER((6.947615311+1.235816567*VO5)+2.326348*(-0.111801844+1.607497765*VO5),1/0.585)-55.001</f>
        <v>6.8345266373926492</v>
      </c>
      <c r="WA5" s="163"/>
      <c r="WB5" s="164">
        <v>0.9</v>
      </c>
      <c r="WC5" s="151">
        <f t="shared" ref="WC5:WC14" si="326">POWER((6.935646063+0.930692312*WB5)-2.326348*(-0.885083336+2.343375273*WB5),1/0.583)-49.001</f>
        <v>-33.591068232538738</v>
      </c>
      <c r="WD5" s="151">
        <f t="shared" ref="WD5:WD14" si="327">POWER((6.935646063+0.930692312*WB5)-1.959964*(-0.885083336+2.343375273*WB5),1/0.583)-49.001</f>
        <v>-31.107104041429615</v>
      </c>
      <c r="WE5" s="151">
        <f t="shared" ref="WE5:WE14" si="328">POWER((6.935646063+0.930692312*WB5)-1.644854*(-0.885083336+2.343375273*WB5),1/0.583)-49.001</f>
        <v>-28.848345017365116</v>
      </c>
      <c r="WF5" s="151">
        <f>POWER((6.935646063+0.930692312*WB5)-1.281552*(-0.885083336+2.343375273*WB5),1/0.583)-49.001</f>
        <v>-26.10667412429256</v>
      </c>
      <c r="WG5" s="151">
        <f>POWER((6.935646063+0.930692312*WB5)-0.6755*(-0.885083336+2.343375273*WB5),1/0.583)-49.001</f>
        <v>-21.213385672563412</v>
      </c>
      <c r="WH5" s="134">
        <f>POWER((6.935646063+0.930692312*WB5)-0*(-0.885083336+2.343375273*WB5),1/0.583)-49.001</f>
        <v>-15.301602551680972</v>
      </c>
      <c r="WI5" s="151">
        <f>POWER((6.935646063+0.930692312*WB5)+0.6755*(-0.885083336+2.343375273*WB5),1/0.583)-49.001</f>
        <v>-8.921928064127691</v>
      </c>
      <c r="WJ5" s="151">
        <f t="shared" ref="WJ5:WJ14" si="329">POWER((6.935646063+0.930692312*WB5)+1.281552*(-0.885083336+2.343375273*WB5),1/0.583)-49.001</f>
        <v>-2.8109060751924417</v>
      </c>
      <c r="WK5" s="151">
        <f t="shared" ref="WK5:WK14" si="330">POWER((6.935646063+0.930692312*WB5)+1.644854*(-0.885083336+2.343375273*WB5),1/0.583)-49.001</f>
        <v>1.0242214458432812</v>
      </c>
      <c r="WL5" s="151">
        <f t="shared" ref="WL5:WL14" si="331">POWER((6.935646063+0.930692312*WB5)+1.959964*(-0.885083336+2.343375273*WB5),1/0.583)-49.001</f>
        <v>4.4532938737674286</v>
      </c>
      <c r="WM5" s="151">
        <f t="shared" ref="WM5:WM14" si="332">POWER((6.935646063+0.930692312*WB5)+2.326348*(-0.885083336+2.343375273*WB5),1/0.583)-49.001</f>
        <v>8.5588108012311395</v>
      </c>
      <c r="WN5" s="163"/>
      <c r="WO5" s="164">
        <v>1</v>
      </c>
      <c r="WP5" s="151">
        <f t="shared" ref="WP5:WP14" si="333">POWER((7.542893648+2.528652987*WO5)-2.326348*(-0.196026759+2.279840193*WO5),1/0.665)-55.001</f>
        <v>-42.986991414812266</v>
      </c>
      <c r="WQ5" s="151">
        <f t="shared" ref="WQ5:WQ14" si="334">POWER((7.542893648+2.528652987*WO5)-1.959964*(-0.196026759+2.279840193*WO5),1/0.665)-55.001</f>
        <v>-40.251625190616792</v>
      </c>
      <c r="WR5" s="151">
        <f t="shared" ref="WR5:WR14" si="335">POWER((7.542893648+2.528652987*WO5)-1.644854*(-0.196026759+2.279840193*WO5),1/0.665)-55.001</f>
        <v>-37.753184752260708</v>
      </c>
      <c r="WS5" s="151">
        <f>POWER((7.542893648+2.528652987*WO5)-1.281552*(-0.196026759+2.279840193*WO5),1/0.665)-55.001</f>
        <v>-34.714534688838711</v>
      </c>
      <c r="WT5" s="151">
        <f>POWER((7.542893648+2.528652987*WO5)-0.6755*(-0.196026759+2.279840193*WO5),1/0.665)-55.001</f>
        <v>-29.291259328557175</v>
      </c>
      <c r="WU5" s="134">
        <f>POWER((7.542893648+2.528652987*WO5)-0*(-0.196026759+2.279840193*WO5),1/0.665)-55.001</f>
        <v>-22.759496170670104</v>
      </c>
      <c r="WV5" s="151">
        <f>POWER((7.542893648+2.528652987*WO5)+0.6755*(-0.196026759+2.279840193*WO5),1/0.665)-55.001</f>
        <v>-15.750071303898444</v>
      </c>
      <c r="WW5" s="151">
        <f t="shared" ref="WW5:WW14" si="336">POWER((7.542893648+2.528652987*WO5)+1.281552*(-0.196026759+2.279840193*WO5),1/0.665)-55.001</f>
        <v>-9.0796546797312416</v>
      </c>
      <c r="WX5" s="151">
        <f t="shared" ref="WX5:WX14" si="337">POWER((7.542893648+2.528652987*WO5)+1.644854*(-0.196026759+2.279840193*WO5),1/0.665)-55.001</f>
        <v>-4.9160507780821163</v>
      </c>
      <c r="WY5" s="151">
        <f t="shared" ref="WY5:WY14" si="338">POWER((7.542893648+2.528652987*WO5)+1.959964*(-0.196026759+2.279840193*WO5),1/0.665)-55.001</f>
        <v>-1.2079765512077358</v>
      </c>
      <c r="WZ5" s="151">
        <f t="shared" ref="WZ5:WZ14" si="339">POWER((7.542893648+2.528652987*WO5)+2.326348*(-0.196026759+2.279840193*WO5),1/0.665)-55.001</f>
        <v>3.2135892565469319</v>
      </c>
      <c r="XA5" s="163"/>
      <c r="XB5" s="164">
        <v>0.9</v>
      </c>
      <c r="XC5" s="151">
        <f t="shared" ref="XC5:XC15" si="340">POWER((6.774539392-45.293382868*LOG(XB5)+12.375948921*XB5)-2.326348*(17.21835581+60.348791075*LOG(XB5)-14.553696697*XB5),1/0.763)-56.001</f>
        <v>-15.566788063653746</v>
      </c>
      <c r="XD5" s="151">
        <f t="shared" ref="XD5:XD15" si="341">POWER((6.774539392-45.293382868*LOG(XB5)+12.375948921*XB5)-1.959964*(17.21835581+60.348791075*LOG(XB5)-14.553696697*XB5),1/0.763)-56.001</f>
        <v>-13.991764807892139</v>
      </c>
      <c r="XE5" s="151">
        <f t="shared" ref="XE5:XE15" si="342">POWER((6.774539392-45.293382868*LOG(XB5)+12.375948921*XB5)-1.644854*(17.21835581+60.348791075*LOG(XB5)-14.553696697*XB5),1/0.763)-56.001</f>
        <v>-12.625853010291088</v>
      </c>
      <c r="XF5" s="151">
        <f>POWER((6.774539392-45.293382868*LOG(XB5)+12.375948921*XB5)-1.281552*(17.21835581+60.348791075*LOG(XB5)-14.553696697*XB5),1/0.763)-56.001</f>
        <v>-11.038304758931972</v>
      </c>
      <c r="XG5" s="151">
        <f>POWER((6.774539392-45.293382868*LOG(XB5)+12.375948921*XB5)-0.6755*(17.21835581+60.348791075*LOG(XB5)-14.553696697*XB5),1/0.763)-56.001</f>
        <v>-8.3602963915476707</v>
      </c>
      <c r="XH5" s="134">
        <f>POWER((6.774539392-45.293382868*LOG(XB5)+12.375948921*XB5)-0*(17.21835581+60.348791075*LOG(XB5)-14.553696697*XB5),1/0.763)-56.001</f>
        <v>-5.332832966822437</v>
      </c>
      <c r="XI5" s="151">
        <f>POWER((6.774539392-45.293382868*LOG(XB5)+12.375948921*XB5)+0.6755*(17.21835581+60.348791075*LOG(XB5)-14.553696697*XB5),1/0.763)-56.001</f>
        <v>-2.2618640669993439</v>
      </c>
      <c r="XJ5" s="151">
        <f t="shared" ref="XJ5:XJ15" si="343">POWER((6.774539392-45.293382868*LOG(XB5)+12.375948921*XB5)+1.281552*(17.21835581+60.348791075*LOG(XB5)-14.553696697*XB5),1/0.763)-56.001</f>
        <v>0.52931297358377805</v>
      </c>
      <c r="XK5" s="151">
        <f t="shared" ref="XK5:XK15" si="344">POWER((6.774539392-45.293382868*LOG(XB5)+12.375948921*XB5)+1.644854*(17.21835581+60.348791075*LOG(XB5)-14.553696697*XB5),1/0.763)-56.001</f>
        <v>2.2184058792839707</v>
      </c>
      <c r="XL5" s="151">
        <f t="shared" ref="XL5:XL15" si="345">POWER((6.774539392-45.293382868*LOG(XB5)+12.375948921*XB5)+1.959964*(17.21835581+60.348791075*LOG(XB5)-14.553696697*XB5),1/0.763)-56.001</f>
        <v>3.6929184574909826</v>
      </c>
      <c r="XM5" s="151">
        <f t="shared" ref="XM5:XM15" si="346">POWER((6.774539392-45.293382868*LOG(XB5)+12.375948921*XB5)+2.326348*(17.21835581+60.348791075*LOG(XB5)-14.553696697*XB5),1/0.763)-56.001</f>
        <v>5.4182707105102494</v>
      </c>
      <c r="XN5" s="163"/>
      <c r="XO5" s="164">
        <v>0.9</v>
      </c>
      <c r="XP5" s="151">
        <f t="shared" ref="XP5:XP14" si="347">POWER((-36.518822647-190.196540109*LOG(XO5)+58.576762028*XO5)-2.326348*(20.758520852+74.838144804*LOG(XO5)-17.735617054*XO5),1/0.783)-52.001</f>
        <v>-1.0522362622618857</v>
      </c>
      <c r="XQ5" s="151">
        <f t="shared" ref="XQ5:XQ14" si="348">POWER((-36.518822647-190.196540109*LOG(XO5)+58.576762028*XO5)-1.959964*(20.758520852+74.838144804*LOG(XO5)-17.735617054*XO5),1/0.783)-52.001</f>
        <v>0.45916324949267562</v>
      </c>
      <c r="XR5" s="151">
        <f t="shared" ref="XR5:XR14" si="349">POWER((-36.518822647-190.196540109*LOG(XO5)+58.576762028*XO5)-1.644854*(20.758520852+74.838144804*LOG(XO5)-17.735617054*XO5),1/0.783)-52.001</f>
        <v>1.7666604448286094</v>
      </c>
      <c r="XS5" s="151">
        <f>POWER((-36.518822647-190.196540109*LOG(XO5)+58.576762028*XO5)-1.281552*(20.758520852+74.838144804*LOG(XO5)-17.735617054*XO5),1/0.783)-52.001</f>
        <v>3.2827254762365783</v>
      </c>
      <c r="XT5" s="151">
        <f>POWER((-36.518822647-190.196540109*LOG(XO5)+58.576762028*XO5)-0.6755*(20.758520852+74.838144804*LOG(XO5)-17.735617054*XO5),1/0.783)-52.001</f>
        <v>5.8319213275663913</v>
      </c>
      <c r="XU5" s="134">
        <f>POWER((-36.518822647-190.196540109*LOG(XO5)+58.576762028*XO5)-0*(20.758520852+74.838144804*LOG(XO5)-17.735617054*XO5),1/0.783)-52.001</f>
        <v>8.7022229364408759</v>
      </c>
      <c r="XV5" s="151">
        <f>POWER((-36.518822647-190.196540109*LOG(XO5)+58.576762028*XO5)+0.6755*(20.758520852+74.838144804*LOG(XO5)-17.735617054*XO5),1/0.783)-52.001</f>
        <v>11.602288977409721</v>
      </c>
      <c r="XW5" s="151">
        <f t="shared" ref="XW5:XW14" si="350">POWER((-36.518822647-190.196540109*LOG(XO5)+58.576762028*XO5)+1.281552*(20.758520852+74.838144804*LOG(XO5)-17.735617054*XO5),1/0.783)-52.001</f>
        <v>14.228892544022521</v>
      </c>
      <c r="XX5" s="151">
        <f t="shared" ref="XX5:XX14" si="351">POWER((-36.518822647-190.196540109*LOG(XO5)+58.576762028*XO5)+1.644854*(20.758520852+74.838144804*LOG(XO5)-17.735617054*XO5),1/0.783)-52.001</f>
        <v>15.814393354078483</v>
      </c>
      <c r="XY5" s="151">
        <f t="shared" ref="XY5:XY14" si="352">POWER((-36.518822647-190.196540109*LOG(XO5)+58.576762028*XO5)+1.959964*(20.758520852+74.838144804*LOG(XO5)-17.735617054*XO5),1/0.783)-52.001</f>
        <v>17.196129080902374</v>
      </c>
      <c r="XZ5" s="151">
        <f t="shared" ref="XZ5:XZ14" si="353">POWER((-36.518822647-190.196540109*LOG(XO5)+58.576762028*XO5)+2.326348*(20.758520852+74.838144804*LOG(XO5)-17.735617054*XO5),1/0.783)-52.001</f>
        <v>18.810254044969817</v>
      </c>
      <c r="YA5" s="163"/>
      <c r="YB5" s="164">
        <v>1</v>
      </c>
      <c r="YC5" s="151">
        <f t="shared" ref="YC5:YC14" si="354">POWER((-37.771402665-203.270205752*LOG(YB5)+61.252597362*YB5)-2.326348*(-10.685780157-28.83630723*LOG(YB5)+14.466036972*YB5),1/0.809)-56.001</f>
        <v>-28.303600386088682</v>
      </c>
      <c r="YD5" s="151">
        <f t="shared" ref="YD5:YD14" si="355">POWER((-37.771402665-203.270205752*LOG(YB5)+61.252597362*YB5)-1.959964*(-10.685780157-28.83630723*LOG(YB5)+14.466036972*YB5),1/0.809)-56.001</f>
        <v>-25.039881335730399</v>
      </c>
      <c r="YE5" s="151">
        <f t="shared" ref="YE5:YE14" si="356">POWER((-37.771402665-203.270205752*LOG(YB5)+61.252597362*YB5)-1.644854*(-10.685780157-28.83630723*LOG(YB5)+14.466036972*YB5),1/0.809)-56.001</f>
        <v>-22.179030041699093</v>
      </c>
      <c r="YF5" s="151">
        <f>POWER((-37.771402665-203.270205752*LOG(YB5)+61.252597362*YB5)-1.281552*(-10.685780157-28.83630723*LOG(YB5)+14.466036972*YB5),1/0.809)-56.001</f>
        <v>-18.822442516025738</v>
      </c>
      <c r="YG5" s="151">
        <f>POWER((-37.771402665-203.270205752*LOG(YB5)+61.252597362*YB5)-0.6755*(-10.685780157-28.83630723*LOG(YB5)+14.466036972*YB5),1/0.809)-56.001</f>
        <v>-13.093413798140375</v>
      </c>
      <c r="YH5" s="134">
        <f>POWER((-37.771402665-203.270205752*LOG(YB5)+61.252597362*YB5)-0*(-10.685780157-28.83630723*LOG(YB5)+14.466036972*YB5),1/0.809)-56.001</f>
        <v>-6.5313401665222415</v>
      </c>
      <c r="YI5" s="151">
        <f>POWER((-37.771402665-203.270205752*LOG(YB5)+61.252597362*YB5)+0.6755*(-10.685780157-28.83630723*LOG(YB5)+14.466036972*YB5),1/0.809)-56.001</f>
        <v>0.201698345742237</v>
      </c>
      <c r="YJ5" s="151">
        <f t="shared" ref="YJ5:YJ14" si="357">POWER((-37.771402665-203.270205752*LOG(YB5)+61.252597362*YB5)+1.281552*(-10.685780157-28.83630723*LOG(YB5)+14.466036972*YB5),1/0.809)-56.001</f>
        <v>6.377283541068131</v>
      </c>
      <c r="YK5" s="151">
        <f t="shared" ref="YK5:YK14" si="358">POWER((-37.771402665-203.270205752*LOG(YB5)+61.252597362*YB5)+1.644854*(-10.685780157-28.83630723*LOG(YB5)+14.466036972*YB5),1/0.809)-56.001</f>
        <v>10.136875183335285</v>
      </c>
      <c r="YL5" s="151">
        <f t="shared" ref="YL5:YL14" si="359">POWER((-37.771402665-203.270205752*LOG(YB5)+61.252597362*YB5)+1.959964*(-10.685780157-28.83630723*LOG(YB5)+14.466036972*YB5),1/0.809)-56.001</f>
        <v>13.431241077597683</v>
      </c>
      <c r="YM5" s="151">
        <f t="shared" ref="YM5:YM14" si="360">POWER((-37.771402665-203.270205752*LOG(YB5)+61.252597362*YB5)+2.326348*(-10.685780157-28.83630723*LOG(YB5)+14.466036972*YB5),1/0.809)-56.001</f>
        <v>17.299490421394957</v>
      </c>
      <c r="YN5" s="163"/>
      <c r="YO5" s="164">
        <v>0.9</v>
      </c>
      <c r="YP5" s="151">
        <f t="shared" ref="YP5:YP15" si="361">POWER((1.388733267+0.435101437*LOG(YO5)-0.083857037*YO5)-2.326348*(0.099756662+0.259401291*LOG(YO5)-0.073452062*YO5),1/0.08)</f>
        <v>15.118555183230312</v>
      </c>
      <c r="YQ5" s="151">
        <f t="shared" ref="YQ5:YQ15" si="362">POWER((1.388733267+0.435101437*LOG(YO5)-0.083857037*YO5)-1.959964*(0.099756662+0.259401291*LOG(YO5)-0.073452062*YO5),1/0.08)</f>
        <v>16.377940306081044</v>
      </c>
      <c r="YR5" s="151">
        <f t="shared" ref="YR5:YR15" si="363">POWER((1.388733267+0.435101437*LOG(YO5)-0.083857037*YO5)-1.644854*(0.099756662+0.259401291*LOG(YO5)-0.073452062*YO5),1/0.08)</f>
        <v>17.53752910751771</v>
      </c>
      <c r="YS5" s="151">
        <f>POWER((1.388733267+0.435101437*LOG(YO5)-0.083857037*YO5)-1.281552*(0.099756662+0.259401291*LOG(YO5)-0.073452062*YO5),1/0.08)</f>
        <v>18.967957772199934</v>
      </c>
      <c r="YT5" s="151">
        <f>POWER((1.388733267+0.435101437*LOG(YO5)-0.083857037*YO5)-0.6755*(0.099756662+0.259401291*LOG(YO5)-0.073452062*YO5),1/0.08)</f>
        <v>21.59506541254591</v>
      </c>
      <c r="YU5" s="134">
        <f>POWER((1.388733267+0.435101437*LOG(YO5)-0.083857037*YO5)-0*(0.099756662+0.259401291*LOG(YO5)-0.073452062*YO5),1/0.08)</f>
        <v>24.915093848339041</v>
      </c>
      <c r="YV5" s="151">
        <f>POWER((1.388733267+0.435101437*LOG(YO5)-0.083857037*YO5)+0.6755*(0.099756662+0.259401291*LOG(YO5)-0.073452062*YO5),1/0.08)</f>
        <v>28.699081703285238</v>
      </c>
      <c r="YW5" s="151">
        <f t="shared" ref="YW5:YW15" si="364">POWER((1.388733267+0.435101437*LOG(YO5)-0.083857037*YO5)+1.281552*(0.099756662+0.259401291*LOG(YO5)-0.073452062*YO5),1/0.08)</f>
        <v>32.536843365664716</v>
      </c>
      <c r="YX5" s="151">
        <f t="shared" ref="YX5:YX15" si="365">POWER((1.388733267+0.435101437*LOG(YO5)-0.083857037*YO5)+1.644854*(0.099756662+0.259401291*LOG(YO5)-0.073452062*YO5),1/0.08)</f>
        <v>35.058215210577487</v>
      </c>
      <c r="YY5" s="151">
        <f t="shared" ref="YY5:YY15" si="366">POWER((1.388733267+0.435101437*LOG(YO5)-0.083857037*YO5)+1.959964*(0.099756662+0.259401291*LOG(YO5)-0.073452062*YO5),1/0.08)</f>
        <v>37.389403153642661</v>
      </c>
      <c r="YZ5" s="151">
        <f t="shared" ref="YZ5:YZ15" si="367">POWER((1.388733267+0.435101437*LOG(YO5)-0.083857037*YO5)+2.326348*(0.099756662+0.259401291*LOG(YO5)-0.073452062*YO5),1/0.08)</f>
        <v>40.278809686857443</v>
      </c>
      <c r="ZA5" s="163"/>
      <c r="ZB5" s="164">
        <v>0.9</v>
      </c>
      <c r="ZC5" s="151">
        <f t="shared" ref="ZC5:ZC14" si="368">POWER((1.227480207+0.358846213*LOG(ZB5)-0.095065279*ZB5)-2.326348*(0.0074004+0.006939856*LOG(ZB5)+0.003663716*ZB5),1/0.038)</f>
        <v>12.686338880126668</v>
      </c>
      <c r="ZD5" s="151">
        <f t="shared" ref="ZD5:ZD14" si="369">POWER((1.227480207+0.358846213*LOG(ZB5)-0.095065279*ZB5)-1.959964*(0.0074004+0.006939856*LOG(ZB5)+0.003663716*ZB5),1/0.038)</f>
        <v>13.891005073754714</v>
      </c>
      <c r="ZE5" s="151">
        <f t="shared" ref="ZE5:ZE14" si="370">POWER((1.227480207+0.358846213*LOG(ZB5)-0.095065279*ZB5)-1.644854*(0.0074004+0.006939856*LOG(ZB5)+0.003663716*ZB5),1/0.038)</f>
        <v>15.014443257714648</v>
      </c>
      <c r="ZF5" s="151">
        <f>POWER((1.227480207+0.358846213*LOG(ZB5)-0.095065279*ZB5)-1.281552*(0.0074004+0.006939856*LOG(ZB5)+0.003663716*ZB5),1/0.038)</f>
        <v>16.418249486843536</v>
      </c>
      <c r="ZG5" s="151">
        <f>POWER((1.227480207+0.358846213*LOG(ZB5)-0.095065279*ZB5)-0.6755*(0.0074004+0.006939856*LOG(ZB5)+0.003663716*ZB5),1/0.038)</f>
        <v>19.045374655903597</v>
      </c>
      <c r="ZH5" s="134">
        <f>POWER((1.227480207+0.358846213*LOG(ZB5)-0.095065279*ZB5)-0*(0.0074004+0.006939856*LOG(ZB5)+0.003663716*ZB5),1/0.038)</f>
        <v>22.449833678047483</v>
      </c>
      <c r="ZI5" s="151">
        <f>POWER((1.227480207+0.358846213*LOG(ZB5)-0.095065279*ZB5)+0.6755*(0.0074004+0.006939856*LOG(ZB5)+0.003663716*ZB5),1/0.038)</f>
        <v>26.435842056823994</v>
      </c>
      <c r="ZJ5" s="151">
        <f t="shared" ref="ZJ5:ZJ14" si="371">POWER((1.227480207+0.358846213*LOG(ZB5)-0.095065279*ZB5)+1.281552*(0.0074004+0.006939856*LOG(ZB5)+0.003663716*ZB5),1/0.038)</f>
        <v>30.584593227707529</v>
      </c>
      <c r="ZK5" s="151">
        <f t="shared" ref="ZK5:ZK14" si="372">POWER((1.227480207+0.358846213*LOG(ZB5)-0.095065279*ZB5)+1.644854*(0.0074004+0.006939856*LOG(ZB5)+0.003663716*ZB5),1/0.038)</f>
        <v>33.36465269199509</v>
      </c>
      <c r="ZL5" s="151">
        <f t="shared" ref="ZL5:ZL14" si="373">POWER((1.227480207+0.358846213*LOG(ZB5)-0.095065279*ZB5)+1.959964*(0.0074004+0.006939856*LOG(ZB5)+0.003663716*ZB5),1/0.038)</f>
        <v>35.971423133342569</v>
      </c>
      <c r="ZM5" s="151">
        <f t="shared" ref="ZM5:ZM14" si="374">POWER((1.227480207+0.358846213*LOG(ZB5)-0.095065279*ZB5)+2.326348*(0.0074004+0.006939856*LOG(ZB5)+0.003663716*ZB5),1/0.038)</f>
        <v>39.248921719330298</v>
      </c>
      <c r="ZN5" s="163"/>
      <c r="ZO5" s="164">
        <v>1</v>
      </c>
      <c r="ZP5" s="151">
        <f t="shared" ref="ZP5:ZP14" si="375">POWER((1.66912321+1.118192336*LOG(ZO5)-0.273822933*ZO5)-2.326348*(0.113422079+0.266924983*LOG(ZO5)-0.076207323*ZO5),1/0.101)</f>
        <v>14.35216699269137</v>
      </c>
      <c r="ZQ5" s="151">
        <f t="shared" ref="ZQ5:ZQ14" si="376">POWER((1.66912321+1.118192336*LOG(ZO5)-0.273822933*ZO5)-1.959964*(0.113422079+0.266924983*LOG(ZO5)-0.076207323*ZO5),1/0.101)</f>
        <v>15.903198355553162</v>
      </c>
      <c r="ZR5" s="151">
        <f t="shared" ref="ZR5:ZR14" si="377">POWER((1.66912321+1.118192336*LOG(ZO5)-0.273822933*ZO5)-1.644854*(0.113422079+0.266924983*LOG(ZO5)-0.076207323*ZO5),1/0.101)</f>
        <v>17.355952754336645</v>
      </c>
      <c r="ZS5" s="151">
        <f>POWER((1.66912321+1.118192336*LOG(ZO5)-0.273822933*ZO5)-1.281552*(0.113422079+0.266924983*LOG(ZO5)-0.076207323*ZO5),1/0.101)</f>
        <v>19.178143035718474</v>
      </c>
      <c r="ZT5" s="151">
        <f>POWER((1.66912321+1.118192336*LOG(ZO5)-0.273822933*ZO5)-0.6755*(0.113422079+0.266924983*LOG(ZO5)-0.076207323*ZO5),1/0.101)</f>
        <v>22.603542064890867</v>
      </c>
      <c r="ZU5" s="134">
        <f>POWER((1.66912321+1.118192336*LOG(ZO5)-0.273822933*ZO5)-0*(0.113422079+0.266924983*LOG(ZO5)-0.076207323*ZO5),1/0.101)</f>
        <v>27.061587622641671</v>
      </c>
      <c r="ZV5" s="151">
        <f>POWER((1.66912321+1.118192336*LOG(ZO5)-0.273822933*ZO5)+0.6755*(0.113422079+0.266924983*LOG(ZO5)-0.076207323*ZO5),1/0.101)</f>
        <v>32.294908886145897</v>
      </c>
      <c r="ZW5" s="151">
        <f t="shared" ref="ZW5:ZW14" si="378">POWER((1.66912321+1.118192336*LOG(ZO5)-0.273822933*ZO5)+1.281552*(0.113422079+0.266924983*LOG(ZO5)-0.076207323*ZO5),1/0.101)</f>
        <v>37.746203386623627</v>
      </c>
      <c r="ZX5" s="151">
        <f t="shared" ref="ZX5:ZX14" si="379">POWER((1.66912321+1.118192336*LOG(ZO5)-0.273822933*ZO5)+1.644854*(0.113422079+0.266924983*LOG(ZO5)-0.076207323*ZO5),1/0.101)</f>
        <v>41.397513791965942</v>
      </c>
      <c r="ZY5" s="151">
        <f t="shared" ref="ZY5:ZY14" si="380">POWER((1.66912321+1.118192336*LOG(ZO5)-0.273822933*ZO5)+1.959964*(0.113422079+0.266924983*LOG(ZO5)-0.076207323*ZO5),1/0.101)</f>
        <v>44.818316951263931</v>
      </c>
      <c r="ZZ5" s="151">
        <f t="shared" ref="ZZ5:ZZ14" si="381">POWER((1.66912321+1.118192336*LOG(ZO5)-0.273822933*ZO5)+2.326348*(0.113422079+0.266924983*LOG(ZO5)-0.076207323*ZO5),1/0.101)</f>
        <v>49.113733754532369</v>
      </c>
      <c r="AAA5" s="163"/>
      <c r="AAB5" s="164">
        <v>0.9</v>
      </c>
      <c r="AAC5" s="151">
        <f t="shared" ref="AAC5:AAC15" si="382">POWER((1.436440961+0.545439914*LOG(AAB5)-0.018753629*AAB5)-2.326348*(0.094139287+0.147038411*LOG(AAB5)-0.035990315*AAB5),1/0.15)</f>
        <v>4.8337535972706034</v>
      </c>
      <c r="AAD5" s="151">
        <f t="shared" ref="AAD5:AAD15" si="383">POWER((1.436440961+0.545439914*LOG(AAB5)-0.018753629*AAB5)-1.959964*(0.094139287+0.147038411*LOG(AAB5)-0.035990315*AAB5),1/0.15)</f>
        <v>5.3703309591174424</v>
      </c>
      <c r="AAE5" s="151">
        <f t="shared" ref="AAE5:AAE15" si="384">POWER((1.436440961+0.545439914*LOG(AAB5)-0.018753629*AAB5)-1.644854*(0.094139287+0.147038411*LOG(AAB5)-0.035990315*AAB5),1/0.15)</f>
        <v>5.8715192225684438</v>
      </c>
      <c r="AAF5" s="151">
        <f>POWER((1.436440961+0.545439914*LOG(AAB5)-0.018753629*AAB5)-1.281552*(0.094139287+0.147038411*LOG(AAB5)-0.035990315*AAB5),1/0.15)</f>
        <v>6.4981816635770304</v>
      </c>
      <c r="AAG5" s="151">
        <f>POWER((1.436440961+0.545439914*LOG(AAB5)-0.018753629*AAB5)-0.6755*(0.094139287+0.147038411*LOG(AAB5)-0.035990315*AAB5),1/0.15)</f>
        <v>7.6701121051788395</v>
      </c>
      <c r="AAH5" s="134">
        <f>POWER((1.436440961+0.545439914*LOG(AAB5)-0.018753629*AAB5)-0*(0.094139287+0.147038411*LOG(AAB5)-0.035990315*AAB5),1/0.15)</f>
        <v>9.183485942978205</v>
      </c>
      <c r="AAI5" s="151">
        <f>POWER((1.436440961+0.545439914*LOG(AAB5)-0.018753629*AAB5)+0.6755*(0.094139287+0.147038411*LOG(AAB5)-0.035990315*AAB5),1/0.15)</f>
        <v>10.943504351146606</v>
      </c>
      <c r="AAJ5" s="151">
        <f t="shared" ref="AAJ5:AAJ15" si="385">POWER((1.436440961+0.545439914*LOG(AAB5)-0.018753629*AAB5)+1.281552*(0.094139287+0.147038411*LOG(AAB5)-0.035990315*AAB5),1/0.15)</f>
        <v>12.758881276357318</v>
      </c>
      <c r="AAK5" s="151">
        <f t="shared" ref="AAK5:AAK15" si="386">POWER((1.436440961+0.545439914*LOG(AAB5)-0.018753629*AAB5)+1.644854*(0.094139287+0.147038411*LOG(AAB5)-0.035990315*AAB5),1/0.15)</f>
        <v>13.965182591949025</v>
      </c>
      <c r="AAL5" s="151">
        <f t="shared" ref="AAL5:AAL15" si="387">POWER((1.436440961+0.545439914*LOG(AAB5)-0.018753629*AAB5)+1.959964*(0.094139287+0.147038411*LOG(AAB5)-0.035990315*AAB5),1/0.15)</f>
        <v>15.088669579042046</v>
      </c>
      <c r="AAM5" s="151">
        <f t="shared" ref="AAM5:AAM15" si="388">POWER((1.436440961+0.545439914*LOG(AAB5)-0.018753629*AAB5)+2.326348*(0.094139287+0.147038411*LOG(AAB5)-0.035990315*AAB5),1/0.15)</f>
        <v>16.490701551098887</v>
      </c>
      <c r="AAN5" s="163"/>
      <c r="AAO5" s="164">
        <v>0.9</v>
      </c>
      <c r="AAP5" s="151">
        <f t="shared" ref="AAP5:AAP14" si="389">POWER((1.072580286-0.029261287*LOG(AAO5)+0.043793747*AAO5)-2.326348*(0.022786486+0.032986323*LOG(AAO5)-0.008516415*AAO5),1/0.046)</f>
        <v>5.5101162617325237</v>
      </c>
      <c r="AAQ5" s="151">
        <f t="shared" ref="AAQ5:AAQ14" si="390">POWER((1.072580286-0.029261287*LOG(AAO5)+0.043793747*AAO5)-1.959964*(0.022786486+0.032986323*LOG(AAO5)-0.008516415*AAO5),1/0.046)</f>
        <v>6.0896466008377095</v>
      </c>
      <c r="AAR5" s="151">
        <f t="shared" ref="AAR5:AAR14" si="391">POWER((1.072580286-0.029261287*LOG(AAO5)+0.043793747*AAO5)-1.644854*(0.022786486+0.032986323*LOG(AAO5)-0.008516415*AAO5),1/0.046)</f>
        <v>6.6341643902620291</v>
      </c>
      <c r="AAS5" s="151">
        <f>POWER((1.072580286-0.029261287*LOG(AAO5)+0.043793747*AAO5)-1.281552*(0.022786486+0.032986323*LOG(AAO5)-0.008516415*AAO5),1/0.046)</f>
        <v>7.3196052377359333</v>
      </c>
      <c r="AAT5" s="151">
        <f>POWER((1.072580286-0.029261287*LOG(AAO5)+0.043793747*AAO5)-0.6755*(0.022786486+0.032986323*LOG(AAO5)-0.008516415*AAO5),1/0.046)</f>
        <v>8.6157714489967532</v>
      </c>
      <c r="AAU5" s="134">
        <f>POWER((1.072580286-0.029261287*LOG(AAO5)+0.043793747*AAO5)-0*(0.022786486+0.032986323*LOG(AAO5)-0.008516415*AAO5),1/0.046)</f>
        <v>10.317955976418828</v>
      </c>
      <c r="AAV5" s="151">
        <f>POWER((1.072580286-0.029261287*LOG(AAO5)+0.043793747*AAO5)+0.6755*(0.022786486+0.032986323*LOG(AAO5)-0.008516415*AAO5),1/0.046)</f>
        <v>12.338124259935766</v>
      </c>
      <c r="AAW5" s="151">
        <f t="shared" ref="AAW5:AAW14" si="392">POWER((1.072580286-0.029261287*LOG(AAO5)+0.043793747*AAO5)+1.281552*(0.022786486+0.032986323*LOG(AAO5)-0.008516415*AAO5),1/0.046)</f>
        <v>14.467097032112866</v>
      </c>
      <c r="AAX5" s="151">
        <f t="shared" ref="AAX5:AAX14" si="393">POWER((1.072580286-0.029261287*LOG(AAO5)+0.043793747*AAO5)+1.644854*(0.022786486+0.032986323*LOG(AAO5)-0.008516415*AAO5),1/0.046)</f>
        <v>15.906762972695224</v>
      </c>
      <c r="AAY5" s="151">
        <f t="shared" ref="AAY5:AAY14" si="394">POWER((1.072580286-0.029261287*LOG(AAO5)+0.043793747*AAO5)+1.959964*(0.022786486+0.032986323*LOG(AAO5)-0.008516415*AAO5),1/0.046)</f>
        <v>17.265214010924101</v>
      </c>
      <c r="AAZ5" s="151">
        <f t="shared" ref="AAZ5:AAZ14" si="395">POWER((1.072580286-0.029261287*LOG(AAO5)+0.043793747*AAO5)+2.326348*(0.022786486+0.032986323*LOG(AAO5)-0.008516415*AAO5),1/0.046)</f>
        <v>18.983893547001024</v>
      </c>
      <c r="ABA5" s="163"/>
      <c r="ABB5" s="164">
        <v>1</v>
      </c>
      <c r="ABC5" s="151">
        <f t="shared" ref="ABC5:ABC14" si="396">POWER((2.090229553+2.300060411*LOG(ABB5)-0.372074092*ABB5)-2.326348*(0.380311436+1.085440716*LOG(ABB5)-0.28979652*ABB5),1/0.242)</f>
        <v>5.4538500505721634</v>
      </c>
      <c r="ABD5" s="151">
        <f t="shared" ref="ABD5:ABD14" si="397">POWER((2.090229553+2.300060411*LOG(ABB5)-0.372074092*ABB5)-1.959964*(0.380311436+1.085440716*LOG(ABB5)-0.28979652*ABB5),1/0.242)</f>
        <v>5.9669471909650946</v>
      </c>
      <c r="ABE5" s="151">
        <f t="shared" ref="ABE5:ABE14" si="398">POWER((2.090229553+2.300060411*LOG(ABB5)-0.372074092*ABB5)-1.644854*(0.380311436+1.085440716*LOG(ABB5)-0.28979652*ABB5),1/0.242)</f>
        <v>6.4367989191121699</v>
      </c>
      <c r="ABF5" s="151">
        <f>POWER((2.090229553+2.300060411*LOG(ABB5)-0.372074092*ABB5)-1.281552*(0.380311436+1.085440716*LOG(ABB5)-0.28979652*ABB5),1/0.242)</f>
        <v>7.0127358669837827</v>
      </c>
      <c r="ABG5" s="151">
        <f>POWER((2.090229553+2.300060411*LOG(ABB5)-0.372074092*ABB5)-0.6755*(0.380311436+1.085440716*LOG(ABB5)-0.28979652*ABB5),1/0.242)</f>
        <v>8.0594432500910855</v>
      </c>
      <c r="ABH5" s="134">
        <f>POWER((2.090229553+2.300060411*LOG(ABB5)-0.372074092*ABB5)-0*(0.380311436+1.085440716*LOG(ABB5)-0.28979652*ABB5),1/0.242)</f>
        <v>9.3612203099578775</v>
      </c>
      <c r="ABI5" s="151">
        <f>POWER((2.090229553+2.300060411*LOG(ABB5)-0.372074092*ABB5)+0.6755*(0.380311436+1.085440716*LOG(ABB5)-0.28979652*ABB5),1/0.242)</f>
        <v>10.816475913812059</v>
      </c>
      <c r="ABJ5" s="151">
        <f t="shared" ref="ABJ5:ABJ14" si="399">POWER((2.090229553+2.300060411*LOG(ABB5)-0.372074092*ABB5)+1.281552*(0.380311436+1.085440716*LOG(ABB5)-0.28979652*ABB5),1/0.242)</f>
        <v>12.262490532101751</v>
      </c>
      <c r="ABK5" s="151">
        <f t="shared" ref="ABK5:ABK14" si="400">POWER((2.090229553+2.300060411*LOG(ABB5)-0.372074092*ABB5)+1.644854*(0.380311436+1.085440716*LOG(ABB5)-0.28979652*ABB5),1/0.242)</f>
        <v>13.196805773395573</v>
      </c>
      <c r="ABL5" s="151">
        <f t="shared" ref="ABL5:ABL14" si="401">POWER((2.090229553+2.300060411*LOG(ABB5)-0.372074092*ABB5)+1.959964*(0.380311436+1.085440716*LOG(ABB5)-0.28979652*ABB5),1/0.242)</f>
        <v>14.050026017661208</v>
      </c>
      <c r="ABM5" s="151">
        <f t="shared" ref="ABM5:ABM14" si="402">POWER((2.090229553+2.300060411*LOG(ABB5)-0.372074092*ABB5)+2.326348*(0.380311436+1.085440716*LOG(ABB5)-0.28979652*ABB5),1/0.242)</f>
        <v>15.093939743800355</v>
      </c>
      <c r="ABN5" s="163"/>
      <c r="ABO5" s="164">
        <v>0.9</v>
      </c>
      <c r="ABP5" s="151">
        <f t="shared" ref="ABP5:ABP15" si="403">POWER((0.534314421-0.624144405*LOG(ABO5)+0.235475263*ABO5)-2.326348*(0.222920336+0.683257983*LOG(ABO5)-0.18002974*ABO5),1/0.271)</f>
        <v>0.27656409225725742</v>
      </c>
      <c r="ABQ5" s="151">
        <f t="shared" ref="ABQ5:ABQ15" si="404">POWER((0.534314421-0.624144405*LOG(ABO5)+0.235475263*ABO5)-1.959964*(0.222920336+0.683257983*LOG(ABO5)-0.18002974*ABO5),1/0.271)</f>
        <v>0.29258648892795258</v>
      </c>
      <c r="ABR5" s="151">
        <f t="shared" ref="ABR5:ABR15" si="405">POWER((0.534314421-0.624144405*LOG(ABO5)+0.235475263*ABO5)-1.644854*(0.222920336+0.683257983*LOG(ABO5)-0.18002974*ABO5),1/0.271)</f>
        <v>0.30689892213965203</v>
      </c>
      <c r="ABS5" s="151">
        <f>POWER((0.534314421-0.624144405*LOG(ABO5)+0.235475263*ABO5)-1.281552*(0.222920336+0.683257983*LOG(ABO5)-0.18002974*ABO5),1/0.271)</f>
        <v>0.3240261482435926</v>
      </c>
      <c r="ABT5" s="151">
        <f>POWER((0.534314421-0.624144405*LOG(ABO5)+0.235475263*ABO5)-0.6755*(0.222920336+0.683257983*LOG(ABO5)-0.18002974*ABO5),1/0.271)</f>
        <v>0.35413357488592828</v>
      </c>
      <c r="ABU5" s="134">
        <f>POWER((0.534314421-0.624144405*LOG(ABO5)+0.235475263*ABO5)-0*(0.222920336+0.683257983*LOG(ABO5)-0.18002974*ABO5),1/0.271)</f>
        <v>0.39003946920058324</v>
      </c>
      <c r="ABV5" s="151">
        <f>POWER((0.534314421-0.624144405*LOG(ABO5)+0.235475263*ABO5)+0.6755*(0.222920336+0.683257983*LOG(ABO5)-0.18002974*ABO5),1/0.271)</f>
        <v>0.42852905841838196</v>
      </c>
      <c r="ABW5" s="151">
        <f t="shared" ref="ABW5:ABW15" si="406">POWER((0.534314421-0.624144405*LOG(ABO5)+0.235475263*ABO5)+1.281552*(0.222920336+0.683257983*LOG(ABO5)-0.18002974*ABO5),1/0.271)</f>
        <v>0.46535393024933774</v>
      </c>
      <c r="ABX5" s="151">
        <f t="shared" ref="ABX5:ABX15" si="407">POWER((0.534314421-0.624144405*LOG(ABO5)+0.235475263*ABO5)+1.644854*(0.222920336+0.683257983*LOG(ABO5)-0.18002974*ABO5),1/0.271)</f>
        <v>0.48850443591878717</v>
      </c>
      <c r="ABY5" s="151">
        <f t="shared" ref="ABY5:ABY15" si="408">POWER((0.534314421-0.624144405*LOG(ABO5)+0.235475263*ABO5)+1.959964*(0.222920336+0.683257983*LOG(ABO5)-0.18002974*ABO5),1/0.271)</f>
        <v>0.50925428891133018</v>
      </c>
      <c r="ABZ5" s="151">
        <f t="shared" ref="ABZ5:ABZ15" si="409">POWER((0.534314421-0.624144405*LOG(ABO5)+0.235475263*ABO5)+2.326348*(0.222920336+0.683257983*LOG(ABO5)-0.18002974*ABO5),1/0.271)</f>
        <v>0.53418003614082521</v>
      </c>
      <c r="ACA5" s="163"/>
      <c r="ACB5" s="164">
        <v>0.9</v>
      </c>
      <c r="ACC5" s="151">
        <f t="shared" ref="ACC5:ACC14" si="410">POWER((0.712343376-0.423655097*LOG(ACB5)+0.163811581*ACB5)-2.326348*(0.110461225+0.352408543*LOG(ACB5)-0.085492457*ACB5),1/0.141)</f>
        <v>0.28720692913376566</v>
      </c>
      <c r="ACD5" s="151">
        <f t="shared" ref="ACD5:ACD14" si="411">POWER((0.712343376-0.423655097*LOG(ACB5)+0.163811581*ACB5)-1.959964*(0.110461225+0.352408543*LOG(ACB5)-0.085492457*ACB5),1/0.141)</f>
        <v>0.30304629922419218</v>
      </c>
      <c r="ACE5" s="151">
        <f t="shared" ref="ACE5:ACE14" si="412">POWER((0.712343376-0.423655097*LOG(ACB5)+0.163811581*ACB5)-1.644854*(0.110461225+0.352408543*LOG(ACB5)-0.085492457*ACB5),1/0.141)</f>
        <v>0.31726352960928195</v>
      </c>
      <c r="ACF5" s="151">
        <f>POWER((0.712343376-0.423655097*LOG(ACB5)+0.163811581*ACB5)-1.281552*(0.110461225+0.352408543*LOG(ACB5)-0.085492457*ACB5),1/0.141)</f>
        <v>0.33436272424712432</v>
      </c>
      <c r="ACG5" s="151">
        <f>POWER((0.712343376-0.423655097*LOG(ACB5)+0.163811581*ACB5)-0.6755*(0.110461225+0.352408543*LOG(ACB5)-0.085492457*ACB5),1/0.141)</f>
        <v>0.36465057159010006</v>
      </c>
      <c r="ACH5" s="134">
        <f>POWER((0.712343376-0.423655097*LOG(ACB5)+0.163811581*ACB5)-0*(0.110461225+0.352408543*LOG(ACB5)-0.085492457*ACB5),1/0.141)</f>
        <v>0.40115827644551377</v>
      </c>
      <c r="ACI5" s="151">
        <f>POWER((0.712343376-0.423655097*LOG(ACB5)+0.163811581*ACB5)+0.6755*(0.110461225+0.352408543*LOG(ACB5)-0.085492457*ACB5),1/0.141)</f>
        <v>0.44076236088539894</v>
      </c>
      <c r="ACJ5" s="151">
        <f t="shared" ref="ACJ5:ACJ14" si="413">POWER((0.712343376-0.423655097*LOG(ACB5)+0.163811581*ACB5)+1.281552*(0.110461225+0.352408543*LOG(ACB5)-0.085492457*ACB5),1/0.141)</f>
        <v>0.4791077056990739</v>
      </c>
      <c r="ACK5" s="151">
        <f t="shared" ref="ACK5:ACK14" si="414">POWER((0.712343376-0.423655097*LOG(ACB5)+0.163811581*ACB5)+1.644854*(0.110461225+0.352408543*LOG(ACB5)-0.085492457*ACB5),1/0.141)</f>
        <v>0.50344047559139771</v>
      </c>
      <c r="ACL5" s="151">
        <f t="shared" ref="ACL5:ACL14" si="415">POWER((0.712343376-0.423655097*LOG(ACB5)+0.163811581*ACB5)+1.959964*(0.110461225+0.352408543*LOG(ACB5)-0.085492457*ACB5),1/0.141)</f>
        <v>0.52539774779945481</v>
      </c>
      <c r="ACM5" s="151">
        <f t="shared" ref="ACM5:ACM14" si="416">POWER((0.712343376-0.423655097*LOG(ACB5)+0.163811581*ACB5)+2.326348*(0.110461225+0.352408543*LOG(ACB5)-0.085492457*ACB5),1/0.141)</f>
        <v>0.55195757760728303</v>
      </c>
      <c r="ACN5" s="163"/>
      <c r="ACO5" s="164">
        <v>1</v>
      </c>
      <c r="ACP5" s="151">
        <f t="shared" ref="ACP5:ACP14" si="417">POWER((0.169472222-1.163744958*LOG(ACO5)+0.439536963*ACO5)-2.326348*(-0.098759227-0.441803626*LOG(ACO5)+0.177685381*ACO5),1/0.484)</f>
        <v>0.17102183768781268</v>
      </c>
      <c r="ACQ5" s="151">
        <f t="shared" ref="ACQ5:ACQ14" si="418">POWER((0.169472222-1.163744958*LOG(ACO5)+0.439536963*ACO5)-1.959964*(-0.098759227-0.441803626*LOG(ACO5)+0.177685381*ACO5),1/0.484)</f>
        <v>0.19591313735042004</v>
      </c>
      <c r="ACR5" s="151">
        <f t="shared" ref="ACR5:ACR14" si="419">POWER((0.169472222-1.163744958*LOG(ACO5)+0.439536963*ACO5)-1.644854*(-0.098759227-0.441803626*LOG(ACO5)+0.177685381*ACO5),1/0.484)</f>
        <v>0.21871912839732288</v>
      </c>
      <c r="ACS5" s="151">
        <f>POWER((0.169472222-1.163744958*LOG(ACO5)+0.439536963*ACO5)-1.281552*(-0.098759227-0.441803626*LOG(ACO5)+0.177685381*ACO5),1/0.484)</f>
        <v>0.24662393387458459</v>
      </c>
      <c r="ACT5" s="151">
        <f>POWER((0.169472222-1.163744958*LOG(ACO5)+0.439536963*ACO5)-0.6755*(-0.098759227-0.441803626*LOG(ACO5)+0.177685381*ACO5),1/0.484)</f>
        <v>0.29703112894678435</v>
      </c>
      <c r="ACU5" s="134">
        <f>POWER((0.169472222-1.163744958*LOG(ACO5)+0.439536963*ACO5)-0*(-0.098759227-0.441803626*LOG(ACO5)+0.177685381*ACO5),1/0.484)</f>
        <v>0.35892849618719136</v>
      </c>
      <c r="ACV5" s="151">
        <f>POWER((0.169472222-1.163744958*LOG(ACO5)+0.439536963*ACO5)+0.6755*(-0.098759227-0.441803626*LOG(ACO5)+0.177685381*ACO5),1/0.484)</f>
        <v>0.42688477577020895</v>
      </c>
      <c r="ACW5" s="151">
        <f t="shared" ref="ACW5:ACW14" si="420">POWER((0.169472222-1.163744958*LOG(ACO5)+0.439536963*ACO5)+1.281552*(-0.098759227-0.441803626*LOG(ACO5)+0.177685381*ACO5),1/0.484)</f>
        <v>0.49303883764615952</v>
      </c>
      <c r="ACX5" s="151">
        <f t="shared" ref="ACX5:ACX14" si="421">POWER((0.169472222-1.163744958*LOG(ACO5)+0.439536963*ACO5)+1.644854*(-0.098759227-0.441803626*LOG(ACO5)+0.177685381*ACO5),1/0.484)</f>
        <v>0.53505596621945883</v>
      </c>
      <c r="ACY5" s="151">
        <f t="shared" ref="ACY5:ACY14" si="422">POWER((0.169472222-1.163744958*LOG(ACO5)+0.439536963*ACO5)+1.959964*(-0.098759227-0.441803626*LOG(ACO5)+0.177685381*ACO5),1/0.484)</f>
        <v>0.57293694187292954</v>
      </c>
      <c r="ACZ5" s="151">
        <f t="shared" ref="ACZ5:ACZ14" si="423">POWER((0.169472222-1.163744958*LOG(ACO5)+0.439536963*ACO5)+2.326348*(-0.098759227-0.441803626*LOG(ACO5)+0.177685381*ACO5),1/0.484)</f>
        <v>0.618664797194174</v>
      </c>
      <c r="ADA5" s="163"/>
      <c r="ADB5" s="164">
        <v>0.9</v>
      </c>
      <c r="ADC5" s="151">
        <f t="shared" ref="ADC5:ADC15" si="424">POWER((0.134443723-0.623579902*LOG(ADB5)+0.234381197*ADB5)-2.326348*(0.208248855+0.633614582*LOG(ADB5)-0.165749986*ADB5),1/0.775)</f>
        <v>0.21509531179126432</v>
      </c>
      <c r="ADD5" s="151">
        <f t="shared" ref="ADD5:ADD15" si="425">POWER((0.134443723-0.623579902*LOG(ADB5)+0.234381197*ADB5)-1.959964*(0.208248855+0.633614582*LOG(ADB5)-0.165749986*ADB5),1/0.775)</f>
        <v>0.22521188684876348</v>
      </c>
      <c r="ADE5" s="151">
        <f t="shared" ref="ADE5:ADE15" si="426">POWER((0.134443723-0.623579902*LOG(ADB5)+0.234381197*ADB5)-1.644854*(0.208248855+0.633614582*LOG(ADB5)-0.165749986*ADB5),1/0.775)</f>
        <v>0.23399542221048422</v>
      </c>
      <c r="ADF5" s="151">
        <f>POWER((0.134443723-0.623579902*LOG(ADB5)+0.234381197*ADB5)-1.281552*(0.208248855+0.633614582*LOG(ADB5)-0.165749986*ADB5),1/0.775)</f>
        <v>0.24421505901065479</v>
      </c>
      <c r="ADG5" s="151">
        <f>POWER((0.134443723-0.623579902*LOG(ADB5)+0.234381197*ADB5)-0.6755*(0.208248855+0.633614582*LOG(ADB5)-0.165749986*ADB5),1/0.775)</f>
        <v>0.26147835679890719</v>
      </c>
      <c r="ADH5" s="134">
        <f>POWER((0.134443723-0.623579902*LOG(ADB5)+0.234381197*ADB5)-0*(0.208248855+0.633614582*LOG(ADB5)-0.165749986*ADB5),1/0.775)</f>
        <v>0.28102637449708784</v>
      </c>
      <c r="ADI5" s="151">
        <f>POWER((0.134443723-0.623579902*LOG(ADB5)+0.234381197*ADB5)+0.6755*(0.208248855+0.633614582*LOG(ADB5)-0.165749986*ADB5),1/0.775)</f>
        <v>0.30088537802104476</v>
      </c>
      <c r="ADJ5" s="151">
        <f t="shared" ref="ADJ5:ADJ15" si="427">POWER((0.134443723-0.623579902*LOG(ADB5)+0.234381197*ADB5)+1.281552*(0.208248855+0.633614582*LOG(ADB5)-0.165749986*ADB5),1/0.775)</f>
        <v>0.31895790331405161</v>
      </c>
      <c r="ADK5" s="151">
        <f t="shared" ref="ADK5:ADK15" si="428">POWER((0.134443723-0.623579902*LOG(ADB5)+0.234381197*ADB5)+1.644854*(0.208248855+0.633614582*LOG(ADB5)-0.165749986*ADB5),1/0.775)</f>
        <v>0.32990398944941313</v>
      </c>
      <c r="ADL5" s="151">
        <f t="shared" ref="ADL5:ADL15" si="429">POWER((0.134443723-0.623579902*LOG(ADB5)+0.234381197*ADB5)+1.959964*(0.208248855+0.633614582*LOG(ADB5)-0.165749986*ADB5),1/0.775)</f>
        <v>0.33946481371637138</v>
      </c>
      <c r="ADM5" s="151">
        <f t="shared" ref="ADM5:ADM15" si="430">POWER((0.134443723-0.623579902*LOG(ADB5)+0.234381197*ADB5)+2.326348*(0.208248855+0.633614582*LOG(ADB5)-0.165749986*ADB5),1/0.775)</f>
        <v>0.3506579598086218</v>
      </c>
      <c r="ADN5" s="163"/>
      <c r="ADO5" s="164">
        <v>0.9</v>
      </c>
      <c r="ADP5" s="151">
        <f t="shared" ref="ADP5:ADP14" si="431">POWER((0.183115107-0.732858521*LOG(ADO5)+0.280073681*ADO5)-2.326348*(0.170791683+0.540785528*LOG(ADO5)-0.129915089*ADO5),1/0.608)</f>
        <v>0.22244058327436012</v>
      </c>
      <c r="ADQ5" s="151">
        <f t="shared" ref="ADQ5:ADQ14" si="432">POWER((0.183115107-0.732858521*LOG(ADO5)+0.280073681*ADO5)-1.959964*(0.170791683+0.540785528*LOG(ADO5)-0.129915089*ADO5),1/0.608)</f>
        <v>0.23225980076271777</v>
      </c>
      <c r="ADR5" s="151">
        <f t="shared" ref="ADR5:ADR14" si="433">POWER((0.183115107-0.732858521*LOG(ADO5)+0.280073681*ADO5)-1.644854*(0.170791683+0.540785528*LOG(ADO5)-0.129915089*ADO5),1/0.608)</f>
        <v>0.2408372900751645</v>
      </c>
      <c r="ADS5" s="151">
        <f>POWER((0.183115107-0.732858521*LOG(ADO5)+0.280073681*ADO5)-1.281552*(0.170791683+0.540785528*LOG(ADO5)-0.129915089*ADO5),1/0.608)</f>
        <v>0.25087728104384749</v>
      </c>
      <c r="ADT5" s="151">
        <f>POWER((0.183115107-0.732858521*LOG(ADO5)+0.280073681*ADO5)-0.6755*(0.170791683+0.540785528*LOG(ADO5)-0.129915089*ADO5),1/0.608)</f>
        <v>0.26798123889561171</v>
      </c>
      <c r="ADU5" s="134">
        <f>POWER((0.183115107-0.732858521*LOG(ADO5)+0.280073681*ADO5)-0*(0.170791683+0.540785528*LOG(ADO5)-0.129915089*ADO5),1/0.608)</f>
        <v>0.28756230057030113</v>
      </c>
      <c r="ADV5" s="151">
        <f>POWER((0.183115107-0.732858521*LOG(ADO5)+0.280073681*ADO5)+0.6755*(0.170791683+0.540785528*LOG(ADO5)-0.129915089*ADO5),1/0.608)</f>
        <v>0.30768057937225096</v>
      </c>
      <c r="ADW5" s="151">
        <f t="shared" ref="ADW5:ADW14" si="434">POWER((0.183115107-0.732858521*LOG(ADO5)+0.280073681*ADO5)+1.281552*(0.170791683+0.540785528*LOG(ADO5)-0.129915089*ADO5),1/0.608)</f>
        <v>0.32618129821641295</v>
      </c>
      <c r="ADX5" s="151">
        <f t="shared" ref="ADX5:ADX14" si="435">POWER((0.183115107-0.732858521*LOG(ADO5)+0.280073681*ADO5)+1.644854*(0.170791683+0.540785528*LOG(ADO5)-0.129915089*ADO5),1/0.608)</f>
        <v>0.33747375012241065</v>
      </c>
      <c r="ADY5" s="151">
        <f t="shared" ref="ADY5:ADY14" si="436">POWER((0.183115107-0.732858521*LOG(ADO5)+0.280073681*ADO5)+1.959964*(0.170791683+0.540785528*LOG(ADO5)-0.129915089*ADO5),1/0.608)</f>
        <v>0.34738985664652616</v>
      </c>
      <c r="ADZ5" s="151">
        <f t="shared" ref="ADZ5:ADZ14" si="437">POWER((0.183115107-0.732858521*LOG(ADO5)+0.280073681*ADO5)+2.326348*(0.170791683+0.540785528*LOG(ADO5)-0.129915089*ADO5),1/0.608)</f>
        <v>0.35906053797465987</v>
      </c>
      <c r="AEA5" s="163"/>
      <c r="AEB5" s="164">
        <v>1</v>
      </c>
      <c r="AEC5" s="151">
        <f t="shared" ref="AEC5:AEC14" si="438">POWER((-0.032932072-0.753727263*LOG(AEB5)+0.283804508*AEB5)-2.326348*(-0.06267032-0.282612972*LOG(AEB5)+0.113351384*AEB5),1/1.04)</f>
        <v>0.14370023342302068</v>
      </c>
      <c r="AED5" s="151">
        <f t="shared" ref="AED5:AED14" si="439">POWER((-0.032932072-0.753727263*LOG(AEB5)+0.283804508*AEB5)-1.959964*(-0.06267032-0.282612972*LOG(AEB5)+0.113351384*AEB5),1/1.04)</f>
        <v>0.16294601440960044</v>
      </c>
      <c r="AEE5" s="151">
        <f t="shared" ref="AEE5:AEE14" si="440">POWER((-0.032932072-0.753727263*LOG(AEB5)+0.283804508*AEB5)-1.644854*(-0.06267032-0.282612972*LOG(AEB5)+0.113351384*AEB5),1/1.04)</f>
        <v>0.1794254491781849</v>
      </c>
      <c r="AEF5" s="151">
        <f>POWER((-0.032932072-0.753727263*LOG(AEB5)+0.283804508*AEB5)-1.281552*(-0.06267032-0.282612972*LOG(AEB5)+0.113351384*AEB5),1/1.04)</f>
        <v>0.19835058380722592</v>
      </c>
      <c r="AEG5" s="151">
        <f>POWER((-0.032932072-0.753727263*LOG(AEB5)+0.283804508*AEB5)-0.6755*(-0.06267032-0.282612972*LOG(AEB5)+0.113351384*AEB5),1/1.04)</f>
        <v>0.22976406438181254</v>
      </c>
      <c r="AEH5" s="134">
        <f>POWER((-0.032932072-0.753727263*LOG(AEB5)+0.283804508*AEB5)-0*(-0.06267032-0.282612972*LOG(AEB5)+0.113351384*AEB5),1/1.04)</f>
        <v>0.26457628278873491</v>
      </c>
      <c r="AEI5" s="151">
        <f>POWER((-0.032932072-0.753727263*LOG(AEB5)+0.283804508*AEB5)+0.6755*(-0.06267032-0.282612972*LOG(AEB5)+0.113351384*AEB5),1/1.04)</f>
        <v>0.29920568452874241</v>
      </c>
      <c r="AEJ5" s="151">
        <f t="shared" ref="AEJ5:AEJ14" si="441">POWER((-0.032932072-0.753727263*LOG(AEB5)+0.283804508*AEB5)+1.281552*(-0.06267032-0.282612972*LOG(AEB5)+0.113351384*AEB5),1/1.04)</f>
        <v>0.33013815969772259</v>
      </c>
      <c r="AEK5" s="151">
        <f t="shared" ref="AEK5:AEK14" si="442">POWER((-0.032932072-0.753727263*LOG(AEB5)+0.283804508*AEB5)+1.644854*(-0.06267032-0.282612972*LOG(AEB5)+0.113351384*AEB5),1/1.04)</f>
        <v>0.348624660480291</v>
      </c>
      <c r="AEL5" s="151">
        <f t="shared" ref="AEL5:AEL14" si="443">POWER((-0.032932072-0.753727263*LOG(AEB5)+0.283804508*AEB5)+1.959964*(-0.06267032-0.282612972*LOG(AEB5)+0.113351384*AEB5),1/1.04)</f>
        <v>0.36462714641820865</v>
      </c>
      <c r="AEM5" s="151">
        <f t="shared" ref="AEM5:AEM14" si="444">POWER((-0.032932072-0.753727263*LOG(AEB5)+0.283804508*AEB5)+2.326348*(-0.06267032-0.282612972*LOG(AEB5)+0.113351384*AEB5),1/1.04)</f>
        <v>0.38319833876686338</v>
      </c>
      <c r="AEN5" s="163"/>
    </row>
    <row r="6" spans="1:820">
      <c r="A6" s="163"/>
      <c r="B6" s="164">
        <v>1.1000000000000001</v>
      </c>
      <c r="C6" s="151">
        <f t="shared" si="0"/>
        <v>1.7206748937329144</v>
      </c>
      <c r="D6" s="151">
        <f t="shared" si="1"/>
        <v>1.9757081705725095</v>
      </c>
      <c r="E6" s="151">
        <f t="shared" si="2"/>
        <v>2.2314979284384848</v>
      </c>
      <c r="F6" s="151">
        <f t="shared" ref="F6:F14" si="445">POWER((1.682993744+1.084517157*LOG(B6)-0.922193127*B6^0.5)+1.281552*(-1.812639397-2.423916024*LOG(B6)+1.883082271*B6^0.5),1/-0.184)</f>
        <v>2.5766998326125661</v>
      </c>
      <c r="G6" s="151">
        <f t="shared" ref="G6:G14" si="446">POWER((1.682993744+1.084517157*LOG(B6)-0.922193127*B6^0.5)+0.6755*(-1.812639397-2.423916024*LOG(B6)+1.883082271*B6^0.5),1/-0.184)</f>
        <v>3.3044310741599889</v>
      </c>
      <c r="H6" s="134">
        <f t="shared" ref="H6:H14" si="447">POWER((1.682993744+1.084517157*LOG(B6)-0.922193127*B6^0.5)+0*(-1.812639397-2.423916024*LOG(B6)+1.883082271*B6^0.5),1/-0.184)</f>
        <v>4.4222137847617873</v>
      </c>
      <c r="I6" s="151">
        <f t="shared" ref="I6:I14" si="448">POWER((1.682993744+1.084517157*LOG(B6)-0.922193127*B6^0.5)-0.6755*(-1.812639397-2.423916024*LOG(B6)+1.883082271*B6^0.5),1/-0.184)</f>
        <v>6.0166313653997019</v>
      </c>
      <c r="J6" s="151">
        <f t="shared" si="3"/>
        <v>8.0561523219886979</v>
      </c>
      <c r="K6" s="151">
        <f t="shared" si="4"/>
        <v>9.672122034470819</v>
      </c>
      <c r="L6" s="151">
        <f t="shared" si="5"/>
        <v>11.392408255260738</v>
      </c>
      <c r="M6" s="151">
        <f t="shared" si="6"/>
        <v>13.869577846029063</v>
      </c>
      <c r="N6" s="163"/>
      <c r="O6" s="164">
        <v>1.1000000000000001</v>
      </c>
      <c r="P6" s="151">
        <f t="shared" si="7"/>
        <v>2.3846423590968371</v>
      </c>
      <c r="Q6" s="151">
        <f t="shared" si="8"/>
        <v>2.6415616913014697</v>
      </c>
      <c r="R6" s="151">
        <f t="shared" si="9"/>
        <v>2.8946908847690458</v>
      </c>
      <c r="S6" s="151">
        <f t="shared" ref="S6:S13" si="449">POWER((3.918916266+4.390757094*LOG(O6)-3.410386758*O6^0.5)+1.281552*(0.097361964+0.150474931*LOG(O6)-0.024704766*O6^0.5),1/-0.403)</f>
        <v>3.2308578392271285</v>
      </c>
      <c r="T6" s="151">
        <f t="shared" ref="T6:T13" si="450">POWER((3.918916266+4.390757094*LOG(O6)-3.410386758*O6^0.5)+0.6755*(0.097361964+0.150474931*LOG(O6)-0.024704766*O6^0.5),1/-0.403)</f>
        <v>3.9259232498232057</v>
      </c>
      <c r="U6" s="134">
        <f t="shared" ref="U6:U13" si="451">POWER((3.918916266+4.390757094*LOG(O6)-3.410386758*O6^0.5)+0*(0.097361964+0.150474931*LOG(O6)-0.024704766*O6^0.5),1/-0.403)</f>
        <v>4.9753476589958616</v>
      </c>
      <c r="V6" s="151">
        <f t="shared" ref="V6:V13" si="452">POWER((3.918916266+4.390757094*LOG(O6)-3.410386758*O6^0.5)-0.6755*(0.097361964+0.150474931*LOG(O6)-0.024704766*O6^0.5),1/-0.403)</f>
        <v>6.4650771764555639</v>
      </c>
      <c r="W6" s="151">
        <f t="shared" si="10"/>
        <v>8.3940703813628659</v>
      </c>
      <c r="X6" s="151">
        <f t="shared" si="11"/>
        <v>9.9575186621865726</v>
      </c>
      <c r="Y6" s="151">
        <f t="shared" si="12"/>
        <v>11.665493083577209</v>
      </c>
      <c r="Z6" s="151">
        <f t="shared" si="13"/>
        <v>14.216081758059575</v>
      </c>
      <c r="AA6" s="163"/>
      <c r="AB6" s="164">
        <v>1.1000000000000001</v>
      </c>
      <c r="AC6" s="151">
        <f t="shared" si="14"/>
        <v>1.3835290944917975</v>
      </c>
      <c r="AD6" s="151">
        <f t="shared" si="15"/>
        <v>1.6011485985444471</v>
      </c>
      <c r="AE6" s="151">
        <f t="shared" si="16"/>
        <v>1.8227020267506064</v>
      </c>
      <c r="AF6" s="151">
        <f t="shared" ref="AF6:AF14" si="453">POWER((1.768394163+1.159470511*LOG(AB6)-1.027520856*AB6^0.5)+1.281552*(-1.698753938-2.296578262*LOG(AB6)+1.788554766*AB6^0.5),1/-0.225)</f>
        <v>2.1267301700827259</v>
      </c>
      <c r="AG6" s="151">
        <f t="shared" ref="AG6:AG14" si="454">POWER((1.768394163+1.159470511*LOG(AB6)-1.027520856*AB6^0.5)+0.6755*(-1.698753938-2.296578262*LOG(AB6)+1.788554766*AB6^0.5),1/-0.225)</f>
        <v>2.785639896224732</v>
      </c>
      <c r="AH6" s="134">
        <f t="shared" ref="AH6:AH14" si="455">POWER((1.768394163+1.159470511*LOG(AB6)-1.027520856*AB6^0.5)+0*(-1.698753938-2.296578262*LOG(AB6)+1.788554766*AB6^0.5),1/-0.225)</f>
        <v>3.8419133639546903</v>
      </c>
      <c r="AI6" s="151">
        <f t="shared" ref="AI6:AI14" si="456">POWER((1.768394163+1.159470511*LOG(AB6)-1.027520856*AB6^0.5)-0.6755*(-1.698753938-2.296578262*LOG(AB6)+1.788554766*AB6^0.5),1/-0.225)</f>
        <v>5.4332907401268606</v>
      </c>
      <c r="AJ6" s="151">
        <f t="shared" si="17"/>
        <v>7.6011698110061436</v>
      </c>
      <c r="AK6" s="151">
        <f t="shared" si="18"/>
        <v>9.4163640892177476</v>
      </c>
      <c r="AL6" s="151">
        <f t="shared" si="19"/>
        <v>11.437878803987108</v>
      </c>
      <c r="AM6" s="151">
        <f t="shared" si="20"/>
        <v>14.502278436742342</v>
      </c>
      <c r="AN6" s="163"/>
      <c r="AO6" s="164">
        <v>1.1000000000000001</v>
      </c>
      <c r="AP6" s="151">
        <f t="shared" si="21"/>
        <v>5.8462189929267394</v>
      </c>
      <c r="AQ6" s="151">
        <f t="shared" si="22"/>
        <v>7.6177910974922005</v>
      </c>
      <c r="AR6" s="151">
        <f t="shared" si="23"/>
        <v>9.2377849938404175</v>
      </c>
      <c r="AS6" s="151">
        <f t="shared" ref="AS6:AS14" si="457">POWER((2.026103522-5.606461833*LOG(AO6)+2.783909245*AO6^0.5)-1.281552*(-5.356677244-6.9511465*LOG(AO6)+5.935503943*AO6^0.5),1/0.475)-7.001</f>
        <v>11.216759383487208</v>
      </c>
      <c r="AT6" s="151">
        <f t="shared" ref="AT6:AT14" si="458">POWER((2.026103522-5.606461833*LOG(AO6)+2.783909245*AO6^0.5)-0.6755*(-5.356677244-6.9511465*LOG(AO6)+5.935503943*AO6^0.5),1/0.475)-7.001</f>
        <v>14.784934155973559</v>
      </c>
      <c r="AU6" s="134">
        <f t="shared" ref="AU6:AU14" si="459">POWER((2.026103522-5.606461833*LOG(AO6)+2.783909245*AO6^0.5)-0*(-5.356677244-6.9511465*LOG(AO6)+5.935503943*AO6^0.5),1/0.475)-7.001</f>
        <v>19.158440759781534</v>
      </c>
      <c r="AV6" s="151">
        <f t="shared" ref="AV6:AV14" si="460">POWER((2.026103522-5.606461833*LOG(AO6)+2.783909245*AO6^0.5)+0.6755*(-5.356677244-6.9511465*LOG(AO6)+5.935503943*AO6^0.5),1/0.475)-7.001</f>
        <v>23.95358711584139</v>
      </c>
      <c r="AW6" s="151">
        <f t="shared" si="24"/>
        <v>28.617527319766776</v>
      </c>
      <c r="AX6" s="151">
        <f t="shared" si="25"/>
        <v>31.578452422735747</v>
      </c>
      <c r="AY6" s="151">
        <f t="shared" si="26"/>
        <v>34.247303398234486</v>
      </c>
      <c r="AZ6" s="151">
        <f t="shared" si="27"/>
        <v>37.468468311588126</v>
      </c>
      <c r="BA6" s="163"/>
      <c r="BB6" s="164">
        <v>1.1000000000000001</v>
      </c>
      <c r="BC6" s="151">
        <f t="shared" si="28"/>
        <v>8.6472573193234794</v>
      </c>
      <c r="BD6" s="151">
        <f t="shared" si="29"/>
        <v>10.46159363380696</v>
      </c>
      <c r="BE6" s="151">
        <f t="shared" si="30"/>
        <v>12.0872002831095</v>
      </c>
      <c r="BF6" s="151">
        <f t="shared" ref="BF6:BF13" si="461">POWER((-45.219218509-73.315544907*LOG(BB6)+52.823148136*BB6^0.5)-1.281552*(0.4074002+1.6813908*LOG(BB6)+0.415017278*BB6^0.5),1/0.587)-7.001</f>
        <v>14.034959803326718</v>
      </c>
      <c r="BG6" s="151">
        <f t="shared" ref="BG6:BG13" si="462">POWER((-45.219218509-73.315544907*LOG(BB6)+52.823148136*BB6^0.5)-0.6755*(0.4074002+1.6813908*LOG(BB6)+0.415017278*BB6^0.5),1/0.587)-7.001</f>
        <v>17.456030991072534</v>
      </c>
      <c r="BH6" s="134">
        <f t="shared" ref="BH6:BH13" si="463">POWER((-45.219218509-73.315544907*LOG(BB6)+52.823148136*BB6^0.5)-0*(0.4074002+1.6813908*LOG(BB6)+0.415017278*BB6^0.5),1/0.587)-7.001</f>
        <v>21.5165066177391</v>
      </c>
      <c r="BI6" s="151">
        <f t="shared" ref="BI6:BI13" si="464">POWER((-45.219218509-73.315544907*LOG(BB6)+52.823148136*BB6^0.5)+0.6755*(0.4074002+1.6813908*LOG(BB6)+0.415017278*BB6^0.5),1/0.587)-7.001</f>
        <v>25.83113025376672</v>
      </c>
      <c r="BJ6" s="151">
        <f t="shared" si="31"/>
        <v>29.913387021980522</v>
      </c>
      <c r="BK6" s="151">
        <f t="shared" si="32"/>
        <v>32.454526021187689</v>
      </c>
      <c r="BL6" s="151">
        <f t="shared" si="33"/>
        <v>34.714863906254386</v>
      </c>
      <c r="BM6" s="151">
        <f t="shared" si="34"/>
        <v>37.408034433433514</v>
      </c>
      <c r="BN6" s="163"/>
      <c r="BO6" s="164">
        <v>1.1000000000000001</v>
      </c>
      <c r="BP6" s="151">
        <f t="shared" si="35"/>
        <v>5.6937992784938336</v>
      </c>
      <c r="BQ6" s="151">
        <f t="shared" si="36"/>
        <v>6.8043924527897044</v>
      </c>
      <c r="BR6" s="151">
        <f t="shared" si="37"/>
        <v>7.9022750244621376</v>
      </c>
      <c r="BS6" s="151">
        <f t="shared" ref="BS6:BS14" si="465">POWER((0.268379962-2.066183748*LOG(BO6)+1.268332069*BO6^0.5)-1.281552*(-2.089642311-2.808512303*LOG(BO6)+2.193198197*BO6^0.5),1/0.148)</f>
        <v>9.3520681398555343</v>
      </c>
      <c r="BT6" s="151">
        <f t="shared" ref="BT6:BT14" si="466">POWER((0.268379962-2.066183748*LOG(BO6)+1.268332069*BO6^0.5)-0.6755*(-2.089642311-2.808512303*LOG(BO6)+2.193198197*BO6^0.5),1/0.148)</f>
        <v>12.275123771992734</v>
      </c>
      <c r="BU6" s="134">
        <f t="shared" ref="BU6:BU14" si="467">POWER((0.268379962-2.066183748*LOG(BO6)+1.268332069*BO6^0.5)-0*(-2.089642311-2.808512303*LOG(BO6)+2.193198197*BO6^0.5),1/0.148)</f>
        <v>16.417544027982206</v>
      </c>
      <c r="BV6" s="151">
        <f t="shared" ref="BV6:BV14" si="468">POWER((0.268379962-2.066183748*LOG(BO6)+1.268332069*BO6^0.5)+0.6755*(-2.089642311-2.808512303*LOG(BO6)+2.193198197*BO6^0.5),1/0.148)</f>
        <v>21.695988869495928</v>
      </c>
      <c r="BW6" s="151">
        <f t="shared" si="38"/>
        <v>27.599993215820483</v>
      </c>
      <c r="BX6" s="151">
        <f t="shared" si="39"/>
        <v>31.7563228545418</v>
      </c>
      <c r="BY6" s="151">
        <f t="shared" si="40"/>
        <v>35.782031392978489</v>
      </c>
      <c r="BZ6" s="151">
        <f t="shared" si="41"/>
        <v>41.002001080718756</v>
      </c>
      <c r="CA6" s="163"/>
      <c r="CB6" s="164">
        <v>1.1000000000000001</v>
      </c>
      <c r="CC6" s="151">
        <f t="shared" si="42"/>
        <v>11.312241503142758</v>
      </c>
      <c r="CD6" s="151">
        <f t="shared" si="43"/>
        <v>13.869818224713239</v>
      </c>
      <c r="CE6" s="151">
        <f t="shared" si="44"/>
        <v>16.145424016828461</v>
      </c>
      <c r="CF6" s="151">
        <f t="shared" ref="CF6:CF14" si="469">POWER((47.353848369+19.966606953*LOG(CB6)-33.826067581*CB6^0.5)-1.281552*(48.67050404+67.839328208*LOG(CB6)-47.096951719*CB6^0.5),1/0.709)-7.001</f>
        <v>18.852148348243908</v>
      </c>
      <c r="CG6" s="151">
        <f t="shared" ref="CG6:CG14" si="470">POWER((47.353848369+19.966606953*LOG(CB6)-33.826067581*CB6^0.5)-0.6755*(48.67050404+67.839328208*LOG(CB6)-47.096951719*CB6^0.5),1/0.709)-7.001</f>
        <v>23.555168671740471</v>
      </c>
      <c r="CH6" s="134">
        <f t="shared" ref="CH6:CH14" si="471">POWER((47.353848369+19.966606953*LOG(CB6)-33.826067581*CB6^0.5)-0*(48.67050404+67.839328208*LOG(CB6)-47.096951719*CB6^0.5),1/0.709)-7.001</f>
        <v>29.057043803063689</v>
      </c>
      <c r="CI6" s="151">
        <f t="shared" ref="CI6:CI14" si="472">POWER((47.353848369+19.966606953*LOG(CB6)-33.826067581*CB6^0.5)+0.6755*(48.67050404+67.839328208*LOG(CB6)-47.096951719*CB6^0.5),1/0.709)-7.001</f>
        <v>34.815225886858777</v>
      </c>
      <c r="CJ6" s="151">
        <f t="shared" si="45"/>
        <v>40.186808815947863</v>
      </c>
      <c r="CK6" s="151">
        <f t="shared" si="46"/>
        <v>43.495751658992532</v>
      </c>
      <c r="CL6" s="151">
        <f t="shared" si="47"/>
        <v>46.41794019392507</v>
      </c>
      <c r="CM6" s="151">
        <f t="shared" si="48"/>
        <v>49.874999242458578</v>
      </c>
      <c r="CN6" s="163"/>
      <c r="CO6" s="164">
        <v>1.1000000000000001</v>
      </c>
      <c r="CP6" s="151">
        <f t="shared" si="49"/>
        <v>13.683258191069481</v>
      </c>
      <c r="CQ6" s="151">
        <f t="shared" si="50"/>
        <v>16.211962146102831</v>
      </c>
      <c r="CR6" s="151">
        <f t="shared" si="51"/>
        <v>18.459293496882189</v>
      </c>
      <c r="CS6" s="151">
        <f t="shared" ref="CS6:CS13" si="473">POWER((13.306405525-20.580772747*LOG(CO6)-0.020442255*CO6^0.5)-1.281552*(42.162042345+57.993151287*LOG(CO6)-40.663586679*CO6^0.5),1/0.697)-6.001</f>
        <v>21.130120082095583</v>
      </c>
      <c r="CT6" s="151">
        <f t="shared" ref="CT6:CT13" si="474">POWER((13.306405525-20.580772747*LOG(CO6)-0.020442255*CO6^0.5)-0.6755*(42.162042345+57.993151287*LOG(CO6)-40.663586679*CO6^0.5),1/0.697)-6.001</f>
        <v>25.766924708742991</v>
      </c>
      <c r="CU6" s="134">
        <f t="shared" ref="CU6:CU13" si="475">POWER((13.306405525-20.580772747*LOG(CO6)-0.020442255*CO6^0.5)-0*(42.162042345+57.993151287*LOG(CO6)-40.663586679*CO6^0.5),1/0.697)-6.001</f>
        <v>31.18794396967213</v>
      </c>
      <c r="CV6" s="151">
        <f t="shared" ref="CV6:CV13" si="476">POWER((13.306405525-20.580772747*LOG(CO6)-0.020442255*CO6^0.5)+0.6755*(42.162042345+57.993151287*LOG(CO6)-40.663586679*CO6^0.5),1/0.697)-6.001</f>
        <v>36.860041442552124</v>
      </c>
      <c r="CW6" s="151">
        <f t="shared" si="52"/>
        <v>42.1513822549678</v>
      </c>
      <c r="CX6" s="151">
        <f t="shared" si="53"/>
        <v>45.411300071976783</v>
      </c>
      <c r="CY6" s="151">
        <f t="shared" si="54"/>
        <v>48.290581595282617</v>
      </c>
      <c r="CZ6" s="151">
        <f t="shared" si="55"/>
        <v>51.697447103530905</v>
      </c>
      <c r="DA6" s="163"/>
      <c r="DB6" s="164">
        <v>1.1000000000000001</v>
      </c>
      <c r="DC6" s="151">
        <f t="shared" si="56"/>
        <v>10.20982542759376</v>
      </c>
      <c r="DD6" s="151">
        <f t="shared" si="57"/>
        <v>12.534701151289898</v>
      </c>
      <c r="DE6" s="151">
        <f t="shared" si="58"/>
        <v>14.625441893191034</v>
      </c>
      <c r="DF6" s="151">
        <f t="shared" ref="DF6:DF14" si="477">POWER((-45.085462434-91.53275688*LOG(DB6)+54.713297188*DB6^0.5)-1.281552*(18.025421719+25.999246557*LOG(DB6)-17.03703913*DB6^0.5),1/0.608)-7.001</f>
        <v>17.138118447679457</v>
      </c>
      <c r="DG6" s="151">
        <f t="shared" ref="DG6:DG14" si="478">POWER((-45.085462434-91.53275688*LOG(DB6)+54.713297188*DB6^0.5)-0.6755*(18.025421719+25.999246557*LOG(DB6)-17.03703913*DB6^0.5),1/0.608)-7.001</f>
        <v>21.566639536210122</v>
      </c>
      <c r="DH6" s="134">
        <f t="shared" ref="DH6:DH14" si="479">POWER((-45.085462434-91.53275688*LOG(DB6)+54.713297188*DB6^0.5)-0*(18.025421719+25.999246557*LOG(DB6)-17.03703913*DB6^0.5),1/0.608)-7.001</f>
        <v>26.840600584629289</v>
      </c>
      <c r="DI6" s="151">
        <f t="shared" ref="DI6:DI14" si="480">POWER((-45.085462434-91.53275688*LOG(DB6)+54.713297188*DB6^0.5)+0.6755*(18.025421719+25.999246557*LOG(DB6)-17.03703913*DB6^0.5),1/0.608)-7.001</f>
        <v>32.458486663433796</v>
      </c>
      <c r="DJ6" s="151">
        <f t="shared" si="59"/>
        <v>37.782233580284782</v>
      </c>
      <c r="DK6" s="151">
        <f t="shared" si="60"/>
        <v>41.098928200226297</v>
      </c>
      <c r="DL6" s="151">
        <f t="shared" si="61"/>
        <v>44.050361132521004</v>
      </c>
      <c r="DM6" s="151">
        <f t="shared" si="62"/>
        <v>47.56805974535164</v>
      </c>
      <c r="DN6" s="163"/>
      <c r="DO6" s="164">
        <v>1.1000000000000001</v>
      </c>
      <c r="DP6" s="151">
        <f t="shared" si="63"/>
        <v>11.370834266591489</v>
      </c>
      <c r="DQ6" s="151">
        <f t="shared" si="64"/>
        <v>11.977912645521345</v>
      </c>
      <c r="DR6" s="151">
        <f t="shared" si="65"/>
        <v>12.544459935444523</v>
      </c>
      <c r="DS6" s="151">
        <f t="shared" ref="DS6:DS14" si="481">POWER((0.312976081-0.003264959*LOG(DO6)-0.148982709*DO6^0.5)+1.281552*(0.125982892+0.1552734*LOG(DO6)-0.108647238*DO6^0.5),1/-0.663)</f>
        <v>13.255080756914536</v>
      </c>
      <c r="DT6" s="151">
        <f t="shared" ref="DT6:DT14" si="482">POWER((0.312976081-0.003264959*LOG(DO6)-0.148982709*DO6^0.5)+0.6755*(0.125982892+0.1552734*LOG(DO6)-0.108647238*DO6^0.5),1/-0.663)</f>
        <v>14.600148716359026</v>
      </c>
      <c r="DU6" s="134">
        <f t="shared" ref="DU6:DU14" si="483">POWER((0.312976081-0.003264959*LOG(DO6)-0.148982709*DO6^0.5)+0*(0.125982892+0.1552734*LOG(DO6)-0.108647238*DO6^0.5),1/-0.663)</f>
        <v>16.388844077467784</v>
      </c>
      <c r="DV6" s="151">
        <f t="shared" ref="DV6:DV14" si="484">POWER((0.312976081-0.003264959*LOG(DO6)-0.148982709*DO6^0.5)-0.6755*(0.125982892+0.1552734*LOG(DO6)-0.108647238*DO6^0.5),1/-0.663)</f>
        <v>18.574051105625827</v>
      </c>
      <c r="DW6" s="151">
        <f t="shared" si="66"/>
        <v>20.981634653426813</v>
      </c>
      <c r="DX6" s="151">
        <f t="shared" si="67"/>
        <v>22.685600802699984</v>
      </c>
      <c r="DY6" s="151">
        <f t="shared" si="68"/>
        <v>24.358768190924245</v>
      </c>
      <c r="DZ6" s="151">
        <f t="shared" si="69"/>
        <v>26.578113733481846</v>
      </c>
      <c r="EA6" s="163"/>
      <c r="EB6" s="164">
        <v>1.1000000000000001</v>
      </c>
      <c r="EC6" s="151">
        <f t="shared" si="70"/>
        <v>11.288919119475761</v>
      </c>
      <c r="ED6" s="151">
        <f t="shared" si="71"/>
        <v>11.897946410452017</v>
      </c>
      <c r="EE6" s="151">
        <f t="shared" si="72"/>
        <v>12.465183916634418</v>
      </c>
      <c r="EF6" s="151">
        <f t="shared" ref="EF6:EF13" si="485">POWER((-0.491837944-1.097428833*LOG(EB6)+0.687074684*EB6^0.5)+1.281552*(0.395374596+0.497221035*LOG(EB6)-0.377854324*EB6^0.5),1/-0.608)</f>
        <v>13.175059731140726</v>
      </c>
      <c r="EG6" s="151">
        <f t="shared" ref="EG6:EG13" si="486">POWER((-0.491837944-1.097428833*LOG(EB6)+0.687074684*EB6^0.5)+0.6755*(0.395374596+0.497221035*LOG(EB6)-0.377854324*EB6^0.5),1/-0.608)</f>
        <v>14.513567707161419</v>
      </c>
      <c r="EH6" s="134">
        <f t="shared" ref="EH6:EH13" si="487">POWER((-0.491837944-1.097428833*LOG(EB6)+0.687074684*EB6^0.5)+0*(0.395374596+0.497221035*LOG(EB6)-0.377854324*EB6^0.5),1/-0.608)</f>
        <v>16.28255339196231</v>
      </c>
      <c r="EI6" s="151">
        <f t="shared" ref="EI6:EI13" si="488">POWER((-0.491837944-1.097428833*LOG(EB6)+0.687074684*EB6^0.5)-0.6755*(0.395374596+0.497221035*LOG(EB6)-0.377854324*EB6^0.5),1/-0.608)</f>
        <v>18.425865663440941</v>
      </c>
      <c r="EJ6" s="151">
        <f t="shared" si="73"/>
        <v>20.763893694028752</v>
      </c>
      <c r="EK6" s="151">
        <f t="shared" si="74"/>
        <v>22.403584642814259</v>
      </c>
      <c r="EL6" s="151">
        <f t="shared" si="75"/>
        <v>24.001446590371692</v>
      </c>
      <c r="EM6" s="151">
        <f t="shared" si="76"/>
        <v>26.102291946742735</v>
      </c>
      <c r="EN6" s="163"/>
      <c r="EO6" s="164">
        <v>1.1000000000000001</v>
      </c>
      <c r="EP6" s="151">
        <f t="shared" si="77"/>
        <v>11.333135563438383</v>
      </c>
      <c r="EQ6" s="151">
        <f t="shared" si="78"/>
        <v>11.96721273142006</v>
      </c>
      <c r="ER6" s="151">
        <f t="shared" si="79"/>
        <v>12.553521053761079</v>
      </c>
      <c r="ES6" s="151">
        <f t="shared" ref="ES6:ES14" si="489">POWER((-0.28462115-1.141821069*LOG(EO6)+0.613513047*EO6^0.5)+1.281552*(0.50991043+0.702248061*LOG(EO6)-0.49267128*EO6^0.5),1/-0.417)</f>
        <v>13.281305856718571</v>
      </c>
      <c r="ET6" s="151">
        <f t="shared" ref="ET6:ET14" si="490">POWER((-0.28462115-1.141821069*LOG(EO6)+0.613513047*EO6^0.5)+0.6755*(0.50991043+0.702248061*LOG(EO6)-0.49267128*EO6^0.5),1/-0.417)</f>
        <v>14.635077500808967</v>
      </c>
      <c r="EU6" s="134">
        <f t="shared" ref="EU6:EU14" si="491">POWER((-0.28462115-1.141821069*LOG(EO6)+0.613513047*EO6^0.5)+0*(0.50991043+0.702248061*LOG(EO6)-0.49267128*EO6^0.5),1/-0.417)</f>
        <v>16.386358042565355</v>
      </c>
      <c r="EV6" s="151">
        <f t="shared" ref="EV6:EV14" si="492">POWER((-0.28462115-1.141821069*LOG(EO6)+0.613513047*EO6^0.5)-0.6755*(0.50991043+0.702248061*LOG(EO6)-0.49267128*EO6^0.5),1/-0.417)</f>
        <v>18.450086621299384</v>
      </c>
      <c r="EW6" s="151">
        <f t="shared" si="80"/>
        <v>20.629651811379251</v>
      </c>
      <c r="EX6" s="151">
        <f t="shared" si="81"/>
        <v>22.11477089203995</v>
      </c>
      <c r="EY6" s="151">
        <f t="shared" si="82"/>
        <v>23.528607631926437</v>
      </c>
      <c r="EZ6" s="151">
        <f t="shared" si="83"/>
        <v>25.339012852867267</v>
      </c>
      <c r="FA6" s="163"/>
      <c r="FB6" s="164">
        <v>1.1000000000000001</v>
      </c>
      <c r="FC6" s="151">
        <f t="shared" si="84"/>
        <v>5.3959061443461795</v>
      </c>
      <c r="FD6" s="151">
        <f t="shared" si="85"/>
        <v>5.8070587456164411</v>
      </c>
      <c r="FE6" s="151">
        <f t="shared" si="86"/>
        <v>6.1924584746471592</v>
      </c>
      <c r="FF6" s="151">
        <f t="shared" ref="FF6:FF14" si="493">POWER((1.754731141+1.191242876*LOG(FB6)-1.167972681*FB6^0.5)+1.281552*(0.518108993+0.686659608*LOG(FB6)-0.489966614*FB6^0.5),1/-0.251)</f>
        <v>6.6773898368849007</v>
      </c>
      <c r="FG6" s="151">
        <f t="shared" ref="FG6:FG14" si="494">POWER((1.754731141+1.191242876*LOG(FB6)-1.167972681*FB6^0.5)+0.6755*(0.518108993+0.686659608*LOG(FB6)-0.489966614*FB6^0.5),1/-0.251)</f>
        <v>7.5970819966455752</v>
      </c>
      <c r="FH6" s="134">
        <f t="shared" ref="FH6:FH14" si="495">POWER((1.754731141+1.191242876*LOG(FB6)-1.167972681*FB6^0.5)+0*(0.518108993+0.686659608*LOG(FB6)-0.489966614*FB6^0.5),1/-0.251)</f>
        <v>8.8170851641123758</v>
      </c>
      <c r="FI6" s="151">
        <f t="shared" ref="FI6:FI14" si="496">POWER((1.754731141+1.191242876*LOG(FB6)-1.167972681*FB6^0.5)-0.6755*(0.518108993+0.686659608*LOG(FB6)-0.489966614*FB6^0.5),1/-0.251)</f>
        <v>10.29236492434919</v>
      </c>
      <c r="FJ6" s="151">
        <f t="shared" si="87"/>
        <v>11.887805088849797</v>
      </c>
      <c r="FK6" s="151">
        <f t="shared" si="88"/>
        <v>12.993749224419538</v>
      </c>
      <c r="FL6" s="151">
        <f t="shared" si="89"/>
        <v>14.059041809244585</v>
      </c>
      <c r="FM6" s="151">
        <f t="shared" si="90"/>
        <v>15.438868734313386</v>
      </c>
      <c r="FN6" s="163"/>
      <c r="FO6" s="164">
        <v>1.1000000000000001</v>
      </c>
      <c r="FP6" s="151">
        <f t="shared" si="91"/>
        <v>5.3001987748087585</v>
      </c>
      <c r="FQ6" s="151">
        <f t="shared" si="92"/>
        <v>5.7332318966392402</v>
      </c>
      <c r="FR6" s="151">
        <f t="shared" si="93"/>
        <v>6.1373670831287832</v>
      </c>
      <c r="FS6" s="151">
        <f t="shared" ref="FS6:FS13" si="497">POWER((1.064968235+0.175132754*LOG(FO6)-0.280186618*FO6^0.5)+1.281552*(0.725917371+0.956542969*LOG(FO6)-0.710572201*FO6^0.5),1/-0.115)</f>
        <v>6.643226727219357</v>
      </c>
      <c r="FT6" s="151">
        <f t="shared" ref="FT6:FT13" si="498">POWER((1.064968235+0.175132754*LOG(FO6)-0.280186618*FO6^0.5)+0.6755*(0.725917371+0.956542969*LOG(FO6)-0.710572201*FO6^0.5),1/-0.115)</f>
        <v>7.5939173523945422</v>
      </c>
      <c r="FU6" s="134">
        <f t="shared" ref="FU6:FU13" si="499">POWER((1.064968235+0.175132754*LOG(FO6)-0.280186618*FO6^0.5)+0*(0.725917371+0.956542969*LOG(FO6)-0.710572201*FO6^0.5),1/-0.115)</f>
        <v>8.8364842243863126</v>
      </c>
      <c r="FV6" s="151">
        <f t="shared" ref="FV6:FV13" si="500">POWER((1.064968235+0.175132754*LOG(FO6)-0.280186618*FO6^0.5)-0.6755*(0.725917371+0.956542969*LOG(FO6)-0.710572201*FO6^0.5),1/-0.115)</f>
        <v>10.310042899061825</v>
      </c>
      <c r="FW6" s="151">
        <f t="shared" si="94"/>
        <v>11.868155237303929</v>
      </c>
      <c r="FX6" s="151">
        <f t="shared" si="95"/>
        <v>12.927174920714078</v>
      </c>
      <c r="FY6" s="151">
        <f t="shared" si="96"/>
        <v>13.931509182263595</v>
      </c>
      <c r="FZ6" s="151">
        <f t="shared" si="97"/>
        <v>15.2102053149905</v>
      </c>
      <c r="GA6" s="163"/>
      <c r="GB6" s="164">
        <v>1.1000000000000001</v>
      </c>
      <c r="GC6" s="151">
        <f t="shared" si="98"/>
        <v>5.3554113245149786</v>
      </c>
      <c r="GD6" s="151">
        <f t="shared" si="99"/>
        <v>5.7772678212356743</v>
      </c>
      <c r="GE6" s="151">
        <f t="shared" si="100"/>
        <v>6.1702349084335912</v>
      </c>
      <c r="GF6" s="151">
        <f t="shared" ref="GF6:GF14" si="501">POWER((0.87050999-0.161947218*LOG(GB6)-0.101614361*GB6^0.5)+1.281552*(0.465177567+0.641918953*LOG(GB6)-0.448587314*GB6^0.5),1/-0.128)</f>
        <v>6.6612124224830405</v>
      </c>
      <c r="GG6" s="151">
        <f t="shared" ref="GG6:GG14" si="502">POWER((0.87050999-0.161947218*LOG(GB6)-0.101614361*GB6^0.5)+0.6755*(0.465177567+0.641918953*LOG(GB6)-0.448587314*GB6^0.5),1/-0.128)</f>
        <v>7.5815582815429163</v>
      </c>
      <c r="GH6" s="134">
        <f t="shared" ref="GH6:GH14" si="503">POWER((0.87050999-0.161947218*LOG(GB6)-0.101614361*GB6^0.5)+0*(0.465177567+0.641918953*LOG(GB6)-0.448587314*GB6^0.5),1/-0.128)</f>
        <v>8.780544251603974</v>
      </c>
      <c r="GI6" s="151">
        <f t="shared" ref="GI6:GI14" si="504">POWER((0.87050999-0.161947218*LOG(GB6)-0.101614361*GB6^0.5)-0.6755*(0.465177567+0.641918953*LOG(GB6)-0.448587314*GB6^0.5),1/-0.128)</f>
        <v>10.197780829070789</v>
      </c>
      <c r="GJ6" s="151">
        <f t="shared" si="101"/>
        <v>11.691963112608722</v>
      </c>
      <c r="GK6" s="151">
        <f t="shared" si="102"/>
        <v>12.705417775095773</v>
      </c>
      <c r="GL6" s="151">
        <f t="shared" si="103"/>
        <v>13.665191549752629</v>
      </c>
      <c r="GM6" s="151">
        <f t="shared" si="104"/>
        <v>14.885494715797051</v>
      </c>
      <c r="GN6" s="163"/>
      <c r="GO6" s="164">
        <v>1.1000000000000001</v>
      </c>
      <c r="GP6" s="151">
        <f t="shared" si="105"/>
        <v>0.33672322029022178</v>
      </c>
      <c r="GQ6" s="151">
        <f t="shared" si="106"/>
        <v>0.3786557195405546</v>
      </c>
      <c r="GR6" s="151">
        <f t="shared" si="107"/>
        <v>0.41112952857927842</v>
      </c>
      <c r="GS6" s="151">
        <f t="shared" ref="GS6:GS14" si="505">POWER((-2.337143506-3.211234197*LOG(GO6)+2.632256086*GO6^0.5)-1.281552*(2.048725044+2.793883738*LOG(GO6)-1.988047906*GO6^0.5),1/2.06)</f>
        <v>0.44548122889891095</v>
      </c>
      <c r="GT6" s="151">
        <f t="shared" ref="GT6:GT14" si="506">POWER((-2.337143506-3.211234197*LOG(GO6)+2.632256086*GO6^0.5)-0.6755*(2.048725044+2.793883738*LOG(GO6)-1.988047906*GO6^0.5),1/2.06)</f>
        <v>0.49725173123028105</v>
      </c>
      <c r="GU6" s="134">
        <f t="shared" ref="GU6:GU14" si="507">POWER((-2.337143506-3.211234197*LOG(GO6)+2.632256086*GO6^0.5)-0*(2.048725044+2.793883738*LOG(GO6)-1.988047906*GO6^0.5),1/2.06)</f>
        <v>0.54892558955710646</v>
      </c>
      <c r="GV6" s="151">
        <f t="shared" ref="GV6:GV14" si="508">POWER((-2.337143506-3.211234197*LOG(GO6)+2.632256086*GO6^0.5)+0.6755*(2.048725044+2.793883738*LOG(GO6)-1.988047906*GO6^0.5),1/2.06)</f>
        <v>0.59589284496950501</v>
      </c>
      <c r="GW6" s="151">
        <f t="shared" si="108"/>
        <v>0.63491767135140664</v>
      </c>
      <c r="GX6" s="151">
        <f t="shared" si="109"/>
        <v>0.65713781097629831</v>
      </c>
      <c r="GY6" s="151">
        <f t="shared" si="110"/>
        <v>0.67578470386198941</v>
      </c>
      <c r="GZ6" s="151">
        <f t="shared" si="111"/>
        <v>0.69680222816994819</v>
      </c>
      <c r="HA6" s="163"/>
      <c r="HB6" s="164">
        <v>1.1000000000000001</v>
      </c>
      <c r="HC6" s="151">
        <f t="shared" si="112"/>
        <v>0.35226454268479795</v>
      </c>
      <c r="HD6" s="151">
        <f t="shared" si="113"/>
        <v>0.39032817910701934</v>
      </c>
      <c r="HE6" s="151">
        <f t="shared" si="114"/>
        <v>0.42021589964785644</v>
      </c>
      <c r="HF6" s="151">
        <f t="shared" ref="HF6:HF13" si="509">POWER((-5.103477793-6.876446528*LOG(HB6)+5.418607148*HB6^0.5)-1.281552*(2.009950697+2.769531688*LOG(HB6)-1.953601272*HB6^0.5),1/2.04)</f>
        <v>0.45213901172696741</v>
      </c>
      <c r="HG6" s="151">
        <f t="shared" ref="HG6:HG13" si="510">POWER((-5.103477793-6.876446528*LOG(HB6)+5.418607148*HB6^0.5)-0.6755*(2.009950697+2.769531688*LOG(HB6)-1.953601272*HB6^0.5),1/2.04)</f>
        <v>0.50072088472259524</v>
      </c>
      <c r="HH6" s="134">
        <f t="shared" ref="HH6:HH13" si="511">POWER((-5.103477793-6.876446528*LOG(HB6)+5.418607148*HB6^0.5)-0*(2.009950697+2.769531688*LOG(HB6)-1.953601272*HB6^0.5),1/2.04)</f>
        <v>0.54965187820603478</v>
      </c>
      <c r="HI6" s="151">
        <f t="shared" ref="HI6:HI13" si="512">POWER((-5.103477793-6.876446528*LOG(HB6)+5.418607148*HB6^0.5)+0.6755*(2.009950697+2.769531688*LOG(HB6)-1.953601272*HB6^0.5),1/2.04)</f>
        <v>0.59442226140023702</v>
      </c>
      <c r="HJ6" s="151">
        <f t="shared" si="115"/>
        <v>0.63179537129763441</v>
      </c>
      <c r="HK6" s="151">
        <f t="shared" si="116"/>
        <v>0.65313537322880277</v>
      </c>
      <c r="HL6" s="151">
        <f t="shared" si="117"/>
        <v>0.67107399677248414</v>
      </c>
      <c r="HM6" s="151">
        <f t="shared" si="118"/>
        <v>0.69132386166002957</v>
      </c>
      <c r="HN6" s="163"/>
      <c r="HO6" s="164">
        <v>1.1000000000000001</v>
      </c>
      <c r="HP6" s="151">
        <f t="shared" si="119"/>
        <v>0.31356258236014012</v>
      </c>
      <c r="HQ6" s="151">
        <f t="shared" si="120"/>
        <v>0.36151097747172461</v>
      </c>
      <c r="HR6" s="151">
        <f t="shared" si="121"/>
        <v>0.39783081625437994</v>
      </c>
      <c r="HS6" s="151">
        <f t="shared" ref="HS6:HS14" si="513">POWER((-1.773301705-2.457001341*LOG(HO6)+2.060037087*HO6^0.5)-1.281552*(1.715294919+2.295236166*LOG(HO6)-1.645734334*HO6^0.5),1/2.08)</f>
        <v>0.43569516844732664</v>
      </c>
      <c r="HT6" s="151">
        <f t="shared" ref="HT6:HT14" si="514">POWER((-1.773301705-2.457001341*LOG(HO6)+2.060037087*HO6^0.5)-0.6755*(1.715294919+2.295236166*LOG(HO6)-1.645734334*HO6^0.5),1/2.08)</f>
        <v>0.49196494638488475</v>
      </c>
      <c r="HU6" s="134">
        <f t="shared" ref="HU6:HU14" si="515">POWER((-1.773301705-2.457001341*LOG(HO6)+2.060037087*HO6^0.5)-0*(1.715294919+2.295236166*LOG(HO6)-1.645734334*HO6^0.5),1/2.08)</f>
        <v>0.54743403051971284</v>
      </c>
      <c r="HV6" s="151">
        <f t="shared" ref="HV6:HV14" si="516">POWER((-1.773301705-2.457001341*LOG(HO6)+2.060037087*HO6^0.5)+0.6755*(1.715294919+2.295236166*LOG(HO6)-1.645734334*HO6^0.5),1/2.08)</f>
        <v>0.59740719807908682</v>
      </c>
      <c r="HW6" s="151">
        <f t="shared" si="122"/>
        <v>0.63867947259142321</v>
      </c>
      <c r="HX6" s="151">
        <f t="shared" si="123"/>
        <v>0.66209457566770713</v>
      </c>
      <c r="HY6" s="151">
        <f t="shared" si="124"/>
        <v>0.68170237418902135</v>
      </c>
      <c r="HZ6" s="151">
        <f t="shared" si="125"/>
        <v>0.70376110645952217</v>
      </c>
      <c r="IA6" s="163"/>
      <c r="IB6" s="164">
        <v>1.1000000000000001</v>
      </c>
      <c r="IC6" s="151">
        <f t="shared" si="126"/>
        <v>0.25021405954999498</v>
      </c>
      <c r="ID6" s="151">
        <f t="shared" si="127"/>
        <v>0.27440382823253406</v>
      </c>
      <c r="IE6" s="151">
        <f t="shared" si="128"/>
        <v>0.29149123294132379</v>
      </c>
      <c r="IF6" s="151">
        <f t="shared" ref="IF6:IF14" si="517">POWER((-0.212019047-0.287717312*LOG(IB6)+0.236026398*IB6^0.5)-1.281552*(0.185677414+0.252543806*LOG(IB6)-0.180081093*IB6^0.5),1/3.61)</f>
        <v>0.30841003338845058</v>
      </c>
      <c r="IG6" s="151">
        <f t="shared" ref="IG6:IG14" si="518">POWER((-0.212019047-0.287717312*LOG(IB6)+0.236026398*IB6^0.5)-0.6755*(0.185677414+0.252543806*LOG(IB6)-0.180081093*IB6^0.5),1/3.61)</f>
        <v>0.33218101271120393</v>
      </c>
      <c r="IH6" s="134">
        <f t="shared" ref="IH6:IH14" si="519">POWER((-0.212019047-0.287717312*LOG(IB6)+0.236026398*IB6^0.5)-0*(0.185677414+0.252543806*LOG(IB6)-0.180081093*IB6^0.5),1/3.61)</f>
        <v>0.3543035593284512</v>
      </c>
      <c r="II6" s="151">
        <f t="shared" ref="II6:II14" si="520">POWER((-0.212019047-0.287717312*LOG(IB6)+0.236026398*IB6^0.5)+0.6755*(0.185677414+0.252543806*LOG(IB6)-0.180081093*IB6^0.5),1/3.61)</f>
        <v>0.37331359777489531</v>
      </c>
      <c r="IJ6" s="151">
        <f t="shared" si="129"/>
        <v>0.38844828629954353</v>
      </c>
      <c r="IK6" s="151">
        <f t="shared" si="130"/>
        <v>0.39683038685164662</v>
      </c>
      <c r="IL6" s="151">
        <f t="shared" si="131"/>
        <v>0.40374381117347397</v>
      </c>
      <c r="IM6" s="151">
        <f t="shared" si="132"/>
        <v>0.41141218267209673</v>
      </c>
      <c r="IN6" s="163"/>
      <c r="IO6" s="164">
        <v>1.1000000000000001</v>
      </c>
      <c r="IP6" s="151">
        <f t="shared" si="133"/>
        <v>0.25967129419169188</v>
      </c>
      <c r="IQ6" s="151">
        <f t="shared" si="134"/>
        <v>0.28076179443711169</v>
      </c>
      <c r="IR6" s="151">
        <f t="shared" si="135"/>
        <v>0.29610886893036953</v>
      </c>
      <c r="IS6" s="151">
        <f t="shared" ref="IS6:IS13" si="521">POWER((-0.477854256-0.640232384*LOG(IO6)+0.504427869*IO6^0.5)-1.281552*(0.188334016+0.258764915*LOG(IO6)-0.182988876*IO6^0.5),1/3.57)</f>
        <v>0.31158792904587723</v>
      </c>
      <c r="IT6" s="151">
        <f t="shared" ref="IT6:IT13" si="522">POWER((-0.477854256-0.640232384*LOG(IO6)+0.504427869*IO6^0.5)-0.6755*(0.188334016+0.258764915*LOG(IO6)-0.182988876*IO6^0.5),1/3.57)</f>
        <v>0.33370994443192598</v>
      </c>
      <c r="IU6" s="134">
        <f t="shared" ref="IU6:IU13" si="523">POWER((-0.477854256-0.640232384*LOG(IO6)+0.504427869*IO6^0.5)-0*(0.188334016+0.258764915*LOG(IO6)-0.182988876*IO6^0.5),1/3.57)</f>
        <v>0.3546023862551666</v>
      </c>
      <c r="IV6" s="151">
        <f t="shared" ref="IV6:IV13" si="524">POWER((-0.477854256-0.640232384*LOG(IO6)+0.504427869*IO6^0.5)+0.6755*(0.188334016+0.258764915*LOG(IO6)-0.182988876*IO6^0.5),1/3.57)</f>
        <v>0.37273750449003268</v>
      </c>
      <c r="IW6" s="151">
        <f t="shared" si="136"/>
        <v>0.38727327337538037</v>
      </c>
      <c r="IX6" s="151">
        <f t="shared" si="137"/>
        <v>0.39535566105375014</v>
      </c>
      <c r="IY6" s="151">
        <f t="shared" si="138"/>
        <v>0.40203733483852028</v>
      </c>
      <c r="IZ6" s="151">
        <f t="shared" si="139"/>
        <v>0.40946377534656581</v>
      </c>
      <c r="JA6" s="163"/>
      <c r="JB6" s="164">
        <v>1.1000000000000001</v>
      </c>
      <c r="JC6" s="151">
        <f t="shared" si="140"/>
        <v>0.23546794150623593</v>
      </c>
      <c r="JD6" s="151">
        <f t="shared" si="141"/>
        <v>0.26494211600657536</v>
      </c>
      <c r="JE6" s="151">
        <f t="shared" si="142"/>
        <v>0.28473804622928567</v>
      </c>
      <c r="JF6" s="151">
        <f t="shared" ref="JF6:JF14" si="525">POWER((-0.15671212-0.213608982*LOG(JB6)+0.179321493*JB6^0.5)-1.281552*(0.152390355+0.20336343*LOG(JB6)-0.146184775*JB6^0.5),1/3.65)</f>
        <v>0.30378715263402489</v>
      </c>
      <c r="JG6" s="151">
        <f t="shared" ref="JG6:JG14" si="526">POWER((-0.15671212-0.213608982*LOG(JB6)+0.179321493*JB6^0.5)-0.6755*(0.152390355+0.20336343*LOG(JB6)-0.146184775*JB6^0.5),1/3.65)</f>
        <v>0.32989814797234912</v>
      </c>
      <c r="JH6" s="134">
        <f t="shared" ref="JH6:JH14" si="527">POWER((-0.15671212-0.213608982*LOG(JB6)+0.179321493*JB6^0.5)-0*(0.152390355+0.20336343*LOG(JB6)-0.146184775*JB6^0.5),1/3.65)</f>
        <v>0.35371124641263996</v>
      </c>
      <c r="JI6" s="151">
        <f t="shared" ref="JI6:JI14" si="528">POWER((-0.15671212-0.213608982*LOG(JB6)+0.179321493*JB6^0.5)+0.6755*(0.152390355+0.20336343*LOG(JB6)-0.146184775*JB6^0.5),1/3.65)</f>
        <v>0.37390235852308268</v>
      </c>
      <c r="JJ6" s="151">
        <f t="shared" si="143"/>
        <v>0.38983841840565353</v>
      </c>
      <c r="JK6" s="151">
        <f t="shared" si="144"/>
        <v>0.39862015050192678</v>
      </c>
      <c r="JL6" s="151">
        <f t="shared" si="145"/>
        <v>0.40584222810671661</v>
      </c>
      <c r="JM6" s="151">
        <f t="shared" si="146"/>
        <v>0.41383268745529639</v>
      </c>
      <c r="JN6" s="163"/>
      <c r="JO6" s="164">
        <v>1</v>
      </c>
      <c r="JP6" s="151">
        <f t="shared" si="147"/>
        <v>-2.1888107049536103</v>
      </c>
      <c r="JQ6" s="151">
        <f t="shared" si="148"/>
        <v>-1.4916681881409914</v>
      </c>
      <c r="JR6" s="151">
        <f t="shared" si="149"/>
        <v>-0.88855448420616767</v>
      </c>
      <c r="JS6" s="151">
        <f t="shared" ref="JS6:JS15" si="529">POWER((13.545090033-0.152200731*JO6)-1.281552*(-1.35961988+2.292042064*JO6),1/0.824)-21.001</f>
        <v>-0.18923431151850068</v>
      </c>
      <c r="JT6" s="151">
        <f t="shared" ref="JT6:JT15" si="530">POWER((13.545090033-0.152200731*JO6)-0.6755*(-1.35961988+2.292042064*JO6),1/0.824)-21.001</f>
        <v>0.98657150763671808</v>
      </c>
      <c r="JU6" s="134">
        <f t="shared" ref="JU6:JU15" si="531">POWER((13.545090033-0.152200731*JO6)-0*(-1.35961988+2.292042064*JO6),1/0.824)-21.001</f>
        <v>2.3102666867188333</v>
      </c>
      <c r="JV6" s="151">
        <f t="shared" ref="JV6:JV15" si="532">POWER((13.545090033-0.152200731*JO6)+0.6755*(-1.35961988+2.292042064*JO6),1/0.824)-21.001</f>
        <v>3.6473297902862072</v>
      </c>
      <c r="JW6" s="151">
        <f t="shared" si="150"/>
        <v>4.8579157581103658</v>
      </c>
      <c r="JX6" s="151">
        <f t="shared" si="151"/>
        <v>5.5884520851427943</v>
      </c>
      <c r="JY6" s="151">
        <f t="shared" si="152"/>
        <v>6.2249599442851675</v>
      </c>
      <c r="JZ6" s="151">
        <f t="shared" si="153"/>
        <v>6.9683430074073307</v>
      </c>
      <c r="KA6" s="163"/>
      <c r="KB6" s="164">
        <v>1</v>
      </c>
      <c r="KC6" s="151">
        <f t="shared" si="154"/>
        <v>-0.82239128658849836</v>
      </c>
      <c r="KD6" s="151">
        <f t="shared" si="155"/>
        <v>-0.2705954959435779</v>
      </c>
      <c r="KE6" s="151">
        <f t="shared" si="156"/>
        <v>0.21068795822352193</v>
      </c>
      <c r="KF6" s="151">
        <f t="shared" ref="KF6:KF14" si="533">POWER((6.439173033-0.150733151*KB6)-1.281552*(-1.278256614+1.751287361*KB6),1/0.682)-12.001</f>
        <v>0.77315432680190987</v>
      </c>
      <c r="KG6" s="151">
        <f t="shared" ref="KG6:KG14" si="534">POWER((6.439173033-0.150733151*KB6)-0.6755*(-1.278256614+1.751287361*KB6),1/0.682)-12.001</f>
        <v>1.7291645853271334</v>
      </c>
      <c r="KH6" s="134">
        <f t="shared" ref="KH6:KH14" si="535">POWER((6.439173033-0.150733151*KB6)-0*(-1.278256614+1.751287361*KB6),1/0.682)-12.001</f>
        <v>2.8202228464525945</v>
      </c>
      <c r="KI6" s="151">
        <f t="shared" ref="KI6:KI14" si="536">POWER((6.439173033-0.150733151*KB6)+0.6755*(-1.278256614+1.751287361*KB6),1/0.682)-12.001</f>
        <v>3.9374486280627838</v>
      </c>
      <c r="KJ6" s="151">
        <f t="shared" si="157"/>
        <v>4.9615201929328254</v>
      </c>
      <c r="KK6" s="151">
        <f t="shared" si="158"/>
        <v>5.5850484249471872</v>
      </c>
      <c r="KL6" s="151">
        <f t="shared" si="159"/>
        <v>6.1316278278250973</v>
      </c>
      <c r="KM6" s="151">
        <f t="shared" si="160"/>
        <v>6.7737932672817056</v>
      </c>
      <c r="KN6" s="163"/>
      <c r="KO6" s="164">
        <v>1.1000000000000001</v>
      </c>
      <c r="KP6" s="151">
        <f t="shared" si="161"/>
        <v>-3.3770687913425483</v>
      </c>
      <c r="KQ6" s="151">
        <f t="shared" si="162"/>
        <v>-2.5151082610552429</v>
      </c>
      <c r="KR6" s="151">
        <f t="shared" si="163"/>
        <v>-1.7757045636609057</v>
      </c>
      <c r="KS6" s="151">
        <f t="shared" ref="KS6:KS14" si="537">POWER((-127.161354547-214.805878556*LOG(KO6)+156.261798324*KO6^0.5)-1.281552*(9.462557415+27.708890334*LOG(KO6)-7.287279534*KO6^0.5),1/1.06)-21.001</f>
        <v>-0.92532741694993348</v>
      </c>
      <c r="KT6" s="151">
        <f t="shared" ref="KT6:KT14" si="538">POWER((-127.161354547-214.805878556*LOG(KO6)+156.261798324*KO6^0.5)-0.6755*(9.462557415+27.708890334*LOG(KO6)-7.287279534*KO6^0.5),1/1.06)-21.001</f>
        <v>0.48850167005227618</v>
      </c>
      <c r="KU6" s="134">
        <f t="shared" ref="KU6:KU14" si="539">POWER((-127.161354547-214.805878556*LOG(KO6)+156.261798324*KO6^0.5)-0*(9.462557415+27.708890334*LOG(KO6)-7.287279534*KO6^0.5),1/1.06)-21.001</f>
        <v>2.0578040183025692</v>
      </c>
      <c r="KV6" s="151">
        <f t="shared" ref="KV6:KV14" si="540">POWER((-127.161354547-214.805878556*LOG(KO6)+156.261798324*KO6^0.5)+0.6755*(9.462557415+27.708890334*LOG(KO6)-7.287279534*KO6^0.5),1/1.06)-21.001</f>
        <v>3.6207190039669186</v>
      </c>
      <c r="KW6" s="151">
        <f t="shared" si="164"/>
        <v>5.01788863555457</v>
      </c>
      <c r="KX6" s="151">
        <f t="shared" si="165"/>
        <v>5.8532622834527928</v>
      </c>
      <c r="KY6" s="151">
        <f t="shared" si="166"/>
        <v>6.5765611899181273</v>
      </c>
      <c r="KZ6" s="151">
        <f t="shared" si="167"/>
        <v>7.4161268808465621</v>
      </c>
      <c r="LA6" s="163"/>
      <c r="LB6" s="164">
        <v>1</v>
      </c>
      <c r="LC6" s="151">
        <f t="shared" si="168"/>
        <v>-7.8276336947442111</v>
      </c>
      <c r="LD6" s="151">
        <f t="shared" si="169"/>
        <v>-4.7578646166203669</v>
      </c>
      <c r="LE6" s="151">
        <f t="shared" si="170"/>
        <v>-2.0670287375628362</v>
      </c>
      <c r="LF6" s="151">
        <f t="shared" ref="LF6:LF15" si="541">POWER((10.54667503-44.674256612*LOG(LB6)+11.396715269*LB6)-1.281552*(9.199140939+26.464417146*LOG(LB6)-5.875268837*LB6),1/0.795)-36.001</f>
        <v>1.090434251568837</v>
      </c>
      <c r="LG6" s="151">
        <f t="shared" ref="LG6:LG15" si="542">POWER((10.54667503-44.674256612*LOG(LB6)+11.396715269*LB6)-0.6755*(9.199140939+26.464417146*LOG(LB6)-5.875268837*LB6),1/0.795)-36.001</f>
        <v>6.4812119935876069</v>
      </c>
      <c r="LH6" s="134">
        <f t="shared" ref="LH6:LH15" si="543">POWER((10.54667503-44.674256612*LOG(LB6)+11.396715269*LB6)-0*(9.199140939+26.464417146*LOG(LB6)-5.875268837*LB6),1/0.795)-36.001</f>
        <v>12.659268435376291</v>
      </c>
      <c r="LI6" s="151">
        <f t="shared" ref="LI6:LI15" si="544">POWER((10.54667503-44.674256612*LOG(LB6)+11.396715269*LB6)+0.6755*(9.199140939+26.464417146*LOG(LB6)-5.875268837*LB6),1/0.795)-36.001</f>
        <v>19.00275604806572</v>
      </c>
      <c r="LJ6" s="151">
        <f t="shared" si="171"/>
        <v>24.825317340433841</v>
      </c>
      <c r="LK6" s="151">
        <f t="shared" si="172"/>
        <v>28.372045447446219</v>
      </c>
      <c r="LL6" s="151">
        <f t="shared" si="173"/>
        <v>31.481170702302201</v>
      </c>
      <c r="LM6" s="151">
        <f t="shared" si="174"/>
        <v>35.133435348077477</v>
      </c>
      <c r="LN6" s="163"/>
      <c r="LO6" s="164">
        <v>1</v>
      </c>
      <c r="LP6" s="151">
        <f t="shared" si="175"/>
        <v>-7.8378262433729589</v>
      </c>
      <c r="LQ6" s="151">
        <f t="shared" si="176"/>
        <v>-4.7951701758163736</v>
      </c>
      <c r="LR6" s="151">
        <f t="shared" si="177"/>
        <v>-2.1115452819170741</v>
      </c>
      <c r="LS6" s="151">
        <f t="shared" ref="LS6:LS14" si="545">POWER((20.849131405-2.421220059*LO6)-1.281552*(-0.198258381+3.271403291*LO6),1/0.771)-31.001</f>
        <v>1.0547889996126152</v>
      </c>
      <c r="LT6" s="151">
        <f t="shared" ref="LT6:LT14" si="546">POWER((20.849131405-2.421220059*LO6)-0.6755*(-0.198258381+3.271403291*LO6),1/0.771)-31.001</f>
        <v>6.4981962399567301</v>
      </c>
      <c r="LU6" s="134">
        <f t="shared" ref="LU6:LU14" si="547">POWER((20.849131405-2.421220059*LO6)-0*(-0.198258381+3.271403291*LO6),1/0.771)-31.001</f>
        <v>12.785865550360551</v>
      </c>
      <c r="LV6" s="151">
        <f t="shared" ref="LV6:LV14" si="548">POWER((20.849131405-2.421220059*LO6)+0.6755*(-0.198258381+3.271403291*LO6),1/0.771)-31.001</f>
        <v>19.287866830456654</v>
      </c>
      <c r="LW6" s="151">
        <f t="shared" si="178"/>
        <v>25.290979765199783</v>
      </c>
      <c r="LX6" s="151">
        <f t="shared" si="179"/>
        <v>28.962278672573557</v>
      </c>
      <c r="LY6" s="151">
        <f t="shared" si="180"/>
        <v>32.188937662450229</v>
      </c>
      <c r="LZ6" s="151">
        <f t="shared" si="181"/>
        <v>35.988575444351312</v>
      </c>
      <c r="MA6" s="163"/>
      <c r="MB6" s="164">
        <v>1.1000000000000001</v>
      </c>
      <c r="MC6" s="151">
        <f t="shared" si="182"/>
        <v>-14.792828717139642</v>
      </c>
      <c r="MD6" s="151">
        <f t="shared" si="183"/>
        <v>-11.418898775502068</v>
      </c>
      <c r="ME6" s="151">
        <f t="shared" si="184"/>
        <v>-8.4704541075960513</v>
      </c>
      <c r="MF6" s="151">
        <f t="shared" ref="MF6:MF14" si="549">POWER((30.115640828-2.513778124*MB6)-1.281552*(1.892259416+3.275649092*MB6),1/0.877)-36.001</f>
        <v>-5.0223495791528414</v>
      </c>
      <c r="MG6" s="151">
        <f t="shared" ref="MG6:MG14" si="550">POWER((30.115640828-2.513778124*MB6)-0.6755*(1.892259416+3.275649092*MB6),1/0.877)-36.001</f>
        <v>0.83453122317836659</v>
      </c>
      <c r="MH6" s="134">
        <f t="shared" ref="MH6:MH14" si="551">POWER((30.115640828-2.513778124*MB6)-0*(1.892259416+3.275649092*MB6),1/0.877)-36.001</f>
        <v>7.5001366261001863</v>
      </c>
      <c r="MI6" s="151">
        <f t="shared" ref="MI6:MI14" si="552">POWER((30.115640828-2.513778124*MB6)+0.6755*(1.892259416+3.275649092*MB6),1/0.877)-36.001</f>
        <v>14.294214292290832</v>
      </c>
      <c r="MJ6" s="151">
        <f t="shared" si="185"/>
        <v>20.488075208065801</v>
      </c>
      <c r="MK6" s="151">
        <f t="shared" si="186"/>
        <v>24.242131052462007</v>
      </c>
      <c r="ML6" s="151">
        <f t="shared" si="187"/>
        <v>27.521753945892648</v>
      </c>
      <c r="MM6" s="151">
        <f t="shared" si="188"/>
        <v>31.361338310044637</v>
      </c>
      <c r="MN6" s="163"/>
      <c r="MO6" s="164">
        <v>1</v>
      </c>
      <c r="MP6" s="151">
        <f t="shared" si="189"/>
        <v>0.99243962215727777</v>
      </c>
      <c r="MQ6" s="151">
        <f t="shared" si="190"/>
        <v>3.7215493277622613</v>
      </c>
      <c r="MR6" s="151">
        <f t="shared" si="191"/>
        <v>6.0734391101954088</v>
      </c>
      <c r="MS6" s="151">
        <f t="shared" ref="MS6:MS15" si="553">POWER((19.29451921+83.033488143*MO6^0.5-53.595151265*MO6)-1.281552*(-147.261328257+256.845529853*MO6^0.5-103.173262205*MO6),1/0.968)-37.001</f>
        <v>8.7901184442414291</v>
      </c>
      <c r="MT6" s="151">
        <f t="shared" ref="MT6:MT15" si="554">POWER((19.29451921+83.033488143*MO6^0.5-53.595151265*MO6)-0.6755*(-147.261328257+256.845529853*MO6^0.5-103.173262205*MO6),1/0.968)-37.001</f>
        <v>13.333390421813633</v>
      </c>
      <c r="MU6" s="134">
        <f t="shared" ref="MU6:MU15" si="555">POWER((19.29451921+83.033488143*MO6^0.5-53.595151265*MO6)-0*(-147.261328257+256.845529853*MO6^0.5-103.173262205*MO6),1/0.968)-37.001</f>
        <v>18.41276121744017</v>
      </c>
      <c r="MV6" s="151">
        <f t="shared" ref="MV6:MV15" si="556">POWER((19.29451921+83.033488143*MO6^0.5-53.595151265*MO6)+0.6755*(-147.261328257+256.845529853*MO6^0.5-103.173262205*MO6),1/0.968)-37.001</f>
        <v>23.507094787138264</v>
      </c>
      <c r="MW6" s="151">
        <f t="shared" si="192"/>
        <v>28.08943748702557</v>
      </c>
      <c r="MX6" s="151">
        <f t="shared" si="193"/>
        <v>30.841360922936239</v>
      </c>
      <c r="MY6" s="151">
        <f t="shared" si="194"/>
        <v>33.231143856390894</v>
      </c>
      <c r="MZ6" s="151">
        <f t="shared" si="195"/>
        <v>36.013057289893801</v>
      </c>
      <c r="NA6" s="163"/>
      <c r="NB6" s="164">
        <v>1</v>
      </c>
      <c r="NC6" s="151">
        <f t="shared" si="196"/>
        <v>10.551848790301744</v>
      </c>
      <c r="ND6" s="151">
        <f t="shared" si="197"/>
        <v>13.244433745520642</v>
      </c>
      <c r="NE6" s="151">
        <f t="shared" si="198"/>
        <v>15.566427217335576</v>
      </c>
      <c r="NF6" s="151">
        <f t="shared" ref="NF6:NF14" si="557">POWER((423.414474397-625.241606513*NB6^0.5+248.554250945*NB6)-1.281552*(-137.449320657+237.971289986*NB6^0.5-94.548148426*NB6),1/0.956)-28.001</f>
        <v>18.250300139274511</v>
      </c>
      <c r="NG6" s="151">
        <f t="shared" ref="NG6:NG14" si="558">POWER((423.414474397-625.241606513*NB6^0.5+248.554250945*NB6)-0.6755*(-137.449320657+237.971289986*NB6^0.5-94.548148426*NB6),1/0.956)-28.001</f>
        <v>22.742599500792817</v>
      </c>
      <c r="NH6" s="134">
        <f t="shared" ref="NH6:NH14" si="559">POWER((423.414474397-625.241606513*NB6^0.5+248.554250945*NB6)-0*(-137.449320657+237.971289986*NB6^0.5-94.548148426*NB6),1/0.956)-28.001</f>
        <v>27.770341569597793</v>
      </c>
      <c r="NI6" s="151">
        <f t="shared" ref="NI6:NI14" si="560">POWER((423.414474397-625.241606513*NB6^0.5+248.554250945*NB6)+0.6755*(-137.449320657+237.971289986*NB6^0.5-94.548148426*NB6),1/0.956)-28.001</f>
        <v>32.818131561075177</v>
      </c>
      <c r="NJ6" s="151">
        <f t="shared" si="199"/>
        <v>37.362762087680977</v>
      </c>
      <c r="NK6" s="151">
        <f t="shared" si="200"/>
        <v>40.093818231514192</v>
      </c>
      <c r="NL6" s="151">
        <f t="shared" si="201"/>
        <v>42.466516893148267</v>
      </c>
      <c r="NM6" s="151">
        <f t="shared" si="202"/>
        <v>45.22971561305549</v>
      </c>
      <c r="NN6" s="163"/>
      <c r="NO6" s="164">
        <v>1.1000000000000001</v>
      </c>
      <c r="NP6" s="151">
        <f t="shared" si="203"/>
        <v>-3.1639037419474434</v>
      </c>
      <c r="NQ6" s="151">
        <f t="shared" si="204"/>
        <v>-0.10925997668979903</v>
      </c>
      <c r="NR6" s="151">
        <f t="shared" si="205"/>
        <v>2.5189152638167585</v>
      </c>
      <c r="NS6" s="151">
        <f t="shared" ref="NS6:NS14" si="561">POWER((398.218016008-549.697517151*NO6^0.5+209.557779813*NO6)-1.281552*(-148.169572819+253.498694818*NO6^0.5-99.593716874*NO6),1/0.995)-37.001</f>
        <v>5.5501181662594377</v>
      </c>
      <c r="NT6" s="151">
        <f t="shared" ref="NT6:NT14" si="562">POWER((398.218016008-549.697517151*NO6^0.5+209.557779813*NO6)-0.6755*(-148.169572819+253.498694818*NO6^0.5-99.593716874*NO6),1/0.995)-37.001</f>
        <v>10.609070727669497</v>
      </c>
      <c r="NU6" s="134">
        <f t="shared" ref="NU6:NU14" si="563">POWER((398.218016008-549.697517151*NO6^0.5+209.557779813*NO6)-0*(-148.169572819+253.498694818*NO6^0.5-99.593716874*NO6),1/0.995)-37.001</f>
        <v>16.250895815388695</v>
      </c>
      <c r="NV6" s="151">
        <f t="shared" ref="NV6:NV14" si="564">POWER((398.218016008-549.697517151*NO6^0.5+209.557779813*NO6)+0.6755*(-148.169572819+253.498694818*NO6^0.5-99.593716874*NO6),1/0.995)-37.001</f>
        <v>21.895716713932401</v>
      </c>
      <c r="NW6" s="151">
        <f t="shared" si="206"/>
        <v>26.962508906354806</v>
      </c>
      <c r="NX6" s="151">
        <f t="shared" si="207"/>
        <v>30.000805317367927</v>
      </c>
      <c r="NY6" s="151">
        <f t="shared" si="208"/>
        <v>32.636631070620986</v>
      </c>
      <c r="NZ6" s="151">
        <f t="shared" si="209"/>
        <v>35.701978757248561</v>
      </c>
      <c r="OA6" s="163"/>
      <c r="OB6" s="164">
        <v>1</v>
      </c>
      <c r="OC6" s="151">
        <f t="shared" si="210"/>
        <v>10.159826331092198</v>
      </c>
      <c r="OD6" s="151">
        <f t="shared" si="211"/>
        <v>11.028819039561043</v>
      </c>
      <c r="OE6" s="151">
        <f t="shared" si="212"/>
        <v>11.833004135699017</v>
      </c>
      <c r="OF6" s="151">
        <f t="shared" ref="OF6:OF15" si="565">POWER((1.152993437+0.22937714*LOG(OB6)-0.039235817*OB6)-1.281552*(0.042438047+0.114254348*LOG(OB6)-0.033127552*OB6),1/0.038)</f>
        <v>12.830232833364063</v>
      </c>
      <c r="OG6" s="151">
        <f t="shared" ref="OG6:OG15" si="566">POWER((1.152993437+0.22937714*LOG(OB6)-0.039235817*OB6)-0.6755*(0.042438047+0.114254348*LOG(OB6)-0.033127552*OB6),1/0.038)</f>
        <v>14.676215916204322</v>
      </c>
      <c r="OH6" s="134">
        <f t="shared" ref="OH6:OH15" si="567">POWER((1.152993437+0.22937714*LOG(OB6)-0.039235817*OB6)-0*(0.042438047+0.114254348*LOG(OB6)-0.033127552*OB6),1/0.038)</f>
        <v>17.03467704995737</v>
      </c>
      <c r="OI6" s="151">
        <f t="shared" ref="OI6:OI15" si="568">POWER((1.152993437+0.22937714*LOG(OB6)-0.039235817*OB6)+0.6755*(0.042438047+0.114254348*LOG(OB6)-0.033127552*OB6),1/0.038)</f>
        <v>19.755557021094603</v>
      </c>
      <c r="OJ6" s="151">
        <f t="shared" si="213"/>
        <v>22.548698901522808</v>
      </c>
      <c r="OK6" s="151">
        <f t="shared" si="214"/>
        <v>24.401232519271854</v>
      </c>
      <c r="OL6" s="151">
        <f t="shared" si="215"/>
        <v>26.12584499094617</v>
      </c>
      <c r="OM6" s="151">
        <f t="shared" si="216"/>
        <v>28.27863312976908</v>
      </c>
      <c r="ON6" s="163"/>
      <c r="OO6" s="164">
        <v>1</v>
      </c>
      <c r="OP6" s="151">
        <f t="shared" si="217"/>
        <v>8.3265549058159394</v>
      </c>
      <c r="OQ6" s="151">
        <f t="shared" si="218"/>
        <v>9.1419133401387871</v>
      </c>
      <c r="OR6" s="151">
        <f t="shared" si="219"/>
        <v>9.9093123598526116</v>
      </c>
      <c r="OS6" s="151">
        <f t="shared" ref="OS6:OS14" si="569">POWER((0.751002866-0.549915644*LOG(OO6)+0.153316645*OO6)+1.281552*(0.025497669+0.052688237*LOG(OO6)-0.016790097*OO6),1/-0.037)</f>
        <v>10.877615856396302</v>
      </c>
      <c r="OT6" s="151">
        <f t="shared" ref="OT6:OT14" si="570">POWER((0.751002866-0.549915644*LOG(OO6)+0.153316645*OO6)+0.6755*(0.025497669+0.052688237*LOG(OO6)-0.016790097*OO6),1/-0.037)</f>
        <v>12.717183437554468</v>
      </c>
      <c r="OU6" s="134">
        <f t="shared" ref="OU6:OU14" si="571">POWER((0.751002866-0.549915644*LOG(OO6)+0.153316645*OO6)+0*(0.025497669+0.052688237*LOG(OO6)-0.016790097*OO6),1/-0.037)</f>
        <v>15.152669903381678</v>
      </c>
      <c r="OV6" s="151">
        <f t="shared" ref="OV6:OV14" si="572">POWER((0.751002866-0.549915644*LOG(OO6)+0.153316645*OO6)-0.6755*(0.025497669+0.052688237*LOG(OO6)-0.016790097*OO6),1/-0.037)</f>
        <v>18.075235861638827</v>
      </c>
      <c r="OW6" s="151">
        <f t="shared" si="220"/>
        <v>21.19493435831123</v>
      </c>
      <c r="OX6" s="151">
        <f t="shared" si="221"/>
        <v>23.328107799684471</v>
      </c>
      <c r="OY6" s="151">
        <f t="shared" si="222"/>
        <v>25.358436772728531</v>
      </c>
      <c r="OZ6" s="151">
        <f t="shared" si="223"/>
        <v>27.951428310088325</v>
      </c>
      <c r="PA6" s="163"/>
      <c r="PB6" s="164">
        <v>1.1000000000000001</v>
      </c>
      <c r="PC6" s="151">
        <f t="shared" si="224"/>
        <v>11.553238217747817</v>
      </c>
      <c r="PD6" s="151">
        <f t="shared" si="225"/>
        <v>12.600041547274532</v>
      </c>
      <c r="PE6" s="151">
        <f t="shared" si="226"/>
        <v>13.563717092152931</v>
      </c>
      <c r="PF6" s="151">
        <f t="shared" ref="PF6:PF14" si="573">POWER((2.004732851+2.185922929*LOG(PB6)-0.479175793*PB6)-1.281552*(0.358935513+1.121555302*LOG(PB6)-0.321176888*PB6),1/0.151)</f>
        <v>14.75175783847564</v>
      </c>
      <c r="PG6" s="151">
        <f t="shared" ref="PG6:PG14" si="574">POWER((2.004732851+2.185922929*LOG(PB6)-0.479175793*PB6)-0.6755*(0.358935513+1.121555302*LOG(PB6)-0.321176888*PB6),1/0.151)</f>
        <v>16.930255541774585</v>
      </c>
      <c r="PH6" s="134">
        <f t="shared" ref="PH6:PH14" si="575">POWER((2.004732851+2.185922929*LOG(PB6)-0.479175793*PB6)-0*(0.358935513+1.121555302*LOG(PB6)-0.321176888*PB6),1/0.151)</f>
        <v>19.674508387819746</v>
      </c>
      <c r="PI6" s="151">
        <f t="shared" ref="PI6:PI14" si="576">POWER((2.004732851+2.185922929*LOG(PB6)-0.479175793*PB6)+0.6755*(0.358935513+1.121555302*LOG(PB6)-0.321176888*PB6),1/0.151)</f>
        <v>22.787524753629846</v>
      </c>
      <c r="PJ6" s="151">
        <f t="shared" si="227"/>
        <v>25.926981637302632</v>
      </c>
      <c r="PK6" s="151">
        <f t="shared" si="228"/>
        <v>27.979375953099574</v>
      </c>
      <c r="PL6" s="151">
        <f t="shared" si="229"/>
        <v>29.869653850830264</v>
      </c>
      <c r="PM6" s="151">
        <f t="shared" si="230"/>
        <v>32.202803220150095</v>
      </c>
      <c r="PN6" s="163"/>
      <c r="PO6" s="164">
        <v>1</v>
      </c>
      <c r="PP6" s="151">
        <f t="shared" si="231"/>
        <v>5.4384267515482598</v>
      </c>
      <c r="PQ6" s="151">
        <f t="shared" si="232"/>
        <v>5.9085927740653528</v>
      </c>
      <c r="PR6" s="151">
        <f t="shared" si="233"/>
        <v>6.3388457490137622</v>
      </c>
      <c r="PS6" s="151">
        <f t="shared" ref="PS6:PS15" si="577">POWER((1.645380332+0.999544616*LOG(PO6)-0.130035639*PO6)-1.281552*(0.191645281+0.481530158*LOG(PO6)-0.132272775*PO6),1/0.189)</f>
        <v>6.8660796253583314</v>
      </c>
      <c r="PT6" s="151">
        <f t="shared" ref="PT6:PT15" si="578">POWER((1.645380332+0.999544616*LOG(PO6)-0.130035639*PO6)-0.6755*(0.191645281+0.481530158*LOG(PO6)-0.132272775*PO6),1/0.189)</f>
        <v>7.8244009196315902</v>
      </c>
      <c r="PU6" s="134">
        <f t="shared" ref="PU6:PU15" si="579">POWER((1.645380332+0.999544616*LOG(PO6)-0.130035639*PO6)-0*(0.191645281+0.481530158*LOG(PO6)-0.132272775*PO6),1/0.189)</f>
        <v>9.0175164570577415</v>
      </c>
      <c r="PV6" s="151">
        <f t="shared" ref="PV6:PV15" si="580">POWER((1.645380332+0.999544616*LOG(PO6)-0.130035639*PO6)+0.6755*(0.191645281+0.481530158*LOG(PO6)-0.132272775*PO6),1/0.189)</f>
        <v>10.354106221401278</v>
      </c>
      <c r="PW6" s="151">
        <f t="shared" si="234"/>
        <v>11.685955036544236</v>
      </c>
      <c r="PX6" s="151">
        <f t="shared" si="235"/>
        <v>12.548734926487633</v>
      </c>
      <c r="PY6" s="151">
        <f t="shared" si="236"/>
        <v>13.33825029610062</v>
      </c>
      <c r="PZ6" s="151">
        <f t="shared" si="237"/>
        <v>14.306396288221382</v>
      </c>
      <c r="QA6" s="163"/>
      <c r="QB6" s="164">
        <v>1</v>
      </c>
      <c r="QC6" s="151">
        <f t="shared" si="238"/>
        <v>5.6432663383063373</v>
      </c>
      <c r="QD6" s="151">
        <f t="shared" si="239"/>
        <v>6.0512347898261476</v>
      </c>
      <c r="QE6" s="151">
        <f t="shared" si="240"/>
        <v>6.4240514765806456</v>
      </c>
      <c r="QF6" s="151">
        <f t="shared" ref="QF6:QF14" si="581">POWER((1.285644564+0.566206068*LOG(QB6)-0.139255307*QB6)-1.281552*(0.050422678+0.135406289*LOG(QB6)-0.037008723*QB6),1/0.063)</f>
        <v>6.8805658628276802</v>
      </c>
      <c r="QG6" s="151">
        <f t="shared" ref="QG6:QG14" si="582">POWER((1.285644564+0.566206068*LOG(QB6)-0.139255307*QB6)-0.6755*(0.050422678+0.135406289*LOG(QB6)-0.037008723*QB6),1/0.063)</f>
        <v>7.7103818935671535</v>
      </c>
      <c r="QH6" s="134">
        <f t="shared" ref="QH6:QH14" si="583">POWER((1.285644564+0.566206068*LOG(QB6)-0.139255307*QB6)-0*(0.050422678+0.135406289*LOG(QB6)-0.037008723*QB6),1/0.063)</f>
        <v>8.7453961129966142</v>
      </c>
      <c r="QI6" s="151">
        <f t="shared" ref="QI6:QI14" si="584">POWER((1.285644564+0.566206068*LOG(QB6)-0.139255307*QB6)+0.6755*(0.050422678+0.135406289*LOG(QB6)-0.037008723*QB6),1/0.063)</f>
        <v>9.9095149776760199</v>
      </c>
      <c r="QJ6" s="151">
        <f t="shared" si="241"/>
        <v>11.076040069504284</v>
      </c>
      <c r="QK6" s="151">
        <f t="shared" si="242"/>
        <v>11.835753559374083</v>
      </c>
      <c r="QL6" s="151">
        <f t="shared" si="243"/>
        <v>12.533960821281772</v>
      </c>
      <c r="QM6" s="151">
        <f t="shared" si="244"/>
        <v>13.394256975322634</v>
      </c>
      <c r="QN6" s="163"/>
      <c r="QO6" s="164">
        <v>1.1000000000000001</v>
      </c>
      <c r="QP6" s="151">
        <f t="shared" si="245"/>
        <v>5.3273296393655007</v>
      </c>
      <c r="QQ6" s="151">
        <f t="shared" si="246"/>
        <v>5.9265948855673223</v>
      </c>
      <c r="QR6" s="151">
        <f t="shared" si="247"/>
        <v>6.4769516849195403</v>
      </c>
      <c r="QS6" s="151">
        <f t="shared" ref="QS6:QS14" si="585">POWER((2.382785296+2.596143874*LOG(QO6)-0.339019551*QO6)-1.281552*(0.472039702+1.14765368*LOG(QO6)-0.320210994*QO6),1/0.327)</f>
        <v>7.1529845263410312</v>
      </c>
      <c r="QT6" s="151">
        <f t="shared" ref="QT6:QT14" si="586">POWER((2.382785296+2.596143874*LOG(QO6)-0.339019551*QO6)-0.6755*(0.472039702+1.14765368*LOG(QO6)-0.320210994*QO6),1/0.327)</f>
        <v>8.383730123828629</v>
      </c>
      <c r="QU6" s="134">
        <f t="shared" ref="QU6:QU14" si="587">POWER((2.382785296+2.596143874*LOG(QO6)-0.339019551*QO6)-0*(0.472039702+1.14765368*LOG(QO6)-0.320210994*QO6),1/0.327)</f>
        <v>9.9149887195716531</v>
      </c>
      <c r="QV6" s="151">
        <f t="shared" ref="QV6:QV14" si="588">POWER((2.382785296+2.596143874*LOG(QO6)-0.339019551*QO6)+0.6755*(0.472039702+1.14765368*LOG(QO6)-0.320210994*QO6),1/0.327)</f>
        <v>11.624054085079294</v>
      </c>
      <c r="QW6" s="151">
        <f t="shared" si="248"/>
        <v>13.317002592536754</v>
      </c>
      <c r="QX6" s="151">
        <f t="shared" si="249"/>
        <v>14.407372792531703</v>
      </c>
      <c r="QY6" s="151">
        <f t="shared" si="250"/>
        <v>15.400448324364124</v>
      </c>
      <c r="QZ6" s="151">
        <f t="shared" si="251"/>
        <v>16.611838989343607</v>
      </c>
      <c r="RA6" s="163"/>
      <c r="RB6" s="164">
        <v>1</v>
      </c>
      <c r="RC6" s="151">
        <f t="shared" si="252"/>
        <v>0.35987257675748585</v>
      </c>
      <c r="RD6" s="151">
        <f t="shared" si="253"/>
        <v>0.38090377688130822</v>
      </c>
      <c r="RE6" s="151">
        <f t="shared" si="254"/>
        <v>0.40013245144256587</v>
      </c>
      <c r="RF6" s="151">
        <f t="shared" ref="RF6:RF15" si="589">POWER((1.134042161+0.177130063*LOG(RB6)-0.028311435*RB6)+1.281552*(0.044481038+0.147212303*LOG(RB6)-0.016660659*RB6),1/-0.154)</f>
        <v>0.42370773327483269</v>
      </c>
      <c r="RG6" s="151">
        <f t="shared" ref="RG6:RG15" si="590">POWER((1.134042161+0.177130063*LOG(RB6)-0.028311435*RB6)+0.6755*(0.044481038+0.147212303*LOG(RB6)-0.016660659*RB6),1/-0.154)</f>
        <v>0.46669780002991118</v>
      </c>
      <c r="RH6" s="134">
        <f t="shared" ref="RH6:RH15" si="591">POWER((1.134042161+0.177130063*LOG(RB6)-0.028311435*RB6)+0*(0.044481038+0.147212303*LOG(RB6)-0.016660659*RB6),1/-0.154)</f>
        <v>0.52066991112440353</v>
      </c>
      <c r="RI6" s="151">
        <f t="shared" ref="RI6:RI15" si="592">POWER((1.134042161+0.177130063*LOG(RB6)-0.028311435*RB6)-0.6755*(0.044481038+0.147212303*LOG(RB6)-0.016660659*RB6),1/-0.154)</f>
        <v>0.581974453145923</v>
      </c>
      <c r="RJ6" s="151">
        <f t="shared" si="255"/>
        <v>0.64415753728950542</v>
      </c>
      <c r="RK6" s="151">
        <f t="shared" si="256"/>
        <v>0.68510212006469917</v>
      </c>
      <c r="RL6" s="151">
        <f t="shared" si="257"/>
        <v>0.72306255466424829</v>
      </c>
      <c r="RM6" s="151">
        <f t="shared" si="258"/>
        <v>0.77028989553731542</v>
      </c>
      <c r="RN6" s="163"/>
      <c r="RO6" s="164">
        <v>1</v>
      </c>
      <c r="RP6" s="151">
        <f t="shared" si="259"/>
        <v>0.37062491263409009</v>
      </c>
      <c r="RQ6" s="151">
        <f t="shared" si="260"/>
        <v>0.39109901632363897</v>
      </c>
      <c r="RR6" s="151">
        <f t="shared" si="261"/>
        <v>0.40981611209084279</v>
      </c>
      <c r="RS6" s="151">
        <f t="shared" ref="RS6:RS14" si="593">POWER((1.108874048+0.038665418*RO6)+1.281552*(-0.018699755+0.057534012*RO6),1/-0.215)</f>
        <v>0.43276526898579476</v>
      </c>
      <c r="RT6" s="151">
        <f t="shared" ref="RT6:RT14" si="594">POWER((1.108874048+0.038665418*RO6)+0.6755*(-0.018699755+0.057534012*RO6),1/-0.215)</f>
        <v>0.47462942762716887</v>
      </c>
      <c r="RU6" s="134">
        <f t="shared" ref="RU6:RU14" si="595">POWER((1.108874048+0.038665418*RO6)+0*(-0.018699755+0.057534012*RO6),1/-0.215)</f>
        <v>0.52724324003508116</v>
      </c>
      <c r="RV6" s="151">
        <f t="shared" ref="RV6:RV14" si="596">POWER((1.108874048+0.038665418*RO6)-0.6755*(-0.018699755+0.057534012*RO6),1/-0.215)</f>
        <v>0.58711507974670263</v>
      </c>
      <c r="RW6" s="151">
        <f t="shared" si="262"/>
        <v>0.64799641194984459</v>
      </c>
      <c r="RX6" s="151">
        <f t="shared" si="263"/>
        <v>0.68817927444073801</v>
      </c>
      <c r="RY6" s="151">
        <f t="shared" si="264"/>
        <v>0.72550689730730022</v>
      </c>
      <c r="RZ6" s="151">
        <f t="shared" si="265"/>
        <v>0.77205097591804583</v>
      </c>
      <c r="SA6" s="163"/>
      <c r="SB6" s="164">
        <v>1.1000000000000001</v>
      </c>
      <c r="SC6" s="151">
        <f t="shared" si="266"/>
        <v>0.32030039677214722</v>
      </c>
      <c r="SD6" s="151">
        <f t="shared" si="267"/>
        <v>0.34216290513750625</v>
      </c>
      <c r="SE6" s="151">
        <f t="shared" si="268"/>
        <v>0.36217215708556216</v>
      </c>
      <c r="SF6" s="151">
        <f t="shared" ref="SF6:SF14" si="597">POWER((1.007330258+0.001864755*SB6)+1.281552*(0.000067087+0.002099647*SB6),1/-0.013)</f>
        <v>0.38671824234016705</v>
      </c>
      <c r="SG6" s="151">
        <f t="shared" ref="SG6:SG14" si="598">POWER((1.007330258+0.001864755*SB6)+0.6755*(0.000067087+0.002099647*SB6),1/-0.013)</f>
        <v>0.43147711644740333</v>
      </c>
      <c r="SH6" s="134">
        <f t="shared" ref="SH6:SH14" si="599">POWER((1.007330258+0.001864755*SB6)+0*(0.000067087+0.002099647*SB6),1/-0.013)</f>
        <v>0.487585852842224</v>
      </c>
      <c r="SI6" s="151">
        <f t="shared" ref="SI6:SI14" si="600">POWER((1.007330258+0.001864755*SB6)-0.6755*(0.000067087+0.002099647*SB6),1/-0.013)</f>
        <v>0.55109813199646385</v>
      </c>
      <c r="SJ6" s="151">
        <f t="shared" si="269"/>
        <v>0.61519348685829423</v>
      </c>
      <c r="SK6" s="151">
        <f t="shared" si="270"/>
        <v>0.65718591452641306</v>
      </c>
      <c r="SL6" s="151">
        <f t="shared" si="271"/>
        <v>0.69595438422848599</v>
      </c>
      <c r="SM6" s="151">
        <f t="shared" si="272"/>
        <v>0.74395574261106101</v>
      </c>
      <c r="SN6" s="163"/>
      <c r="SO6" s="164">
        <v>1</v>
      </c>
      <c r="SP6" s="151">
        <f t="shared" si="273"/>
        <v>0.26329957396092435</v>
      </c>
      <c r="SQ6" s="151">
        <f t="shared" si="274"/>
        <v>0.27511879625768693</v>
      </c>
      <c r="SR6" s="151">
        <f t="shared" si="275"/>
        <v>0.28551825488645183</v>
      </c>
      <c r="SS6" s="151">
        <f t="shared" si="276"/>
        <v>0.29777846935715868</v>
      </c>
      <c r="ST6" s="151">
        <f t="shared" ref="ST6:ST15" si="601">POWER((0.585447306-0.220337907*LOG(SO6)+0.041343612*SO6)-0.6755*(0.042518154+0.13650332*LOG(SO6)-0.013004435*SO6),1/0.437)</f>
        <v>0.31887896461519744</v>
      </c>
      <c r="SU6" s="134">
        <f t="shared" ref="SU6:SU15" si="602">POWER((0.585447306-0.220337907*LOG(SO6)+0.041343612*SO6)-0*(0.042518154+0.13650332*LOG(SO6)-0.013004435*SO6),1/0.437)</f>
        <v>0.34336013755092659</v>
      </c>
      <c r="SV6" s="151">
        <f t="shared" ref="SV6:SV15" si="603">POWER((0.585447306-0.220337907*LOG(SO6)+0.041343612*SO6)+0.6755*(0.042518154+0.13650332*LOG(SO6)-0.013004435*SO6),1/0.437)</f>
        <v>0.3688654074383908</v>
      </c>
      <c r="SW6" s="151">
        <f t="shared" si="280"/>
        <v>0.39262770353473231</v>
      </c>
      <c r="SX6" s="151">
        <f t="shared" si="281"/>
        <v>0.40727368798876662</v>
      </c>
      <c r="SY6" s="151">
        <f t="shared" si="282"/>
        <v>0.42022194459050899</v>
      </c>
      <c r="SZ6" s="151">
        <f t="shared" si="283"/>
        <v>0.43556459492320071</v>
      </c>
      <c r="TA6" s="163"/>
      <c r="TB6" s="164">
        <v>1</v>
      </c>
      <c r="TC6" s="151">
        <f t="shared" si="284"/>
        <v>0.27019858404079788</v>
      </c>
      <c r="TD6" s="151">
        <f t="shared" si="285"/>
        <v>0.281016241226138</v>
      </c>
      <c r="TE6" s="151">
        <f t="shared" si="286"/>
        <v>0.29060384242373011</v>
      </c>
      <c r="TF6" s="151">
        <f t="shared" ref="TF6:TF14" si="604">POWER((0.845806971-0.014784389*TB6)-1.281552*(-0.006850927+0.021748233*TB6),1/0.174)</f>
        <v>0.30199147556999434</v>
      </c>
      <c r="TG6" s="151">
        <f t="shared" ref="TG6:TG14" si="605">POWER((0.845806971-0.014784389*TB6)-0.6755*(-0.006850927+0.021748233*TB6),1/0.174)</f>
        <v>0.32180739442489814</v>
      </c>
      <c r="TH6" s="134">
        <f t="shared" ref="TH6:TH14" si="606">POWER((0.845806971-0.014784389*TB6)-0*(-0.006850927+0.021748233*TB6),1/0.174)</f>
        <v>0.34514750905656072</v>
      </c>
      <c r="TI6" s="151">
        <f t="shared" ref="TI6:TI14" si="607">POWER((0.845806971-0.014784389*TB6)+0.6755*(-0.006850927+0.021748233*TB6),1/0.174)</f>
        <v>0.36986858481249152</v>
      </c>
      <c r="TJ6" s="151">
        <f t="shared" si="287"/>
        <v>0.39327570342708434</v>
      </c>
      <c r="TK6" s="151">
        <f t="shared" si="288"/>
        <v>0.4078843959978789</v>
      </c>
      <c r="TL6" s="151">
        <f t="shared" si="289"/>
        <v>0.42091553464157327</v>
      </c>
      <c r="TM6" s="151">
        <f t="shared" si="290"/>
        <v>0.43649753370332356</v>
      </c>
      <c r="TN6" s="163"/>
      <c r="TO6" s="164">
        <v>1.1000000000000001</v>
      </c>
      <c r="TP6" s="151">
        <f t="shared" si="291"/>
        <v>0.24251993513039793</v>
      </c>
      <c r="TQ6" s="151">
        <f t="shared" si="292"/>
        <v>0.25498472046172488</v>
      </c>
      <c r="TR6" s="151">
        <f t="shared" si="293"/>
        <v>0.26598722983676831</v>
      </c>
      <c r="TS6" s="151">
        <f t="shared" ref="TS6:TS14" si="608">POWER((0.642283762-0.02558325*TO6)-1.281552*(0.001158705+0.028530853*TO6),1/0.437)</f>
        <v>0.27899813901917719</v>
      </c>
      <c r="TT6" s="151">
        <f t="shared" ref="TT6:TT14" si="609">POWER((0.642283762-0.02558325*TO6)-0.6755*(0.001158705+0.028530853*TO6),1/0.437)</f>
        <v>0.30148449565739327</v>
      </c>
      <c r="TU6" s="134">
        <f t="shared" ref="TU6:TU14" si="610">POWER((0.642283762-0.02558325*TO6)-0*(0.001158705+0.028530853*TO6),1/0.437)</f>
        <v>0.32770988765038261</v>
      </c>
      <c r="TV6" s="151">
        <f t="shared" ref="TV6:TV14" si="611">POWER((0.642283762-0.02558325*TO6)+0.6755*(0.001158705+0.028530853*TO6),1/0.437)</f>
        <v>0.35517306130919063</v>
      </c>
      <c r="TW6" s="151">
        <f t="shared" si="294"/>
        <v>0.38087656796955172</v>
      </c>
      <c r="TX6" s="151">
        <f t="shared" si="295"/>
        <v>0.3967709404033109</v>
      </c>
      <c r="TY6" s="151">
        <f t="shared" si="296"/>
        <v>0.41085388125103378</v>
      </c>
      <c r="TZ6" s="151">
        <f t="shared" si="297"/>
        <v>0.42757690088926914</v>
      </c>
      <c r="UA6" s="163"/>
      <c r="UB6" s="164">
        <v>1</v>
      </c>
      <c r="UC6" s="151">
        <f t="shared" si="298"/>
        <v>-16.254688838822645</v>
      </c>
      <c r="UD6" s="151">
        <f t="shared" si="299"/>
        <v>-14.563246816289173</v>
      </c>
      <c r="UE6" s="151">
        <f t="shared" si="300"/>
        <v>-13.127742241567653</v>
      </c>
      <c r="UF6" s="151">
        <f t="shared" ref="UF6:UF15" si="612">POWER((307.912688556+12.160540733*UB6)-1.281552*(-35.875007962+69.368539777*UB6),1/1.42)-64.001</f>
        <v>-11.493513892410121</v>
      </c>
      <c r="UG6" s="151">
        <f t="shared" ref="UG6:UG15" si="613">POWER((307.912688556+12.160540733*UB6)-0.6755*(-35.875007962+69.368539777*UB6),1/1.42)-64.001</f>
        <v>-8.813702393606242</v>
      </c>
      <c r="UH6" s="134">
        <f t="shared" ref="UH6:UH15" si="614">POWER((307.912688556+12.160540733*UB6)-0*(-35.875007962+69.368539777*UB6),1/1.42)-64.001</f>
        <v>-5.8897648097928794</v>
      </c>
      <c r="UI6" s="151">
        <f t="shared" ref="UI6:UI15" si="615">POWER((307.912688556+12.160540733*UB6)+0.6755*(-35.875007962+69.368539777*UB6),1/1.42)-64.001</f>
        <v>-3.0263815949361472</v>
      </c>
      <c r="UJ6" s="151">
        <f t="shared" si="301"/>
        <v>-0.50467949526417044</v>
      </c>
      <c r="UK6" s="151">
        <f t="shared" si="302"/>
        <v>0.98694117270942172</v>
      </c>
      <c r="UL6" s="151">
        <f t="shared" si="303"/>
        <v>2.2691422069424334</v>
      </c>
      <c r="UM6" s="151">
        <f t="shared" si="304"/>
        <v>3.7470084266643795</v>
      </c>
      <c r="UN6" s="163"/>
      <c r="UO6" s="164">
        <v>1</v>
      </c>
      <c r="UP6" s="151">
        <f t="shared" si="305"/>
        <v>-12.962077387276803</v>
      </c>
      <c r="UQ6" s="151">
        <f t="shared" si="306"/>
        <v>-11.598213704951682</v>
      </c>
      <c r="UR6" s="151">
        <f t="shared" si="307"/>
        <v>-10.426548712309938</v>
      </c>
      <c r="US6" s="151">
        <f t="shared" ref="US6:US14" si="616">POWER((31.019233396+0.735282764*UO6)-1.281552*(-8.332846698+12.370888182*UO6),1/1.02)-34.001</f>
        <v>-9.0771336353580345</v>
      </c>
      <c r="UT6" s="151">
        <f t="shared" ref="UT6:UT14" si="617">POWER((31.019233396+0.735282764*UO6)-0.6755*(-8.332846698+12.370888182*UO6),1/1.02)-34.001</f>
        <v>-6.8292816145937465</v>
      </c>
      <c r="UU6" s="134">
        <f t="shared" ref="UU6:UU14" si="618">POWER((31.019233396+0.735282764*UO6)-0*(-8.332846698+12.370888182*UO6),1/1.02)-34.001</f>
        <v>-4.3282134054446608</v>
      </c>
      <c r="UV6" s="151">
        <f t="shared" ref="UV6:UV14" si="619">POWER((31.019233396+0.735282764*UO6)+0.6755*(-8.332846698+12.370888182*UO6),1/1.02)-34.001</f>
        <v>-1.8313594477387625</v>
      </c>
      <c r="UW6" s="151">
        <f t="shared" si="308"/>
        <v>0.40548778434272492</v>
      </c>
      <c r="UX6" s="151">
        <f t="shared" si="309"/>
        <v>1.7449752435005976</v>
      </c>
      <c r="UY6" s="151">
        <f t="shared" si="310"/>
        <v>2.9059658033059392</v>
      </c>
      <c r="UZ6" s="151">
        <f t="shared" si="311"/>
        <v>4.2549538094382271</v>
      </c>
      <c r="VA6" s="163"/>
      <c r="VB6" s="164">
        <v>1.1000000000000001</v>
      </c>
      <c r="VC6" s="151">
        <f t="shared" si="312"/>
        <v>-20.10194605810112</v>
      </c>
      <c r="VD6" s="151">
        <f t="shared" si="313"/>
        <v>-17.947908576546588</v>
      </c>
      <c r="VE6" s="151">
        <f t="shared" si="314"/>
        <v>-16.145671189364535</v>
      </c>
      <c r="VF6" s="151">
        <f t="shared" ref="VF6:VF14" si="620">POWER((687.431014046+57.041837991*VB6)-1.281552*(-72.845322325+166.376613327*VB6),1/1.64)-64.001</f>
        <v>-14.120254475238937</v>
      </c>
      <c r="VG6" s="151">
        <f t="shared" ref="VG6:VG14" si="621">POWER((687.431014046+57.041837991*VB6)-0.6755*(-72.845322325+166.376613327*VB6),1/1.64)-64.001</f>
        <v>-10.853553842201634</v>
      </c>
      <c r="VH6" s="134">
        <f t="shared" ref="VH6:VH14" si="622">POWER((687.431014046+57.041837991*VB6)-0*(-72.845322325+166.376613327*VB6),1/1.64)-64.001</f>
        <v>-7.3576882084964836</v>
      </c>
      <c r="VI6" s="151">
        <f t="shared" ref="VI6:VI14" si="623">POWER((687.431014046+57.041837991*VB6)+0.6755*(-72.845322325+166.376613327*VB6),1/1.64)-64.001</f>
        <v>-3.9948282721102046</v>
      </c>
      <c r="VJ6" s="151">
        <f t="shared" si="315"/>
        <v>-1.0773130731641842</v>
      </c>
      <c r="VK6" s="151">
        <f t="shared" si="316"/>
        <v>0.63072699359483408</v>
      </c>
      <c r="VL6" s="151">
        <f t="shared" si="317"/>
        <v>2.0891247507050679</v>
      </c>
      <c r="VM6" s="151">
        <f t="shared" si="318"/>
        <v>3.7593571510993655</v>
      </c>
      <c r="VN6" s="163"/>
      <c r="VO6" s="164">
        <v>1</v>
      </c>
      <c r="VP6" s="151">
        <f t="shared" si="319"/>
        <v>-40.891729194074578</v>
      </c>
      <c r="VQ6" s="151">
        <f t="shared" si="320"/>
        <v>-37.967133554783658</v>
      </c>
      <c r="VR6" s="151">
        <f t="shared" si="321"/>
        <v>-35.271629852197869</v>
      </c>
      <c r="VS6" s="151">
        <f t="shared" ref="VS6:VS15" si="624">POWER((6.947615311+1.235816567*VO6)-1.281552*(-0.111801844+1.607497765*VO6),1/0.585)-55.001</f>
        <v>-31.962714147118053</v>
      </c>
      <c r="VT6" s="151">
        <f t="shared" ref="VT6:VT15" si="625">POWER((6.947615311+1.235816567*VO6)-0.6755*(-0.111801844+1.607497765*VO6),1/0.585)-55.001</f>
        <v>-25.977772675063697</v>
      </c>
      <c r="VU6" s="134">
        <f t="shared" ref="VU6:VU15" si="626">POWER((6.947615311+1.235816567*VO6)-0*(-0.111801844+1.607497765*VO6),1/0.585)-55.001</f>
        <v>-18.645220928962658</v>
      </c>
      <c r="VV6" s="151">
        <f t="shared" ref="VV6:VV15" si="627">POWER((6.947615311+1.235816567*VO6)+0.6755*(-0.111801844+1.607497765*VO6),1/0.585)-55.001</f>
        <v>-10.64033708304234</v>
      </c>
      <c r="VW6" s="151">
        <f t="shared" si="322"/>
        <v>-2.9047328388517641</v>
      </c>
      <c r="VX6" s="151">
        <f t="shared" si="323"/>
        <v>1.9772670890011455</v>
      </c>
      <c r="VY6" s="151">
        <f t="shared" si="324"/>
        <v>6.3576166127354838</v>
      </c>
      <c r="VZ6" s="151">
        <f t="shared" si="325"/>
        <v>11.618835980661665</v>
      </c>
      <c r="WA6" s="163"/>
      <c r="WB6" s="164">
        <v>1</v>
      </c>
      <c r="WC6" s="151">
        <f t="shared" si="326"/>
        <v>-35.936565898326847</v>
      </c>
      <c r="WD6" s="151">
        <f t="shared" si="327"/>
        <v>-33.147288386730978</v>
      </c>
      <c r="WE6" s="151">
        <f t="shared" si="328"/>
        <v>-30.570977176362192</v>
      </c>
      <c r="WF6" s="151">
        <f t="shared" ref="WF6:WF14" si="628">POWER((6.935646063+0.930692312*WB6)-1.281552*(-0.885083336+2.343375273*WB6),1/0.583)-49.001</f>
        <v>-27.402627101941551</v>
      </c>
      <c r="WG6" s="151">
        <f t="shared" ref="WG6:WG14" si="629">POWER((6.935646063+0.930692312*WB6)-0.6755*(-0.885083336+2.343375273*WB6),1/0.583)-49.001</f>
        <v>-21.659426350504457</v>
      </c>
      <c r="WH6" s="134">
        <f t="shared" ref="WH6:WH14" si="630">POWER((6.935646063+0.930692312*WB6)-0*(-0.885083336+2.343375273*WB6),1/0.583)-49.001</f>
        <v>-14.606562940720082</v>
      </c>
      <c r="WI6" s="151">
        <f t="shared" ref="WI6:WI14" si="631">POWER((6.935646063+0.930692312*WB6)+0.6755*(-0.885083336+2.343375273*WB6),1/0.583)-49.001</f>
        <v>-6.8916508269287888</v>
      </c>
      <c r="WJ6" s="151">
        <f t="shared" si="329"/>
        <v>0.57544780547788577</v>
      </c>
      <c r="WK6" s="151">
        <f t="shared" si="330"/>
        <v>5.292849053020042</v>
      </c>
      <c r="WL6" s="151">
        <f t="shared" si="331"/>
        <v>9.5282870351744862</v>
      </c>
      <c r="WM6" s="151">
        <f t="shared" si="332"/>
        <v>14.618564598808028</v>
      </c>
      <c r="WN6" s="163"/>
      <c r="WO6" s="164">
        <v>1.1000000000000001</v>
      </c>
      <c r="WP6" s="151">
        <f t="shared" si="333"/>
        <v>-43.933754496793192</v>
      </c>
      <c r="WQ6" s="151">
        <f t="shared" si="334"/>
        <v>-40.964290752877261</v>
      </c>
      <c r="WR6" s="151">
        <f t="shared" si="335"/>
        <v>-38.227757846084373</v>
      </c>
      <c r="WS6" s="151">
        <f t="shared" ref="WS6:WS14" si="632">POWER((7.542893648+2.528652987*WO6)-1.281552*(-0.196026759+2.279840193*WO6),1/0.665)-55.001</f>
        <v>-34.876339862658348</v>
      </c>
      <c r="WT6" s="151">
        <f t="shared" ref="WT6:WT14" si="633">POWER((7.542893648+2.528652987*WO6)-0.6755*(-0.196026759+2.279840193*WO6),1/0.665)-55.001</f>
        <v>-28.848839095562287</v>
      </c>
      <c r="WU6" s="134">
        <f t="shared" ref="WU6:WU14" si="634">POWER((7.542893648+2.528652987*WO6)-0*(-0.196026759+2.279840193*WO6),1/0.665)-55.001</f>
        <v>-21.534560513898448</v>
      </c>
      <c r="WV6" s="151">
        <f t="shared" ref="WV6:WV14" si="635">POWER((7.542893648+2.528652987*WO6)+0.6755*(-0.196026759+2.279840193*WO6),1/0.665)-55.001</f>
        <v>-13.639451831439963</v>
      </c>
      <c r="WW6" s="151">
        <f t="shared" si="336"/>
        <v>-6.0942553796659382</v>
      </c>
      <c r="WX6" s="151">
        <f t="shared" si="337"/>
        <v>-1.3722658904959886</v>
      </c>
      <c r="WY6" s="151">
        <f t="shared" si="338"/>
        <v>2.839811733758431</v>
      </c>
      <c r="WZ6" s="151">
        <f t="shared" si="339"/>
        <v>7.8695922032697396</v>
      </c>
      <c r="XA6" s="163"/>
      <c r="XB6" s="164">
        <v>1</v>
      </c>
      <c r="XC6" s="151">
        <f t="shared" si="340"/>
        <v>-27.304609209742971</v>
      </c>
      <c r="XD6" s="151">
        <f t="shared" si="341"/>
        <v>-24.436939744172165</v>
      </c>
      <c r="XE6" s="151">
        <f t="shared" si="342"/>
        <v>-21.919952905097325</v>
      </c>
      <c r="XF6" s="151">
        <f t="shared" ref="XF6:XF15" si="636">POWER((6.774539392-45.293382868*LOG(XB6)+12.375948921*XB6)-1.281552*(17.21835581+60.348791075*LOG(XB6)-14.553696697*XB6),1/0.763)-56.001</f>
        <v>-18.962447501643126</v>
      </c>
      <c r="XG6" s="151">
        <f t="shared" ref="XG6:XG15" si="637">POWER((6.774539392-45.293382868*LOG(XB6)+12.375948921*XB6)-0.6755*(17.21835581+60.348791075*LOG(XB6)-14.553696697*XB6),1/0.763)-56.001</f>
        <v>-13.902901519741057</v>
      </c>
      <c r="XH6" s="134">
        <f t="shared" ref="XH6:XH15" si="638">POWER((6.774539392-45.293382868*LOG(XB6)+12.375948921*XB6)-0*(17.21835581+60.348791075*LOG(XB6)-14.553696697*XB6),1/0.763)-56.001</f>
        <v>-8.0888768905675406</v>
      </c>
      <c r="XI6" s="151">
        <f t="shared" ref="XI6:XI15" si="639">POWER((6.774539392-45.293382868*LOG(XB6)+12.375948921*XB6)+0.6755*(17.21835581+60.348791075*LOG(XB6)-14.553696697*XB6),1/0.763)-56.001</f>
        <v>-2.1023907055675224</v>
      </c>
      <c r="XJ6" s="151">
        <f t="shared" si="343"/>
        <v>3.4068410287622442</v>
      </c>
      <c r="XK6" s="151">
        <f t="shared" si="344"/>
        <v>6.7691846107176161</v>
      </c>
      <c r="XL6" s="151">
        <f t="shared" si="345"/>
        <v>9.7205803356774609</v>
      </c>
      <c r="XM6" s="151">
        <f t="shared" si="346"/>
        <v>13.19209887997193</v>
      </c>
      <c r="XN6" s="163"/>
      <c r="XO6" s="164">
        <v>1</v>
      </c>
      <c r="XP6" s="151">
        <f t="shared" si="347"/>
        <v>-20.16059748988463</v>
      </c>
      <c r="XQ6" s="151">
        <f t="shared" si="348"/>
        <v>-17.133104225735593</v>
      </c>
      <c r="XR6" s="151">
        <f t="shared" si="349"/>
        <v>-14.48264595994987</v>
      </c>
      <c r="XS6" s="151">
        <f t="shared" ref="XS6:XS14" si="640">POWER((-36.518822647-190.196540109*LOG(XO6)+58.576762028*XO6)-1.281552*(20.758520852+74.838144804*LOG(XO6)-17.735617054*XO6),1/0.783)-52.001</f>
        <v>-11.375693890909368</v>
      </c>
      <c r="XT6" s="151">
        <f t="shared" ref="XT6:XT14" si="641">POWER((-36.518822647-190.196540109*LOG(XO6)+58.576762028*XO6)-0.6755*(20.758520852+74.838144804*LOG(XO6)-17.735617054*XO6),1/0.783)-52.001</f>
        <v>-6.0770670471813588</v>
      </c>
      <c r="XU6" s="134">
        <f t="shared" ref="XU6:XU14" si="642">POWER((-36.518822647-190.196540109*LOG(XO6)+58.576762028*XO6)-0*(20.758520852+74.838144804*LOG(XO6)-17.735617054*XO6),1/0.783)-52.001</f>
        <v>-1.1042530161503805E-2</v>
      </c>
      <c r="XV6" s="151">
        <f t="shared" ref="XV6:XV14" si="643">POWER((-36.518822647-190.196540109*LOG(XO6)+58.576762028*XO6)+0.6755*(20.758520852+74.838144804*LOG(XO6)-17.735617054*XO6),1/0.783)-52.001</f>
        <v>6.2128202748875836</v>
      </c>
      <c r="XW6" s="151">
        <f t="shared" si="350"/>
        <v>11.923050998616702</v>
      </c>
      <c r="XX6" s="151">
        <f t="shared" si="351"/>
        <v>15.400616376579642</v>
      </c>
      <c r="XY6" s="151">
        <f t="shared" si="352"/>
        <v>18.448821191758803</v>
      </c>
      <c r="XZ6" s="151">
        <f t="shared" si="353"/>
        <v>22.02930880632902</v>
      </c>
      <c r="YA6" s="163"/>
      <c r="YB6" s="164">
        <v>1.1000000000000001</v>
      </c>
      <c r="YC6" s="151">
        <f t="shared" si="354"/>
        <v>-34.846964774761915</v>
      </c>
      <c r="YD6" s="151">
        <f t="shared" si="355"/>
        <v>-31.52824990107575</v>
      </c>
      <c r="YE6" s="151">
        <f t="shared" si="356"/>
        <v>-28.602954360066846</v>
      </c>
      <c r="YF6" s="151">
        <f t="shared" ref="YF6:YF14" si="644">POWER((-37.771402665-203.270205752*LOG(YB6)+61.252597362*YB6)-1.281552*(-10.685780157-28.83630723*LOG(YB6)+14.466036972*YB6),1/0.809)-56.001</f>
        <v>-25.154829284526294</v>
      </c>
      <c r="YG6" s="151">
        <f t="shared" ref="YG6:YG14" si="645">POWER((-37.771402665-203.270205752*LOG(YB6)+61.252597362*YB6)-0.6755*(-10.685780157-28.83630723*LOG(YB6)+14.466036972*YB6),1/0.809)-56.001</f>
        <v>-19.237512481236266</v>
      </c>
      <c r="YH6" s="134">
        <f t="shared" ref="YH6:YH14" si="646">POWER((-37.771402665-203.270205752*LOG(YB6)+61.252597362*YB6)-0*(-10.685780157-28.83630723*LOG(YB6)+14.466036972*YB6),1/0.809)-56.001</f>
        <v>-12.421006305408632</v>
      </c>
      <c r="YI6" s="151">
        <f t="shared" ref="YI6:YI14" si="647">POWER((-37.771402665-203.270205752*LOG(YB6)+61.252597362*YB6)+0.6755*(-10.685780157-28.83630723*LOG(YB6)+14.466036972*YB6),1/0.809)-56.001</f>
        <v>-5.393915170978353</v>
      </c>
      <c r="YJ6" s="151">
        <f t="shared" si="357"/>
        <v>1.0745303379449069</v>
      </c>
      <c r="YK6" s="151">
        <f t="shared" si="358"/>
        <v>5.0214420195147156</v>
      </c>
      <c r="YL6" s="151">
        <f t="shared" si="359"/>
        <v>8.4848671108211633</v>
      </c>
      <c r="YM6" s="151">
        <f t="shared" si="360"/>
        <v>12.556923206009834</v>
      </c>
      <c r="YN6" s="163"/>
      <c r="YO6" s="164">
        <v>1</v>
      </c>
      <c r="YP6" s="151">
        <f t="shared" si="361"/>
        <v>15.271066752221717</v>
      </c>
      <c r="YQ6" s="151">
        <f t="shared" si="362"/>
        <v>16.818037734953819</v>
      </c>
      <c r="YR6" s="151">
        <f t="shared" si="363"/>
        <v>18.262479688727325</v>
      </c>
      <c r="YS6" s="151">
        <f t="shared" ref="YS6:YS15" si="648">POWER((1.388733267+0.435101437*LOG(YO6)-0.083857037*YO6)-1.281552*(0.099756662+0.259401291*LOG(YO6)-0.073452062*YO6),1/0.08)</f>
        <v>20.069025804678283</v>
      </c>
      <c r="YT6" s="151">
        <f t="shared" ref="YT6:YT15" si="649">POWER((1.388733267+0.435101437*LOG(YO6)-0.083857037*YO6)-0.6755*(0.099756662+0.259401291*LOG(YO6)-0.073452062*YO6),1/0.08)</f>
        <v>23.452284114133828</v>
      </c>
      <c r="YU6" s="134">
        <f t="shared" ref="YU6:YU15" si="650">POWER((1.388733267+0.435101437*LOG(YO6)-0.083857037*YO6)-0*(0.099756662+0.259401291*LOG(YO6)-0.073452062*YO6),1/0.08)</f>
        <v>27.836619916814072</v>
      </c>
      <c r="YV6" s="151">
        <f t="shared" ref="YV6:YV15" si="651">POWER((1.388733267+0.435101437*LOG(YO6)-0.083857037*YO6)+0.6755*(0.099756662+0.259401291*LOG(YO6)-0.073452062*YO6),1/0.08)</f>
        <v>32.964092883574914</v>
      </c>
      <c r="YW6" s="151">
        <f t="shared" si="364"/>
        <v>38.289730047853517</v>
      </c>
      <c r="YX6" s="151">
        <f t="shared" si="365"/>
        <v>41.850567505466429</v>
      </c>
      <c r="YY6" s="151">
        <f t="shared" si="366"/>
        <v>45.183152784669836</v>
      </c>
      <c r="YZ6" s="151">
        <f t="shared" si="367"/>
        <v>49.36412714364635</v>
      </c>
      <c r="ZA6" s="163"/>
      <c r="ZB6" s="164">
        <v>1</v>
      </c>
      <c r="ZC6" s="151">
        <f t="shared" si="368"/>
        <v>14.402351708817351</v>
      </c>
      <c r="ZD6" s="151">
        <f t="shared" si="369"/>
        <v>15.856970842334535</v>
      </c>
      <c r="ZE6" s="151">
        <f t="shared" si="370"/>
        <v>17.220166184396927</v>
      </c>
      <c r="ZF6" s="151">
        <f t="shared" ref="ZF6:ZF14" si="652">POWER((1.227480207+0.358846213*LOG(ZB6)-0.095065279*ZB6)-1.281552*(0.0074004+0.006939856*LOG(ZB6)+0.003663716*ZB6),1/0.038)</f>
        <v>18.931864204616719</v>
      </c>
      <c r="ZG6" s="151">
        <f t="shared" ref="ZG6:ZG14" si="653">POWER((1.227480207+0.358846213*LOG(ZB6)-0.095065279*ZB6)-0.6755*(0.0074004+0.006939856*LOG(ZB6)+0.003663716*ZB6),1/0.038)</f>
        <v>22.157502861157806</v>
      </c>
      <c r="ZH6" s="134">
        <f t="shared" ref="ZH6:ZH14" si="654">POWER((1.227480207+0.358846213*LOG(ZB6)-0.095065279*ZB6)-0*(0.0074004+0.006939856*LOG(ZB6)+0.003663716*ZB6),1/0.038)</f>
        <v>26.375434706228422</v>
      </c>
      <c r="ZI6" s="151">
        <f t="shared" ref="ZI6:ZI14" si="655">POWER((1.227480207+0.358846213*LOG(ZB6)-0.095065279*ZB6)+0.6755*(0.0074004+0.006939856*LOG(ZB6)+0.003663716*ZB6),1/0.038)</f>
        <v>31.360328690432461</v>
      </c>
      <c r="ZJ6" s="151">
        <f t="shared" si="371"/>
        <v>36.594338987135174</v>
      </c>
      <c r="ZK6" s="151">
        <f t="shared" si="372"/>
        <v>40.124514962080163</v>
      </c>
      <c r="ZL6" s="151">
        <f t="shared" si="373"/>
        <v>43.449745955291625</v>
      </c>
      <c r="ZM6" s="151">
        <f t="shared" si="374"/>
        <v>47.649676987921865</v>
      </c>
      <c r="ZN6" s="163"/>
      <c r="ZO6" s="164">
        <v>1.1000000000000001</v>
      </c>
      <c r="ZP6" s="151">
        <f t="shared" si="375"/>
        <v>15.583795212855563</v>
      </c>
      <c r="ZQ6" s="151">
        <f t="shared" si="376"/>
        <v>17.414930188780975</v>
      </c>
      <c r="ZR6" s="151">
        <f t="shared" si="377"/>
        <v>19.142090918909538</v>
      </c>
      <c r="ZS6" s="151">
        <f t="shared" ref="ZS6:ZS14" si="656">POWER((1.66912321+1.118192336*LOG(ZO6)-0.273822933*ZO6)-1.281552*(0.113422079+0.266924983*LOG(ZO6)-0.076207323*ZO6),1/0.101)</f>
        <v>21.323380107899258</v>
      </c>
      <c r="ZT6" s="151">
        <f t="shared" ref="ZT6:ZT14" si="657">POWER((1.66912321+1.118192336*LOG(ZO6)-0.273822933*ZO6)-0.6755*(0.113422079+0.266924983*LOG(ZO6)-0.076207323*ZO6),1/0.101)</f>
        <v>25.463537299728312</v>
      </c>
      <c r="ZU6" s="134">
        <f t="shared" ref="ZU6:ZU14" si="658">POWER((1.66912321+1.118192336*LOG(ZO6)-0.273822933*ZO6)-0*(0.113422079+0.266924983*LOG(ZO6)-0.076207323*ZO6),1/0.101)</f>
        <v>30.918277284612024</v>
      </c>
      <c r="ZV6" s="151">
        <f t="shared" ref="ZV6:ZV14" si="659">POWER((1.66912321+1.118192336*LOG(ZO6)-0.273822933*ZO6)+0.6755*(0.113422079+0.266924983*LOG(ZO6)-0.076207323*ZO6),1/0.101)</f>
        <v>37.401671159897255</v>
      </c>
      <c r="ZW6" s="151">
        <f t="shared" si="378"/>
        <v>44.232119403153938</v>
      </c>
      <c r="ZX6" s="151">
        <f t="shared" si="379"/>
        <v>48.845193796872799</v>
      </c>
      <c r="ZY6" s="151">
        <f t="shared" si="380"/>
        <v>53.191763887731327</v>
      </c>
      <c r="ZZ6" s="151">
        <f t="shared" si="381"/>
        <v>58.680549721672605</v>
      </c>
      <c r="AAA6" s="163"/>
      <c r="AAB6" s="164">
        <v>1</v>
      </c>
      <c r="AAC6" s="151">
        <f t="shared" si="382"/>
        <v>5.2503124258615808</v>
      </c>
      <c r="AAD6" s="151">
        <f t="shared" si="383"/>
        <v>5.8598950114575592</v>
      </c>
      <c r="AAE6" s="151">
        <f t="shared" si="384"/>
        <v>6.431303039261171</v>
      </c>
      <c r="AAF6" s="151">
        <f t="shared" ref="AAF6:AAF15" si="660">POWER((1.436440961+0.545439914*LOG(AAB6)-0.018753629*AAB6)-1.281552*(0.094139287+0.147038411*LOG(AAB6)-0.035990315*AAB6),1/0.15)</f>
        <v>7.1482345753344463</v>
      </c>
      <c r="AAG6" s="151">
        <f t="shared" ref="AAG6:AAG15" si="661">POWER((1.436440961+0.545439914*LOG(AAB6)-0.018753629*AAB6)-0.6755*(0.094139287+0.147038411*LOG(AAB6)-0.035990315*AAB6),1/0.15)</f>
        <v>8.4954151415437877</v>
      </c>
      <c r="AAH6" s="134">
        <f t="shared" ref="AAH6:AAH15" si="662">POWER((1.436440961+0.545439914*LOG(AAB6)-0.018753629*AAB6)-0*(0.094139287+0.147038411*LOG(AAB6)-0.035990315*AAB6),1/0.15)</f>
        <v>10.245576280244361</v>
      </c>
      <c r="AAI6" s="151">
        <f t="shared" ref="AAI6:AAI15" si="663">POWER((1.436440961+0.545439914*LOG(AAB6)-0.018753629*AAB6)+0.6755*(0.094139287+0.147038411*LOG(AAB6)-0.035990315*AAB6),1/0.15)</f>
        <v>12.293192820911118</v>
      </c>
      <c r="AAJ6" s="151">
        <f t="shared" si="385"/>
        <v>14.416602948912498</v>
      </c>
      <c r="AAK6" s="151">
        <f t="shared" si="386"/>
        <v>15.833067891302546</v>
      </c>
      <c r="AAL6" s="151">
        <f t="shared" si="387"/>
        <v>17.1557834928498</v>
      </c>
      <c r="AAM6" s="151">
        <f t="shared" si="388"/>
        <v>18.810730845245981</v>
      </c>
      <c r="AAN6" s="163"/>
      <c r="AAO6" s="164">
        <v>1</v>
      </c>
      <c r="AAP6" s="151">
        <f t="shared" si="389"/>
        <v>5.6798177246465364</v>
      </c>
      <c r="AAQ6" s="151">
        <f t="shared" si="390"/>
        <v>6.3066087924547416</v>
      </c>
      <c r="AAR6" s="151">
        <f t="shared" si="391"/>
        <v>6.8979634769593536</v>
      </c>
      <c r="AAS6" s="151">
        <f t="shared" ref="AAS6:AAS14" si="664">POWER((1.072580286-0.029261287*LOG(AAO6)+0.043793747*AAO6)-1.281552*(0.022786486+0.032986323*LOG(AAO6)-0.008516415*AAO6),1/0.046)</f>
        <v>7.6454083849863688</v>
      </c>
      <c r="AAT6" s="151">
        <f t="shared" ref="AAT6:AAT14" si="665">POWER((1.072580286-0.029261287*LOG(AAO6)+0.043793747*AAO6)-0.6755*(0.022786486+0.032986323*LOG(AAO6)-0.008516415*AAO6),1/0.046)</f>
        <v>9.0670731898272408</v>
      </c>
      <c r="AAU6" s="134">
        <f t="shared" ref="AAU6:AAU14" si="666">POWER((1.072580286-0.029261287*LOG(AAO6)+0.043793747*AAO6)-0*(0.022786486+0.032986323*LOG(AAO6)-0.008516415*AAO6),1/0.046)</f>
        <v>10.948178604019496</v>
      </c>
      <c r="AAV6" s="151">
        <f t="shared" ref="AAV6:AAV14" si="667">POWER((1.072580286-0.029261287*LOG(AAO6)+0.043793747*AAO6)+0.6755*(0.022786486+0.032986323*LOG(AAO6)-0.008516415*AAO6),1/0.046)</f>
        <v>13.198139102522218</v>
      </c>
      <c r="AAW6" s="151">
        <f t="shared" si="392"/>
        <v>15.586519799421167</v>
      </c>
      <c r="AAX6" s="151">
        <f t="shared" si="393"/>
        <v>17.210294559461055</v>
      </c>
      <c r="AAY6" s="151">
        <f t="shared" si="394"/>
        <v>18.748221637172239</v>
      </c>
      <c r="AAZ6" s="151">
        <f t="shared" si="395"/>
        <v>20.701277706335897</v>
      </c>
      <c r="ABA6" s="163"/>
      <c r="ABB6" s="164">
        <v>1.1000000000000001</v>
      </c>
      <c r="ABC6" s="151">
        <f t="shared" si="396"/>
        <v>5.7730334422722063</v>
      </c>
      <c r="ABD6" s="151">
        <f t="shared" si="397"/>
        <v>6.4066041056345506</v>
      </c>
      <c r="ABE6" s="151">
        <f t="shared" si="398"/>
        <v>6.9924854930178988</v>
      </c>
      <c r="ABF6" s="151">
        <f t="shared" ref="ABF6:ABF14" si="668">POWER((2.090229553+2.300060411*LOG(ABB6)-0.372074092*ABB6)-1.281552*(0.380311436+1.085440716*LOG(ABB6)-0.28979652*ABB6),1/0.242)</f>
        <v>7.7174058232130029</v>
      </c>
      <c r="ABG6" s="151">
        <f t="shared" ref="ABG6:ABG14" si="669">POWER((2.090229553+2.300060411*LOG(ABB6)-0.372074092*ABB6)-0.6755*(0.380311436+1.085440716*LOG(ABB6)-0.28979652*ABB6),1/0.242)</f>
        <v>9.0518094271588296</v>
      </c>
      <c r="ABH6" s="134">
        <f t="shared" ref="ABH6:ABH14" si="670">POWER((2.090229553+2.300060411*LOG(ABB6)-0.372074092*ABB6)-0*(0.380311436+1.085440716*LOG(ABB6)-0.28979652*ABB6),1/0.242)</f>
        <v>10.737702594005118</v>
      </c>
      <c r="ABI6" s="151">
        <f t="shared" ref="ABI6:ABI14" si="671">POWER((2.090229553+2.300060411*LOG(ABB6)-0.372074092*ABB6)+0.6755*(0.380311436+1.085440716*LOG(ABB6)-0.28979652*ABB6),1/0.242)</f>
        <v>12.651521238285062</v>
      </c>
      <c r="ABJ6" s="151">
        <f t="shared" si="399"/>
        <v>14.579081634372459</v>
      </c>
      <c r="ABK6" s="151">
        <f t="shared" si="400"/>
        <v>15.836556417801045</v>
      </c>
      <c r="ABL6" s="151">
        <f t="shared" si="401"/>
        <v>16.992332662207669</v>
      </c>
      <c r="ABM6" s="151">
        <f t="shared" si="402"/>
        <v>18.415334202987825</v>
      </c>
      <c r="ABN6" s="163"/>
      <c r="ABO6" s="164">
        <v>1</v>
      </c>
      <c r="ABP6" s="151">
        <f t="shared" si="403"/>
        <v>0.22815840332671405</v>
      </c>
      <c r="ABQ6" s="151">
        <f t="shared" si="404"/>
        <v>0.24853578798980608</v>
      </c>
      <c r="ABR6" s="151">
        <f t="shared" si="405"/>
        <v>0.26709593581802882</v>
      </c>
      <c r="ABS6" s="151">
        <f t="shared" ref="ABS6:ABS15" si="672">POWER((0.534314421-0.624144405*LOG(ABO6)+0.235475263*ABO6)-1.281552*(0.222920336+0.683257983*LOG(ABO6)-0.18002974*ABO6),1/0.271)</f>
        <v>0.28972601830876871</v>
      </c>
      <c r="ABT6" s="151">
        <f t="shared" ref="ABT6:ABT15" si="673">POWER((0.534314421-0.624144405*LOG(ABO6)+0.235475263*ABO6)-0.6755*(0.222920336+0.683257983*LOG(ABO6)-0.18002974*ABO6),1/0.271)</f>
        <v>0.33054359572440334</v>
      </c>
      <c r="ABU6" s="134">
        <f t="shared" ref="ABU6:ABU15" si="674">POWER((0.534314421-0.624144405*LOG(ABO6)+0.235475263*ABO6)-0*(0.222920336+0.683257983*LOG(ABO6)-0.18002974*ABO6),1/0.271)</f>
        <v>0.38081040597004839</v>
      </c>
      <c r="ABV6" s="151">
        <f t="shared" ref="ABV6:ABV15" si="675">POWER((0.534314421-0.624144405*LOG(ABO6)+0.235475263*ABO6)+0.6755*(0.222920336+0.683257983*LOG(ABO6)-0.18002974*ABO6),1/0.271)</f>
        <v>0.43643257081863956</v>
      </c>
      <c r="ABW6" s="151">
        <f t="shared" si="406"/>
        <v>0.49117738334455219</v>
      </c>
      <c r="ABX6" s="151">
        <f t="shared" si="407"/>
        <v>0.52629996988841665</v>
      </c>
      <c r="ABY6" s="151">
        <f t="shared" si="408"/>
        <v>0.55821624102549139</v>
      </c>
      <c r="ABZ6" s="151">
        <f t="shared" si="409"/>
        <v>0.59707392937079629</v>
      </c>
      <c r="ACA6" s="163"/>
      <c r="ACB6" s="164">
        <v>1</v>
      </c>
      <c r="ACC6" s="151">
        <f t="shared" si="410"/>
        <v>0.24070692257475657</v>
      </c>
      <c r="ACD6" s="151">
        <f t="shared" si="411"/>
        <v>0.26046000813088593</v>
      </c>
      <c r="ACE6" s="151">
        <f t="shared" si="412"/>
        <v>0.27854693418587323</v>
      </c>
      <c r="ACF6" s="151">
        <f t="shared" ref="ACF6:ACF14" si="676">POWER((0.712343376-0.423655097*LOG(ACB6)+0.163811581*ACB6)-1.281552*(0.110461225+0.352408543*LOG(ACB6)-0.085492457*ACB6),1/0.141)</f>
        <v>0.30072942614251374</v>
      </c>
      <c r="ACG6" s="151">
        <f t="shared" ref="ACG6:ACG14" si="677">POWER((0.712343376-0.423655097*LOG(ACB6)+0.163811581*ACB6)-0.6755*(0.110461225+0.352408543*LOG(ACB6)-0.085492457*ACB6),1/0.141)</f>
        <v>0.34111506554158394</v>
      </c>
      <c r="ACH6" s="134">
        <f t="shared" ref="ACH6:ACH14" si="678">POWER((0.712343376-0.423655097*LOG(ACB6)+0.163811581*ACB6)-0*(0.110461225+0.352408543*LOG(ACB6)-0.085492457*ACB6),1/0.141)</f>
        <v>0.39153672087916408</v>
      </c>
      <c r="ACI6" s="151">
        <f t="shared" ref="ACI6:ACI14" si="679">POWER((0.712343376-0.423655097*LOG(ACB6)+0.163811581*ACB6)+0.6755*(0.110461225+0.352408543*LOG(ACB6)-0.085492457*ACB6),1/0.141)</f>
        <v>0.44823158784302453</v>
      </c>
      <c r="ACJ6" s="151">
        <f t="shared" si="413"/>
        <v>0.50496113795269082</v>
      </c>
      <c r="ACK6" s="151">
        <f t="shared" si="414"/>
        <v>0.54184028990460131</v>
      </c>
      <c r="ACL6" s="151">
        <f t="shared" si="415"/>
        <v>0.57567793417151603</v>
      </c>
      <c r="ACM6" s="151">
        <f t="shared" si="416"/>
        <v>0.61728939464415367</v>
      </c>
      <c r="ACN6" s="163"/>
      <c r="ACO6" s="164">
        <v>1.1000000000000001</v>
      </c>
      <c r="ACP6" s="151">
        <f t="shared" si="417"/>
        <v>0.16853131648055153</v>
      </c>
      <c r="ACQ6" s="151">
        <f t="shared" si="418"/>
        <v>0.19307293147802174</v>
      </c>
      <c r="ACR6" s="151">
        <f t="shared" si="419"/>
        <v>0.21555920645638341</v>
      </c>
      <c r="ACS6" s="151">
        <f t="shared" ref="ACS6:ACS14" si="680">POWER((0.169472222-1.163744958*LOG(ACO6)+0.439536963*ACO6)-1.281552*(-0.098759227-0.441803626*LOG(ACO6)+0.177685381*ACO6),1/0.484)</f>
        <v>0.24307354679982113</v>
      </c>
      <c r="ACT6" s="151">
        <f t="shared" ref="ACT6:ACT14" si="681">POWER((0.169472222-1.163744958*LOG(ACO6)+0.439536963*ACO6)-0.6755*(-0.098759227-0.441803626*LOG(ACO6)+0.177685381*ACO6),1/0.484)</f>
        <v>0.2927770627363166</v>
      </c>
      <c r="ACU6" s="134">
        <f t="shared" ref="ACU6:ACU14" si="682">POWER((0.169472222-1.163744958*LOG(ACO6)+0.439536963*ACO6)-0*(-0.098759227-0.441803626*LOG(ACO6)+0.177685381*ACO6),1/0.484)</f>
        <v>0.35381262741009933</v>
      </c>
      <c r="ACV6" s="151">
        <f t="shared" ref="ACV6:ACV14" si="683">POWER((0.169472222-1.163744958*LOG(ACO6)+0.439536963*ACO6)+0.6755*(-0.098759227-0.441803626*LOG(ACO6)+0.177685381*ACO6),1/0.484)</f>
        <v>0.42082495121470703</v>
      </c>
      <c r="ACW6" s="151">
        <f t="shared" si="420"/>
        <v>0.48606181952429101</v>
      </c>
      <c r="ACX6" s="151">
        <f t="shared" si="421"/>
        <v>0.52749712962121109</v>
      </c>
      <c r="ACY6" s="151">
        <f t="shared" si="422"/>
        <v>0.5648539807382762</v>
      </c>
      <c r="ACZ6" s="151">
        <f t="shared" si="423"/>
        <v>0.60994961553717231</v>
      </c>
      <c r="ADA6" s="163"/>
      <c r="ADB6" s="164">
        <v>1</v>
      </c>
      <c r="ADC6" s="151">
        <f t="shared" si="424"/>
        <v>0.18458149186337991</v>
      </c>
      <c r="ADD6" s="151">
        <f t="shared" si="425"/>
        <v>0.19843237873120492</v>
      </c>
      <c r="ADE6" s="151">
        <f t="shared" si="426"/>
        <v>0.21052207886802282</v>
      </c>
      <c r="ADF6" s="151">
        <f t="shared" ref="ADF6:ADF15" si="684">POWER((0.134443723-0.623579902*LOG(ADB6)+0.234381197*ADB6)-1.281552*(0.208248855+0.633614582*LOG(ADB6)-0.165749986*ADB6),1/0.775)</f>
        <v>0.22465692023735523</v>
      </c>
      <c r="ADG6" s="151">
        <f t="shared" ref="ADG6:ADG15" si="685">POWER((0.134443723-0.623579902*LOG(ADB6)+0.234381197*ADB6)-0.6755*(0.208248855+0.633614582*LOG(ADB6)-0.165749986*ADB6),1/0.775)</f>
        <v>0.24868486901810191</v>
      </c>
      <c r="ADH6" s="134">
        <f t="shared" ref="ADH6:ADH15" si="686">POWER((0.134443723-0.623579902*LOG(ADB6)+0.234381197*ADB6)-0*(0.208248855+0.633614582*LOG(ADB6)-0.165749986*ADB6),1/0.775)</f>
        <v>0.27609490732087294</v>
      </c>
      <c r="ADI6" s="151">
        <f t="shared" ref="ADI6:ADI15" si="687">POWER((0.134443723-0.623579902*LOG(ADB6)+0.234381197*ADB6)+0.6755*(0.208248855+0.633614582*LOG(ADB6)-0.165749986*ADB6),1/0.775)</f>
        <v>0.30413194765040574</v>
      </c>
      <c r="ADJ6" s="151">
        <f t="shared" si="427"/>
        <v>0.32979330723897071</v>
      </c>
      <c r="ADK6" s="151">
        <f t="shared" si="428"/>
        <v>0.34539680343442669</v>
      </c>
      <c r="ADL6" s="151">
        <f t="shared" si="429"/>
        <v>0.35906042711715569</v>
      </c>
      <c r="ADM6" s="151">
        <f t="shared" si="430"/>
        <v>0.37509558657095371</v>
      </c>
      <c r="ADN6" s="163"/>
      <c r="ADO6" s="164">
        <v>1</v>
      </c>
      <c r="ADP6" s="151">
        <f t="shared" si="431"/>
        <v>0.19324998159695697</v>
      </c>
      <c r="ADQ6" s="151">
        <f t="shared" si="432"/>
        <v>0.20635081494219162</v>
      </c>
      <c r="ADR6" s="151">
        <f t="shared" si="433"/>
        <v>0.21788595301492003</v>
      </c>
      <c r="ADS6" s="151">
        <f t="shared" ref="ADS6:ADS14" si="688">POWER((0.183115107-0.732858521*LOG(ADO6)+0.280073681*ADO6)-1.281552*(0.170791683+0.540785528*LOG(ADO6)-0.129915089*ADO6),1/0.608)</f>
        <v>0.23148853806568698</v>
      </c>
      <c r="ADT6" s="151">
        <f t="shared" ref="ADT6:ADT14" si="689">POWER((0.183115107-0.732858521*LOG(ADO6)+0.280073681*ADO6)-0.6755*(0.170791683+0.540785528*LOG(ADO6)-0.129915089*ADO6),1/0.608)</f>
        <v>0.25489201599204558</v>
      </c>
      <c r="ADU6" s="134">
        <f t="shared" ref="ADU6:ADU14" si="690">POWER((0.183115107-0.732858521*LOG(ADO6)+0.280073681*ADO6)-0*(0.170791683+0.540785528*LOG(ADO6)-0.129915089*ADO6),1/0.608)</f>
        <v>0.28200702780014741</v>
      </c>
      <c r="ADV6" s="151">
        <f t="shared" ref="ADV6:ADV14" si="691">POWER((0.183115107-0.732858521*LOG(ADO6)+0.280073681*ADO6)+0.6755*(0.170791683+0.540785528*LOG(ADO6)-0.129915089*ADO6),1/0.608)</f>
        <v>0.31018492111537238</v>
      </c>
      <c r="ADW6" s="151">
        <f t="shared" si="434"/>
        <v>0.33635260347809165</v>
      </c>
      <c r="ADX6" s="151">
        <f t="shared" si="435"/>
        <v>0.35243471213558936</v>
      </c>
      <c r="ADY6" s="151">
        <f t="shared" si="436"/>
        <v>0.36662087892301537</v>
      </c>
      <c r="ADZ6" s="151">
        <f t="shared" si="437"/>
        <v>0.38339001168246378</v>
      </c>
      <c r="AEA6" s="163"/>
      <c r="AEB6" s="164">
        <v>1.1000000000000001</v>
      </c>
      <c r="AEC6" s="151">
        <f t="shared" si="438"/>
        <v>0.14164846470001669</v>
      </c>
      <c r="AED6" s="151">
        <f t="shared" si="439"/>
        <v>0.16076703843520357</v>
      </c>
      <c r="AEE6" s="151">
        <f t="shared" si="440"/>
        <v>0.17713705076470301</v>
      </c>
      <c r="AEF6" s="151">
        <f t="shared" ref="AEF6:AEF14" si="692">POWER((-0.032932072-0.753727263*LOG(AEB6)+0.283804508*AEB6)-1.281552*(-0.06267032-0.282612972*LOG(AEB6)+0.113351384*AEB6),1/1.04)</f>
        <v>0.19593606704148939</v>
      </c>
      <c r="AEG6" s="151">
        <f t="shared" ref="AEG6:AEG14" si="693">POWER((-0.032932072-0.753727263*LOG(AEB6)+0.283804508*AEB6)-0.6755*(-0.06267032-0.282612972*LOG(AEB6)+0.113351384*AEB6),1/1.04)</f>
        <v>0.22713935443490507</v>
      </c>
      <c r="AEH6" s="134">
        <f t="shared" ref="AEH6:AEH14" si="694">POWER((-0.032932072-0.753727263*LOG(AEB6)+0.283804508*AEB6)-0*(-0.06267032-0.282612972*LOG(AEB6)+0.113351384*AEB6),1/1.04)</f>
        <v>0.26171768611782842</v>
      </c>
      <c r="AEI6" s="151">
        <f t="shared" ref="AEI6:AEI14" si="695">POWER((-0.032932072-0.753727263*LOG(AEB6)+0.283804508*AEB6)+0.6755*(-0.06267032-0.282612972*LOG(AEB6)+0.113351384*AEB6),1/1.04)</f>
        <v>0.2961136786765956</v>
      </c>
      <c r="AEJ6" s="151">
        <f t="shared" si="441"/>
        <v>0.32683716772958771</v>
      </c>
      <c r="AEK6" s="151">
        <f t="shared" si="442"/>
        <v>0.34519858497636785</v>
      </c>
      <c r="AEL6" s="151">
        <f t="shared" si="443"/>
        <v>0.36109269702907715</v>
      </c>
      <c r="AEM6" s="151">
        <f t="shared" si="444"/>
        <v>0.37953801669356857</v>
      </c>
      <c r="AEN6" s="163"/>
    </row>
    <row r="7" spans="1:820">
      <c r="A7" s="163"/>
      <c r="B7" s="164">
        <v>1.2</v>
      </c>
      <c r="C7" s="151">
        <f t="shared" si="0"/>
        <v>1.8368091510781979</v>
      </c>
      <c r="D7" s="151">
        <f t="shared" si="1"/>
        <v>2.094491344918727</v>
      </c>
      <c r="E7" s="151">
        <f t="shared" si="2"/>
        <v>2.350934127026822</v>
      </c>
      <c r="F7" s="151">
        <f t="shared" si="445"/>
        <v>2.6941939034970943</v>
      </c>
      <c r="G7" s="151">
        <f t="shared" si="446"/>
        <v>3.4087368864434779</v>
      </c>
      <c r="H7" s="134">
        <f t="shared" si="447"/>
        <v>4.4867551805446348</v>
      </c>
      <c r="I7" s="151">
        <f t="shared" si="448"/>
        <v>5.9927751837819763</v>
      </c>
      <c r="J7" s="151">
        <f t="shared" si="3"/>
        <v>7.8776443215538494</v>
      </c>
      <c r="K7" s="151">
        <f t="shared" si="4"/>
        <v>9.3447542641847878</v>
      </c>
      <c r="L7" s="151">
        <f t="shared" si="5"/>
        <v>10.885387456002848</v>
      </c>
      <c r="M7" s="151">
        <f t="shared" si="6"/>
        <v>13.071319849669655</v>
      </c>
      <c r="N7" s="163"/>
      <c r="O7" s="164">
        <v>1.2</v>
      </c>
      <c r="P7" s="151">
        <f t="shared" si="7"/>
        <v>2.244402209228145</v>
      </c>
      <c r="Q7" s="151">
        <f t="shared" si="8"/>
        <v>2.4947591600747878</v>
      </c>
      <c r="R7" s="151">
        <f t="shared" si="9"/>
        <v>2.7425712091313632</v>
      </c>
      <c r="S7" s="151">
        <f t="shared" si="449"/>
        <v>3.0733460449684471</v>
      </c>
      <c r="T7" s="151">
        <f t="shared" si="450"/>
        <v>3.7628853555526915</v>
      </c>
      <c r="U7" s="134">
        <f t="shared" si="451"/>
        <v>4.8169946350287649</v>
      </c>
      <c r="V7" s="151">
        <f t="shared" si="452"/>
        <v>6.3372085312262652</v>
      </c>
      <c r="W7" s="151">
        <f t="shared" si="10"/>
        <v>8.3421584353380016</v>
      </c>
      <c r="X7" s="151">
        <f t="shared" si="11"/>
        <v>9.9941244920531958</v>
      </c>
      <c r="Y7" s="151">
        <f t="shared" si="12"/>
        <v>11.823882202616673</v>
      </c>
      <c r="Z7" s="151">
        <f t="shared" si="13"/>
        <v>14.601096613590569</v>
      </c>
      <c r="AA7" s="163"/>
      <c r="AB7" s="164">
        <v>1.2</v>
      </c>
      <c r="AC7" s="151">
        <f t="shared" si="14"/>
        <v>1.4654332025563617</v>
      </c>
      <c r="AD7" s="151">
        <f t="shared" si="15"/>
        <v>1.6887447175662098</v>
      </c>
      <c r="AE7" s="151">
        <f t="shared" si="16"/>
        <v>1.9149652888319308</v>
      </c>
      <c r="AF7" s="151">
        <f t="shared" si="453"/>
        <v>2.2237511740013454</v>
      </c>
      <c r="AG7" s="151">
        <f t="shared" si="454"/>
        <v>2.8873737524649146</v>
      </c>
      <c r="AH7" s="134">
        <f t="shared" si="455"/>
        <v>3.9382522331874479</v>
      </c>
      <c r="AI7" s="151">
        <f t="shared" si="456"/>
        <v>5.4983171713596031</v>
      </c>
      <c r="AJ7" s="151">
        <f t="shared" si="17"/>
        <v>7.5895837198656499</v>
      </c>
      <c r="AK7" s="151">
        <f t="shared" si="18"/>
        <v>9.3169998862467569</v>
      </c>
      <c r="AL7" s="151">
        <f t="shared" si="19"/>
        <v>11.220052892383416</v>
      </c>
      <c r="AM7" s="151">
        <f t="shared" si="20"/>
        <v>14.070175840649934</v>
      </c>
      <c r="AN7" s="163"/>
      <c r="AO7" s="164">
        <v>1.2</v>
      </c>
      <c r="AP7" s="151">
        <f t="shared" si="21"/>
        <v>4.9393715242960026</v>
      </c>
      <c r="AQ7" s="151">
        <f t="shared" si="22"/>
        <v>6.6892340700657096</v>
      </c>
      <c r="AR7" s="151">
        <f t="shared" si="23"/>
        <v>8.2949703643445432</v>
      </c>
      <c r="AS7" s="151">
        <f t="shared" si="457"/>
        <v>10.262639398843106</v>
      </c>
      <c r="AT7" s="151">
        <f t="shared" si="458"/>
        <v>13.824368733157851</v>
      </c>
      <c r="AU7" s="134">
        <f t="shared" si="459"/>
        <v>18.209291413049449</v>
      </c>
      <c r="AV7" s="151">
        <f t="shared" si="460"/>
        <v>23.035808894041217</v>
      </c>
      <c r="AW7" s="151">
        <f t="shared" si="24"/>
        <v>27.745143489432127</v>
      </c>
      <c r="AX7" s="151">
        <f t="shared" si="25"/>
        <v>30.741193961429932</v>
      </c>
      <c r="AY7" s="151">
        <f t="shared" si="26"/>
        <v>33.445355422056465</v>
      </c>
      <c r="AZ7" s="151">
        <f t="shared" si="27"/>
        <v>36.713271577825374</v>
      </c>
      <c r="BA7" s="163"/>
      <c r="BB7" s="164">
        <v>1.2</v>
      </c>
      <c r="BC7" s="151">
        <f t="shared" si="28"/>
        <v>6.0893348912364145</v>
      </c>
      <c r="BD7" s="151">
        <f t="shared" si="29"/>
        <v>7.9366417536668576</v>
      </c>
      <c r="BE7" s="151">
        <f t="shared" si="30"/>
        <v>9.6051417574499496</v>
      </c>
      <c r="BF7" s="151">
        <f t="shared" si="461"/>
        <v>11.618463198333654</v>
      </c>
      <c r="BG7" s="151">
        <f t="shared" si="462"/>
        <v>15.185826978508253</v>
      </c>
      <c r="BH7" s="134">
        <f t="shared" si="463"/>
        <v>19.461370907766398</v>
      </c>
      <c r="BI7" s="151">
        <f t="shared" si="464"/>
        <v>24.043330265489267</v>
      </c>
      <c r="BJ7" s="151">
        <f t="shared" si="31"/>
        <v>28.408065540427362</v>
      </c>
      <c r="BK7" s="151">
        <f t="shared" si="32"/>
        <v>31.13724834200961</v>
      </c>
      <c r="BL7" s="151">
        <f t="shared" si="33"/>
        <v>33.571779820994841</v>
      </c>
      <c r="BM7" s="151">
        <f t="shared" si="34"/>
        <v>36.480215357259617</v>
      </c>
      <c r="BN7" s="163"/>
      <c r="BO7" s="164">
        <v>1.2</v>
      </c>
      <c r="BP7" s="151">
        <f t="shared" si="35"/>
        <v>5.4035553112402868</v>
      </c>
      <c r="BQ7" s="151">
        <f t="shared" si="36"/>
        <v>6.4197937725444714</v>
      </c>
      <c r="BR7" s="151">
        <f t="shared" si="37"/>
        <v>7.4198723127856194</v>
      </c>
      <c r="BS7" s="151">
        <f t="shared" si="465"/>
        <v>8.7348251061089428</v>
      </c>
      <c r="BT7" s="151">
        <f t="shared" si="466"/>
        <v>11.370450351121827</v>
      </c>
      <c r="BU7" s="134">
        <f t="shared" si="467"/>
        <v>15.078873324351827</v>
      </c>
      <c r="BV7" s="151">
        <f t="shared" si="468"/>
        <v>19.771669954992323</v>
      </c>
      <c r="BW7" s="151">
        <f t="shared" si="38"/>
        <v>24.988939679982412</v>
      </c>
      <c r="BX7" s="151">
        <f t="shared" si="39"/>
        <v>28.646211953196595</v>
      </c>
      <c r="BY7" s="151">
        <f t="shared" si="40"/>
        <v>32.178390301807326</v>
      </c>
      <c r="BZ7" s="151">
        <f t="shared" si="41"/>
        <v>36.745659038667654</v>
      </c>
      <c r="CA7" s="163"/>
      <c r="CB7" s="164">
        <v>1.2</v>
      </c>
      <c r="CC7" s="151">
        <f t="shared" si="42"/>
        <v>6.0520203190260089</v>
      </c>
      <c r="CD7" s="151">
        <f t="shared" si="43"/>
        <v>8.8033327327300768</v>
      </c>
      <c r="CE7" s="151">
        <f t="shared" si="44"/>
        <v>11.287841105883793</v>
      </c>
      <c r="CF7" s="151">
        <f t="shared" si="469"/>
        <v>14.279134827188933</v>
      </c>
      <c r="CG7" s="151">
        <f t="shared" si="470"/>
        <v>19.550111621383561</v>
      </c>
      <c r="CH7" s="134">
        <f t="shared" si="471"/>
        <v>25.806483638388396</v>
      </c>
      <c r="CI7" s="151">
        <f t="shared" si="472"/>
        <v>32.431970570317993</v>
      </c>
      <c r="CJ7" s="151">
        <f t="shared" si="45"/>
        <v>38.667774337586486</v>
      </c>
      <c r="CK7" s="151">
        <f t="shared" si="46"/>
        <v>42.53076618370293</v>
      </c>
      <c r="CL7" s="151">
        <f t="shared" si="47"/>
        <v>45.954129975604936</v>
      </c>
      <c r="CM7" s="151">
        <f t="shared" si="48"/>
        <v>50.016976998667147</v>
      </c>
      <c r="CN7" s="163"/>
      <c r="CO7" s="164">
        <v>1.2</v>
      </c>
      <c r="CP7" s="151">
        <f t="shared" si="49"/>
        <v>8.7127622374785503</v>
      </c>
      <c r="CQ7" s="151">
        <f t="shared" si="50"/>
        <v>11.404877371693665</v>
      </c>
      <c r="CR7" s="151">
        <f t="shared" si="51"/>
        <v>13.826693583608435</v>
      </c>
      <c r="CS7" s="151">
        <f t="shared" si="473"/>
        <v>16.734315061594454</v>
      </c>
      <c r="CT7" s="151">
        <f t="shared" si="474"/>
        <v>21.843228590072435</v>
      </c>
      <c r="CU7" s="134">
        <f t="shared" si="475"/>
        <v>27.892366829012897</v>
      </c>
      <c r="CV7" s="151">
        <f t="shared" si="476"/>
        <v>34.288556195451015</v>
      </c>
      <c r="CW7" s="151">
        <f t="shared" si="52"/>
        <v>40.303584205211955</v>
      </c>
      <c r="CX7" s="151">
        <f t="shared" si="53"/>
        <v>44.028506750601558</v>
      </c>
      <c r="CY7" s="151">
        <f t="shared" si="54"/>
        <v>47.32907084037177</v>
      </c>
      <c r="CZ7" s="151">
        <f t="shared" si="55"/>
        <v>51.245929760309906</v>
      </c>
      <c r="DA7" s="163"/>
      <c r="DB7" s="164">
        <v>1.2</v>
      </c>
      <c r="DC7" s="151">
        <f t="shared" si="56"/>
        <v>3.9976319814663528</v>
      </c>
      <c r="DD7" s="151">
        <f t="shared" si="57"/>
        <v>6.2739168991375243</v>
      </c>
      <c r="DE7" s="151">
        <f t="shared" si="58"/>
        <v>8.3634413472167566</v>
      </c>
      <c r="DF7" s="151">
        <f t="shared" si="477"/>
        <v>10.918596980054005</v>
      </c>
      <c r="DG7" s="151">
        <f t="shared" si="478"/>
        <v>15.516069982821872</v>
      </c>
      <c r="DH7" s="134">
        <f t="shared" si="479"/>
        <v>21.112845638032031</v>
      </c>
      <c r="DI7" s="151">
        <f t="shared" si="480"/>
        <v>27.185163424846454</v>
      </c>
      <c r="DJ7" s="151">
        <f t="shared" si="59"/>
        <v>33.02162786517966</v>
      </c>
      <c r="DK7" s="151">
        <f t="shared" si="60"/>
        <v>36.691039011583328</v>
      </c>
      <c r="DL7" s="151">
        <f t="shared" si="61"/>
        <v>39.975005581408666</v>
      </c>
      <c r="DM7" s="151">
        <f t="shared" si="62"/>
        <v>43.909623128888867</v>
      </c>
      <c r="DN7" s="163"/>
      <c r="DO7" s="164">
        <v>1.2</v>
      </c>
      <c r="DP7" s="151">
        <f t="shared" si="63"/>
        <v>11.833671100903754</v>
      </c>
      <c r="DQ7" s="151">
        <f t="shared" si="64"/>
        <v>12.5126691258004</v>
      </c>
      <c r="DR7" s="151">
        <f t="shared" si="65"/>
        <v>13.150169173376176</v>
      </c>
      <c r="DS7" s="151">
        <f t="shared" si="481"/>
        <v>13.954977290195853</v>
      </c>
      <c r="DT7" s="151">
        <f t="shared" si="482"/>
        <v>15.493977582284638</v>
      </c>
      <c r="DU7" s="134">
        <f t="shared" si="483"/>
        <v>17.571894399120023</v>
      </c>
      <c r="DV7" s="151">
        <f t="shared" si="484"/>
        <v>20.158267069248339</v>
      </c>
      <c r="DW7" s="151">
        <f t="shared" si="66"/>
        <v>23.067938391670612</v>
      </c>
      <c r="DX7" s="151">
        <f t="shared" si="67"/>
        <v>25.164963238096895</v>
      </c>
      <c r="DY7" s="151">
        <f t="shared" si="68"/>
        <v>27.254298425230857</v>
      </c>
      <c r="DZ7" s="151">
        <f t="shared" si="69"/>
        <v>30.071654510564731</v>
      </c>
      <c r="EA7" s="163"/>
      <c r="EB7" s="164">
        <v>1.2</v>
      </c>
      <c r="EC7" s="151">
        <f t="shared" si="70"/>
        <v>11.854750355176931</v>
      </c>
      <c r="ED7" s="151">
        <f t="shared" si="71"/>
        <v>12.555493354638209</v>
      </c>
      <c r="EE7" s="151">
        <f t="shared" si="72"/>
        <v>13.213082117708138</v>
      </c>
      <c r="EF7" s="151">
        <f t="shared" si="485"/>
        <v>14.042664673934492</v>
      </c>
      <c r="EG7" s="151">
        <f t="shared" si="486"/>
        <v>15.626727039800928</v>
      </c>
      <c r="EH7" s="134">
        <f t="shared" si="487"/>
        <v>17.759458566131514</v>
      </c>
      <c r="EI7" s="151">
        <f t="shared" si="488"/>
        <v>20.402368181957655</v>
      </c>
      <c r="EJ7" s="151">
        <f t="shared" si="73"/>
        <v>23.357897791801857</v>
      </c>
      <c r="EK7" s="151">
        <f t="shared" si="74"/>
        <v>25.475319631014823</v>
      </c>
      <c r="EL7" s="151">
        <f t="shared" si="75"/>
        <v>27.573908132544474</v>
      </c>
      <c r="EM7" s="151">
        <f t="shared" si="76"/>
        <v>30.385702664109896</v>
      </c>
      <c r="EN7" s="163"/>
      <c r="EO7" s="164">
        <v>1.2</v>
      </c>
      <c r="EP7" s="151">
        <f t="shared" si="77"/>
        <v>11.814833673533604</v>
      </c>
      <c r="EQ7" s="151">
        <f t="shared" si="78"/>
        <v>12.60056881296261</v>
      </c>
      <c r="ER7" s="151">
        <f t="shared" si="79"/>
        <v>13.336902368393607</v>
      </c>
      <c r="ES7" s="151">
        <f t="shared" si="489"/>
        <v>14.26383790768754</v>
      </c>
      <c r="ET7" s="151">
        <f t="shared" si="490"/>
        <v>16.025551962008265</v>
      </c>
      <c r="EU7" s="134">
        <f t="shared" si="491"/>
        <v>18.375540028562224</v>
      </c>
      <c r="EV7" s="151">
        <f t="shared" si="492"/>
        <v>21.245378302973073</v>
      </c>
      <c r="EW7" s="151">
        <f t="shared" si="80"/>
        <v>24.392147389974792</v>
      </c>
      <c r="EX7" s="151">
        <f t="shared" si="81"/>
        <v>26.603470004552012</v>
      </c>
      <c r="EY7" s="151">
        <f t="shared" si="82"/>
        <v>28.758712496202627</v>
      </c>
      <c r="EZ7" s="151">
        <f t="shared" si="83"/>
        <v>31.589231826354755</v>
      </c>
      <c r="FA7" s="163"/>
      <c r="FB7" s="164">
        <v>1.2</v>
      </c>
      <c r="FC7" s="151">
        <f t="shared" si="84"/>
        <v>5.47033043640565</v>
      </c>
      <c r="FD7" s="151">
        <f t="shared" si="85"/>
        <v>5.9303926205161233</v>
      </c>
      <c r="FE7" s="151">
        <f t="shared" si="86"/>
        <v>6.3653848119335379</v>
      </c>
      <c r="FF7" s="151">
        <f t="shared" si="493"/>
        <v>6.917652961345409</v>
      </c>
      <c r="FG7" s="151">
        <f t="shared" si="494"/>
        <v>7.9793715655828379</v>
      </c>
      <c r="FH7" s="134">
        <f t="shared" si="495"/>
        <v>9.4147496220904952</v>
      </c>
      <c r="FI7" s="151">
        <f t="shared" si="496"/>
        <v>11.188229088799185</v>
      </c>
      <c r="FJ7" s="151">
        <f t="shared" si="87"/>
        <v>13.148855336736816</v>
      </c>
      <c r="FK7" s="151">
        <f t="shared" si="88"/>
        <v>14.532159398870007</v>
      </c>
      <c r="FL7" s="151">
        <f t="shared" si="89"/>
        <v>15.882313621596639</v>
      </c>
      <c r="FM7" s="151">
        <f t="shared" si="90"/>
        <v>17.655697773564999</v>
      </c>
      <c r="FN7" s="163"/>
      <c r="FO7" s="164">
        <v>1.2</v>
      </c>
      <c r="FP7" s="151">
        <f t="shared" si="91"/>
        <v>5.26966249600558</v>
      </c>
      <c r="FQ7" s="151">
        <f t="shared" si="92"/>
        <v>5.7670665692833412</v>
      </c>
      <c r="FR7" s="151">
        <f t="shared" si="93"/>
        <v>6.2369639024229073</v>
      </c>
      <c r="FS7" s="151">
        <f t="shared" si="497"/>
        <v>6.8324786471906425</v>
      </c>
      <c r="FT7" s="151">
        <f t="shared" si="498"/>
        <v>7.9723274529516175</v>
      </c>
      <c r="FU7" s="134">
        <f t="shared" si="499"/>
        <v>9.4994564078560835</v>
      </c>
      <c r="FV7" s="151">
        <f t="shared" si="500"/>
        <v>11.359992249650588</v>
      </c>
      <c r="FW7" s="151">
        <f t="shared" si="94"/>
        <v>13.380045038556402</v>
      </c>
      <c r="FX7" s="151">
        <f t="shared" si="95"/>
        <v>14.781449696610412</v>
      </c>
      <c r="FY7" s="151">
        <f t="shared" si="96"/>
        <v>16.130344898667417</v>
      </c>
      <c r="FZ7" s="151">
        <f t="shared" si="97"/>
        <v>17.874171132444218</v>
      </c>
      <c r="GA7" s="163"/>
      <c r="GB7" s="164">
        <v>1.2</v>
      </c>
      <c r="GC7" s="151">
        <f t="shared" si="98"/>
        <v>5.5187442750831197</v>
      </c>
      <c r="GD7" s="151">
        <f t="shared" si="99"/>
        <v>6.0271729451592826</v>
      </c>
      <c r="GE7" s="151">
        <f t="shared" si="100"/>
        <v>6.506983916458517</v>
      </c>
      <c r="GF7" s="151">
        <f t="shared" si="501"/>
        <v>7.1144716197567357</v>
      </c>
      <c r="GG7" s="151">
        <f t="shared" si="502"/>
        <v>8.2757659278742626</v>
      </c>
      <c r="GH7" s="134">
        <f t="shared" si="503"/>
        <v>9.8294223888100092</v>
      </c>
      <c r="GI7" s="151">
        <f t="shared" si="504"/>
        <v>11.720075752160415</v>
      </c>
      <c r="GJ7" s="151">
        <f t="shared" si="101"/>
        <v>13.771256366631651</v>
      </c>
      <c r="GK7" s="151">
        <f t="shared" si="102"/>
        <v>15.193759913059377</v>
      </c>
      <c r="GL7" s="151">
        <f t="shared" si="103"/>
        <v>16.562808051715017</v>
      </c>
      <c r="GM7" s="151">
        <f t="shared" si="104"/>
        <v>18.332690316329217</v>
      </c>
      <c r="GN7" s="163"/>
      <c r="GO7" s="164">
        <v>1.2</v>
      </c>
      <c r="GP7" s="151">
        <f t="shared" si="105"/>
        <v>0.28932128950468322</v>
      </c>
      <c r="GQ7" s="151">
        <f t="shared" si="106"/>
        <v>0.34470612346992641</v>
      </c>
      <c r="GR7" s="151">
        <f t="shared" si="107"/>
        <v>0.38570663293735014</v>
      </c>
      <c r="GS7" s="151">
        <f t="shared" si="505"/>
        <v>0.42787200518348939</v>
      </c>
      <c r="GT7" s="151">
        <f t="shared" si="506"/>
        <v>0.48978366080794838</v>
      </c>
      <c r="GU7" s="134">
        <f t="shared" si="507"/>
        <v>0.55021721076622399</v>
      </c>
      <c r="GV7" s="151">
        <f t="shared" si="508"/>
        <v>0.60431610794922963</v>
      </c>
      <c r="GW7" s="151">
        <f t="shared" si="108"/>
        <v>0.64881525780307769</v>
      </c>
      <c r="GX7" s="151">
        <f t="shared" si="109"/>
        <v>0.67400360920331115</v>
      </c>
      <c r="GY7" s="151">
        <f t="shared" si="110"/>
        <v>0.69506916857562906</v>
      </c>
      <c r="GZ7" s="151">
        <f t="shared" si="111"/>
        <v>0.7187416860631024</v>
      </c>
      <c r="HA7" s="163"/>
      <c r="HB7" s="164">
        <v>1.2</v>
      </c>
      <c r="HC7" s="151">
        <f t="shared" si="112"/>
        <v>0.29056094129615662</v>
      </c>
      <c r="HD7" s="151">
        <f t="shared" si="113"/>
        <v>0.34346016407926699</v>
      </c>
      <c r="HE7" s="151">
        <f t="shared" si="114"/>
        <v>0.38295519799234951</v>
      </c>
      <c r="HF7" s="151">
        <f t="shared" si="509"/>
        <v>0.42378512364526683</v>
      </c>
      <c r="HG7" s="151">
        <f t="shared" si="510"/>
        <v>0.48402751193613358</v>
      </c>
      <c r="HH7" s="134">
        <f t="shared" si="511"/>
        <v>0.54308234585834081</v>
      </c>
      <c r="HI7" s="151">
        <f t="shared" si="512"/>
        <v>0.59610733332930232</v>
      </c>
      <c r="HJ7" s="151">
        <f t="shared" si="115"/>
        <v>0.63981493229133435</v>
      </c>
      <c r="HK7" s="151">
        <f t="shared" si="116"/>
        <v>0.66458689836867091</v>
      </c>
      <c r="HL7" s="151">
        <f t="shared" si="117"/>
        <v>0.68532013434367278</v>
      </c>
      <c r="HM7" s="151">
        <f t="shared" si="118"/>
        <v>0.70863529665236091</v>
      </c>
      <c r="HN7" s="163"/>
      <c r="HO7" s="164">
        <v>1.2</v>
      </c>
      <c r="HP7" s="151">
        <f t="shared" si="119"/>
        <v>0.27771437914960095</v>
      </c>
      <c r="HQ7" s="151">
        <f t="shared" si="120"/>
        <v>0.33704542753647321</v>
      </c>
      <c r="HR7" s="151">
        <f t="shared" si="121"/>
        <v>0.38024641283629235</v>
      </c>
      <c r="HS7" s="151">
        <f t="shared" si="513"/>
        <v>0.42425006424581824</v>
      </c>
      <c r="HT7" s="151">
        <f t="shared" si="514"/>
        <v>0.4883121803823165</v>
      </c>
      <c r="HU7" s="134">
        <f t="shared" si="515"/>
        <v>0.55039831766717762</v>
      </c>
      <c r="HV7" s="151">
        <f t="shared" si="516"/>
        <v>0.60570533561572881</v>
      </c>
      <c r="HW7" s="151">
        <f t="shared" si="122"/>
        <v>0.65104904312729972</v>
      </c>
      <c r="HX7" s="151">
        <f t="shared" si="123"/>
        <v>0.67666544400810513</v>
      </c>
      <c r="HY7" s="151">
        <f t="shared" si="124"/>
        <v>0.69806435420665924</v>
      </c>
      <c r="HZ7" s="151">
        <f t="shared" si="125"/>
        <v>0.72208690165463896</v>
      </c>
      <c r="IA7" s="163"/>
      <c r="IB7" s="164">
        <v>1.2</v>
      </c>
      <c r="IC7" s="151">
        <f t="shared" si="126"/>
        <v>0.21958952803080006</v>
      </c>
      <c r="ID7" s="151">
        <f t="shared" si="127"/>
        <v>0.25572890977875229</v>
      </c>
      <c r="IE7" s="151">
        <f t="shared" si="128"/>
        <v>0.27868363803998353</v>
      </c>
      <c r="IF7" s="151">
        <f t="shared" si="517"/>
        <v>0.30017497006959376</v>
      </c>
      <c r="IG7" s="151">
        <f t="shared" si="518"/>
        <v>0.32900222115534689</v>
      </c>
      <c r="IH7" s="134">
        <f t="shared" si="519"/>
        <v>0.35486325877413838</v>
      </c>
      <c r="II7" s="151">
        <f t="shared" si="520"/>
        <v>0.37656980358107128</v>
      </c>
      <c r="IJ7" s="151">
        <f t="shared" si="129"/>
        <v>0.3935955403001164</v>
      </c>
      <c r="IK7" s="151">
        <f t="shared" si="130"/>
        <v>0.40294532586068282</v>
      </c>
      <c r="IL7" s="151">
        <f t="shared" si="131"/>
        <v>0.41061965061733074</v>
      </c>
      <c r="IM7" s="151">
        <f t="shared" si="132"/>
        <v>0.41909636666827749</v>
      </c>
      <c r="IN7" s="163"/>
      <c r="IO7" s="164">
        <v>1.2</v>
      </c>
      <c r="IP7" s="151">
        <f t="shared" si="133"/>
        <v>0.22085880626757393</v>
      </c>
      <c r="IQ7" s="151">
        <f t="shared" si="134"/>
        <v>0.25511203202554417</v>
      </c>
      <c r="IR7" s="151">
        <f t="shared" si="135"/>
        <v>0.277255690467481</v>
      </c>
      <c r="IS7" s="151">
        <f t="shared" si="521"/>
        <v>0.29816659415466557</v>
      </c>
      <c r="IT7" s="151">
        <f t="shared" si="522"/>
        <v>0.32640982901156768</v>
      </c>
      <c r="IU7" s="134">
        <f t="shared" si="523"/>
        <v>0.35188538478144193</v>
      </c>
      <c r="IV7" s="151">
        <f t="shared" si="524"/>
        <v>0.37334411801259215</v>
      </c>
      <c r="IW7" s="151">
        <f t="shared" si="136"/>
        <v>0.39021427173168011</v>
      </c>
      <c r="IX7" s="151">
        <f t="shared" si="137"/>
        <v>0.39949107862946476</v>
      </c>
      <c r="IY7" s="151">
        <f t="shared" si="138"/>
        <v>0.40711146968317985</v>
      </c>
      <c r="IZ7" s="151">
        <f t="shared" si="139"/>
        <v>0.41553443311634286</v>
      </c>
      <c r="JA7" s="163"/>
      <c r="JB7" s="164">
        <v>1.2</v>
      </c>
      <c r="JC7" s="151">
        <f t="shared" si="140"/>
        <v>0.21025472643992121</v>
      </c>
      <c r="JD7" s="151">
        <f t="shared" si="141"/>
        <v>0.25095208050845863</v>
      </c>
      <c r="JE7" s="151">
        <f t="shared" si="142"/>
        <v>0.27567967175029562</v>
      </c>
      <c r="JF7" s="151">
        <f t="shared" si="525"/>
        <v>0.29837600438217987</v>
      </c>
      <c r="JG7" s="151">
        <f t="shared" si="526"/>
        <v>0.32836200321621556</v>
      </c>
      <c r="JH7" s="134">
        <f t="shared" si="527"/>
        <v>0.35495724767808173</v>
      </c>
      <c r="JI7" s="151">
        <f t="shared" si="528"/>
        <v>0.37712218767305195</v>
      </c>
      <c r="JJ7" s="151">
        <f t="shared" si="143"/>
        <v>0.39443003352279649</v>
      </c>
      <c r="JK7" s="151">
        <f t="shared" si="144"/>
        <v>0.40391061114836901</v>
      </c>
      <c r="JL7" s="151">
        <f t="shared" si="145"/>
        <v>0.41168097200836257</v>
      </c>
      <c r="JM7" s="151">
        <f t="shared" si="146"/>
        <v>0.42025289089565471</v>
      </c>
      <c r="JN7" s="163"/>
      <c r="JO7" s="164">
        <v>1.1000000000000001</v>
      </c>
      <c r="JP7" s="151">
        <f t="shared" si="147"/>
        <v>-3.2984767222717366</v>
      </c>
      <c r="JQ7" s="151">
        <f t="shared" si="148"/>
        <v>-2.4383623171663302</v>
      </c>
      <c r="JR7" s="151">
        <f t="shared" si="149"/>
        <v>-1.6929514522416369</v>
      </c>
      <c r="JS7" s="151">
        <f t="shared" si="529"/>
        <v>-0.82721742856033487</v>
      </c>
      <c r="JT7" s="151">
        <f t="shared" si="530"/>
        <v>0.63155732167256673</v>
      </c>
      <c r="JU7" s="134">
        <f t="shared" si="531"/>
        <v>2.2781205792247654</v>
      </c>
      <c r="JV7" s="151">
        <f t="shared" si="532"/>
        <v>3.9454531748915542</v>
      </c>
      <c r="JW7" s="151">
        <f t="shared" si="150"/>
        <v>5.4582929778585161</v>
      </c>
      <c r="JX7" s="151">
        <f t="shared" si="151"/>
        <v>6.3725868854983219</v>
      </c>
      <c r="JY7" s="151">
        <f t="shared" si="152"/>
        <v>7.1699827880744387</v>
      </c>
      <c r="JZ7" s="151">
        <f t="shared" si="153"/>
        <v>8.1021443752468372</v>
      </c>
      <c r="KA7" s="163"/>
      <c r="KB7" s="164">
        <v>1.1000000000000001</v>
      </c>
      <c r="KC7" s="151">
        <f t="shared" si="154"/>
        <v>-2.1314603439997732</v>
      </c>
      <c r="KD7" s="151">
        <f t="shared" si="155"/>
        <v>-1.4020138396680615</v>
      </c>
      <c r="KE7" s="151">
        <f t="shared" si="156"/>
        <v>-0.76157398585264957</v>
      </c>
      <c r="KF7" s="151">
        <f t="shared" si="533"/>
        <v>-8.5292216012433641E-3</v>
      </c>
      <c r="KG7" s="151">
        <f t="shared" si="534"/>
        <v>1.2816715599864619</v>
      </c>
      <c r="KH7" s="134">
        <f t="shared" si="535"/>
        <v>2.7681606292787269</v>
      </c>
      <c r="KI7" s="151">
        <f t="shared" si="536"/>
        <v>4.3038504585372035</v>
      </c>
      <c r="KJ7" s="151">
        <f t="shared" si="157"/>
        <v>5.7220942199390397</v>
      </c>
      <c r="KK7" s="151">
        <f t="shared" si="158"/>
        <v>6.5901042300623924</v>
      </c>
      <c r="KL7" s="151">
        <f t="shared" si="159"/>
        <v>7.3535769036601142</v>
      </c>
      <c r="KM7" s="151">
        <f t="shared" si="160"/>
        <v>8.2534668708444396</v>
      </c>
      <c r="KN7" s="163"/>
      <c r="KO7" s="164">
        <v>1.2</v>
      </c>
      <c r="KP7" s="151">
        <f t="shared" si="161"/>
        <v>-5.3495703324335455</v>
      </c>
      <c r="KQ7" s="151">
        <f t="shared" si="162"/>
        <v>-4.2751008314302545</v>
      </c>
      <c r="KR7" s="151">
        <f t="shared" si="163"/>
        <v>-3.3543122201772526</v>
      </c>
      <c r="KS7" s="151">
        <f t="shared" si="537"/>
        <v>-2.296258995315771</v>
      </c>
      <c r="KT7" s="151">
        <f t="shared" si="538"/>
        <v>-0.53910150545282676</v>
      </c>
      <c r="KU7" s="134">
        <f t="shared" si="539"/>
        <v>1.4088183747248557</v>
      </c>
      <c r="KV7" s="151">
        <f t="shared" si="540"/>
        <v>3.3466180707397513</v>
      </c>
      <c r="KW7" s="151">
        <f t="shared" si="164"/>
        <v>5.0773229378438209</v>
      </c>
      <c r="KX7" s="151">
        <f t="shared" si="165"/>
        <v>6.1114804603108226</v>
      </c>
      <c r="KY7" s="151">
        <f t="shared" si="166"/>
        <v>7.0065406808431838</v>
      </c>
      <c r="KZ7" s="151">
        <f t="shared" si="167"/>
        <v>8.0450930728309373</v>
      </c>
      <c r="LA7" s="163"/>
      <c r="LB7" s="164">
        <v>1.1000000000000001</v>
      </c>
      <c r="LC7" s="151">
        <f t="shared" si="168"/>
        <v>-12.459747268084538</v>
      </c>
      <c r="LD7" s="151">
        <f t="shared" si="169"/>
        <v>-9.0371155818569271</v>
      </c>
      <c r="LE7" s="151">
        <f t="shared" si="170"/>
        <v>-6.0199274404136354</v>
      </c>
      <c r="LF7" s="151">
        <f t="shared" si="541"/>
        <v>-2.4625516384371124</v>
      </c>
      <c r="LG7" s="151">
        <f t="shared" si="542"/>
        <v>3.6456563654752188</v>
      </c>
      <c r="LH7" s="134">
        <f t="shared" si="543"/>
        <v>10.688494798823974</v>
      </c>
      <c r="LI7" s="151">
        <f t="shared" si="544"/>
        <v>17.956720861304326</v>
      </c>
      <c r="LJ7" s="151">
        <f t="shared" si="171"/>
        <v>24.654237398046504</v>
      </c>
      <c r="LK7" s="151">
        <f t="shared" si="172"/>
        <v>28.744227013465995</v>
      </c>
      <c r="LL7" s="151">
        <f t="shared" si="173"/>
        <v>32.335226788100492</v>
      </c>
      <c r="LM7" s="151">
        <f t="shared" si="174"/>
        <v>36.55964902659688</v>
      </c>
      <c r="LN7" s="163"/>
      <c r="LO7" s="164">
        <v>1.1000000000000001</v>
      </c>
      <c r="LP7" s="151">
        <f t="shared" si="175"/>
        <v>-10.473888663697437</v>
      </c>
      <c r="LQ7" s="151">
        <f t="shared" si="176"/>
        <v>-7.189437184481438</v>
      </c>
      <c r="LR7" s="151">
        <f t="shared" si="177"/>
        <v>-4.2784486018792087</v>
      </c>
      <c r="LS7" s="151">
        <f t="shared" si="545"/>
        <v>-0.82997072025831642</v>
      </c>
      <c r="LT7" s="151">
        <f t="shared" si="546"/>
        <v>5.1265768297412002</v>
      </c>
      <c r="LU7" s="134">
        <f t="shared" si="547"/>
        <v>12.041139129059342</v>
      </c>
      <c r="LV7" s="151">
        <f t="shared" si="548"/>
        <v>19.220631937863775</v>
      </c>
      <c r="LW7" s="151">
        <f t="shared" si="178"/>
        <v>25.869859155489909</v>
      </c>
      <c r="LX7" s="151">
        <f t="shared" si="179"/>
        <v>29.944360651769227</v>
      </c>
      <c r="LY7" s="151">
        <f t="shared" si="180"/>
        <v>33.529789947055619</v>
      </c>
      <c r="LZ7" s="151">
        <f t="shared" si="181"/>
        <v>37.7566570510171</v>
      </c>
      <c r="MA7" s="163"/>
      <c r="MB7" s="164">
        <v>1.2</v>
      </c>
      <c r="MC7" s="151">
        <f t="shared" si="182"/>
        <v>-16.466910282176993</v>
      </c>
      <c r="MD7" s="151">
        <f t="shared" si="183"/>
        <v>-12.923491376846926</v>
      </c>
      <c r="ME7" s="151">
        <f t="shared" si="184"/>
        <v>-9.8209325909365397</v>
      </c>
      <c r="MF7" s="151">
        <f t="shared" si="549"/>
        <v>-6.1870540705398085</v>
      </c>
      <c r="MG7" s="151">
        <f t="shared" si="550"/>
        <v>-4.1097488461474541E-3</v>
      </c>
      <c r="MH7" s="134">
        <f t="shared" si="551"/>
        <v>7.0445382366419196</v>
      </c>
      <c r="MI7" s="151">
        <f t="shared" si="552"/>
        <v>14.238631997618945</v>
      </c>
      <c r="MJ7" s="151">
        <f t="shared" si="185"/>
        <v>20.803588910565288</v>
      </c>
      <c r="MK7" s="151">
        <f t="shared" si="186"/>
        <v>24.784986121688114</v>
      </c>
      <c r="ML7" s="151">
        <f t="shared" si="187"/>
        <v>28.264509367844447</v>
      </c>
      <c r="MM7" s="151">
        <f t="shared" si="188"/>
        <v>32.339491341558023</v>
      </c>
      <c r="MN7" s="163"/>
      <c r="MO7" s="164">
        <v>1.1000000000000001</v>
      </c>
      <c r="MP7" s="151">
        <f t="shared" si="189"/>
        <v>-6.4899210130665494</v>
      </c>
      <c r="MQ7" s="151">
        <f t="shared" si="190"/>
        <v>-2.8392573995483872</v>
      </c>
      <c r="MR7" s="151">
        <f t="shared" si="191"/>
        <v>0.31059347896699308</v>
      </c>
      <c r="MS7" s="151">
        <f t="shared" si="553"/>
        <v>3.9527337953539075</v>
      </c>
      <c r="MT7" s="151">
        <f t="shared" si="554"/>
        <v>10.051228120673024</v>
      </c>
      <c r="MU7" s="134">
        <f t="shared" si="555"/>
        <v>16.878435935252945</v>
      </c>
      <c r="MV7" s="151">
        <f t="shared" si="556"/>
        <v>23.733511330538576</v>
      </c>
      <c r="MW7" s="151">
        <f t="shared" si="192"/>
        <v>29.905083078592661</v>
      </c>
      <c r="MX7" s="151">
        <f t="shared" si="193"/>
        <v>33.613543638781614</v>
      </c>
      <c r="MY7" s="151">
        <f t="shared" si="194"/>
        <v>36.835145503243119</v>
      </c>
      <c r="MZ7" s="151">
        <f t="shared" si="195"/>
        <v>40.586612106113385</v>
      </c>
      <c r="NA7" s="163"/>
      <c r="NB7" s="164">
        <v>1.1000000000000001</v>
      </c>
      <c r="NC7" s="151">
        <f t="shared" si="196"/>
        <v>-2.465767841363288</v>
      </c>
      <c r="ND7" s="151">
        <f t="shared" si="197"/>
        <v>1.1399521958916523</v>
      </c>
      <c r="NE7" s="151">
        <f t="shared" si="198"/>
        <v>4.2569718841912625</v>
      </c>
      <c r="NF7" s="151">
        <f t="shared" si="557"/>
        <v>7.8671706450665546</v>
      </c>
      <c r="NG7" s="151">
        <f t="shared" si="558"/>
        <v>13.924736707366083</v>
      </c>
      <c r="NH7" s="134">
        <f t="shared" si="559"/>
        <v>20.722052014935972</v>
      </c>
      <c r="NI7" s="151">
        <f t="shared" si="560"/>
        <v>27.561479573735415</v>
      </c>
      <c r="NJ7" s="151">
        <f t="shared" si="199"/>
        <v>33.729638280900289</v>
      </c>
      <c r="NK7" s="151">
        <f t="shared" si="200"/>
        <v>37.440416969136052</v>
      </c>
      <c r="NL7" s="151">
        <f t="shared" si="201"/>
        <v>40.666497915402502</v>
      </c>
      <c r="NM7" s="151">
        <f t="shared" si="202"/>
        <v>44.425905659876804</v>
      </c>
      <c r="NN7" s="163"/>
      <c r="NO7" s="164">
        <v>1.2</v>
      </c>
      <c r="NP7" s="151">
        <f t="shared" si="203"/>
        <v>-12.376909091863581</v>
      </c>
      <c r="NQ7" s="151">
        <f t="shared" si="204"/>
        <v>-8.6293972098974585</v>
      </c>
      <c r="NR7" s="151">
        <f t="shared" si="205"/>
        <v>-5.4043366244803899</v>
      </c>
      <c r="NS7" s="151">
        <f t="shared" si="561"/>
        <v>-1.6840073943485052</v>
      </c>
      <c r="NT7" s="151">
        <f t="shared" si="562"/>
        <v>4.5264374296979781</v>
      </c>
      <c r="NU7" s="134">
        <f t="shared" si="563"/>
        <v>11.45401057531501</v>
      </c>
      <c r="NV7" s="151">
        <f t="shared" si="564"/>
        <v>18.386556328776557</v>
      </c>
      <c r="NW7" s="151">
        <f t="shared" si="206"/>
        <v>24.6100879458874</v>
      </c>
      <c r="NX7" s="151">
        <f t="shared" si="207"/>
        <v>28.342356202862298</v>
      </c>
      <c r="NY7" s="151">
        <f t="shared" si="208"/>
        <v>31.580405190438107</v>
      </c>
      <c r="NZ7" s="151">
        <f t="shared" si="209"/>
        <v>35.346301644845703</v>
      </c>
      <c r="OA7" s="163"/>
      <c r="OB7" s="164">
        <v>1.1000000000000001</v>
      </c>
      <c r="OC7" s="151">
        <f t="shared" si="210"/>
        <v>10.731873868128341</v>
      </c>
      <c r="OD7" s="151">
        <f t="shared" si="211"/>
        <v>11.793594165907272</v>
      </c>
      <c r="OE7" s="151">
        <f t="shared" si="212"/>
        <v>12.786922156591128</v>
      </c>
      <c r="OF7" s="151">
        <f t="shared" si="565"/>
        <v>14.032126814140028</v>
      </c>
      <c r="OG7" s="151">
        <f t="shared" si="566"/>
        <v>16.373117128315215</v>
      </c>
      <c r="OH7" s="134">
        <f t="shared" si="567"/>
        <v>19.424848699924137</v>
      </c>
      <c r="OI7" s="151">
        <f t="shared" si="568"/>
        <v>23.019980686149971</v>
      </c>
      <c r="OJ7" s="151">
        <f t="shared" si="213"/>
        <v>26.783525214026138</v>
      </c>
      <c r="OK7" s="151">
        <f t="shared" si="214"/>
        <v>29.316291956640665</v>
      </c>
      <c r="OL7" s="151">
        <f t="shared" si="215"/>
        <v>31.698317313332225</v>
      </c>
      <c r="OM7" s="151">
        <f t="shared" si="216"/>
        <v>34.702256655505828</v>
      </c>
      <c r="ON7" s="163"/>
      <c r="OO7" s="164">
        <v>1.1000000000000001</v>
      </c>
      <c r="OP7" s="151">
        <f t="shared" si="217"/>
        <v>10.005733067278218</v>
      </c>
      <c r="OQ7" s="151">
        <f t="shared" si="218"/>
        <v>11.052402696356554</v>
      </c>
      <c r="OR7" s="151">
        <f t="shared" si="219"/>
        <v>12.043296428105174</v>
      </c>
      <c r="OS7" s="151">
        <f t="shared" si="569"/>
        <v>13.301003568692533</v>
      </c>
      <c r="OT7" s="151">
        <f t="shared" si="570"/>
        <v>15.710958476687585</v>
      </c>
      <c r="OU7" s="134">
        <f t="shared" si="571"/>
        <v>18.938106280799644</v>
      </c>
      <c r="OV7" s="151">
        <f t="shared" si="572"/>
        <v>22.857837542932806</v>
      </c>
      <c r="OW7" s="151">
        <f t="shared" si="220"/>
        <v>27.090775855326029</v>
      </c>
      <c r="OX7" s="151">
        <f t="shared" si="221"/>
        <v>30.010728645194625</v>
      </c>
      <c r="OY7" s="151">
        <f t="shared" si="222"/>
        <v>32.80737559918196</v>
      </c>
      <c r="OZ7" s="151">
        <f t="shared" si="223"/>
        <v>36.401876657058004</v>
      </c>
      <c r="PA7" s="163"/>
      <c r="PB7" s="164">
        <v>1.2</v>
      </c>
      <c r="PC7" s="151">
        <f t="shared" si="224"/>
        <v>12.13680770637151</v>
      </c>
      <c r="PD7" s="151">
        <f t="shared" si="225"/>
        <v>13.45270451463014</v>
      </c>
      <c r="PE7" s="151">
        <f t="shared" si="226"/>
        <v>14.6794685008794</v>
      </c>
      <c r="PF7" s="151">
        <f t="shared" si="573"/>
        <v>16.210502794642775</v>
      </c>
      <c r="PG7" s="151">
        <f t="shared" si="574"/>
        <v>19.066269463091174</v>
      </c>
      <c r="PH7" s="134">
        <f t="shared" si="575"/>
        <v>22.741942005250188</v>
      </c>
      <c r="PI7" s="151">
        <f t="shared" si="576"/>
        <v>27.002504227380133</v>
      </c>
      <c r="PJ7" s="151">
        <f t="shared" si="227"/>
        <v>31.383859073134374</v>
      </c>
      <c r="PK7" s="151">
        <f t="shared" si="228"/>
        <v>34.288862448324736</v>
      </c>
      <c r="PL7" s="151">
        <f t="shared" si="229"/>
        <v>36.990368545924284</v>
      </c>
      <c r="PM7" s="151">
        <f t="shared" si="230"/>
        <v>40.356656168276125</v>
      </c>
      <c r="PN7" s="163"/>
      <c r="PO7" s="164">
        <v>1.1000000000000001</v>
      </c>
      <c r="PP7" s="151">
        <f t="shared" si="231"/>
        <v>5.7106648992015092</v>
      </c>
      <c r="PQ7" s="151">
        <f t="shared" si="232"/>
        <v>6.256967167618499</v>
      </c>
      <c r="PR7" s="151">
        <f t="shared" si="233"/>
        <v>6.7600334528104167</v>
      </c>
      <c r="PS7" s="151">
        <f t="shared" si="577"/>
        <v>7.3802423535583577</v>
      </c>
      <c r="PT7" s="151">
        <f t="shared" si="578"/>
        <v>8.5170631786562101</v>
      </c>
      <c r="PU7" s="134">
        <f t="shared" si="579"/>
        <v>9.947400390379908</v>
      </c>
      <c r="PV7" s="151">
        <f t="shared" si="580"/>
        <v>11.56664664410019</v>
      </c>
      <c r="PW7" s="151">
        <f t="shared" si="234"/>
        <v>13.195432494731202</v>
      </c>
      <c r="PX7" s="151">
        <f t="shared" si="235"/>
        <v>14.257766132561425</v>
      </c>
      <c r="PY7" s="151">
        <f t="shared" si="236"/>
        <v>15.234398682439924</v>
      </c>
      <c r="PZ7" s="151">
        <f t="shared" si="237"/>
        <v>16.437445861487788</v>
      </c>
      <c r="QA7" s="163"/>
      <c r="QB7" s="164">
        <v>1.1000000000000001</v>
      </c>
      <c r="QC7" s="151">
        <f t="shared" si="238"/>
        <v>6.0655999289941551</v>
      </c>
      <c r="QD7" s="151">
        <f t="shared" si="239"/>
        <v>6.5663267780842398</v>
      </c>
      <c r="QE7" s="151">
        <f t="shared" si="240"/>
        <v>7.0276994766413701</v>
      </c>
      <c r="QF7" s="151">
        <f t="shared" si="581"/>
        <v>7.5972819902515631</v>
      </c>
      <c r="QG7" s="151">
        <f t="shared" si="582"/>
        <v>8.6447134044983063</v>
      </c>
      <c r="QH7" s="134">
        <f t="shared" si="583"/>
        <v>9.9709702653228511</v>
      </c>
      <c r="QI7" s="151">
        <f t="shared" si="584"/>
        <v>11.486079596027416</v>
      </c>
      <c r="QJ7" s="151">
        <f t="shared" si="241"/>
        <v>13.026508973020947</v>
      </c>
      <c r="QK7" s="151">
        <f t="shared" si="242"/>
        <v>14.040595885444066</v>
      </c>
      <c r="QL7" s="151">
        <f t="shared" si="243"/>
        <v>14.979602754746598</v>
      </c>
      <c r="QM7" s="151">
        <f t="shared" si="244"/>
        <v>16.145306888307175</v>
      </c>
      <c r="QN7" s="163"/>
      <c r="QO7" s="164">
        <v>1.2</v>
      </c>
      <c r="QP7" s="151">
        <f t="shared" si="245"/>
        <v>5.6918220944764144</v>
      </c>
      <c r="QQ7" s="151">
        <f t="shared" si="246"/>
        <v>6.3619607283762116</v>
      </c>
      <c r="QR7" s="151">
        <f t="shared" si="247"/>
        <v>6.9791614312388868</v>
      </c>
      <c r="QS7" s="151">
        <f t="shared" si="585"/>
        <v>7.7393238466398273</v>
      </c>
      <c r="QT7" s="151">
        <f t="shared" si="586"/>
        <v>9.1281399452504797</v>
      </c>
      <c r="QU7" s="134">
        <f t="shared" si="587"/>
        <v>10.863394876331336</v>
      </c>
      <c r="QV7" s="151">
        <f t="shared" si="588"/>
        <v>12.807902823336665</v>
      </c>
      <c r="QW7" s="151">
        <f t="shared" si="248"/>
        <v>14.740667446625009</v>
      </c>
      <c r="QX7" s="151">
        <f t="shared" si="249"/>
        <v>15.988449901396789</v>
      </c>
      <c r="QY7" s="151">
        <f t="shared" si="250"/>
        <v>17.126674484489147</v>
      </c>
      <c r="QZ7" s="151">
        <f t="shared" si="251"/>
        <v>18.517211878396758</v>
      </c>
      <c r="RA7" s="163"/>
      <c r="RB7" s="164">
        <v>1.1000000000000001</v>
      </c>
      <c r="RC7" s="151">
        <f t="shared" si="252"/>
        <v>0.33167429641024948</v>
      </c>
      <c r="RD7" s="151">
        <f t="shared" si="253"/>
        <v>0.3539686234795173</v>
      </c>
      <c r="RE7" s="151">
        <f t="shared" si="254"/>
        <v>0.37453491475764306</v>
      </c>
      <c r="RF7" s="151">
        <f t="shared" si="589"/>
        <v>0.39998006479653764</v>
      </c>
      <c r="RG7" s="151">
        <f t="shared" si="590"/>
        <v>0.44700338710106896</v>
      </c>
      <c r="RH7" s="134">
        <f t="shared" si="591"/>
        <v>0.50711554334038256</v>
      </c>
      <c r="RI7" s="151">
        <f t="shared" si="592"/>
        <v>0.57675170216113669</v>
      </c>
      <c r="RJ7" s="151">
        <f t="shared" si="255"/>
        <v>0.64876259958125204</v>
      </c>
      <c r="RK7" s="151">
        <f t="shared" si="256"/>
        <v>0.69689286790041505</v>
      </c>
      <c r="RL7" s="151">
        <f t="shared" si="257"/>
        <v>0.7419995715824339</v>
      </c>
      <c r="RM7" s="151">
        <f t="shared" si="258"/>
        <v>0.79874413925449395</v>
      </c>
      <c r="RN7" s="163"/>
      <c r="RO7" s="164">
        <v>1.1000000000000001</v>
      </c>
      <c r="RP7" s="151">
        <f t="shared" si="259"/>
        <v>0.34751923944474783</v>
      </c>
      <c r="RQ7" s="151">
        <f t="shared" si="260"/>
        <v>0.36935371367658276</v>
      </c>
      <c r="RR7" s="151">
        <f t="shared" si="261"/>
        <v>0.38947829469219358</v>
      </c>
      <c r="RS7" s="151">
        <f t="shared" si="593"/>
        <v>0.41436033572782771</v>
      </c>
      <c r="RT7" s="151">
        <f t="shared" si="594"/>
        <v>0.46031619793692713</v>
      </c>
      <c r="RU7" s="134">
        <f t="shared" si="595"/>
        <v>0.51905851519609669</v>
      </c>
      <c r="RV7" s="151">
        <f t="shared" si="596"/>
        <v>0.58716349853664007</v>
      </c>
      <c r="RW7" s="151">
        <f t="shared" si="262"/>
        <v>0.6577117075855331</v>
      </c>
      <c r="RX7" s="151">
        <f t="shared" si="263"/>
        <v>0.70495517447700839</v>
      </c>
      <c r="RY7" s="151">
        <f t="shared" si="264"/>
        <v>0.74930753765818692</v>
      </c>
      <c r="RZ7" s="151">
        <f t="shared" si="265"/>
        <v>0.80521900091765564</v>
      </c>
      <c r="SA7" s="163"/>
      <c r="SB7" s="164">
        <v>1.2</v>
      </c>
      <c r="SC7" s="151">
        <f t="shared" si="266"/>
        <v>0.30433273312437209</v>
      </c>
      <c r="SD7" s="151">
        <f t="shared" si="267"/>
        <v>0.32699252309629129</v>
      </c>
      <c r="SE7" s="151">
        <f t="shared" si="268"/>
        <v>0.34784477914122358</v>
      </c>
      <c r="SF7" s="151">
        <f t="shared" si="597"/>
        <v>0.37356481253664853</v>
      </c>
      <c r="SG7" s="151">
        <f t="shared" si="598"/>
        <v>0.42083407148744223</v>
      </c>
      <c r="SH7" s="134">
        <f t="shared" si="599"/>
        <v>0.4807064277589585</v>
      </c>
      <c r="SI7" s="151">
        <f t="shared" si="600"/>
        <v>0.54922340230272126</v>
      </c>
      <c r="SJ7" s="151">
        <f t="shared" si="269"/>
        <v>0.61909041627861083</v>
      </c>
      <c r="SK7" s="151">
        <f t="shared" si="270"/>
        <v>0.6652237032694901</v>
      </c>
      <c r="SL7" s="151">
        <f t="shared" si="271"/>
        <v>0.70805093447127865</v>
      </c>
      <c r="SM7" s="151">
        <f t="shared" si="272"/>
        <v>0.76137405276818171</v>
      </c>
      <c r="SN7" s="163"/>
      <c r="SO7" s="164">
        <v>1.1000000000000001</v>
      </c>
      <c r="SP7" s="151">
        <f t="shared" si="273"/>
        <v>0.24727674314601908</v>
      </c>
      <c r="SQ7" s="151">
        <f t="shared" si="274"/>
        <v>0.26039597327725544</v>
      </c>
      <c r="SR7" s="151">
        <f t="shared" si="275"/>
        <v>0.27198551377482622</v>
      </c>
      <c r="SS7" s="151">
        <f t="shared" si="276"/>
        <v>0.28570120493590473</v>
      </c>
      <c r="ST7" s="151">
        <f t="shared" si="601"/>
        <v>0.30943058944538127</v>
      </c>
      <c r="SU7" s="134">
        <f t="shared" si="602"/>
        <v>0.33714186124521439</v>
      </c>
      <c r="SV7" s="151">
        <f t="shared" si="603"/>
        <v>0.366198233221249</v>
      </c>
      <c r="SW7" s="151">
        <f t="shared" si="280"/>
        <v>0.39342368648870923</v>
      </c>
      <c r="SX7" s="151">
        <f t="shared" si="281"/>
        <v>0.41027281070148208</v>
      </c>
      <c r="SY7" s="151">
        <f t="shared" si="282"/>
        <v>0.42520980775253664</v>
      </c>
      <c r="SZ7" s="151">
        <f t="shared" si="283"/>
        <v>0.44295636005408406</v>
      </c>
      <c r="TA7" s="163"/>
      <c r="TB7" s="164">
        <v>1.1000000000000001</v>
      </c>
      <c r="TC7" s="151">
        <f t="shared" si="284"/>
        <v>0.2576960883133918</v>
      </c>
      <c r="TD7" s="151">
        <f t="shared" si="285"/>
        <v>0.26964745078879993</v>
      </c>
      <c r="TE7" s="151">
        <f t="shared" si="286"/>
        <v>0.28028905576156216</v>
      </c>
      <c r="TF7" s="151">
        <f t="shared" si="604"/>
        <v>0.29298631423719712</v>
      </c>
      <c r="TG7" s="151">
        <f t="shared" si="605"/>
        <v>0.31522349160692814</v>
      </c>
      <c r="TH7" s="134">
        <f t="shared" si="606"/>
        <v>0.34163342330425456</v>
      </c>
      <c r="TI7" s="151">
        <f t="shared" si="607"/>
        <v>0.36984496583178811</v>
      </c>
      <c r="TJ7" s="151">
        <f t="shared" si="287"/>
        <v>0.39676791969775854</v>
      </c>
      <c r="TK7" s="151">
        <f t="shared" si="288"/>
        <v>0.41366882484194073</v>
      </c>
      <c r="TL7" s="151">
        <f t="shared" si="289"/>
        <v>0.4288052852051234</v>
      </c>
      <c r="TM7" s="151">
        <f t="shared" si="290"/>
        <v>0.4469770199815985</v>
      </c>
      <c r="TN7" s="163"/>
      <c r="TO7" s="164">
        <v>1.2</v>
      </c>
      <c r="TP7" s="151">
        <f t="shared" si="291"/>
        <v>0.23314615267213956</v>
      </c>
      <c r="TQ7" s="151">
        <f t="shared" si="292"/>
        <v>0.24642615132019088</v>
      </c>
      <c r="TR7" s="151">
        <f t="shared" si="293"/>
        <v>0.2581799818173533</v>
      </c>
      <c r="TS7" s="151">
        <f t="shared" si="608"/>
        <v>0.27211529791124761</v>
      </c>
      <c r="TT7" s="151">
        <f t="shared" si="609"/>
        <v>0.29628404511677903</v>
      </c>
      <c r="TU7" s="134">
        <f t="shared" si="610"/>
        <v>0.32459438294031961</v>
      </c>
      <c r="TV7" s="151">
        <f t="shared" si="611"/>
        <v>0.35436728703347997</v>
      </c>
      <c r="TW7" s="151">
        <f t="shared" si="294"/>
        <v>0.38233736971952498</v>
      </c>
      <c r="TX7" s="151">
        <f t="shared" si="295"/>
        <v>0.39967967074376365</v>
      </c>
      <c r="TY7" s="151">
        <f t="shared" si="296"/>
        <v>0.41507314117454952</v>
      </c>
      <c r="TZ7" s="151">
        <f t="shared" si="297"/>
        <v>0.43338426821987425</v>
      </c>
      <c r="UA7" s="163"/>
      <c r="UB7" s="164">
        <v>1.1000000000000001</v>
      </c>
      <c r="UC7" s="151">
        <f t="shared" si="298"/>
        <v>-18.345991049890429</v>
      </c>
      <c r="UD7" s="151">
        <f t="shared" si="299"/>
        <v>-16.269746534842504</v>
      </c>
      <c r="UE7" s="151">
        <f t="shared" si="300"/>
        <v>-14.513983251298008</v>
      </c>
      <c r="UF7" s="151">
        <f t="shared" si="612"/>
        <v>-12.521601838435942</v>
      </c>
      <c r="UG7" s="151">
        <f t="shared" si="613"/>
        <v>-9.267847747736127</v>
      </c>
      <c r="UH7" s="134">
        <f t="shared" si="614"/>
        <v>-5.7343717520786015</v>
      </c>
      <c r="UI7" s="151">
        <f t="shared" si="615"/>
        <v>-2.288746688134303</v>
      </c>
      <c r="UJ7" s="151">
        <f t="shared" si="301"/>
        <v>0.73516073158116058</v>
      </c>
      <c r="UK7" s="151">
        <f t="shared" si="302"/>
        <v>2.5196421172329622</v>
      </c>
      <c r="UL7" s="151">
        <f t="shared" si="303"/>
        <v>4.051273972950554</v>
      </c>
      <c r="UM7" s="151">
        <f t="shared" si="304"/>
        <v>5.8141332543124093</v>
      </c>
      <c r="UN7" s="163"/>
      <c r="UO7" s="164">
        <v>1.1000000000000001</v>
      </c>
      <c r="UP7" s="151">
        <f t="shared" si="305"/>
        <v>-15.55227413998421</v>
      </c>
      <c r="UQ7" s="151">
        <f t="shared" si="306"/>
        <v>-13.766433604071295</v>
      </c>
      <c r="UR7" s="151">
        <f t="shared" si="307"/>
        <v>-12.233045146236162</v>
      </c>
      <c r="US7" s="151">
        <f t="shared" si="616"/>
        <v>-10.467814815477343</v>
      </c>
      <c r="UT7" s="151">
        <f t="shared" si="617"/>
        <v>-7.5288925805653975</v>
      </c>
      <c r="UU7" s="134">
        <f t="shared" si="618"/>
        <v>-4.2608541627464369</v>
      </c>
      <c r="UV7" s="151">
        <f t="shared" si="619"/>
        <v>-0.99999712307575095</v>
      </c>
      <c r="UW7" s="151">
        <f t="shared" si="308"/>
        <v>1.9201106805459673</v>
      </c>
      <c r="UX7" s="151">
        <f t="shared" si="309"/>
        <v>3.6682892259201125</v>
      </c>
      <c r="UY7" s="151">
        <f t="shared" si="310"/>
        <v>5.1832558977993557</v>
      </c>
      <c r="UZ7" s="151">
        <f t="shared" si="311"/>
        <v>6.9432655986972449</v>
      </c>
      <c r="VA7" s="163"/>
      <c r="VB7" s="164">
        <v>1.2</v>
      </c>
      <c r="VC7" s="151">
        <f t="shared" si="312"/>
        <v>-21.914601779605334</v>
      </c>
      <c r="VD7" s="151">
        <f t="shared" si="313"/>
        <v>-19.376317252396319</v>
      </c>
      <c r="VE7" s="151">
        <f t="shared" si="314"/>
        <v>-17.265053295590214</v>
      </c>
      <c r="VF7" s="151">
        <f t="shared" si="620"/>
        <v>-14.904214742313656</v>
      </c>
      <c r="VG7" s="151">
        <f t="shared" si="621"/>
        <v>-11.119397534739591</v>
      </c>
      <c r="VH7" s="134">
        <f t="shared" si="622"/>
        <v>-7.0954524134855959</v>
      </c>
      <c r="VI7" s="151">
        <f t="shared" si="623"/>
        <v>-3.2460195142908717</v>
      </c>
      <c r="VJ7" s="151">
        <f t="shared" si="315"/>
        <v>7.9222440994726639E-2</v>
      </c>
      <c r="VK7" s="151">
        <f t="shared" si="316"/>
        <v>2.0204998769513338</v>
      </c>
      <c r="VL7" s="151">
        <f t="shared" si="317"/>
        <v>3.6751371607204817</v>
      </c>
      <c r="VM7" s="151">
        <f t="shared" si="318"/>
        <v>5.5670485515104247</v>
      </c>
      <c r="VN7" s="163"/>
      <c r="VO7" s="164">
        <v>1.1000000000000001</v>
      </c>
      <c r="VP7" s="151">
        <f t="shared" si="319"/>
        <v>-42.151128637403396</v>
      </c>
      <c r="VQ7" s="151">
        <f t="shared" si="320"/>
        <v>-39.014971211736771</v>
      </c>
      <c r="VR7" s="151">
        <f t="shared" si="321"/>
        <v>-36.094231562766225</v>
      </c>
      <c r="VS7" s="151">
        <f t="shared" si="624"/>
        <v>-32.478298505513997</v>
      </c>
      <c r="VT7" s="151">
        <f t="shared" si="625"/>
        <v>-25.873982270679587</v>
      </c>
      <c r="VU7" s="134">
        <f t="shared" si="626"/>
        <v>-17.701697147820227</v>
      </c>
      <c r="VV7" s="151">
        <f t="shared" si="627"/>
        <v>-8.7083051630774193</v>
      </c>
      <c r="VW7" s="151">
        <f t="shared" si="322"/>
        <v>3.4786984165869228E-2</v>
      </c>
      <c r="VX7" s="151">
        <f t="shared" si="323"/>
        <v>5.5734832740070885</v>
      </c>
      <c r="VY7" s="151">
        <f t="shared" si="324"/>
        <v>10.554632411123841</v>
      </c>
      <c r="VZ7" s="151">
        <f t="shared" si="325"/>
        <v>16.550175754832502</v>
      </c>
      <c r="WA7" s="163"/>
      <c r="WB7" s="164">
        <v>1.1000000000000001</v>
      </c>
      <c r="WC7" s="151">
        <f t="shared" si="326"/>
        <v>-38.118345459875414</v>
      </c>
      <c r="WD7" s="151">
        <f t="shared" si="327"/>
        <v>-35.083446845929672</v>
      </c>
      <c r="WE7" s="151">
        <f t="shared" si="328"/>
        <v>-32.228945692282906</v>
      </c>
      <c r="WF7" s="151">
        <f t="shared" si="628"/>
        <v>-28.666937253963233</v>
      </c>
      <c r="WG7" s="151">
        <f t="shared" si="629"/>
        <v>-22.102453149239302</v>
      </c>
      <c r="WH7" s="134">
        <f t="shared" si="630"/>
        <v>-13.90561647884757</v>
      </c>
      <c r="WI7" s="151">
        <f t="shared" si="631"/>
        <v>-4.8197087473024425</v>
      </c>
      <c r="WJ7" s="151">
        <f t="shared" si="329"/>
        <v>4.0611225190382072</v>
      </c>
      <c r="WK7" s="151">
        <f t="shared" si="330"/>
        <v>9.7062403912154238</v>
      </c>
      <c r="WL7" s="151">
        <f t="shared" si="331"/>
        <v>14.793781637484635</v>
      </c>
      <c r="WM7" s="151">
        <f t="shared" si="332"/>
        <v>20.929152223816452</v>
      </c>
      <c r="WN7" s="163"/>
      <c r="WO7" s="164">
        <v>1.2</v>
      </c>
      <c r="WP7" s="151">
        <f t="shared" si="333"/>
        <v>-44.854124240157425</v>
      </c>
      <c r="WQ7" s="151">
        <f t="shared" si="334"/>
        <v>-41.665034939030726</v>
      </c>
      <c r="WR7" s="151">
        <f t="shared" si="335"/>
        <v>-38.697874700600394</v>
      </c>
      <c r="WS7" s="151">
        <f t="shared" si="632"/>
        <v>-35.037710390705207</v>
      </c>
      <c r="WT7" s="151">
        <f t="shared" si="633"/>
        <v>-28.403897199587384</v>
      </c>
      <c r="WU7" s="134">
        <f t="shared" si="634"/>
        <v>-20.294416756821796</v>
      </c>
      <c r="WV7" s="151">
        <f t="shared" si="635"/>
        <v>-11.492115610268868</v>
      </c>
      <c r="WW7" s="151">
        <f t="shared" si="336"/>
        <v>-3.0465099206619328</v>
      </c>
      <c r="WX7" s="151">
        <f t="shared" si="337"/>
        <v>2.2517767479321549</v>
      </c>
      <c r="WY7" s="151">
        <f t="shared" si="338"/>
        <v>6.9848198202623593</v>
      </c>
      <c r="WZ7" s="151">
        <f t="shared" si="339"/>
        <v>12.644107992353348</v>
      </c>
      <c r="XA7" s="163"/>
      <c r="XB7" s="164">
        <v>1.1000000000000001</v>
      </c>
      <c r="XC7" s="151">
        <f t="shared" si="340"/>
        <v>-35.852040035552548</v>
      </c>
      <c r="XD7" s="151">
        <f t="shared" si="341"/>
        <v>-32.149733391995937</v>
      </c>
      <c r="XE7" s="151">
        <f t="shared" si="342"/>
        <v>-28.851690583450807</v>
      </c>
      <c r="XF7" s="151">
        <f t="shared" si="636"/>
        <v>-24.928088274416304</v>
      </c>
      <c r="XG7" s="151">
        <f t="shared" si="637"/>
        <v>-18.11673880267108</v>
      </c>
      <c r="XH7" s="134">
        <f t="shared" si="638"/>
        <v>-10.167437378526451</v>
      </c>
      <c r="XI7" s="151">
        <f t="shared" si="639"/>
        <v>-1.8761129709778857</v>
      </c>
      <c r="XJ7" s="151">
        <f t="shared" si="343"/>
        <v>5.8301031402263774</v>
      </c>
      <c r="XK7" s="151">
        <f t="shared" si="344"/>
        <v>10.563280965193776</v>
      </c>
      <c r="XL7" s="151">
        <f t="shared" si="345"/>
        <v>14.734451868376972</v>
      </c>
      <c r="XM7" s="151">
        <f t="shared" si="346"/>
        <v>19.658586312490677</v>
      </c>
      <c r="XN7" s="163"/>
      <c r="XO7" s="164">
        <v>1.1000000000000001</v>
      </c>
      <c r="XP7" s="151">
        <f t="shared" si="347"/>
        <v>-33.240521027261074</v>
      </c>
      <c r="XQ7" s="151">
        <f t="shared" si="348"/>
        <v>-29.315223499285221</v>
      </c>
      <c r="XR7" s="151">
        <f t="shared" si="349"/>
        <v>-25.815756482342103</v>
      </c>
      <c r="XS7" s="151">
        <f t="shared" si="640"/>
        <v>-21.651571964334234</v>
      </c>
      <c r="XT7" s="151">
        <f t="shared" si="641"/>
        <v>-14.424572120553321</v>
      </c>
      <c r="XU7" s="134">
        <f t="shared" si="642"/>
        <v>-5.9982228720830761</v>
      </c>
      <c r="XV7" s="151">
        <f t="shared" si="643"/>
        <v>2.778412267886381</v>
      </c>
      <c r="XW7" s="151">
        <f t="shared" si="350"/>
        <v>10.923458316260884</v>
      </c>
      <c r="XX7" s="151">
        <f t="shared" si="351"/>
        <v>15.920240809071622</v>
      </c>
      <c r="XY7" s="151">
        <f t="shared" si="352"/>
        <v>20.320009312620861</v>
      </c>
      <c r="XZ7" s="151">
        <f t="shared" si="353"/>
        <v>25.509601761967311</v>
      </c>
      <c r="YA7" s="163"/>
      <c r="YB7" s="164">
        <v>1.2</v>
      </c>
      <c r="YC7" s="151">
        <f t="shared" si="354"/>
        <v>-39.997469811407242</v>
      </c>
      <c r="YD7" s="151">
        <f t="shared" si="355"/>
        <v>-36.555627574807048</v>
      </c>
      <c r="YE7" s="151">
        <f t="shared" si="356"/>
        <v>-33.498252749667415</v>
      </c>
      <c r="YF7" s="151">
        <f t="shared" si="644"/>
        <v>-29.87237481552895</v>
      </c>
      <c r="YG7" s="151">
        <f t="shared" si="645"/>
        <v>-23.60746692407249</v>
      </c>
      <c r="YH7" s="134">
        <f t="shared" si="646"/>
        <v>-16.3413031373778</v>
      </c>
      <c r="YI7" s="151">
        <f t="shared" si="647"/>
        <v>-8.8104786973294864</v>
      </c>
      <c r="YJ7" s="151">
        <f t="shared" si="357"/>
        <v>-1.8510646605517138</v>
      </c>
      <c r="YK7" s="151">
        <f t="shared" si="358"/>
        <v>2.4058234198197894</v>
      </c>
      <c r="YL7" s="151">
        <f t="shared" si="359"/>
        <v>6.146830237332999</v>
      </c>
      <c r="YM7" s="151">
        <f t="shared" si="360"/>
        <v>10.551189719659227</v>
      </c>
      <c r="YN7" s="163"/>
      <c r="YO7" s="164">
        <v>1.1000000000000001</v>
      </c>
      <c r="YP7" s="151">
        <f t="shared" si="361"/>
        <v>15.539213586147321</v>
      </c>
      <c r="YQ7" s="151">
        <f t="shared" si="362"/>
        <v>17.324071847397388</v>
      </c>
      <c r="YR7" s="151">
        <f t="shared" si="363"/>
        <v>19.008005758841858</v>
      </c>
      <c r="YS7" s="151">
        <f t="shared" si="648"/>
        <v>21.135688593878907</v>
      </c>
      <c r="YT7" s="151">
        <f t="shared" si="649"/>
        <v>25.178265159140278</v>
      </c>
      <c r="YU7" s="134">
        <f t="shared" si="650"/>
        <v>30.514736452256852</v>
      </c>
      <c r="YV7" s="151">
        <f t="shared" si="651"/>
        <v>36.874745002157319</v>
      </c>
      <c r="YW7" s="151">
        <f t="shared" si="364"/>
        <v>43.596377819128016</v>
      </c>
      <c r="YX7" s="151">
        <f t="shared" si="365"/>
        <v>48.148333475278363</v>
      </c>
      <c r="YY7" s="151">
        <f t="shared" si="366"/>
        <v>52.446353058518348</v>
      </c>
      <c r="YZ7" s="151">
        <f t="shared" si="367"/>
        <v>57.886158315825959</v>
      </c>
      <c r="ZA7" s="163"/>
      <c r="ZB7" s="164">
        <v>1.1000000000000001</v>
      </c>
      <c r="ZC7" s="151">
        <f t="shared" si="368"/>
        <v>15.771832163395411</v>
      </c>
      <c r="ZD7" s="151">
        <f t="shared" si="369"/>
        <v>17.457442945059622</v>
      </c>
      <c r="ZE7" s="151">
        <f t="shared" si="370"/>
        <v>19.044609744129279</v>
      </c>
      <c r="ZF7" s="151">
        <f t="shared" si="652"/>
        <v>21.046927573503556</v>
      </c>
      <c r="ZG7" s="151">
        <f t="shared" si="653"/>
        <v>24.845644445205089</v>
      </c>
      <c r="ZH7" s="134">
        <f t="shared" si="654"/>
        <v>29.856409383770497</v>
      </c>
      <c r="ZI7" s="151">
        <f t="shared" si="655"/>
        <v>35.832056363009961</v>
      </c>
      <c r="ZJ7" s="151">
        <f t="shared" si="371"/>
        <v>42.159488422447829</v>
      </c>
      <c r="ZK7" s="151">
        <f t="shared" si="372"/>
        <v>46.45397216115223</v>
      </c>
      <c r="ZL7" s="151">
        <f t="shared" si="373"/>
        <v>50.516916145993243</v>
      </c>
      <c r="ZM7" s="151">
        <f t="shared" si="374"/>
        <v>55.671208130837719</v>
      </c>
      <c r="ZN7" s="163"/>
      <c r="ZO7" s="164">
        <v>1.2</v>
      </c>
      <c r="ZP7" s="151">
        <f t="shared" si="375"/>
        <v>16.685485768137273</v>
      </c>
      <c r="ZQ7" s="151">
        <f t="shared" si="376"/>
        <v>18.756327325170538</v>
      </c>
      <c r="ZR7" s="151">
        <f t="shared" si="377"/>
        <v>20.719110526146562</v>
      </c>
      <c r="ZS7" s="151">
        <f t="shared" si="656"/>
        <v>23.209806572455644</v>
      </c>
      <c r="ZT7" s="151">
        <f t="shared" si="657"/>
        <v>27.968929931396595</v>
      </c>
      <c r="ZU7" s="134">
        <f t="shared" si="658"/>
        <v>34.292559383833293</v>
      </c>
      <c r="ZV7" s="151">
        <f t="shared" si="659"/>
        <v>41.87339590391008</v>
      </c>
      <c r="ZW7" s="151">
        <f t="shared" si="378"/>
        <v>49.922606055139333</v>
      </c>
      <c r="ZX7" s="151">
        <f t="shared" si="379"/>
        <v>55.389760816887851</v>
      </c>
      <c r="ZY7" s="151">
        <f t="shared" si="380"/>
        <v>60.561267220045018</v>
      </c>
      <c r="ZZ7" s="151">
        <f t="shared" si="381"/>
        <v>67.117099680893446</v>
      </c>
      <c r="AAA7" s="163"/>
      <c r="AAB7" s="164">
        <v>1.1000000000000001</v>
      </c>
      <c r="AAC7" s="151">
        <f t="shared" si="382"/>
        <v>5.6710781947989766</v>
      </c>
      <c r="AAD7" s="151">
        <f t="shared" si="383"/>
        <v>6.3507721562823596</v>
      </c>
      <c r="AAE7" s="151">
        <f t="shared" si="384"/>
        <v>6.9895624162746079</v>
      </c>
      <c r="AAF7" s="151">
        <f t="shared" si="660"/>
        <v>7.7930617518544159</v>
      </c>
      <c r="AAG7" s="151">
        <f t="shared" si="661"/>
        <v>9.3082029263568469</v>
      </c>
      <c r="AAH7" s="134">
        <f t="shared" si="662"/>
        <v>11.285203814699916</v>
      </c>
      <c r="AAI7" s="151">
        <f t="shared" si="663"/>
        <v>13.6083116966745</v>
      </c>
      <c r="AAJ7" s="151">
        <f t="shared" si="385"/>
        <v>16.026841320174842</v>
      </c>
      <c r="AAK7" s="151">
        <f t="shared" si="386"/>
        <v>17.644712970233023</v>
      </c>
      <c r="AAL7" s="151">
        <f t="shared" si="387"/>
        <v>19.158403266771757</v>
      </c>
      <c r="AAM7" s="151">
        <f t="shared" si="388"/>
        <v>21.055858624526898</v>
      </c>
      <c r="AAN7" s="163"/>
      <c r="AAO7" s="164">
        <v>1.1000000000000001</v>
      </c>
      <c r="AAP7" s="151">
        <f t="shared" si="389"/>
        <v>5.9090257588276618</v>
      </c>
      <c r="AAQ7" s="151">
        <f t="shared" si="390"/>
        <v>6.5845271413655633</v>
      </c>
      <c r="AAR7" s="151">
        <f t="shared" si="391"/>
        <v>7.2238420030408985</v>
      </c>
      <c r="AAS7" s="151">
        <f t="shared" si="664"/>
        <v>8.0344236079219318</v>
      </c>
      <c r="AAT7" s="151">
        <f t="shared" si="665"/>
        <v>9.5830255030498979</v>
      </c>
      <c r="AAU7" s="134">
        <f t="shared" si="666"/>
        <v>11.643865471818984</v>
      </c>
      <c r="AAV7" s="151">
        <f t="shared" si="667"/>
        <v>14.12343904962882</v>
      </c>
      <c r="AAW7" s="151">
        <f t="shared" si="392"/>
        <v>16.770087943328228</v>
      </c>
      <c r="AAX7" s="151">
        <f t="shared" si="393"/>
        <v>18.576796672418382</v>
      </c>
      <c r="AAY7" s="151">
        <f t="shared" si="394"/>
        <v>20.292862253784286</v>
      </c>
      <c r="AAZ7" s="151">
        <f t="shared" si="395"/>
        <v>22.478351606999016</v>
      </c>
      <c r="ABA7" s="163"/>
      <c r="ABB7" s="164">
        <v>1.2</v>
      </c>
      <c r="ABC7" s="151">
        <f t="shared" si="396"/>
        <v>6.119399900220011</v>
      </c>
      <c r="ABD7" s="151">
        <f t="shared" si="397"/>
        <v>6.85931587775086</v>
      </c>
      <c r="ABE7" s="151">
        <f t="shared" si="398"/>
        <v>7.5482591941297725</v>
      </c>
      <c r="ABF7" s="151">
        <f t="shared" si="668"/>
        <v>8.4062946355038299</v>
      </c>
      <c r="ABG7" s="151">
        <f t="shared" si="669"/>
        <v>9.9998089822993226</v>
      </c>
      <c r="ABH7" s="134">
        <f t="shared" si="670"/>
        <v>12.035007406773074</v>
      </c>
      <c r="ABI7" s="151">
        <f t="shared" si="671"/>
        <v>14.369721771073106</v>
      </c>
      <c r="ABJ7" s="151">
        <f t="shared" si="399"/>
        <v>16.742860234307731</v>
      </c>
      <c r="ABK7" s="151">
        <f t="shared" si="400"/>
        <v>18.301061421662741</v>
      </c>
      <c r="ABL7" s="151">
        <f t="shared" si="401"/>
        <v>19.739466597063299</v>
      </c>
      <c r="ABM7" s="151">
        <f t="shared" si="402"/>
        <v>21.517899322373324</v>
      </c>
      <c r="ABN7" s="163"/>
      <c r="ABO7" s="164">
        <v>1.1000000000000001</v>
      </c>
      <c r="ABP7" s="151">
        <f t="shared" si="403"/>
        <v>0.19693026916477746</v>
      </c>
      <c r="ABQ7" s="151">
        <f t="shared" si="404"/>
        <v>0.21982834936948742</v>
      </c>
      <c r="ABR7" s="151">
        <f t="shared" si="405"/>
        <v>0.24102406532577328</v>
      </c>
      <c r="ABS7" s="151">
        <f t="shared" si="672"/>
        <v>0.26726765120287904</v>
      </c>
      <c r="ABT7" s="151">
        <f t="shared" si="673"/>
        <v>0.31559833074298466</v>
      </c>
      <c r="ABU7" s="134">
        <f t="shared" si="674"/>
        <v>0.37665139927738939</v>
      </c>
      <c r="ABV7" s="151">
        <f t="shared" si="675"/>
        <v>0.44589359522350269</v>
      </c>
      <c r="ABW7" s="151">
        <f t="shared" si="406"/>
        <v>0.51552682950585893</v>
      </c>
      <c r="ABX7" s="151">
        <f t="shared" si="407"/>
        <v>0.56088552758426535</v>
      </c>
      <c r="ABY7" s="151">
        <f t="shared" si="408"/>
        <v>0.60252518133589317</v>
      </c>
      <c r="ABZ7" s="151">
        <f t="shared" si="409"/>
        <v>0.65372322621303425</v>
      </c>
      <c r="ACA7" s="163"/>
      <c r="ACB7" s="164">
        <v>1.1000000000000001</v>
      </c>
      <c r="ACC7" s="151">
        <f t="shared" si="410"/>
        <v>0.21072491713310473</v>
      </c>
      <c r="ACD7" s="151">
        <f t="shared" si="411"/>
        <v>0.23280536680734792</v>
      </c>
      <c r="ACE7" s="151">
        <f t="shared" si="412"/>
        <v>0.25335726430952027</v>
      </c>
      <c r="ACF7" s="151">
        <f t="shared" si="676"/>
        <v>0.27896892917757538</v>
      </c>
      <c r="ACG7" s="151">
        <f t="shared" si="677"/>
        <v>0.32665069879114617</v>
      </c>
      <c r="ACH7" s="134">
        <f t="shared" si="678"/>
        <v>0.38789056806841626</v>
      </c>
      <c r="ACI7" s="151">
        <f t="shared" si="679"/>
        <v>0.45874303470399652</v>
      </c>
      <c r="ACJ7" s="151">
        <f t="shared" si="413"/>
        <v>0.53150057106572623</v>
      </c>
      <c r="ACK7" s="151">
        <f t="shared" si="414"/>
        <v>0.5796994304052997</v>
      </c>
      <c r="ACL7" s="151">
        <f t="shared" si="415"/>
        <v>0.62449889221442845</v>
      </c>
      <c r="ACM7" s="151">
        <f t="shared" si="416"/>
        <v>0.68029801908983334</v>
      </c>
      <c r="ACN7" s="163"/>
      <c r="ACO7" s="164">
        <v>1.2</v>
      </c>
      <c r="ACP7" s="151">
        <f t="shared" si="417"/>
        <v>0.16646076755558198</v>
      </c>
      <c r="ACQ7" s="151">
        <f t="shared" si="418"/>
        <v>0.19119733046179149</v>
      </c>
      <c r="ACR7" s="151">
        <f t="shared" si="419"/>
        <v>0.21388884303707237</v>
      </c>
      <c r="ACS7" s="151">
        <f t="shared" si="680"/>
        <v>0.24168321469821077</v>
      </c>
      <c r="ACT7" s="151">
        <f t="shared" si="681"/>
        <v>0.29195809259066779</v>
      </c>
      <c r="ACU7" s="134">
        <f t="shared" si="682"/>
        <v>0.35378537047491865</v>
      </c>
      <c r="ACV7" s="151">
        <f t="shared" si="683"/>
        <v>0.42175415246054865</v>
      </c>
      <c r="ACW7" s="151">
        <f t="shared" si="420"/>
        <v>0.48799048461504685</v>
      </c>
      <c r="ACX7" s="151">
        <f t="shared" si="421"/>
        <v>0.53008941095130235</v>
      </c>
      <c r="ACY7" s="151">
        <f t="shared" si="422"/>
        <v>0.5680611656084974</v>
      </c>
      <c r="ACZ7" s="151">
        <f t="shared" si="423"/>
        <v>0.61391783788209209</v>
      </c>
      <c r="ADA7" s="163"/>
      <c r="ADB7" s="164">
        <v>1.1000000000000001</v>
      </c>
      <c r="ADC7" s="151">
        <f t="shared" si="424"/>
        <v>0.16297656333010591</v>
      </c>
      <c r="ADD7" s="151">
        <f t="shared" si="425"/>
        <v>0.17955044645504153</v>
      </c>
      <c r="ADE7" s="151">
        <f t="shared" si="426"/>
        <v>0.19408700145502378</v>
      </c>
      <c r="ADF7" s="151">
        <f t="shared" si="684"/>
        <v>0.21115554409709761</v>
      </c>
      <c r="ADG7" s="151">
        <f t="shared" si="685"/>
        <v>0.24032637173227978</v>
      </c>
      <c r="ADH7" s="134">
        <f t="shared" si="686"/>
        <v>0.27380444014135924</v>
      </c>
      <c r="ADI7" s="151">
        <f t="shared" si="687"/>
        <v>0.30823129331314175</v>
      </c>
      <c r="ADJ7" s="151">
        <f t="shared" si="427"/>
        <v>0.33987673308468558</v>
      </c>
      <c r="ADK7" s="151">
        <f t="shared" si="428"/>
        <v>0.35917397399267009</v>
      </c>
      <c r="ADL7" s="151">
        <f t="shared" si="429"/>
        <v>0.37610297206233373</v>
      </c>
      <c r="ADM7" s="151">
        <f t="shared" si="430"/>
        <v>0.39600415434621083</v>
      </c>
      <c r="ADN7" s="163"/>
      <c r="ADO7" s="164">
        <v>1.1000000000000001</v>
      </c>
      <c r="ADP7" s="151">
        <f t="shared" si="431"/>
        <v>0.17281726874186104</v>
      </c>
      <c r="ADQ7" s="151">
        <f t="shared" si="432"/>
        <v>0.1883004681499312</v>
      </c>
      <c r="ADR7" s="151">
        <f t="shared" si="433"/>
        <v>0.20202992360385361</v>
      </c>
      <c r="ADS7" s="151">
        <f t="shared" si="688"/>
        <v>0.2183253068193699</v>
      </c>
      <c r="ADT7" s="151">
        <f t="shared" si="689"/>
        <v>0.24659856359501345</v>
      </c>
      <c r="ADU7" s="134">
        <f t="shared" si="690"/>
        <v>0.27967998308481884</v>
      </c>
      <c r="ADV7" s="151">
        <f t="shared" si="691"/>
        <v>0.31437188952265499</v>
      </c>
      <c r="ADW7" s="151">
        <f t="shared" si="434"/>
        <v>0.34683463775379686</v>
      </c>
      <c r="ADX7" s="151">
        <f t="shared" si="435"/>
        <v>0.36688946958950347</v>
      </c>
      <c r="ADY7" s="151">
        <f t="shared" si="436"/>
        <v>0.38463992476701542</v>
      </c>
      <c r="ADZ7" s="151">
        <f t="shared" si="437"/>
        <v>0.40568971840693796</v>
      </c>
      <c r="AEA7" s="163"/>
      <c r="AEB7" s="164">
        <v>1.2</v>
      </c>
      <c r="AEC7" s="151">
        <f t="shared" si="438"/>
        <v>0.13995645495188935</v>
      </c>
      <c r="AED7" s="151">
        <f t="shared" si="439"/>
        <v>0.15933220471715331</v>
      </c>
      <c r="AEE7" s="151">
        <f t="shared" si="440"/>
        <v>0.17592074056561574</v>
      </c>
      <c r="AEF7" s="151">
        <f t="shared" si="692"/>
        <v>0.19496917506500416</v>
      </c>
      <c r="AEG7" s="151">
        <f t="shared" si="693"/>
        <v>0.22658361064715071</v>
      </c>
      <c r="AEH7" s="134">
        <f t="shared" si="694"/>
        <v>0.26161439086680666</v>
      </c>
      <c r="AEI7" s="151">
        <f t="shared" si="695"/>
        <v>0.29645795278035331</v>
      </c>
      <c r="AEJ7" s="151">
        <f t="shared" si="441"/>
        <v>0.32757958329267561</v>
      </c>
      <c r="AEK7" s="151">
        <f t="shared" si="442"/>
        <v>0.34617833154470773</v>
      </c>
      <c r="AEL7" s="151">
        <f t="shared" si="443"/>
        <v>0.36227756034619535</v>
      </c>
      <c r="AEM7" s="151">
        <f t="shared" si="444"/>
        <v>0.38096058129908433</v>
      </c>
      <c r="AEN7" s="163"/>
    </row>
    <row r="8" spans="1:820">
      <c r="A8" s="163"/>
      <c r="B8" s="164">
        <v>1.3</v>
      </c>
      <c r="C8" s="151">
        <f t="shared" si="0"/>
        <v>1.8777407799845049</v>
      </c>
      <c r="D8" s="151">
        <f t="shared" si="1"/>
        <v>2.1421765575197949</v>
      </c>
      <c r="E8" s="151">
        <f t="shared" si="2"/>
        <v>2.4054799933661131</v>
      </c>
      <c r="F8" s="151">
        <f t="shared" si="445"/>
        <v>2.7581194906328435</v>
      </c>
      <c r="G8" s="151">
        <f t="shared" si="446"/>
        <v>3.4928181581835922</v>
      </c>
      <c r="H8" s="134">
        <f t="shared" si="447"/>
        <v>4.6025926744328398</v>
      </c>
      <c r="I8" s="151">
        <f t="shared" si="448"/>
        <v>6.1551592639406847</v>
      </c>
      <c r="J8" s="151">
        <f t="shared" si="3"/>
        <v>8.1011428100684206</v>
      </c>
      <c r="K8" s="151">
        <f t="shared" si="4"/>
        <v>9.6176340174840753</v>
      </c>
      <c r="L8" s="151">
        <f t="shared" si="5"/>
        <v>11.2115818135787</v>
      </c>
      <c r="M8" s="151">
        <f t="shared" si="6"/>
        <v>13.475395871014928</v>
      </c>
      <c r="N8" s="163"/>
      <c r="O8" s="164">
        <v>1.3</v>
      </c>
      <c r="P8" s="151">
        <f t="shared" si="7"/>
        <v>2.1714207130850522</v>
      </c>
      <c r="Q8" s="151">
        <f t="shared" si="8"/>
        <v>2.4231248676162562</v>
      </c>
      <c r="R8" s="151">
        <f t="shared" si="9"/>
        <v>2.6735987967821795</v>
      </c>
      <c r="S8" s="151">
        <f t="shared" si="449"/>
        <v>3.0098751553760894</v>
      </c>
      <c r="T8" s="151">
        <f t="shared" si="450"/>
        <v>3.7175399638794264</v>
      </c>
      <c r="U8" s="134">
        <f t="shared" si="451"/>
        <v>4.8150962872058694</v>
      </c>
      <c r="V8" s="151">
        <f t="shared" si="452"/>
        <v>6.4275450461426935</v>
      </c>
      <c r="W8" s="151">
        <f t="shared" si="10"/>
        <v>8.600877645963914</v>
      </c>
      <c r="X8" s="151">
        <f t="shared" si="11"/>
        <v>10.427125874593823</v>
      </c>
      <c r="Y8" s="151">
        <f t="shared" si="12"/>
        <v>12.483926494396663</v>
      </c>
      <c r="Z8" s="151">
        <f t="shared" si="13"/>
        <v>15.668289372934986</v>
      </c>
      <c r="AA8" s="163"/>
      <c r="AB8" s="164">
        <v>1.3</v>
      </c>
      <c r="AC8" s="151">
        <f t="shared" si="14"/>
        <v>1.5033811416889604</v>
      </c>
      <c r="AD8" s="151">
        <f t="shared" si="15"/>
        <v>1.734455794728385</v>
      </c>
      <c r="AE8" s="151">
        <f t="shared" si="16"/>
        <v>1.968853727925284</v>
      </c>
      <c r="AF8" s="151">
        <f t="shared" si="453"/>
        <v>2.2892588958887012</v>
      </c>
      <c r="AG8" s="151">
        <f t="shared" si="454"/>
        <v>2.9794063959796997</v>
      </c>
      <c r="AH8" s="134">
        <f t="shared" si="455"/>
        <v>4.0758804050697108</v>
      </c>
      <c r="AI8" s="151">
        <f t="shared" si="456"/>
        <v>5.710068103525896</v>
      </c>
      <c r="AJ8" s="151">
        <f t="shared" si="17"/>
        <v>7.9101344824357085</v>
      </c>
      <c r="AK8" s="151">
        <f t="shared" si="18"/>
        <v>9.734012777767612</v>
      </c>
      <c r="AL8" s="151">
        <f t="shared" si="19"/>
        <v>11.749127576698911</v>
      </c>
      <c r="AM8" s="151">
        <f t="shared" si="20"/>
        <v>14.776792963221633</v>
      </c>
      <c r="AN8" s="163"/>
      <c r="AO8" s="164">
        <v>1.3</v>
      </c>
      <c r="AP8" s="151">
        <f t="shared" si="21"/>
        <v>3.9859385620510599</v>
      </c>
      <c r="AQ8" s="151">
        <f t="shared" si="22"/>
        <v>5.7333117286402073</v>
      </c>
      <c r="AR8" s="151">
        <f t="shared" si="23"/>
        <v>7.3447543395820594</v>
      </c>
      <c r="AS8" s="151">
        <f t="shared" si="457"/>
        <v>9.3281216384018357</v>
      </c>
      <c r="AT8" s="151">
        <f t="shared" si="458"/>
        <v>12.938076460100408</v>
      </c>
      <c r="AU8" s="134">
        <f t="shared" si="459"/>
        <v>17.409740703767586</v>
      </c>
      <c r="AV8" s="151">
        <f t="shared" si="460"/>
        <v>22.358358359103029</v>
      </c>
      <c r="AW8" s="151">
        <f t="shared" si="24"/>
        <v>27.207776634513561</v>
      </c>
      <c r="AX8" s="151">
        <f t="shared" si="25"/>
        <v>30.301801922379898</v>
      </c>
      <c r="AY8" s="151">
        <f t="shared" si="26"/>
        <v>33.099508951789346</v>
      </c>
      <c r="AZ8" s="151">
        <f t="shared" si="27"/>
        <v>36.486260029460496</v>
      </c>
      <c r="BA8" s="163"/>
      <c r="BB8" s="164">
        <v>1.3</v>
      </c>
      <c r="BC8" s="151">
        <f t="shared" si="28"/>
        <v>4.342265690418988</v>
      </c>
      <c r="BD8" s="151">
        <f t="shared" si="29"/>
        <v>6.2269394240852884</v>
      </c>
      <c r="BE8" s="151">
        <f t="shared" si="30"/>
        <v>7.9423906636200376</v>
      </c>
      <c r="BF8" s="151">
        <f t="shared" si="461"/>
        <v>10.026173888023223</v>
      </c>
      <c r="BG8" s="151">
        <f t="shared" si="462"/>
        <v>13.748320649095124</v>
      </c>
      <c r="BH8" s="134">
        <f t="shared" si="463"/>
        <v>18.248573407029088</v>
      </c>
      <c r="BI8" s="151">
        <f t="shared" si="464"/>
        <v>23.107442214812512</v>
      </c>
      <c r="BJ8" s="151">
        <f t="shared" si="31"/>
        <v>27.763040741471624</v>
      </c>
      <c r="BK8" s="151">
        <f t="shared" si="32"/>
        <v>30.685160303865448</v>
      </c>
      <c r="BL8" s="151">
        <f t="shared" si="33"/>
        <v>33.298033682910173</v>
      </c>
      <c r="BM8" s="151">
        <f t="shared" si="34"/>
        <v>36.426434694255676</v>
      </c>
      <c r="BN8" s="163"/>
      <c r="BO8" s="164">
        <v>1.3</v>
      </c>
      <c r="BP8" s="151">
        <f t="shared" si="35"/>
        <v>4.9594043774549146</v>
      </c>
      <c r="BQ8" s="151">
        <f t="shared" si="36"/>
        <v>5.9102456984912273</v>
      </c>
      <c r="BR8" s="151">
        <f t="shared" si="37"/>
        <v>6.8481866674152903</v>
      </c>
      <c r="BS8" s="151">
        <f t="shared" si="465"/>
        <v>8.0842324121380553</v>
      </c>
      <c r="BT8" s="151">
        <f t="shared" si="466"/>
        <v>10.569367401584017</v>
      </c>
      <c r="BU8" s="134">
        <f t="shared" si="467"/>
        <v>14.079222403053091</v>
      </c>
      <c r="BV8" s="151">
        <f t="shared" si="468"/>
        <v>18.536940296058425</v>
      </c>
      <c r="BW8" s="151">
        <f t="shared" si="38"/>
        <v>23.508653664826571</v>
      </c>
      <c r="BX8" s="151">
        <f t="shared" si="39"/>
        <v>27.001605476373083</v>
      </c>
      <c r="BY8" s="151">
        <f t="shared" si="40"/>
        <v>30.380182703210455</v>
      </c>
      <c r="BZ8" s="151">
        <f t="shared" si="41"/>
        <v>34.755255459556047</v>
      </c>
      <c r="CA8" s="163"/>
      <c r="CB8" s="164">
        <v>1.3</v>
      </c>
      <c r="CC8" s="151">
        <f t="shared" si="42"/>
        <v>2.0738879480567407</v>
      </c>
      <c r="CD8" s="151">
        <f t="shared" si="43"/>
        <v>4.8348161098893874</v>
      </c>
      <c r="CE8" s="151">
        <f t="shared" si="44"/>
        <v>7.3719461456441424</v>
      </c>
      <c r="CF8" s="151">
        <f t="shared" si="469"/>
        <v>10.46757867477567</v>
      </c>
      <c r="CG8" s="151">
        <f t="shared" si="470"/>
        <v>16.001666266587037</v>
      </c>
      <c r="CH8" s="134">
        <f t="shared" si="471"/>
        <v>22.662394576507705</v>
      </c>
      <c r="CI8" s="151">
        <f t="shared" si="472"/>
        <v>29.791527774976732</v>
      </c>
      <c r="CJ8" s="151">
        <f t="shared" si="45"/>
        <v>36.552828805592561</v>
      </c>
      <c r="CK8" s="151">
        <f t="shared" si="46"/>
        <v>40.761036968698754</v>
      </c>
      <c r="CL8" s="151">
        <f t="shared" si="47"/>
        <v>44.500921399189764</v>
      </c>
      <c r="CM8" s="151">
        <f t="shared" si="48"/>
        <v>48.950752119028323</v>
      </c>
      <c r="CN8" s="163"/>
      <c r="CO8" s="164">
        <v>1.3</v>
      </c>
      <c r="CP8" s="151">
        <f t="shared" si="49"/>
        <v>5.0607191055818275</v>
      </c>
      <c r="CQ8" s="151">
        <f t="shared" si="50"/>
        <v>7.7722424177389788</v>
      </c>
      <c r="CR8" s="151">
        <f t="shared" si="51"/>
        <v>10.242976742252754</v>
      </c>
      <c r="CS8" s="151">
        <f t="shared" si="473"/>
        <v>13.239656789956904</v>
      </c>
      <c r="CT8" s="151">
        <f t="shared" si="474"/>
        <v>18.56549722333434</v>
      </c>
      <c r="CU8" s="134">
        <f t="shared" si="475"/>
        <v>24.943852211544698</v>
      </c>
      <c r="CV8" s="151">
        <f t="shared" si="476"/>
        <v>31.749146841724642</v>
      </c>
      <c r="CW8" s="151">
        <f t="shared" si="52"/>
        <v>38.191447611753617</v>
      </c>
      <c r="CX8" s="151">
        <f t="shared" si="53"/>
        <v>42.197479444889098</v>
      </c>
      <c r="CY8" s="151">
        <f t="shared" si="54"/>
        <v>45.756103993657064</v>
      </c>
      <c r="CZ8" s="151">
        <f t="shared" si="55"/>
        <v>49.988885157452977</v>
      </c>
      <c r="DA8" s="163"/>
      <c r="DB8" s="164">
        <v>1.3</v>
      </c>
      <c r="DC8" s="151">
        <f t="shared" si="56"/>
        <v>-0.11365243289915572</v>
      </c>
      <c r="DD8" s="151">
        <f t="shared" si="57"/>
        <v>2.0050057314952641</v>
      </c>
      <c r="DE8" s="151">
        <f t="shared" si="58"/>
        <v>4.0006877266420888</v>
      </c>
      <c r="DF8" s="151">
        <f t="shared" si="477"/>
        <v>6.4914036530462189</v>
      </c>
      <c r="DG8" s="151">
        <f t="shared" si="478"/>
        <v>11.076403038176409</v>
      </c>
      <c r="DH8" s="134">
        <f t="shared" si="479"/>
        <v>16.785969213312871</v>
      </c>
      <c r="DI8" s="151">
        <f t="shared" si="480"/>
        <v>23.091990363856677</v>
      </c>
      <c r="DJ8" s="151">
        <f t="shared" si="59"/>
        <v>29.232814978097064</v>
      </c>
      <c r="DK8" s="151">
        <f t="shared" si="60"/>
        <v>33.12508155158347</v>
      </c>
      <c r="DL8" s="151">
        <f t="shared" si="61"/>
        <v>36.625850422505827</v>
      </c>
      <c r="DM8" s="151">
        <f t="shared" si="62"/>
        <v>40.839152407309953</v>
      </c>
      <c r="DN8" s="163"/>
      <c r="DO8" s="164">
        <v>1.3</v>
      </c>
      <c r="DP8" s="151">
        <f t="shared" si="63"/>
        <v>12.360005362051346</v>
      </c>
      <c r="DQ8" s="151">
        <f t="shared" si="64"/>
        <v>13.11241457173373</v>
      </c>
      <c r="DR8" s="151">
        <f t="shared" si="65"/>
        <v>13.822578962842973</v>
      </c>
      <c r="DS8" s="151">
        <f t="shared" si="481"/>
        <v>14.724239298533876</v>
      </c>
      <c r="DT8" s="151">
        <f t="shared" si="482"/>
        <v>16.464135598738114</v>
      </c>
      <c r="DU8" s="134">
        <f t="shared" si="483"/>
        <v>18.845422474292935</v>
      </c>
      <c r="DV8" s="151">
        <f t="shared" si="484"/>
        <v>21.859925186260782</v>
      </c>
      <c r="DW8" s="151">
        <f t="shared" si="66"/>
        <v>25.31691323591598</v>
      </c>
      <c r="DX8" s="151">
        <f t="shared" si="67"/>
        <v>27.85084391231743</v>
      </c>
      <c r="DY8" s="151">
        <f t="shared" si="68"/>
        <v>30.410447260159248</v>
      </c>
      <c r="DZ8" s="151">
        <f t="shared" si="69"/>
        <v>33.916716972866638</v>
      </c>
      <c r="EA8" s="163"/>
      <c r="EB8" s="164">
        <v>1.3</v>
      </c>
      <c r="EC8" s="151">
        <f t="shared" si="70"/>
        <v>12.44991027443618</v>
      </c>
      <c r="ED8" s="151">
        <f t="shared" si="71"/>
        <v>13.223815064197732</v>
      </c>
      <c r="EE8" s="151">
        <f t="shared" si="72"/>
        <v>13.953291073628128</v>
      </c>
      <c r="EF8" s="151">
        <f t="shared" si="485"/>
        <v>14.877956568764107</v>
      </c>
      <c r="EG8" s="151">
        <f t="shared" si="486"/>
        <v>16.656921635707789</v>
      </c>
      <c r="EH8" s="134">
        <f t="shared" si="487"/>
        <v>19.079008123287721</v>
      </c>
      <c r="EI8" s="151">
        <f t="shared" si="488"/>
        <v>22.122039627703437</v>
      </c>
      <c r="EJ8" s="151">
        <f t="shared" si="73"/>
        <v>25.577737738311427</v>
      </c>
      <c r="EK8" s="151">
        <f t="shared" si="74"/>
        <v>28.086789192092137</v>
      </c>
      <c r="EL8" s="151">
        <f t="shared" si="75"/>
        <v>30.600358404857541</v>
      </c>
      <c r="EM8" s="151">
        <f t="shared" si="76"/>
        <v>34.009282108470444</v>
      </c>
      <c r="EN8" s="163"/>
      <c r="EO8" s="164">
        <v>1.3</v>
      </c>
      <c r="EP8" s="151">
        <f t="shared" si="77"/>
        <v>12.366043307704061</v>
      </c>
      <c r="EQ8" s="151">
        <f t="shared" si="78"/>
        <v>13.286125195802565</v>
      </c>
      <c r="ER8" s="151">
        <f t="shared" si="79"/>
        <v>14.156994400101862</v>
      </c>
      <c r="ES8" s="151">
        <f t="shared" si="489"/>
        <v>15.264899563158098</v>
      </c>
      <c r="ET8" s="151">
        <f t="shared" si="490"/>
        <v>17.405202710289792</v>
      </c>
      <c r="EU8" s="134">
        <f t="shared" si="491"/>
        <v>20.328245876987477</v>
      </c>
      <c r="EV8" s="151">
        <f t="shared" si="492"/>
        <v>23.998784256488687</v>
      </c>
      <c r="EW8" s="151">
        <f t="shared" si="80"/>
        <v>28.145450742360438</v>
      </c>
      <c r="EX8" s="151">
        <f t="shared" si="81"/>
        <v>31.132980695984788</v>
      </c>
      <c r="EY8" s="151">
        <f t="shared" si="82"/>
        <v>34.101521460513723</v>
      </c>
      <c r="EZ8" s="151">
        <f t="shared" si="83"/>
        <v>38.083320946495036</v>
      </c>
      <c r="FA8" s="163"/>
      <c r="FB8" s="164">
        <v>1.3</v>
      </c>
      <c r="FC8" s="151">
        <f t="shared" si="84"/>
        <v>5.6854582554815822</v>
      </c>
      <c r="FD8" s="151">
        <f t="shared" si="85"/>
        <v>6.196354620787508</v>
      </c>
      <c r="FE8" s="151">
        <f t="shared" si="86"/>
        <v>6.6824496012339214</v>
      </c>
      <c r="FF8" s="151">
        <f t="shared" si="493"/>
        <v>7.3036428605803811</v>
      </c>
      <c r="FG8" s="151">
        <f t="shared" si="494"/>
        <v>8.5097825704881256</v>
      </c>
      <c r="FH8" s="134">
        <f t="shared" si="495"/>
        <v>10.163295764412297</v>
      </c>
      <c r="FI8" s="151">
        <f t="shared" si="496"/>
        <v>12.239076437770414</v>
      </c>
      <c r="FJ8" s="151">
        <f t="shared" si="87"/>
        <v>14.571862987479436</v>
      </c>
      <c r="FK8" s="151">
        <f t="shared" si="88"/>
        <v>16.239668092369666</v>
      </c>
      <c r="FL8" s="151">
        <f t="shared" si="89"/>
        <v>17.883786163068109</v>
      </c>
      <c r="FM8" s="151">
        <f t="shared" si="90"/>
        <v>20.06627144216689</v>
      </c>
      <c r="FN8" s="163"/>
      <c r="FO8" s="164">
        <v>1.3</v>
      </c>
      <c r="FP8" s="151">
        <f t="shared" si="91"/>
        <v>5.4408534691952823</v>
      </c>
      <c r="FQ8" s="151">
        <f t="shared" si="92"/>
        <v>5.9907028767814898</v>
      </c>
      <c r="FR8" s="151">
        <f t="shared" si="93"/>
        <v>6.5134532641303791</v>
      </c>
      <c r="FS8" s="151">
        <f t="shared" si="497"/>
        <v>7.1802582378156945</v>
      </c>
      <c r="FT8" s="151">
        <f t="shared" si="498"/>
        <v>8.4688651681072571</v>
      </c>
      <c r="FU8" s="134">
        <f t="shared" si="499"/>
        <v>10.217905927579674</v>
      </c>
      <c r="FV8" s="151">
        <f t="shared" si="500"/>
        <v>12.379352668835526</v>
      </c>
      <c r="FW8" s="151">
        <f t="shared" si="94"/>
        <v>14.759247688925045</v>
      </c>
      <c r="FX8" s="151">
        <f t="shared" si="95"/>
        <v>16.428351013858997</v>
      </c>
      <c r="FY8" s="151">
        <f t="shared" si="96"/>
        <v>18.047668195407404</v>
      </c>
      <c r="FZ8" s="151">
        <f t="shared" si="97"/>
        <v>20.158267858344715</v>
      </c>
      <c r="GA8" s="163"/>
      <c r="GB8" s="164">
        <v>1.3</v>
      </c>
      <c r="GC8" s="151">
        <f t="shared" si="98"/>
        <v>5.7912751621429601</v>
      </c>
      <c r="GD8" s="151">
        <f t="shared" si="99"/>
        <v>6.3801099570347981</v>
      </c>
      <c r="GE8" s="151">
        <f t="shared" si="100"/>
        <v>6.9409435239142923</v>
      </c>
      <c r="GF8" s="151">
        <f t="shared" si="501"/>
        <v>7.6577382025862626</v>
      </c>
      <c r="GG8" s="151">
        <f t="shared" si="502"/>
        <v>9.0472949831212084</v>
      </c>
      <c r="GH8" s="134">
        <f t="shared" si="503"/>
        <v>10.942080191474833</v>
      </c>
      <c r="GI8" s="151">
        <f t="shared" si="504"/>
        <v>13.296619597059133</v>
      </c>
      <c r="GJ8" s="151">
        <f t="shared" si="101"/>
        <v>15.90451762163725</v>
      </c>
      <c r="GK8" s="151">
        <f t="shared" si="102"/>
        <v>17.742516023286196</v>
      </c>
      <c r="GL8" s="151">
        <f t="shared" si="103"/>
        <v>19.532377377545476</v>
      </c>
      <c r="GM8" s="151">
        <f t="shared" si="104"/>
        <v>21.87466352898824</v>
      </c>
      <c r="GN8" s="163"/>
      <c r="GO8" s="164">
        <v>1.3</v>
      </c>
      <c r="GP8" s="151">
        <f t="shared" si="105"/>
        <v>0.26481113567525166</v>
      </c>
      <c r="GQ8" s="151">
        <f t="shared" si="106"/>
        <v>0.3294096657805583</v>
      </c>
      <c r="GR8" s="151">
        <f t="shared" si="107"/>
        <v>0.37575236835973796</v>
      </c>
      <c r="GS8" s="151">
        <f t="shared" si="505"/>
        <v>0.42259627493747093</v>
      </c>
      <c r="GT8" s="151">
        <f t="shared" si="506"/>
        <v>0.49037961315805562</v>
      </c>
      <c r="GU8" s="134">
        <f t="shared" si="507"/>
        <v>0.55577696814111555</v>
      </c>
      <c r="GV8" s="151">
        <f t="shared" si="508"/>
        <v>0.61387980832294553</v>
      </c>
      <c r="GW8" s="151">
        <f t="shared" si="108"/>
        <v>0.66144305048934993</v>
      </c>
      <c r="GX8" s="151">
        <f t="shared" si="109"/>
        <v>0.68829203329497868</v>
      </c>
      <c r="GY8" s="151">
        <f t="shared" si="110"/>
        <v>0.7107111499746197</v>
      </c>
      <c r="GZ8" s="151">
        <f t="shared" si="111"/>
        <v>0.73587035664267753</v>
      </c>
      <c r="HA8" s="163"/>
      <c r="HB8" s="164">
        <v>1.3</v>
      </c>
      <c r="HC8" s="151">
        <f t="shared" si="112"/>
        <v>0.25791285991793794</v>
      </c>
      <c r="HD8" s="151">
        <f t="shared" si="113"/>
        <v>0.32176467045710228</v>
      </c>
      <c r="HE8" s="151">
        <f t="shared" si="114"/>
        <v>0.36762455929946503</v>
      </c>
      <c r="HF8" s="151">
        <f t="shared" si="509"/>
        <v>0.41402396504098538</v>
      </c>
      <c r="HG8" s="151">
        <f t="shared" si="510"/>
        <v>0.48123685405515165</v>
      </c>
      <c r="HH8" s="134">
        <f t="shared" si="511"/>
        <v>0.54615904961865636</v>
      </c>
      <c r="HI8" s="151">
        <f t="shared" si="512"/>
        <v>0.60389647545620451</v>
      </c>
      <c r="HJ8" s="151">
        <f t="shared" si="115"/>
        <v>0.65119739364867413</v>
      </c>
      <c r="HK8" s="151">
        <f t="shared" si="116"/>
        <v>0.6779121116338449</v>
      </c>
      <c r="HL8" s="151">
        <f t="shared" si="117"/>
        <v>0.70022644989684291</v>
      </c>
      <c r="HM8" s="151">
        <f t="shared" si="118"/>
        <v>0.7252757830100065</v>
      </c>
      <c r="HN8" s="163"/>
      <c r="HO8" s="164">
        <v>1.3</v>
      </c>
      <c r="HP8" s="151">
        <f t="shared" si="119"/>
        <v>0.26264873298914687</v>
      </c>
      <c r="HQ8" s="151">
        <f t="shared" si="120"/>
        <v>0.32858496183491182</v>
      </c>
      <c r="HR8" s="151">
        <f t="shared" si="121"/>
        <v>0.37554562970013383</v>
      </c>
      <c r="HS8" s="151">
        <f t="shared" si="513"/>
        <v>0.42282076721423451</v>
      </c>
      <c r="HT8" s="151">
        <f t="shared" si="514"/>
        <v>0.49097943695702378</v>
      </c>
      <c r="HU8" s="134">
        <f t="shared" si="515"/>
        <v>0.55653271793721959</v>
      </c>
      <c r="HV8" s="151">
        <f t="shared" si="516"/>
        <v>0.61464433627085835</v>
      </c>
      <c r="HW8" s="151">
        <f t="shared" si="122"/>
        <v>0.66214059915821644</v>
      </c>
      <c r="HX8" s="151">
        <f t="shared" si="123"/>
        <v>0.68892610014355915</v>
      </c>
      <c r="HY8" s="151">
        <f t="shared" si="124"/>
        <v>0.71127925844297268</v>
      </c>
      <c r="HZ8" s="151">
        <f t="shared" si="125"/>
        <v>0.73635129656145104</v>
      </c>
      <c r="IA8" s="163"/>
      <c r="IB8" s="164">
        <v>1.3</v>
      </c>
      <c r="IC8" s="151">
        <f t="shared" si="126"/>
        <v>0.20136264470761983</v>
      </c>
      <c r="ID8" s="151">
        <f t="shared" si="127"/>
        <v>0.2469450560636835</v>
      </c>
      <c r="IE8" s="151">
        <f t="shared" si="128"/>
        <v>0.27362909599829233</v>
      </c>
      <c r="IF8" s="151">
        <f t="shared" si="517"/>
        <v>0.29776834487066683</v>
      </c>
      <c r="IG8" s="151">
        <f t="shared" si="518"/>
        <v>0.32933907640735421</v>
      </c>
      <c r="IH8" s="134">
        <f t="shared" si="519"/>
        <v>0.35714449028319983</v>
      </c>
      <c r="II8" s="151">
        <f t="shared" si="520"/>
        <v>0.38022652974244969</v>
      </c>
      <c r="IJ8" s="151">
        <f t="shared" si="129"/>
        <v>0.3982095670696551</v>
      </c>
      <c r="IK8" s="151">
        <f t="shared" si="130"/>
        <v>0.40804816099888019</v>
      </c>
      <c r="IL8" s="151">
        <f t="shared" si="131"/>
        <v>0.41610672086477041</v>
      </c>
      <c r="IM8" s="151">
        <f t="shared" si="132"/>
        <v>0.42499176658854693</v>
      </c>
      <c r="IN8" s="163"/>
      <c r="IO8" s="164">
        <v>1.3</v>
      </c>
      <c r="IP8" s="151">
        <f t="shared" si="133"/>
        <v>0.19607046969217448</v>
      </c>
      <c r="IQ8" s="151">
        <f t="shared" si="134"/>
        <v>0.24230250074174342</v>
      </c>
      <c r="IR8" s="151">
        <f t="shared" si="135"/>
        <v>0.26919921169388317</v>
      </c>
      <c r="IS8" s="151">
        <f t="shared" si="521"/>
        <v>0.2934836097005511</v>
      </c>
      <c r="IT8" s="151">
        <f t="shared" si="522"/>
        <v>0.32521066666463699</v>
      </c>
      <c r="IU8" s="134">
        <f t="shared" si="523"/>
        <v>0.35314077456639614</v>
      </c>
      <c r="IV8" s="151">
        <f t="shared" si="524"/>
        <v>0.37632480275534602</v>
      </c>
      <c r="IW8" s="151">
        <f t="shared" si="136"/>
        <v>0.39438885258846107</v>
      </c>
      <c r="IX8" s="151">
        <f t="shared" si="137"/>
        <v>0.40427282085870575</v>
      </c>
      <c r="IY8" s="151">
        <f t="shared" si="138"/>
        <v>0.41236923462311564</v>
      </c>
      <c r="IZ8" s="151">
        <f t="shared" si="139"/>
        <v>0.42129682086090997</v>
      </c>
      <c r="JA8" s="163"/>
      <c r="JB8" s="164">
        <v>1.3</v>
      </c>
      <c r="JC8" s="151">
        <f t="shared" si="140"/>
        <v>0.19850928265353002</v>
      </c>
      <c r="JD8" s="151">
        <f t="shared" si="141"/>
        <v>0.24608332143868653</v>
      </c>
      <c r="JE8" s="151">
        <f t="shared" si="142"/>
        <v>0.27334706759507083</v>
      </c>
      <c r="JF8" s="151">
        <f t="shared" si="525"/>
        <v>0.2978058980289861</v>
      </c>
      <c r="JG8" s="151">
        <f t="shared" si="526"/>
        <v>0.32959931993269914</v>
      </c>
      <c r="JH8" s="134">
        <f t="shared" si="527"/>
        <v>0.35747275889673163</v>
      </c>
      <c r="JI8" s="151">
        <f t="shared" si="528"/>
        <v>0.38054456727072139</v>
      </c>
      <c r="JJ8" s="151">
        <f t="shared" si="143"/>
        <v>0.39848628667246622</v>
      </c>
      <c r="JK8" s="151">
        <f t="shared" si="144"/>
        <v>0.40829167346281003</v>
      </c>
      <c r="JL8" s="151">
        <f t="shared" si="145"/>
        <v>0.4163179803181663</v>
      </c>
      <c r="JM8" s="151">
        <f t="shared" si="146"/>
        <v>0.4251625479080523</v>
      </c>
      <c r="JN8" s="163"/>
      <c r="JO8" s="164">
        <v>1.2</v>
      </c>
      <c r="JP8" s="151">
        <f t="shared" si="147"/>
        <v>-4.3960282176529901</v>
      </c>
      <c r="JQ8" s="151">
        <f t="shared" si="148"/>
        <v>-3.376631821316245</v>
      </c>
      <c r="JR8" s="151">
        <f t="shared" si="149"/>
        <v>-2.4914919570308705</v>
      </c>
      <c r="JS8" s="151">
        <f t="shared" si="529"/>
        <v>-1.4616688197543226</v>
      </c>
      <c r="JT8" s="151">
        <f t="shared" si="530"/>
        <v>0.27756562365551929</v>
      </c>
      <c r="JU8" s="134">
        <f t="shared" si="531"/>
        <v>2.245982282565457</v>
      </c>
      <c r="JV8" s="151">
        <f t="shared" si="532"/>
        <v>4.2442049334271275</v>
      </c>
      <c r="JW8" s="151">
        <f t="shared" si="150"/>
        <v>6.0610776013128493</v>
      </c>
      <c r="JX8" s="151">
        <f t="shared" si="151"/>
        <v>7.160695454759221</v>
      </c>
      <c r="JY8" s="151">
        <f t="shared" si="152"/>
        <v>8.1206190701704166</v>
      </c>
      <c r="JZ8" s="151">
        <f t="shared" si="153"/>
        <v>9.243774962844622</v>
      </c>
      <c r="KA8" s="163"/>
      <c r="KB8" s="164">
        <v>1.2</v>
      </c>
      <c r="KC8" s="151">
        <f t="shared" si="154"/>
        <v>-3.3874669210926545</v>
      </c>
      <c r="KD8" s="151">
        <f t="shared" si="155"/>
        <v>-2.4962482942381303</v>
      </c>
      <c r="KE8" s="151">
        <f t="shared" si="156"/>
        <v>-1.7077888659712084</v>
      </c>
      <c r="KF8" s="151">
        <f t="shared" si="533"/>
        <v>-0.77433315595879826</v>
      </c>
      <c r="KG8" s="151">
        <f t="shared" si="534"/>
        <v>0.83892239977808636</v>
      </c>
      <c r="KH8" s="134">
        <f t="shared" si="535"/>
        <v>2.7161567070075048</v>
      </c>
      <c r="KI8" s="151">
        <f t="shared" si="536"/>
        <v>4.6728896008528178</v>
      </c>
      <c r="KJ8" s="151">
        <f t="shared" si="157"/>
        <v>6.493193115625095</v>
      </c>
      <c r="KK8" s="151">
        <f t="shared" si="158"/>
        <v>7.6127457099339981</v>
      </c>
      <c r="KL8" s="151">
        <f t="shared" si="159"/>
        <v>8.6005715029432732</v>
      </c>
      <c r="KM8" s="151">
        <f t="shared" si="160"/>
        <v>9.7683515141506714</v>
      </c>
      <c r="KN8" s="163"/>
      <c r="KO8" s="164">
        <v>1.3</v>
      </c>
      <c r="KP8" s="151">
        <f t="shared" si="161"/>
        <v>-6.9221765078288069</v>
      </c>
      <c r="KQ8" s="151">
        <f t="shared" si="162"/>
        <v>-5.6540668056704497</v>
      </c>
      <c r="KR8" s="151">
        <f t="shared" si="163"/>
        <v>-4.5684550346012962</v>
      </c>
      <c r="KS8" s="151">
        <f t="shared" si="537"/>
        <v>-3.3221175839706945</v>
      </c>
      <c r="KT8" s="151">
        <f t="shared" si="538"/>
        <v>-1.2545068040857466</v>
      </c>
      <c r="KU8" s="134">
        <f t="shared" si="539"/>
        <v>1.0348550783564185</v>
      </c>
      <c r="KV8" s="151">
        <f t="shared" si="540"/>
        <v>3.3100068651036452</v>
      </c>
      <c r="KW8" s="151">
        <f t="shared" si="164"/>
        <v>5.3403846453397819</v>
      </c>
      <c r="KX8" s="151">
        <f t="shared" si="165"/>
        <v>6.5529723837189131</v>
      </c>
      <c r="KY8" s="151">
        <f t="shared" si="166"/>
        <v>7.6021179096843916</v>
      </c>
      <c r="KZ8" s="151">
        <f t="shared" si="167"/>
        <v>8.8190869971256589</v>
      </c>
      <c r="LA8" s="163"/>
      <c r="LB8" s="164">
        <v>1.2</v>
      </c>
      <c r="LC8" s="151">
        <f t="shared" si="168"/>
        <v>-16.02572979764895</v>
      </c>
      <c r="LD8" s="151">
        <f t="shared" si="169"/>
        <v>-12.347052911735858</v>
      </c>
      <c r="LE8" s="151">
        <f t="shared" si="170"/>
        <v>-9.0855871225421154</v>
      </c>
      <c r="LF8" s="151">
        <f t="shared" si="541"/>
        <v>-5.2223842266977734</v>
      </c>
      <c r="LG8" s="151">
        <f t="shared" si="542"/>
        <v>1.4460835419705802</v>
      </c>
      <c r="LH8" s="134">
        <f t="shared" si="543"/>
        <v>9.176519609691951</v>
      </c>
      <c r="LI8" s="151">
        <f t="shared" si="544"/>
        <v>17.189042601220727</v>
      </c>
      <c r="LJ8" s="151">
        <f t="shared" si="171"/>
        <v>24.596369575510714</v>
      </c>
      <c r="LK8" s="151">
        <f t="shared" si="172"/>
        <v>29.129058202552891</v>
      </c>
      <c r="LL8" s="151">
        <f t="shared" si="173"/>
        <v>33.113739570501203</v>
      </c>
      <c r="LM8" s="151">
        <f t="shared" si="174"/>
        <v>37.806635811567283</v>
      </c>
      <c r="LN8" s="163"/>
      <c r="LO8" s="164">
        <v>1.2</v>
      </c>
      <c r="LP8" s="151">
        <f t="shared" si="175"/>
        <v>-13.034510819202527</v>
      </c>
      <c r="LQ8" s="151">
        <f t="shared" si="176"/>
        <v>-9.529755065778609</v>
      </c>
      <c r="LR8" s="151">
        <f t="shared" si="177"/>
        <v>-6.4058189332375406</v>
      </c>
      <c r="LS8" s="151">
        <f t="shared" si="545"/>
        <v>-2.6881368984414102</v>
      </c>
      <c r="LT8" s="151">
        <f t="shared" si="546"/>
        <v>3.7667816910417322</v>
      </c>
      <c r="LU8" s="134">
        <f t="shared" si="547"/>
        <v>11.299351930288847</v>
      </c>
      <c r="LV8" s="151">
        <f t="shared" si="548"/>
        <v>19.153417651620178</v>
      </c>
      <c r="LW8" s="151">
        <f t="shared" si="178"/>
        <v>26.450091055874136</v>
      </c>
      <c r="LX8" s="151">
        <f t="shared" si="179"/>
        <v>30.930080179639749</v>
      </c>
      <c r="LY8" s="151">
        <f t="shared" si="180"/>
        <v>34.877053195684056</v>
      </c>
      <c r="LZ8" s="151">
        <f t="shared" si="181"/>
        <v>39.535212766186717</v>
      </c>
      <c r="MA8" s="163"/>
      <c r="MB8" s="164">
        <v>1.3</v>
      </c>
      <c r="MC8" s="151">
        <f t="shared" si="182"/>
        <v>-18.12351188698635</v>
      </c>
      <c r="MD8" s="151">
        <f t="shared" si="183"/>
        <v>-14.416107346488847</v>
      </c>
      <c r="ME8" s="151">
        <f t="shared" si="184"/>
        <v>-11.162893430008801</v>
      </c>
      <c r="MF8" s="151">
        <f t="shared" si="549"/>
        <v>-7.3461876612584085</v>
      </c>
      <c r="MG8" s="151">
        <f t="shared" si="550"/>
        <v>-0.84035419732816052</v>
      </c>
      <c r="MH8" s="134">
        <f t="shared" si="551"/>
        <v>6.589532203426252</v>
      </c>
      <c r="MI8" s="151">
        <f t="shared" si="552"/>
        <v>14.183057265572366</v>
      </c>
      <c r="MJ8" s="151">
        <f t="shared" si="185"/>
        <v>21.119318316363483</v>
      </c>
      <c r="MK8" s="151">
        <f t="shared" si="186"/>
        <v>25.328438159559191</v>
      </c>
      <c r="ML8" s="151">
        <f t="shared" si="187"/>
        <v>29.008322202748424</v>
      </c>
      <c r="MM8" s="151">
        <f t="shared" si="188"/>
        <v>33.319369488338957</v>
      </c>
      <c r="MN8" s="163"/>
      <c r="MO8" s="164">
        <v>1.2</v>
      </c>
      <c r="MP8" s="151">
        <f t="shared" si="189"/>
        <v>-12.635628797873409</v>
      </c>
      <c r="MQ8" s="151">
        <f t="shared" si="190"/>
        <v>-8.3099043330740692</v>
      </c>
      <c r="MR8" s="151">
        <f t="shared" si="191"/>
        <v>-4.5726071210564214</v>
      </c>
      <c r="MS8" s="151">
        <f t="shared" si="553"/>
        <v>-0.24662207425900817</v>
      </c>
      <c r="MT8" s="151">
        <f t="shared" si="554"/>
        <v>7.0055425595122927</v>
      </c>
      <c r="MU8" s="134">
        <f t="shared" si="555"/>
        <v>15.133998049749799</v>
      </c>
      <c r="MV8" s="151">
        <f t="shared" si="556"/>
        <v>23.303371538414858</v>
      </c>
      <c r="MW8" s="151">
        <f t="shared" si="192"/>
        <v>30.663339834011303</v>
      </c>
      <c r="MX8" s="151">
        <f t="shared" si="193"/>
        <v>35.087833869659683</v>
      </c>
      <c r="MY8" s="151">
        <f t="shared" si="194"/>
        <v>38.932491681573602</v>
      </c>
      <c r="MZ8" s="151">
        <f t="shared" si="195"/>
        <v>43.410572012807798</v>
      </c>
      <c r="NA8" s="163"/>
      <c r="NB8" s="164">
        <v>1.2</v>
      </c>
      <c r="NC8" s="151">
        <f t="shared" si="196"/>
        <v>-12.173914184856789</v>
      </c>
      <c r="ND8" s="151">
        <f t="shared" si="197"/>
        <v>-7.9195173806437289</v>
      </c>
      <c r="NE8" s="151">
        <f t="shared" si="198"/>
        <v>-4.2279835660746947</v>
      </c>
      <c r="NF8" s="151">
        <f t="shared" si="557"/>
        <v>5.954999506197467E-2</v>
      </c>
      <c r="NG8" s="151">
        <f t="shared" si="558"/>
        <v>7.2749263564635065</v>
      </c>
      <c r="NH8" s="134">
        <f t="shared" si="559"/>
        <v>15.394353470218139</v>
      </c>
      <c r="NI8" s="151">
        <f t="shared" si="560"/>
        <v>23.581557981962657</v>
      </c>
      <c r="NJ8" s="151">
        <f t="shared" si="199"/>
        <v>30.976469212307958</v>
      </c>
      <c r="NK8" s="151">
        <f t="shared" si="200"/>
        <v>35.429407255395091</v>
      </c>
      <c r="NL8" s="151">
        <f t="shared" si="201"/>
        <v>39.302876012635409</v>
      </c>
      <c r="NM8" s="151">
        <f t="shared" si="202"/>
        <v>43.818963193131864</v>
      </c>
      <c r="NN8" s="163"/>
      <c r="NO8" s="164">
        <v>1.3</v>
      </c>
      <c r="NP8" s="151">
        <f t="shared" si="203"/>
        <v>-19.358861636277283</v>
      </c>
      <c r="NQ8" s="151">
        <f t="shared" si="204"/>
        <v>-15.101179921814712</v>
      </c>
      <c r="NR8" s="151">
        <f t="shared" si="205"/>
        <v>-11.435981367984191</v>
      </c>
      <c r="NS8" s="151">
        <f t="shared" si="561"/>
        <v>-7.2069857190479674</v>
      </c>
      <c r="NT8" s="151">
        <f t="shared" si="562"/>
        <v>-0.14575499170329209</v>
      </c>
      <c r="NU8" s="134">
        <f t="shared" si="563"/>
        <v>7.73260352052408</v>
      </c>
      <c r="NV8" s="151">
        <f t="shared" si="564"/>
        <v>15.617941858382785</v>
      </c>
      <c r="NW8" s="151">
        <f t="shared" si="206"/>
        <v>22.697665652528762</v>
      </c>
      <c r="NX8" s="151">
        <f t="shared" si="207"/>
        <v>26.943703365659808</v>
      </c>
      <c r="NY8" s="151">
        <f t="shared" si="208"/>
        <v>30.627650367531011</v>
      </c>
      <c r="NZ8" s="151">
        <f t="shared" si="209"/>
        <v>34.912299999102949</v>
      </c>
      <c r="OA8" s="163"/>
      <c r="OB8" s="164">
        <v>1.2</v>
      </c>
      <c r="OC8" s="151">
        <f t="shared" si="210"/>
        <v>11.370596009565352</v>
      </c>
      <c r="OD8" s="151">
        <f t="shared" si="211"/>
        <v>12.60334270844575</v>
      </c>
      <c r="OE8" s="151">
        <f t="shared" si="212"/>
        <v>13.765530642370626</v>
      </c>
      <c r="OF8" s="151">
        <f t="shared" si="565"/>
        <v>15.233510374596069</v>
      </c>
      <c r="OG8" s="151">
        <f t="shared" si="566"/>
        <v>18.023390231113229</v>
      </c>
      <c r="OH8" s="134">
        <f t="shared" si="567"/>
        <v>21.711809055848196</v>
      </c>
      <c r="OI8" s="151">
        <f t="shared" si="568"/>
        <v>26.120859689221099</v>
      </c>
      <c r="OJ8" s="151">
        <f t="shared" si="213"/>
        <v>30.799752489069558</v>
      </c>
      <c r="OK8" s="151">
        <f t="shared" si="214"/>
        <v>33.980549039290054</v>
      </c>
      <c r="OL8" s="151">
        <f t="shared" si="215"/>
        <v>36.993292053803991</v>
      </c>
      <c r="OM8" s="151">
        <f t="shared" si="216"/>
        <v>40.819666309659155</v>
      </c>
      <c r="ON8" s="163"/>
      <c r="OO8" s="164">
        <v>1.2</v>
      </c>
      <c r="OP8" s="151">
        <f t="shared" si="217"/>
        <v>11.502002814771251</v>
      </c>
      <c r="OQ8" s="151">
        <f t="shared" si="218"/>
        <v>12.75496462715982</v>
      </c>
      <c r="OR8" s="151">
        <f t="shared" si="219"/>
        <v>13.945643384625551</v>
      </c>
      <c r="OS8" s="151">
        <f t="shared" si="569"/>
        <v>15.462688664621465</v>
      </c>
      <c r="OT8" s="151">
        <f t="shared" si="570"/>
        <v>18.385704763056221</v>
      </c>
      <c r="OU8" s="134">
        <f t="shared" si="571"/>
        <v>22.328722353059316</v>
      </c>
      <c r="OV8" s="151">
        <f t="shared" si="572"/>
        <v>27.155543783139738</v>
      </c>
      <c r="OW8" s="151">
        <f t="shared" si="220"/>
        <v>32.407252652599325</v>
      </c>
      <c r="OX8" s="151">
        <f t="shared" si="221"/>
        <v>36.050616324315378</v>
      </c>
      <c r="OY8" s="151">
        <f t="shared" si="222"/>
        <v>39.554294231527372</v>
      </c>
      <c r="OZ8" s="151">
        <f t="shared" si="223"/>
        <v>44.076132528565445</v>
      </c>
      <c r="PA8" s="163"/>
      <c r="PB8" s="164">
        <v>1.3</v>
      </c>
      <c r="PC8" s="151">
        <f t="shared" si="224"/>
        <v>12.819007105868916</v>
      </c>
      <c r="PD8" s="151">
        <f t="shared" si="225"/>
        <v>14.356227125407752</v>
      </c>
      <c r="PE8" s="151">
        <f t="shared" si="226"/>
        <v>15.800845328967227</v>
      </c>
      <c r="PF8" s="151">
        <f t="shared" si="573"/>
        <v>17.617819254691177</v>
      </c>
      <c r="PG8" s="151">
        <f t="shared" si="574"/>
        <v>21.043638642281451</v>
      </c>
      <c r="PH8" s="134">
        <f t="shared" si="575"/>
        <v>25.512950454562624</v>
      </c>
      <c r="PI8" s="151">
        <f t="shared" si="576"/>
        <v>30.763574930999685</v>
      </c>
      <c r="PJ8" s="151">
        <f t="shared" si="227"/>
        <v>36.228658955467417</v>
      </c>
      <c r="PK8" s="151">
        <f t="shared" si="228"/>
        <v>39.883867994721264</v>
      </c>
      <c r="PL8" s="151">
        <f t="shared" si="229"/>
        <v>43.303254317432547</v>
      </c>
      <c r="PM8" s="151">
        <f t="shared" si="230"/>
        <v>47.588969536622258</v>
      </c>
      <c r="PN8" s="163"/>
      <c r="PO8" s="164">
        <v>1.2</v>
      </c>
      <c r="PP8" s="151">
        <f t="shared" si="231"/>
        <v>6.003690322726726</v>
      </c>
      <c r="PQ8" s="151">
        <f t="shared" si="232"/>
        <v>6.6168927437795126</v>
      </c>
      <c r="PR8" s="151">
        <f t="shared" si="233"/>
        <v>7.1840340632080002</v>
      </c>
      <c r="PS8" s="151">
        <f t="shared" si="577"/>
        <v>7.8861924827845638</v>
      </c>
      <c r="PT8" s="151">
        <f t="shared" si="578"/>
        <v>9.1807401407143434</v>
      </c>
      <c r="PU8" s="134">
        <f t="shared" si="579"/>
        <v>10.821423140859336</v>
      </c>
      <c r="PV8" s="151">
        <f t="shared" si="580"/>
        <v>12.69225499826379</v>
      </c>
      <c r="PW8" s="151">
        <f t="shared" si="234"/>
        <v>14.586301579260805</v>
      </c>
      <c r="PX8" s="151">
        <f t="shared" si="235"/>
        <v>15.827390452464977</v>
      </c>
      <c r="PY8" s="151">
        <f t="shared" si="236"/>
        <v>16.97196096307913</v>
      </c>
      <c r="PZ8" s="151">
        <f t="shared" si="237"/>
        <v>18.386239616132876</v>
      </c>
      <c r="QA8" s="163"/>
      <c r="QB8" s="164">
        <v>1.2</v>
      </c>
      <c r="QC8" s="151">
        <f t="shared" si="238"/>
        <v>6.434678267103453</v>
      </c>
      <c r="QD8" s="151">
        <f t="shared" si="239"/>
        <v>7.0147443020873386</v>
      </c>
      <c r="QE8" s="151">
        <f t="shared" si="240"/>
        <v>7.5524652125272373</v>
      </c>
      <c r="QF8" s="151">
        <f t="shared" si="581"/>
        <v>8.2202886267693884</v>
      </c>
      <c r="QG8" s="151">
        <f t="shared" si="582"/>
        <v>9.4588727064549936</v>
      </c>
      <c r="QH8" s="134">
        <f t="shared" si="583"/>
        <v>11.044527600193643</v>
      </c>
      <c r="QI8" s="151">
        <f t="shared" si="584"/>
        <v>12.876685092343074</v>
      </c>
      <c r="QJ8" s="151">
        <f t="shared" si="241"/>
        <v>14.759252727059991</v>
      </c>
      <c r="QK8" s="151">
        <f t="shared" si="242"/>
        <v>16.008316554870852</v>
      </c>
      <c r="QL8" s="151">
        <f t="shared" si="243"/>
        <v>17.171227587202665</v>
      </c>
      <c r="QM8" s="151">
        <f t="shared" si="244"/>
        <v>18.622773222731329</v>
      </c>
      <c r="QN8" s="163"/>
      <c r="QO8" s="164">
        <v>1.3</v>
      </c>
      <c r="QP8" s="151">
        <f t="shared" si="245"/>
        <v>6.0750301837634861</v>
      </c>
      <c r="QQ8" s="151">
        <f t="shared" si="246"/>
        <v>6.8066742462087202</v>
      </c>
      <c r="QR8" s="151">
        <f t="shared" si="247"/>
        <v>7.4815039637481036</v>
      </c>
      <c r="QS8" s="151">
        <f t="shared" si="585"/>
        <v>8.3137748175370767</v>
      </c>
      <c r="QT8" s="151">
        <f t="shared" si="586"/>
        <v>9.8370785961317377</v>
      </c>
      <c r="QU8" s="134">
        <f t="shared" si="587"/>
        <v>11.744465793557342</v>
      </c>
      <c r="QV8" s="151">
        <f t="shared" si="588"/>
        <v>13.88619524164919</v>
      </c>
      <c r="QW8" s="151">
        <f t="shared" si="248"/>
        <v>16.018667683967994</v>
      </c>
      <c r="QX8" s="151">
        <f t="shared" si="249"/>
        <v>17.397026377446473</v>
      </c>
      <c r="QY8" s="151">
        <f t="shared" si="250"/>
        <v>18.655354636354083</v>
      </c>
      <c r="QZ8" s="151">
        <f t="shared" si="251"/>
        <v>20.193781377631044</v>
      </c>
      <c r="RA8" s="163"/>
      <c r="RB8" s="164">
        <v>1.2</v>
      </c>
      <c r="RC8" s="151">
        <f t="shared" si="252"/>
        <v>0.30911414386922592</v>
      </c>
      <c r="RD8" s="151">
        <f t="shared" si="253"/>
        <v>0.33224726600441945</v>
      </c>
      <c r="RE8" s="151">
        <f t="shared" si="254"/>
        <v>0.35375220609603897</v>
      </c>
      <c r="RF8" s="151">
        <f t="shared" si="589"/>
        <v>0.38056826985569586</v>
      </c>
      <c r="RG8" s="151">
        <f t="shared" si="590"/>
        <v>0.43070249031554764</v>
      </c>
      <c r="RH8" s="134">
        <f t="shared" si="591"/>
        <v>0.49580764394262927</v>
      </c>
      <c r="RI8" s="151">
        <f t="shared" si="592"/>
        <v>0.57253734463997674</v>
      </c>
      <c r="RJ8" s="151">
        <f t="shared" si="255"/>
        <v>0.65324058557440978</v>
      </c>
      <c r="RK8" s="151">
        <f t="shared" si="256"/>
        <v>0.70789628410582428</v>
      </c>
      <c r="RL8" s="151">
        <f t="shared" si="257"/>
        <v>0.75961018251477075</v>
      </c>
      <c r="RM8" s="151">
        <f t="shared" si="258"/>
        <v>0.8253110726078724</v>
      </c>
      <c r="RN8" s="163"/>
      <c r="RO8" s="164">
        <v>1.2</v>
      </c>
      <c r="RP8" s="151">
        <f t="shared" si="259"/>
        <v>0.32614049083808888</v>
      </c>
      <c r="RQ8" s="151">
        <f t="shared" si="260"/>
        <v>0.34905999185782943</v>
      </c>
      <c r="RR8" s="151">
        <f t="shared" si="261"/>
        <v>0.37035378779277228</v>
      </c>
      <c r="RS8" s="151">
        <f t="shared" si="593"/>
        <v>0.39689778782821872</v>
      </c>
      <c r="RT8" s="151">
        <f t="shared" si="594"/>
        <v>0.4465240245798594</v>
      </c>
      <c r="RU8" s="134">
        <f t="shared" si="595"/>
        <v>0.51102765005811601</v>
      </c>
      <c r="RV8" s="151">
        <f t="shared" si="596"/>
        <v>0.58721192217821894</v>
      </c>
      <c r="RW8" s="151">
        <f t="shared" si="262"/>
        <v>0.66760455152479126</v>
      </c>
      <c r="RX8" s="151">
        <f t="shared" si="263"/>
        <v>0.72223056227112647</v>
      </c>
      <c r="RY8" s="151">
        <f t="shared" si="264"/>
        <v>0.77406356509185925</v>
      </c>
      <c r="RZ8" s="151">
        <f t="shared" si="265"/>
        <v>0.84013440885491575</v>
      </c>
      <c r="SA8" s="163"/>
      <c r="SB8" s="164">
        <v>1.3</v>
      </c>
      <c r="SC8" s="151">
        <f t="shared" si="266"/>
        <v>0.28917091575143766</v>
      </c>
      <c r="SD8" s="151">
        <f t="shared" si="267"/>
        <v>0.31250309603395238</v>
      </c>
      <c r="SE8" s="151">
        <f t="shared" si="268"/>
        <v>0.33409125835776809</v>
      </c>
      <c r="SF8" s="151">
        <f t="shared" si="597"/>
        <v>0.36086438490430112</v>
      </c>
      <c r="SG8" s="151">
        <f t="shared" si="598"/>
        <v>0.41045688098608202</v>
      </c>
      <c r="SH8" s="134">
        <f t="shared" si="599"/>
        <v>0.47392530932579646</v>
      </c>
      <c r="SI8" s="151">
        <f t="shared" si="600"/>
        <v>0.5473551326996331</v>
      </c>
      <c r="SJ8" s="151">
        <f t="shared" si="269"/>
        <v>0.62301235367487939</v>
      </c>
      <c r="SK8" s="151">
        <f t="shared" si="270"/>
        <v>0.67336109293525259</v>
      </c>
      <c r="SL8" s="151">
        <f t="shared" si="271"/>
        <v>0.72036051911527632</v>
      </c>
      <c r="SM8" s="151">
        <f t="shared" si="272"/>
        <v>0.77920560671506689</v>
      </c>
      <c r="SN8" s="163"/>
      <c r="SO8" s="164">
        <v>1.2</v>
      </c>
      <c r="SP8" s="151">
        <f t="shared" si="273"/>
        <v>0.23377060033694547</v>
      </c>
      <c r="SQ8" s="151">
        <f t="shared" si="274"/>
        <v>0.24795872833800828</v>
      </c>
      <c r="SR8" s="151">
        <f t="shared" si="275"/>
        <v>0.26053898877579973</v>
      </c>
      <c r="SS8" s="151">
        <f t="shared" si="276"/>
        <v>0.27547973660090269</v>
      </c>
      <c r="ST8" s="151">
        <f t="shared" si="601"/>
        <v>0.30145259420593129</v>
      </c>
      <c r="SU8" s="134">
        <f t="shared" si="602"/>
        <v>0.33196342961027397</v>
      </c>
      <c r="SV8" s="151">
        <f t="shared" si="603"/>
        <v>0.36414003511500653</v>
      </c>
      <c r="SW8" s="151">
        <f t="shared" si="280"/>
        <v>0.39444232602430795</v>
      </c>
      <c r="SX8" s="151">
        <f t="shared" si="281"/>
        <v>0.41326331459500149</v>
      </c>
      <c r="SY8" s="151">
        <f t="shared" si="282"/>
        <v>0.42998872839189034</v>
      </c>
      <c r="SZ8" s="151">
        <f t="shared" si="283"/>
        <v>0.44990666112722755</v>
      </c>
      <c r="TA8" s="163"/>
      <c r="TB8" s="164">
        <v>1.2</v>
      </c>
      <c r="TC8" s="151">
        <f t="shared" si="284"/>
        <v>0.24567533762947369</v>
      </c>
      <c r="TD8" s="151">
        <f t="shared" si="285"/>
        <v>0.25866127128700034</v>
      </c>
      <c r="TE8" s="151">
        <f t="shared" si="286"/>
        <v>0.27027856713547449</v>
      </c>
      <c r="TF8" s="151">
        <f t="shared" si="604"/>
        <v>0.28420411663697009</v>
      </c>
      <c r="TG8" s="151">
        <f t="shared" si="605"/>
        <v>0.30875125011159549</v>
      </c>
      <c r="TH8" s="134">
        <f t="shared" si="606"/>
        <v>0.33814894294600645</v>
      </c>
      <c r="TI8" s="151">
        <f t="shared" si="607"/>
        <v>0.36982134809691741</v>
      </c>
      <c r="TJ8" s="151">
        <f t="shared" si="287"/>
        <v>0.40028571094646953</v>
      </c>
      <c r="TK8" s="151">
        <f t="shared" si="288"/>
        <v>0.41952084564939379</v>
      </c>
      <c r="TL8" s="151">
        <f t="shared" si="289"/>
        <v>0.43681679448827609</v>
      </c>
      <c r="TM8" s="151">
        <f t="shared" si="290"/>
        <v>0.45766345939831243</v>
      </c>
      <c r="TN8" s="163"/>
      <c r="TO8" s="164">
        <v>1.3</v>
      </c>
      <c r="TP8" s="151">
        <f t="shared" si="291"/>
        <v>0.22397987305232125</v>
      </c>
      <c r="TQ8" s="151">
        <f t="shared" si="292"/>
        <v>0.23803173196264946</v>
      </c>
      <c r="TR8" s="151">
        <f t="shared" si="293"/>
        <v>0.25050343220714211</v>
      </c>
      <c r="TS8" s="151">
        <f t="shared" si="608"/>
        <v>0.26532909840975805</v>
      </c>
      <c r="TT8" s="151">
        <f t="shared" si="609"/>
        <v>0.29113448292280575</v>
      </c>
      <c r="TU8" s="134">
        <f t="shared" si="610"/>
        <v>0.32149562325472786</v>
      </c>
      <c r="TV8" s="151">
        <f t="shared" si="611"/>
        <v>0.35356254296850043</v>
      </c>
      <c r="TW8" s="151">
        <f t="shared" si="294"/>
        <v>0.38380132052084021</v>
      </c>
      <c r="TX8" s="151">
        <f t="shared" si="295"/>
        <v>0.40260036814701711</v>
      </c>
      <c r="TY8" s="151">
        <f t="shared" si="296"/>
        <v>0.41931668683492823</v>
      </c>
      <c r="TZ8" s="151">
        <f t="shared" si="297"/>
        <v>0.4392357810897104</v>
      </c>
      <c r="UA8" s="163"/>
      <c r="UB8" s="164">
        <v>1.2</v>
      </c>
      <c r="UC8" s="151">
        <f t="shared" si="298"/>
        <v>-20.478342277494392</v>
      </c>
      <c r="UD8" s="151">
        <f t="shared" si="299"/>
        <v>-18.002271428127919</v>
      </c>
      <c r="UE8" s="151">
        <f t="shared" si="300"/>
        <v>-15.916731532554969</v>
      </c>
      <c r="UF8" s="151">
        <f t="shared" si="612"/>
        <v>-13.558387094280086</v>
      </c>
      <c r="UG8" s="151">
        <f t="shared" si="613"/>
        <v>-9.7235813316326301</v>
      </c>
      <c r="UH8" s="134">
        <f t="shared" si="614"/>
        <v>-5.5791525574267524</v>
      </c>
      <c r="UI8" s="151">
        <f t="shared" si="615"/>
        <v>-1.5547964939140044</v>
      </c>
      <c r="UJ8" s="151">
        <f t="shared" si="301"/>
        <v>1.9651063356520098</v>
      </c>
      <c r="UK8" s="151">
        <f t="shared" si="302"/>
        <v>4.037650756757742</v>
      </c>
      <c r="UL8" s="151">
        <f t="shared" si="303"/>
        <v>5.8140138957143392</v>
      </c>
      <c r="UM8" s="151">
        <f t="shared" si="304"/>
        <v>7.8558616833921491</v>
      </c>
      <c r="UN8" s="163"/>
      <c r="UO8" s="164">
        <v>1.2</v>
      </c>
      <c r="UP8" s="151">
        <f t="shared" si="305"/>
        <v>-18.149789663674525</v>
      </c>
      <c r="UQ8" s="151">
        <f t="shared" si="306"/>
        <v>-15.939319426508934</v>
      </c>
      <c r="UR8" s="151">
        <f t="shared" si="307"/>
        <v>-14.042548517997886</v>
      </c>
      <c r="US8" s="151">
        <f t="shared" si="616"/>
        <v>-11.860142562375302</v>
      </c>
      <c r="UT8" s="151">
        <f t="shared" si="617"/>
        <v>-8.2288735761302618</v>
      </c>
      <c r="UU8" s="134">
        <f t="shared" si="618"/>
        <v>-4.1934979711872877</v>
      </c>
      <c r="UV8" s="151">
        <f t="shared" si="619"/>
        <v>-0.16905350718762691</v>
      </c>
      <c r="UW8" s="151">
        <f t="shared" si="308"/>
        <v>3.4334569744714614</v>
      </c>
      <c r="UX8" s="151">
        <f t="shared" si="309"/>
        <v>5.5896403278788043</v>
      </c>
      <c r="UY8" s="151">
        <f t="shared" si="310"/>
        <v>7.4579005264779923</v>
      </c>
      <c r="UZ8" s="151">
        <f t="shared" si="311"/>
        <v>9.6280492356219085</v>
      </c>
      <c r="VA8" s="163"/>
      <c r="VB8" s="164">
        <v>1.3</v>
      </c>
      <c r="VC8" s="151">
        <f t="shared" si="312"/>
        <v>-23.778675586120897</v>
      </c>
      <c r="VD8" s="151">
        <f t="shared" si="313"/>
        <v>-20.83461184530421</v>
      </c>
      <c r="VE8" s="151">
        <f t="shared" si="314"/>
        <v>-18.401864990674049</v>
      </c>
      <c r="VF8" s="151">
        <f t="shared" si="620"/>
        <v>-15.696270008882564</v>
      </c>
      <c r="VG8" s="151">
        <f t="shared" si="621"/>
        <v>-11.386099314855109</v>
      </c>
      <c r="VH8" s="134">
        <f t="shared" si="622"/>
        <v>-6.8339877592096485</v>
      </c>
      <c r="VI8" s="151">
        <f t="shared" si="623"/>
        <v>-2.50307147766258</v>
      </c>
      <c r="VJ8" s="151">
        <f t="shared" si="315"/>
        <v>1.2225499852394677</v>
      </c>
      <c r="VK8" s="151">
        <f t="shared" si="316"/>
        <v>3.391795480610881</v>
      </c>
      <c r="VL8" s="151">
        <f t="shared" si="317"/>
        <v>5.2377085948790665</v>
      </c>
      <c r="VM8" s="151">
        <f t="shared" si="318"/>
        <v>7.3451626751619585</v>
      </c>
      <c r="VN8" s="163"/>
      <c r="VO8" s="164">
        <v>1.2</v>
      </c>
      <c r="VP8" s="151">
        <f t="shared" si="319"/>
        <v>-43.36127201114175</v>
      </c>
      <c r="VQ8" s="151">
        <f t="shared" si="320"/>
        <v>-40.035051624168716</v>
      </c>
      <c r="VR8" s="151">
        <f t="shared" si="321"/>
        <v>-36.90224178254276</v>
      </c>
      <c r="VS8" s="151">
        <f t="shared" si="624"/>
        <v>-32.989030671869934</v>
      </c>
      <c r="VT8" s="151">
        <f t="shared" si="625"/>
        <v>-25.770038153641224</v>
      </c>
      <c r="VU8" s="134">
        <f t="shared" si="626"/>
        <v>-16.748162808979444</v>
      </c>
      <c r="VV8" s="151">
        <f t="shared" si="627"/>
        <v>-6.7422157489347256</v>
      </c>
      <c r="VW8" s="151">
        <f t="shared" si="322"/>
        <v>3.0409553326598697</v>
      </c>
      <c r="VX8" s="151">
        <f t="shared" si="323"/>
        <v>9.2605669393798919</v>
      </c>
      <c r="VY8" s="151">
        <f t="shared" si="324"/>
        <v>14.866241570059053</v>
      </c>
      <c r="VZ8" s="151">
        <f t="shared" si="325"/>
        <v>21.626771168183119</v>
      </c>
      <c r="WA8" s="163"/>
      <c r="WB8" s="164">
        <v>1.2</v>
      </c>
      <c r="WC8" s="151">
        <f t="shared" si="326"/>
        <v>-40.131352384184673</v>
      </c>
      <c r="WD8" s="151">
        <f t="shared" si="327"/>
        <v>-36.913302832714265</v>
      </c>
      <c r="WE8" s="151">
        <f t="shared" si="328"/>
        <v>-33.82123006351442</v>
      </c>
      <c r="WF8" s="151">
        <f t="shared" si="628"/>
        <v>-29.899286057680129</v>
      </c>
      <c r="WG8" s="151">
        <f t="shared" si="629"/>
        <v>-22.54245788448991</v>
      </c>
      <c r="WH8" s="134">
        <f t="shared" si="630"/>
        <v>-13.198782915663308</v>
      </c>
      <c r="WI8" s="151">
        <f t="shared" si="631"/>
        <v>-2.7064327640374017</v>
      </c>
      <c r="WJ8" s="151">
        <f t="shared" si="329"/>
        <v>7.645003719577204</v>
      </c>
      <c r="WK8" s="151">
        <f t="shared" si="330"/>
        <v>14.262528708496667</v>
      </c>
      <c r="WL8" s="151">
        <f t="shared" si="331"/>
        <v>20.247071456317066</v>
      </c>
      <c r="WM8" s="151">
        <f t="shared" si="332"/>
        <v>27.486663908832291</v>
      </c>
      <c r="WN8" s="163"/>
      <c r="WO8" s="164">
        <v>1.3</v>
      </c>
      <c r="WP8" s="151">
        <f t="shared" si="333"/>
        <v>-45.747332838323445</v>
      </c>
      <c r="WQ8" s="151">
        <f t="shared" si="334"/>
        <v>-42.353654509082581</v>
      </c>
      <c r="WR8" s="151">
        <f t="shared" si="335"/>
        <v>-39.163493310197886</v>
      </c>
      <c r="WS8" s="151">
        <f t="shared" si="632"/>
        <v>-35.198645116674669</v>
      </c>
      <c r="WT8" s="151">
        <f t="shared" si="633"/>
        <v>-27.956447640805994</v>
      </c>
      <c r="WU8" s="134">
        <f t="shared" si="634"/>
        <v>-19.039246444556518</v>
      </c>
      <c r="WV8" s="151">
        <f t="shared" si="635"/>
        <v>-9.308670977619478</v>
      </c>
      <c r="WW8" s="151">
        <f t="shared" si="336"/>
        <v>6.2349758883122774E-2</v>
      </c>
      <c r="WX8" s="151">
        <f t="shared" si="337"/>
        <v>5.9543630013932116</v>
      </c>
      <c r="WY8" s="151">
        <f t="shared" si="338"/>
        <v>11.224851259913144</v>
      </c>
      <c r="WZ8" s="151">
        <f t="shared" si="339"/>
        <v>17.534306606636939</v>
      </c>
      <c r="XA8" s="163"/>
      <c r="XB8" s="164">
        <v>1.2</v>
      </c>
      <c r="XC8" s="151">
        <f t="shared" si="340"/>
        <v>-41.988544158895536</v>
      </c>
      <c r="XD8" s="151">
        <f t="shared" si="341"/>
        <v>-37.786283131760896</v>
      </c>
      <c r="XE8" s="151">
        <f t="shared" si="342"/>
        <v>-33.975299852025977</v>
      </c>
      <c r="XF8" s="151">
        <f t="shared" si="636"/>
        <v>-29.379389826013043</v>
      </c>
      <c r="XG8" s="151">
        <f t="shared" si="637"/>
        <v>-21.282962355692369</v>
      </c>
      <c r="XH8" s="134">
        <f t="shared" si="638"/>
        <v>-11.699203740685945</v>
      </c>
      <c r="XI8" s="151">
        <f t="shared" si="639"/>
        <v>-1.5944720377529293</v>
      </c>
      <c r="XJ8" s="151">
        <f t="shared" si="343"/>
        <v>7.8703533317233436</v>
      </c>
      <c r="XK8" s="151">
        <f t="shared" si="344"/>
        <v>13.711412027077095</v>
      </c>
      <c r="XL8" s="151">
        <f t="shared" si="345"/>
        <v>18.873752318732635</v>
      </c>
      <c r="XM8" s="151">
        <f t="shared" si="346"/>
        <v>24.983769485854886</v>
      </c>
      <c r="XN8" s="163"/>
      <c r="XO8" s="164">
        <v>1.2</v>
      </c>
      <c r="XP8" s="151">
        <f t="shared" si="347"/>
        <v>-41.832243897997131</v>
      </c>
      <c r="XQ8" s="151">
        <f t="shared" si="348"/>
        <v>-37.47757800929314</v>
      </c>
      <c r="XR8" s="151">
        <f t="shared" si="349"/>
        <v>-33.485074806861668</v>
      </c>
      <c r="XS8" s="151">
        <f t="shared" si="640"/>
        <v>-28.638713069212237</v>
      </c>
      <c r="XT8" s="151">
        <f t="shared" si="641"/>
        <v>-20.055208971679463</v>
      </c>
      <c r="XU8" s="134">
        <f t="shared" si="642"/>
        <v>-9.8592162697158017</v>
      </c>
      <c r="XV8" s="151">
        <f t="shared" si="643"/>
        <v>0.90611420590252578</v>
      </c>
      <c r="XW8" s="151">
        <f t="shared" si="350"/>
        <v>10.9917795916408</v>
      </c>
      <c r="XX8" s="151">
        <f t="shared" si="351"/>
        <v>17.214384469560407</v>
      </c>
      <c r="XY8" s="151">
        <f t="shared" si="352"/>
        <v>22.712146341622095</v>
      </c>
      <c r="XZ8" s="151">
        <f t="shared" si="353"/>
        <v>29.216484466906742</v>
      </c>
      <c r="YA8" s="163"/>
      <c r="YB8" s="164">
        <v>1.3</v>
      </c>
      <c r="YC8" s="151">
        <f t="shared" si="354"/>
        <v>-44.033183799866649</v>
      </c>
      <c r="YD8" s="151">
        <f t="shared" si="355"/>
        <v>-40.422426673034408</v>
      </c>
      <c r="YE8" s="151">
        <f t="shared" si="356"/>
        <v>-37.181360625764086</v>
      </c>
      <c r="YF8" s="151">
        <f t="shared" si="644"/>
        <v>-33.307977399103294</v>
      </c>
      <c r="YG8" s="151">
        <f t="shared" si="645"/>
        <v>-26.561225536789369</v>
      </c>
      <c r="YH8" s="134">
        <f t="shared" si="646"/>
        <v>-18.676686677889201</v>
      </c>
      <c r="YI8" s="151">
        <f t="shared" si="647"/>
        <v>-10.458663251777047</v>
      </c>
      <c r="YJ8" s="151">
        <f t="shared" si="357"/>
        <v>-2.8338724993000284</v>
      </c>
      <c r="YK8" s="151">
        <f t="shared" si="358"/>
        <v>1.8412849498208033</v>
      </c>
      <c r="YL8" s="151">
        <f t="shared" si="359"/>
        <v>5.9558254692791763</v>
      </c>
      <c r="YM8" s="151">
        <f t="shared" si="360"/>
        <v>10.80622880224049</v>
      </c>
      <c r="YN8" s="163"/>
      <c r="YO8" s="164">
        <v>1.2</v>
      </c>
      <c r="YP8" s="151">
        <f t="shared" si="361"/>
        <v>15.908116568252023</v>
      </c>
      <c r="YQ8" s="151">
        <f t="shared" si="362"/>
        <v>17.890940660234257</v>
      </c>
      <c r="YR8" s="151">
        <f t="shared" si="363"/>
        <v>19.775528729380081</v>
      </c>
      <c r="YS8" s="151">
        <f t="shared" si="648"/>
        <v>22.174115114750787</v>
      </c>
      <c r="YT8" s="151">
        <f t="shared" si="649"/>
        <v>26.778417177984007</v>
      </c>
      <c r="YU8" s="134">
        <f t="shared" si="650"/>
        <v>32.936597712609831</v>
      </c>
      <c r="YV8" s="151">
        <f t="shared" si="651"/>
        <v>40.374599361137882</v>
      </c>
      <c r="YW8" s="151">
        <f t="shared" si="364"/>
        <v>48.332434794027897</v>
      </c>
      <c r="YX8" s="151">
        <f t="shared" si="365"/>
        <v>53.770126173561067</v>
      </c>
      <c r="YY8" s="151">
        <f t="shared" si="366"/>
        <v>58.936464008409096</v>
      </c>
      <c r="YZ8" s="151">
        <f t="shared" si="367"/>
        <v>65.515726700165231</v>
      </c>
      <c r="ZA8" s="163"/>
      <c r="ZB8" s="164">
        <v>1.2</v>
      </c>
      <c r="ZC8" s="151">
        <f t="shared" si="368"/>
        <v>16.769507088988906</v>
      </c>
      <c r="ZD8" s="151">
        <f t="shared" si="369"/>
        <v>18.658287343635571</v>
      </c>
      <c r="ZE8" s="151">
        <f t="shared" si="370"/>
        <v>20.444982107541904</v>
      </c>
      <c r="ZF8" s="151">
        <f t="shared" si="652"/>
        <v>22.709362975739733</v>
      </c>
      <c r="ZG8" s="151">
        <f t="shared" si="653"/>
        <v>27.033439160729877</v>
      </c>
      <c r="ZH8" s="134">
        <f t="shared" si="654"/>
        <v>32.785748744895457</v>
      </c>
      <c r="ZI8" s="151">
        <f t="shared" si="655"/>
        <v>39.706276878933757</v>
      </c>
      <c r="ZJ8" s="151">
        <f t="shared" si="371"/>
        <v>47.094525956060096</v>
      </c>
      <c r="ZK8" s="151">
        <f t="shared" si="372"/>
        <v>52.139592007535576</v>
      </c>
      <c r="ZL8" s="151">
        <f t="shared" si="373"/>
        <v>56.933009650009318</v>
      </c>
      <c r="ZM8" s="151">
        <f t="shared" si="374"/>
        <v>63.039969584266352</v>
      </c>
      <c r="ZN8" s="163"/>
      <c r="ZO8" s="164">
        <v>1.3</v>
      </c>
      <c r="ZP8" s="151">
        <f t="shared" si="375"/>
        <v>17.658835850615375</v>
      </c>
      <c r="ZQ8" s="151">
        <f t="shared" si="376"/>
        <v>19.925719853176108</v>
      </c>
      <c r="ZR8" s="151">
        <f t="shared" si="377"/>
        <v>22.081030738509295</v>
      </c>
      <c r="ZS8" s="151">
        <f t="shared" si="656"/>
        <v>24.824395629361273</v>
      </c>
      <c r="ZT8" s="151">
        <f t="shared" si="657"/>
        <v>30.088792493744599</v>
      </c>
      <c r="ZU8" s="134">
        <f t="shared" si="658"/>
        <v>37.121816814550861</v>
      </c>
      <c r="ZV8" s="151">
        <f t="shared" si="659"/>
        <v>45.599331345487066</v>
      </c>
      <c r="ZW8" s="151">
        <f t="shared" si="378"/>
        <v>54.645493570184769</v>
      </c>
      <c r="ZX8" s="151">
        <f t="shared" si="379"/>
        <v>60.81204052021927</v>
      </c>
      <c r="ZY8" s="151">
        <f t="shared" si="380"/>
        <v>66.659650786773597</v>
      </c>
      <c r="ZZ8" s="151">
        <f t="shared" si="381"/>
        <v>74.090828227783845</v>
      </c>
      <c r="AAA8" s="163"/>
      <c r="AAB8" s="164">
        <v>1.2</v>
      </c>
      <c r="AAC8" s="151">
        <f t="shared" si="382"/>
        <v>6.0974137980806864</v>
      </c>
      <c r="AAD8" s="151">
        <f t="shared" si="383"/>
        <v>6.8444057877246394</v>
      </c>
      <c r="AAE8" s="151">
        <f t="shared" si="384"/>
        <v>7.5477369444074824</v>
      </c>
      <c r="AAF8" s="151">
        <f t="shared" si="660"/>
        <v>8.4339961034565931</v>
      </c>
      <c r="AAG8" s="151">
        <f t="shared" si="661"/>
        <v>10.109325322945297</v>
      </c>
      <c r="AAH8" s="134">
        <f t="shared" si="662"/>
        <v>12.302097465902452</v>
      </c>
      <c r="AAI8" s="151">
        <f t="shared" si="663"/>
        <v>14.886659733409621</v>
      </c>
      <c r="AAJ8" s="151">
        <f t="shared" si="385"/>
        <v>17.584779312388715</v>
      </c>
      <c r="AAK8" s="151">
        <f t="shared" si="386"/>
        <v>19.393246209113524</v>
      </c>
      <c r="AAL8" s="151">
        <f t="shared" si="387"/>
        <v>21.087534579584709</v>
      </c>
      <c r="AAM8" s="151">
        <f t="shared" si="388"/>
        <v>23.214177257769844</v>
      </c>
      <c r="AAN8" s="163"/>
      <c r="AAO8" s="164">
        <v>1.2</v>
      </c>
      <c r="AAP8" s="151">
        <f t="shared" si="389"/>
        <v>6.1941735040288801</v>
      </c>
      <c r="AAQ8" s="151">
        <f t="shared" si="390"/>
        <v>6.9205433179763318</v>
      </c>
      <c r="AAR8" s="151">
        <f t="shared" si="391"/>
        <v>7.6096045111485484</v>
      </c>
      <c r="AAS8" s="151">
        <f t="shared" si="664"/>
        <v>8.4852771052989677</v>
      </c>
      <c r="AAT8" s="151">
        <f t="shared" si="665"/>
        <v>10.163743549527258</v>
      </c>
      <c r="AAU8" s="134">
        <f t="shared" si="666"/>
        <v>12.406911634410449</v>
      </c>
      <c r="AAV8" s="151">
        <f t="shared" si="667"/>
        <v>15.117722464916485</v>
      </c>
      <c r="AAW8" s="151">
        <f t="shared" si="392"/>
        <v>18.02300680627792</v>
      </c>
      <c r="AAX8" s="151">
        <f t="shared" si="393"/>
        <v>20.012259233981279</v>
      </c>
      <c r="AAY8" s="151">
        <f t="shared" si="394"/>
        <v>21.905692620230777</v>
      </c>
      <c r="AAZ8" s="151">
        <f t="shared" si="395"/>
        <v>24.322150200504272</v>
      </c>
      <c r="ABA8" s="163"/>
      <c r="ABB8" s="164">
        <v>1.3</v>
      </c>
      <c r="ABC8" s="151">
        <f t="shared" si="396"/>
        <v>6.4929071178938189</v>
      </c>
      <c r="ABD8" s="151">
        <f t="shared" si="397"/>
        <v>7.3260980172511871</v>
      </c>
      <c r="ABE8" s="151">
        <f t="shared" si="398"/>
        <v>8.1054023588826833</v>
      </c>
      <c r="ABF8" s="151">
        <f t="shared" si="668"/>
        <v>9.0801420293396191</v>
      </c>
      <c r="ABG8" s="151">
        <f t="shared" si="669"/>
        <v>10.900901564453712</v>
      </c>
      <c r="ABH8" s="134">
        <f t="shared" si="670"/>
        <v>13.242738513817898</v>
      </c>
      <c r="ABI8" s="151">
        <f t="shared" si="671"/>
        <v>15.94745488657694</v>
      </c>
      <c r="ABJ8" s="151">
        <f t="shared" si="399"/>
        <v>18.712902826205138</v>
      </c>
      <c r="ABK8" s="151">
        <f t="shared" si="400"/>
        <v>20.536211786725197</v>
      </c>
      <c r="ABL8" s="151">
        <f t="shared" si="401"/>
        <v>22.223999397787079</v>
      </c>
      <c r="ABM8" s="151">
        <f t="shared" si="402"/>
        <v>24.316347858684694</v>
      </c>
      <c r="ABN8" s="163"/>
      <c r="ABO8" s="164">
        <v>1.2</v>
      </c>
      <c r="ABP8" s="151">
        <f t="shared" si="403"/>
        <v>0.17713381228194769</v>
      </c>
      <c r="ABQ8" s="151">
        <f t="shared" si="404"/>
        <v>0.20162382013383714</v>
      </c>
      <c r="ABR8" s="151">
        <f t="shared" si="405"/>
        <v>0.22458536717782951</v>
      </c>
      <c r="ABS8" s="151">
        <f t="shared" si="672"/>
        <v>0.25336018091236268</v>
      </c>
      <c r="ABT8" s="151">
        <f t="shared" si="673"/>
        <v>0.30721543079136404</v>
      </c>
      <c r="ABU8" s="134">
        <f t="shared" si="674"/>
        <v>0.3765826037476801</v>
      </c>
      <c r="ABV8" s="151">
        <f t="shared" si="675"/>
        <v>0.45672344606027782</v>
      </c>
      <c r="ABW8" s="151">
        <f t="shared" si="406"/>
        <v>0.53861124788687975</v>
      </c>
      <c r="ABX8" s="151">
        <f t="shared" si="407"/>
        <v>0.59254841504697164</v>
      </c>
      <c r="ABY8" s="151">
        <f t="shared" si="408"/>
        <v>0.64243020380012805</v>
      </c>
      <c r="ABZ8" s="151">
        <f t="shared" si="409"/>
        <v>0.70419989657780002</v>
      </c>
      <c r="ACA8" s="163"/>
      <c r="ACB8" s="164">
        <v>1.2</v>
      </c>
      <c r="ACC8" s="151">
        <f t="shared" si="410"/>
        <v>0.19156417734436809</v>
      </c>
      <c r="ACD8" s="151">
        <f t="shared" si="411"/>
        <v>0.21520967178968398</v>
      </c>
      <c r="ACE8" s="151">
        <f t="shared" si="412"/>
        <v>0.23750980641615332</v>
      </c>
      <c r="ACF8" s="151">
        <f t="shared" si="676"/>
        <v>0.26565767140112578</v>
      </c>
      <c r="ACG8" s="151">
        <f t="shared" si="677"/>
        <v>0.3190012849309159</v>
      </c>
      <c r="ACH8" s="134">
        <f t="shared" si="678"/>
        <v>0.38906115154714938</v>
      </c>
      <c r="ACI8" s="151">
        <f t="shared" si="679"/>
        <v>0.47194899711064997</v>
      </c>
      <c r="ACJ8" s="151">
        <f t="shared" si="413"/>
        <v>0.55879551121974369</v>
      </c>
      <c r="ACK8" s="151">
        <f t="shared" si="414"/>
        <v>0.61716962292614252</v>
      </c>
      <c r="ACL8" s="151">
        <f t="shared" si="415"/>
        <v>0.67196817459900504</v>
      </c>
      <c r="ACM8" s="151">
        <f t="shared" si="416"/>
        <v>0.74089129715328661</v>
      </c>
      <c r="ACN8" s="163"/>
      <c r="ACO8" s="164">
        <v>1.3</v>
      </c>
      <c r="ACP8" s="151">
        <f t="shared" si="417"/>
        <v>0.16473848559522863</v>
      </c>
      <c r="ACQ8" s="151">
        <f t="shared" si="418"/>
        <v>0.19012106166081202</v>
      </c>
      <c r="ACR8" s="151">
        <f t="shared" si="419"/>
        <v>0.21345513422402623</v>
      </c>
      <c r="ACS8" s="151">
        <f t="shared" si="680"/>
        <v>0.24209075497172453</v>
      </c>
      <c r="ACT8" s="151">
        <f t="shared" si="681"/>
        <v>0.29401000274822991</v>
      </c>
      <c r="ACU8" s="134">
        <f t="shared" si="682"/>
        <v>0.35802809107248296</v>
      </c>
      <c r="ACV8" s="151">
        <f t="shared" si="683"/>
        <v>0.42856832968504011</v>
      </c>
      <c r="ACW8" s="151">
        <f t="shared" si="420"/>
        <v>0.49743818765945291</v>
      </c>
      <c r="ACX8" s="151">
        <f t="shared" si="421"/>
        <v>0.54126468332484323</v>
      </c>
      <c r="ACY8" s="151">
        <f t="shared" si="422"/>
        <v>0.5808256066153934</v>
      </c>
      <c r="ACZ8" s="151">
        <f t="shared" si="423"/>
        <v>0.62863638963065605</v>
      </c>
      <c r="ADA8" s="163"/>
      <c r="ADB8" s="164">
        <v>1.2</v>
      </c>
      <c r="ADC8" s="151">
        <f t="shared" si="424"/>
        <v>0.14831720576830207</v>
      </c>
      <c r="ADD8" s="151">
        <f t="shared" si="425"/>
        <v>0.16688125602759327</v>
      </c>
      <c r="ADE8" s="151">
        <f t="shared" si="426"/>
        <v>0.18323017975642655</v>
      </c>
      <c r="ADF8" s="151">
        <f t="shared" si="684"/>
        <v>0.20249453660751759</v>
      </c>
      <c r="ADG8" s="151">
        <f t="shared" si="685"/>
        <v>0.23555917390442807</v>
      </c>
      <c r="ADH8" s="134">
        <f t="shared" si="686"/>
        <v>0.27368290454416816</v>
      </c>
      <c r="ADI8" s="151">
        <f t="shared" si="687"/>
        <v>0.31304312194771883</v>
      </c>
      <c r="ADJ8" s="151">
        <f t="shared" si="427"/>
        <v>0.34933613687176057</v>
      </c>
      <c r="ADK8" s="151">
        <f t="shared" si="428"/>
        <v>0.37151237634240447</v>
      </c>
      <c r="ADL8" s="151">
        <f t="shared" si="429"/>
        <v>0.39099187490527404</v>
      </c>
      <c r="ADM8" s="151">
        <f t="shared" si="430"/>
        <v>0.41391836576996699</v>
      </c>
      <c r="ADN8" s="163"/>
      <c r="ADO8" s="164">
        <v>1.2</v>
      </c>
      <c r="ADP8" s="151">
        <f t="shared" si="431"/>
        <v>0.15898948151864531</v>
      </c>
      <c r="ADQ8" s="151">
        <f t="shared" si="432"/>
        <v>0.17625357927766033</v>
      </c>
      <c r="ADR8" s="151">
        <f t="shared" si="433"/>
        <v>0.19165404051501644</v>
      </c>
      <c r="ADS8" s="151">
        <f t="shared" si="688"/>
        <v>0.21003124847534496</v>
      </c>
      <c r="ADT8" s="151">
        <f t="shared" si="689"/>
        <v>0.24213520521324414</v>
      </c>
      <c r="ADU8" s="134">
        <f t="shared" si="690"/>
        <v>0.2799931648381177</v>
      </c>
      <c r="ADV8" s="151">
        <f t="shared" si="691"/>
        <v>0.31997352607404234</v>
      </c>
      <c r="ADW8" s="151">
        <f t="shared" si="434"/>
        <v>0.3576000483392221</v>
      </c>
      <c r="ADX8" s="151">
        <f t="shared" si="435"/>
        <v>0.38093467927752872</v>
      </c>
      <c r="ADY8" s="151">
        <f t="shared" si="436"/>
        <v>0.40163931930874702</v>
      </c>
      <c r="ADZ8" s="151">
        <f t="shared" si="437"/>
        <v>0.42624967229615651</v>
      </c>
      <c r="AEA8" s="163"/>
      <c r="AEB8" s="164">
        <v>1.3</v>
      </c>
      <c r="AEC8" s="151">
        <f t="shared" si="438"/>
        <v>0.13856684080234533</v>
      </c>
      <c r="AED8" s="151">
        <f t="shared" si="439"/>
        <v>0.15852283587573213</v>
      </c>
      <c r="AEE8" s="151">
        <f t="shared" si="440"/>
        <v>0.17560538832824019</v>
      </c>
      <c r="AEF8" s="151">
        <f t="shared" si="692"/>
        <v>0.195218598887476</v>
      </c>
      <c r="AEG8" s="151">
        <f t="shared" si="693"/>
        <v>0.22776576904193663</v>
      </c>
      <c r="AEH8" s="134">
        <f t="shared" si="694"/>
        <v>0.26382496325344545</v>
      </c>
      <c r="AEI8" s="151">
        <f t="shared" si="695"/>
        <v>0.29968744315574558</v>
      </c>
      <c r="AEJ8" s="151">
        <f t="shared" si="441"/>
        <v>0.33171653220199754</v>
      </c>
      <c r="AEK8" s="151">
        <f t="shared" si="442"/>
        <v>0.35085661621463893</v>
      </c>
      <c r="AEL8" s="151">
        <f t="shared" si="443"/>
        <v>0.36742391611155617</v>
      </c>
      <c r="AEM8" s="151">
        <f t="shared" si="444"/>
        <v>0.38664959093561868</v>
      </c>
      <c r="AEN8" s="163"/>
    </row>
    <row r="9" spans="1:820">
      <c r="A9" s="163"/>
      <c r="B9" s="164">
        <v>1.4</v>
      </c>
      <c r="C9" s="151">
        <f t="shared" si="0"/>
        <v>1.8518753861666952</v>
      </c>
      <c r="D9" s="151">
        <f t="shared" si="1"/>
        <v>2.1266607233229102</v>
      </c>
      <c r="E9" s="151">
        <f t="shared" si="2"/>
        <v>2.4023056907038183</v>
      </c>
      <c r="F9" s="151">
        <f t="shared" si="445"/>
        <v>2.7743666555405468</v>
      </c>
      <c r="G9" s="151">
        <f t="shared" si="446"/>
        <v>3.5589271799127156</v>
      </c>
      <c r="H9" s="134">
        <f t="shared" si="447"/>
        <v>4.7644502943440763</v>
      </c>
      <c r="I9" s="151">
        <f t="shared" si="448"/>
        <v>6.4847719300117106</v>
      </c>
      <c r="J9" s="151">
        <f t="shared" si="3"/>
        <v>8.6863542429775809</v>
      </c>
      <c r="K9" s="151">
        <f t="shared" si="4"/>
        <v>10.431383493076403</v>
      </c>
      <c r="L9" s="151">
        <f t="shared" si="5"/>
        <v>12.289596793000408</v>
      </c>
      <c r="M9" s="151">
        <f t="shared" si="6"/>
        <v>14.966216071674452</v>
      </c>
      <c r="N9" s="163"/>
      <c r="O9" s="164">
        <v>1.4</v>
      </c>
      <c r="P9" s="151">
        <f t="shared" si="7"/>
        <v>2.1471395665887525</v>
      </c>
      <c r="Q9" s="151">
        <f t="shared" si="8"/>
        <v>2.4065554466089742</v>
      </c>
      <c r="R9" s="151">
        <f t="shared" si="9"/>
        <v>2.6662441364502287</v>
      </c>
      <c r="S9" s="151">
        <f t="shared" si="449"/>
        <v>3.0171751566918812</v>
      </c>
      <c r="T9" s="151">
        <f t="shared" si="450"/>
        <v>3.7636068036453127</v>
      </c>
      <c r="U9" s="134">
        <f t="shared" si="451"/>
        <v>4.9404671643134259</v>
      </c>
      <c r="V9" s="151">
        <f t="shared" si="452"/>
        <v>6.7065996311292047</v>
      </c>
      <c r="W9" s="151">
        <f t="shared" si="10"/>
        <v>9.1480395645734962</v>
      </c>
      <c r="X9" s="151">
        <f t="shared" si="11"/>
        <v>11.247544201187468</v>
      </c>
      <c r="Y9" s="151">
        <f t="shared" si="12"/>
        <v>13.659518802468012</v>
      </c>
      <c r="Z9" s="151">
        <f t="shared" si="13"/>
        <v>17.484221101170387</v>
      </c>
      <c r="AA9" s="163"/>
      <c r="AB9" s="164">
        <v>1.4</v>
      </c>
      <c r="AC9" s="151">
        <f t="shared" si="14"/>
        <v>1.5017414426665241</v>
      </c>
      <c r="AD9" s="151">
        <f t="shared" si="15"/>
        <v>1.7423234477191174</v>
      </c>
      <c r="AE9" s="151">
        <f t="shared" si="16"/>
        <v>1.9879756317738646</v>
      </c>
      <c r="AF9" s="151">
        <f t="shared" si="453"/>
        <v>2.3261370131243351</v>
      </c>
      <c r="AG9" s="151">
        <f t="shared" si="454"/>
        <v>3.0626874610871684</v>
      </c>
      <c r="AH9" s="134">
        <f t="shared" si="455"/>
        <v>4.2520655969906844</v>
      </c>
      <c r="AI9" s="151">
        <f t="shared" si="456"/>
        <v>6.0598472711144966</v>
      </c>
      <c r="AJ9" s="151">
        <f t="shared" si="17"/>
        <v>8.5464525998117296</v>
      </c>
      <c r="AK9" s="151">
        <f t="shared" si="18"/>
        <v>10.645628911214484</v>
      </c>
      <c r="AL9" s="151">
        <f t="shared" si="19"/>
        <v>12.998758840655674</v>
      </c>
      <c r="AM9" s="151">
        <f t="shared" si="20"/>
        <v>16.59216594308592</v>
      </c>
      <c r="AN9" s="163"/>
      <c r="AO9" s="164">
        <v>1.4</v>
      </c>
      <c r="AP9" s="151">
        <f t="shared" si="21"/>
        <v>3.0132758614957647</v>
      </c>
      <c r="AQ9" s="151">
        <f t="shared" si="22"/>
        <v>4.7697301574484188</v>
      </c>
      <c r="AR9" s="151">
        <f t="shared" si="23"/>
        <v>6.3999371265716176</v>
      </c>
      <c r="AS9" s="151">
        <f t="shared" si="457"/>
        <v>8.4176747169930763</v>
      </c>
      <c r="AT9" s="151">
        <f t="shared" si="458"/>
        <v>12.115758980055265</v>
      </c>
      <c r="AU9" s="134">
        <f t="shared" si="459"/>
        <v>16.731769161857201</v>
      </c>
      <c r="AV9" s="151">
        <f t="shared" si="460"/>
        <v>21.874180478057781</v>
      </c>
      <c r="AW9" s="151">
        <f t="shared" si="24"/>
        <v>26.940183901908892</v>
      </c>
      <c r="AX9" s="151">
        <f t="shared" si="25"/>
        <v>30.183630201429676</v>
      </c>
      <c r="AY9" s="151">
        <f t="shared" si="26"/>
        <v>33.122924387852798</v>
      </c>
      <c r="AZ9" s="151">
        <f t="shared" si="27"/>
        <v>36.688388787888385</v>
      </c>
      <c r="BA9" s="163"/>
      <c r="BB9" s="164">
        <v>1.4</v>
      </c>
      <c r="BC9" s="151">
        <f t="shared" si="28"/>
        <v>3.1899933338946775</v>
      </c>
      <c r="BD9" s="151">
        <f t="shared" si="29"/>
        <v>5.1224313932394763</v>
      </c>
      <c r="BE9" s="151">
        <f t="shared" si="30"/>
        <v>6.8937483623430138</v>
      </c>
      <c r="BF9" s="151">
        <f t="shared" si="461"/>
        <v>9.0581759085408393</v>
      </c>
      <c r="BG9" s="151">
        <f t="shared" si="462"/>
        <v>12.951738240799731</v>
      </c>
      <c r="BH9" s="134">
        <f t="shared" si="463"/>
        <v>17.694562464255903</v>
      </c>
      <c r="BI9" s="151">
        <f t="shared" si="464"/>
        <v>22.847374277524896</v>
      </c>
      <c r="BJ9" s="151">
        <f t="shared" si="31"/>
        <v>27.808357776206801</v>
      </c>
      <c r="BK9" s="151">
        <f t="shared" si="32"/>
        <v>30.931762780944528</v>
      </c>
      <c r="BL9" s="151">
        <f t="shared" si="33"/>
        <v>33.729999886893147</v>
      </c>
      <c r="BM9" s="151">
        <f t="shared" si="34"/>
        <v>37.086273026312952</v>
      </c>
      <c r="BN9" s="163"/>
      <c r="BO9" s="164">
        <v>1.4</v>
      </c>
      <c r="BP9" s="151">
        <f t="shared" si="35"/>
        <v>4.4245182011807307</v>
      </c>
      <c r="BQ9" s="151">
        <f t="shared" si="36"/>
        <v>5.3294960000165759</v>
      </c>
      <c r="BR9" s="151">
        <f t="shared" si="37"/>
        <v>6.2295783457015537</v>
      </c>
      <c r="BS9" s="151">
        <f t="shared" si="465"/>
        <v>7.4250873052514015</v>
      </c>
      <c r="BT9" s="151">
        <f t="shared" si="466"/>
        <v>9.8545907833106181</v>
      </c>
      <c r="BU9" s="134">
        <f t="shared" si="467"/>
        <v>13.330747081876702</v>
      </c>
      <c r="BV9" s="151">
        <f t="shared" si="468"/>
        <v>17.801360831353399</v>
      </c>
      <c r="BW9" s="151">
        <f t="shared" si="38"/>
        <v>22.842247141585091</v>
      </c>
      <c r="BX9" s="151">
        <f t="shared" si="39"/>
        <v>26.411076647254916</v>
      </c>
      <c r="BY9" s="151">
        <f t="shared" si="40"/>
        <v>29.880937824133827</v>
      </c>
      <c r="BZ9" s="151">
        <f t="shared" si="41"/>
        <v>34.396826834256863</v>
      </c>
      <c r="CA9" s="163"/>
      <c r="CB9" s="164">
        <v>1.4</v>
      </c>
      <c r="CC9" s="151">
        <f t="shared" si="42"/>
        <v>-0.91179563632252947</v>
      </c>
      <c r="CD9" s="151">
        <f t="shared" si="43"/>
        <v>1.7279434723194145</v>
      </c>
      <c r="CE9" s="151">
        <f t="shared" si="44"/>
        <v>4.2055209515246146</v>
      </c>
      <c r="CF9" s="151">
        <f t="shared" si="469"/>
        <v>7.2736779899750923</v>
      </c>
      <c r="CG9" s="151">
        <f t="shared" si="470"/>
        <v>12.841295748302002</v>
      </c>
      <c r="CH9" s="134">
        <f t="shared" si="471"/>
        <v>19.633358167413327</v>
      </c>
      <c r="CI9" s="151">
        <f t="shared" si="472"/>
        <v>26.974096278775665</v>
      </c>
      <c r="CJ9" s="151">
        <f t="shared" si="45"/>
        <v>33.982855314705787</v>
      </c>
      <c r="CK9" s="151">
        <f t="shared" si="46"/>
        <v>38.362534955858337</v>
      </c>
      <c r="CL9" s="151">
        <f t="shared" si="47"/>
        <v>42.264060953970386</v>
      </c>
      <c r="CM9" s="151">
        <f t="shared" si="48"/>
        <v>46.916022228861216</v>
      </c>
      <c r="CN9" s="163"/>
      <c r="CO9" s="164">
        <v>1.4</v>
      </c>
      <c r="CP9" s="151">
        <f t="shared" si="49"/>
        <v>2.3945984556482811</v>
      </c>
      <c r="CQ9" s="151">
        <f t="shared" si="50"/>
        <v>5.0322677477722335</v>
      </c>
      <c r="CR9" s="151">
        <f t="shared" si="51"/>
        <v>7.4673828909196152</v>
      </c>
      <c r="CS9" s="151">
        <f t="shared" si="473"/>
        <v>10.450094242579961</v>
      </c>
      <c r="CT9" s="151">
        <f t="shared" si="474"/>
        <v>15.807189723716824</v>
      </c>
      <c r="CU9" s="134">
        <f t="shared" si="475"/>
        <v>22.287578652804029</v>
      </c>
      <c r="CV9" s="151">
        <f t="shared" si="476"/>
        <v>29.254261519984741</v>
      </c>
      <c r="CW9" s="151">
        <f t="shared" si="52"/>
        <v>35.884977438287152</v>
      </c>
      <c r="CX9" s="151">
        <f t="shared" si="53"/>
        <v>40.021739187935303</v>
      </c>
      <c r="CY9" s="151">
        <f t="shared" si="54"/>
        <v>43.703778385155275</v>
      </c>
      <c r="CZ9" s="151">
        <f t="shared" si="55"/>
        <v>48.091142493922256</v>
      </c>
      <c r="DA9" s="163"/>
      <c r="DB9" s="164">
        <v>1.4</v>
      </c>
      <c r="DC9" s="151">
        <f t="shared" si="56"/>
        <v>-2.7787766662455908</v>
      </c>
      <c r="DD9" s="151">
        <f t="shared" si="57"/>
        <v>-0.87218023265079303</v>
      </c>
      <c r="DE9" s="151">
        <f t="shared" si="58"/>
        <v>0.98229550879759664</v>
      </c>
      <c r="DF9" s="151">
        <f t="shared" si="477"/>
        <v>3.3516175645238571</v>
      </c>
      <c r="DG9" s="151">
        <f t="shared" si="478"/>
        <v>7.82084325886487</v>
      </c>
      <c r="DH9" s="134">
        <f t="shared" si="479"/>
        <v>13.513272231683505</v>
      </c>
      <c r="DI9" s="151">
        <f t="shared" si="480"/>
        <v>19.906051417622294</v>
      </c>
      <c r="DJ9" s="151">
        <f t="shared" si="59"/>
        <v>26.204507662418447</v>
      </c>
      <c r="DK9" s="151">
        <f t="shared" si="60"/>
        <v>30.224901104005074</v>
      </c>
      <c r="DL9" s="151">
        <f t="shared" si="61"/>
        <v>33.856219234505637</v>
      </c>
      <c r="DM9" s="151">
        <f t="shared" si="62"/>
        <v>38.24317296048573</v>
      </c>
      <c r="DN9" s="163"/>
      <c r="DO9" s="164">
        <v>1.4</v>
      </c>
      <c r="DP9" s="151">
        <f t="shared" si="63"/>
        <v>12.952427505747787</v>
      </c>
      <c r="DQ9" s="151">
        <f t="shared" si="64"/>
        <v>13.780962832678311</v>
      </c>
      <c r="DR9" s="151">
        <f t="shared" si="65"/>
        <v>14.566636409789334</v>
      </c>
      <c r="DS9" s="151">
        <f t="shared" si="481"/>
        <v>15.569219627099201</v>
      </c>
      <c r="DT9" s="151">
        <f t="shared" si="482"/>
        <v>17.519583389352416</v>
      </c>
      <c r="DU9" s="134">
        <f t="shared" si="483"/>
        <v>20.221783095452292</v>
      </c>
      <c r="DV9" s="151">
        <f t="shared" si="484"/>
        <v>23.695626267493793</v>
      </c>
      <c r="DW9" s="151">
        <f t="shared" si="66"/>
        <v>27.750568109017124</v>
      </c>
      <c r="DX9" s="151">
        <f t="shared" si="67"/>
        <v>30.770105207366942</v>
      </c>
      <c r="DY9" s="151">
        <f t="shared" si="68"/>
        <v>33.86023018617297</v>
      </c>
      <c r="DZ9" s="151">
        <f t="shared" si="69"/>
        <v>38.157653732097899</v>
      </c>
      <c r="EA9" s="163"/>
      <c r="EB9" s="164">
        <v>1.4</v>
      </c>
      <c r="EC9" s="151">
        <f t="shared" si="70"/>
        <v>13.076994106859159</v>
      </c>
      <c r="ED9" s="151">
        <f t="shared" si="71"/>
        <v>13.904986180763128</v>
      </c>
      <c r="EE9" s="151">
        <f t="shared" si="72"/>
        <v>14.68675625312726</v>
      </c>
      <c r="EF9" s="151">
        <f t="shared" si="485"/>
        <v>15.679500286030693</v>
      </c>
      <c r="EG9" s="151">
        <f t="shared" si="486"/>
        <v>17.594925356500667</v>
      </c>
      <c r="EH9" s="134">
        <f t="shared" si="487"/>
        <v>20.213987605964743</v>
      </c>
      <c r="EI9" s="151">
        <f t="shared" si="488"/>
        <v>23.521955725338685</v>
      </c>
      <c r="EJ9" s="151">
        <f t="shared" si="73"/>
        <v>27.300984488644506</v>
      </c>
      <c r="EK9" s="151">
        <f t="shared" si="74"/>
        <v>30.059142575172377</v>
      </c>
      <c r="EL9" s="151">
        <f t="shared" si="75"/>
        <v>32.833952852137799</v>
      </c>
      <c r="EM9" s="151">
        <f t="shared" si="76"/>
        <v>36.615292386383253</v>
      </c>
      <c r="EN9" s="163"/>
      <c r="EO9" s="164">
        <v>1.4</v>
      </c>
      <c r="EP9" s="151">
        <f t="shared" si="77"/>
        <v>12.987715364549057</v>
      </c>
      <c r="EQ9" s="151">
        <f t="shared" si="78"/>
        <v>14.026727014319032</v>
      </c>
      <c r="ER9" s="151">
        <f t="shared" si="79"/>
        <v>15.017103901026625</v>
      </c>
      <c r="ES9" s="151">
        <f t="shared" si="489"/>
        <v>16.286497493198617</v>
      </c>
      <c r="ET9" s="151">
        <f t="shared" si="490"/>
        <v>18.767565589985217</v>
      </c>
      <c r="EU9" s="134">
        <f t="shared" si="491"/>
        <v>22.214121137816942</v>
      </c>
      <c r="EV9" s="151">
        <f t="shared" si="492"/>
        <v>26.63116115603351</v>
      </c>
      <c r="EW9" s="151">
        <f t="shared" si="80"/>
        <v>31.732875647318441</v>
      </c>
      <c r="EX9" s="151">
        <f t="shared" si="81"/>
        <v>35.477924380964993</v>
      </c>
      <c r="EY9" s="151">
        <f t="shared" si="82"/>
        <v>39.254237221945523</v>
      </c>
      <c r="EZ9" s="151">
        <f t="shared" si="83"/>
        <v>44.402479519387384</v>
      </c>
      <c r="FA9" s="163"/>
      <c r="FB9" s="164">
        <v>1.4</v>
      </c>
      <c r="FC9" s="151">
        <f t="shared" si="84"/>
        <v>6.0337907466593812</v>
      </c>
      <c r="FD9" s="151">
        <f t="shared" si="85"/>
        <v>6.6002231143342085</v>
      </c>
      <c r="FE9" s="151">
        <f t="shared" si="86"/>
        <v>7.1415120335039086</v>
      </c>
      <c r="FF9" s="151">
        <f t="shared" si="493"/>
        <v>7.8363945928879382</v>
      </c>
      <c r="FG9" s="151">
        <f t="shared" si="494"/>
        <v>9.1950109487404763</v>
      </c>
      <c r="FH9" s="134">
        <f t="shared" si="495"/>
        <v>11.07586233708407</v>
      </c>
      <c r="FI9" s="151">
        <f t="shared" si="496"/>
        <v>13.463694055390487</v>
      </c>
      <c r="FJ9" s="151">
        <f t="shared" si="87"/>
        <v>16.178556539264552</v>
      </c>
      <c r="FK9" s="151">
        <f t="shared" si="88"/>
        <v>18.13789379265377</v>
      </c>
      <c r="FL9" s="151">
        <f t="shared" si="89"/>
        <v>20.083200963725176</v>
      </c>
      <c r="FM9" s="151">
        <f t="shared" si="90"/>
        <v>22.685212586845388</v>
      </c>
      <c r="FN9" s="163"/>
      <c r="FO9" s="164">
        <v>1.4</v>
      </c>
      <c r="FP9" s="151">
        <f t="shared" si="91"/>
        <v>5.7952927250224295</v>
      </c>
      <c r="FQ9" s="151">
        <f t="shared" si="92"/>
        <v>6.3905669822471074</v>
      </c>
      <c r="FR9" s="151">
        <f t="shared" si="93"/>
        <v>6.9573939335092074</v>
      </c>
      <c r="FS9" s="151">
        <f t="shared" si="497"/>
        <v>7.6815844442652841</v>
      </c>
      <c r="FT9" s="151">
        <f t="shared" si="498"/>
        <v>9.0844273681801617</v>
      </c>
      <c r="FU9" s="134">
        <f t="shared" si="499"/>
        <v>10.994690221050684</v>
      </c>
      <c r="FV9" s="151">
        <f t="shared" si="500"/>
        <v>13.36375468778564</v>
      </c>
      <c r="FW9" s="151">
        <f t="shared" si="94"/>
        <v>15.981385808803148</v>
      </c>
      <c r="FX9" s="151">
        <f t="shared" si="95"/>
        <v>17.822214375167228</v>
      </c>
      <c r="FY9" s="151">
        <f t="shared" si="96"/>
        <v>19.611669474910048</v>
      </c>
      <c r="FZ9" s="151">
        <f t="shared" si="97"/>
        <v>21.948802317251989</v>
      </c>
      <c r="GA9" s="163"/>
      <c r="GB9" s="164">
        <v>1.4</v>
      </c>
      <c r="GC9" s="151">
        <f t="shared" si="98"/>
        <v>6.1693708336332662</v>
      </c>
      <c r="GD9" s="151">
        <f t="shared" si="99"/>
        <v>6.8357861456345672</v>
      </c>
      <c r="GE9" s="151">
        <f t="shared" si="100"/>
        <v>7.474381800591325</v>
      </c>
      <c r="GF9" s="151">
        <f t="shared" si="501"/>
        <v>8.2956679616128906</v>
      </c>
      <c r="GG9" s="151">
        <f t="shared" si="502"/>
        <v>9.9026394444270966</v>
      </c>
      <c r="GH9" s="134">
        <f t="shared" si="503"/>
        <v>12.121823892649243</v>
      </c>
      <c r="GI9" s="151">
        <f t="shared" si="504"/>
        <v>14.918268384087735</v>
      </c>
      <c r="GJ9" s="151">
        <f t="shared" si="101"/>
        <v>18.058884798444538</v>
      </c>
      <c r="GK9" s="151">
        <f t="shared" si="102"/>
        <v>20.296440019378213</v>
      </c>
      <c r="GL9" s="151">
        <f t="shared" si="103"/>
        <v>22.492738795288844</v>
      </c>
      <c r="GM9" s="151">
        <f t="shared" si="104"/>
        <v>25.390688387534816</v>
      </c>
      <c r="GN9" s="163"/>
      <c r="GO9" s="164">
        <v>1.4</v>
      </c>
      <c r="GP9" s="151">
        <f t="shared" si="105"/>
        <v>0.26443980921177601</v>
      </c>
      <c r="GQ9" s="151">
        <f t="shared" si="106"/>
        <v>0.33161997871711119</v>
      </c>
      <c r="GR9" s="151">
        <f t="shared" si="107"/>
        <v>0.37954095535486493</v>
      </c>
      <c r="GS9" s="151">
        <f t="shared" si="505"/>
        <v>0.42783789900788682</v>
      </c>
      <c r="GT9" s="151">
        <f t="shared" si="506"/>
        <v>0.49755634466192439</v>
      </c>
      <c r="GU9" s="134">
        <f t="shared" si="507"/>
        <v>0.56469554216277418</v>
      </c>
      <c r="GV9" s="151">
        <f t="shared" si="508"/>
        <v>0.62427581218328565</v>
      </c>
      <c r="GW9" s="151">
        <f t="shared" si="108"/>
        <v>0.67301239587429496</v>
      </c>
      <c r="GX9" s="151">
        <f t="shared" si="109"/>
        <v>0.70051220412618698</v>
      </c>
      <c r="GY9" s="151">
        <f t="shared" si="110"/>
        <v>0.72346928871956495</v>
      </c>
      <c r="GZ9" s="151">
        <f t="shared" si="111"/>
        <v>0.74922689446931245</v>
      </c>
      <c r="HA9" s="163"/>
      <c r="HB9" s="164">
        <v>1.4</v>
      </c>
      <c r="HC9" s="151">
        <f t="shared" si="112"/>
        <v>0.25821302946173269</v>
      </c>
      <c r="HD9" s="151">
        <f t="shared" si="113"/>
        <v>0.32493802476776568</v>
      </c>
      <c r="HE9" s="151">
        <f t="shared" si="114"/>
        <v>0.37257636942171418</v>
      </c>
      <c r="HF9" s="151">
        <f t="shared" si="509"/>
        <v>0.42062716032893399</v>
      </c>
      <c r="HG9" s="151">
        <f t="shared" si="510"/>
        <v>0.49005811828761225</v>
      </c>
      <c r="HH9" s="134">
        <f t="shared" si="511"/>
        <v>0.55699267801056462</v>
      </c>
      <c r="HI9" s="151">
        <f t="shared" si="512"/>
        <v>0.61644684655356496</v>
      </c>
      <c r="HJ9" s="151">
        <f t="shared" si="115"/>
        <v>0.6651166552068114</v>
      </c>
      <c r="HK9" s="151">
        <f t="shared" si="116"/>
        <v>0.69259251943710942</v>
      </c>
      <c r="HL9" s="151">
        <f t="shared" si="117"/>
        <v>0.71553693131966911</v>
      </c>
      <c r="HM9" s="151">
        <f t="shared" si="118"/>
        <v>0.74128802742636402</v>
      </c>
      <c r="HN9" s="163"/>
      <c r="HO9" s="164">
        <v>1.4</v>
      </c>
      <c r="HP9" s="151">
        <f t="shared" si="119"/>
        <v>0.26772800897094928</v>
      </c>
      <c r="HQ9" s="151">
        <f t="shared" si="120"/>
        <v>0.33434044624265785</v>
      </c>
      <c r="HR9" s="151">
        <f t="shared" si="121"/>
        <v>0.38184345740988379</v>
      </c>
      <c r="HS9" s="151">
        <f t="shared" si="513"/>
        <v>0.42969595922571702</v>
      </c>
      <c r="HT9" s="151">
        <f t="shared" si="514"/>
        <v>0.49872381277808153</v>
      </c>
      <c r="HU9" s="134">
        <f t="shared" si="515"/>
        <v>0.56514044547705644</v>
      </c>
      <c r="HV9" s="151">
        <f t="shared" si="516"/>
        <v>0.62403271657868675</v>
      </c>
      <c r="HW9" s="151">
        <f t="shared" si="122"/>
        <v>0.67217489369866046</v>
      </c>
      <c r="HX9" s="151">
        <f t="shared" si="123"/>
        <v>0.6993271643750133</v>
      </c>
      <c r="HY9" s="151">
        <f t="shared" si="124"/>
        <v>0.7219875923235316</v>
      </c>
      <c r="HZ9" s="151">
        <f t="shared" si="125"/>
        <v>0.74740543075419563</v>
      </c>
      <c r="IA9" s="163"/>
      <c r="IB9" s="164">
        <v>1.4</v>
      </c>
      <c r="IC9" s="151">
        <f t="shared" si="126"/>
        <v>0.201742718993874</v>
      </c>
      <c r="ID9" s="151">
        <f t="shared" si="127"/>
        <v>0.24862732869474155</v>
      </c>
      <c r="IE9" s="151">
        <f t="shared" si="128"/>
        <v>0.27587310357088229</v>
      </c>
      <c r="IF9" s="151">
        <f t="shared" si="517"/>
        <v>0.3004521971925892</v>
      </c>
      <c r="IG9" s="151">
        <f t="shared" si="518"/>
        <v>0.33253563603952008</v>
      </c>
      <c r="IH9" s="134">
        <f t="shared" si="519"/>
        <v>0.36075377356312044</v>
      </c>
      <c r="II9" s="151">
        <f t="shared" si="520"/>
        <v>0.38415953625378224</v>
      </c>
      <c r="IJ9" s="151">
        <f t="shared" si="129"/>
        <v>0.40238593922599475</v>
      </c>
      <c r="IK9" s="151">
        <f t="shared" si="130"/>
        <v>0.41235501334967656</v>
      </c>
      <c r="IL9" s="151">
        <f t="shared" si="131"/>
        <v>0.42051922470109154</v>
      </c>
      <c r="IM9" s="151">
        <f t="shared" si="132"/>
        <v>0.42951960406484324</v>
      </c>
      <c r="IN9" s="163"/>
      <c r="IO9" s="164">
        <v>1.4</v>
      </c>
      <c r="IP9" s="151">
        <f t="shared" si="133"/>
        <v>0.19703981849843588</v>
      </c>
      <c r="IQ9" s="151">
        <f t="shared" si="134"/>
        <v>0.24461405151865814</v>
      </c>
      <c r="IR9" s="151">
        <f t="shared" si="135"/>
        <v>0.2721079922858255</v>
      </c>
      <c r="IS9" s="151">
        <f t="shared" si="521"/>
        <v>0.29687026062100264</v>
      </c>
      <c r="IT9" s="151">
        <f t="shared" si="522"/>
        <v>0.32916591818798313</v>
      </c>
      <c r="IU9" s="134">
        <f t="shared" si="523"/>
        <v>0.35756214672769532</v>
      </c>
      <c r="IV9" s="151">
        <f t="shared" si="524"/>
        <v>0.38111639323050678</v>
      </c>
      <c r="IW9" s="151">
        <f t="shared" si="136"/>
        <v>0.39946109828493864</v>
      </c>
      <c r="IX9" s="151">
        <f t="shared" si="137"/>
        <v>0.40949628031139806</v>
      </c>
      <c r="IY9" s="151">
        <f t="shared" si="138"/>
        <v>0.41771548379270285</v>
      </c>
      <c r="IZ9" s="151">
        <f t="shared" si="139"/>
        <v>0.42677744929076766</v>
      </c>
      <c r="JA9" s="163"/>
      <c r="JB9" s="164">
        <v>1.4</v>
      </c>
      <c r="JC9" s="151">
        <f t="shared" si="140"/>
        <v>0.20339625755991775</v>
      </c>
      <c r="JD9" s="151">
        <f t="shared" si="141"/>
        <v>0.24990561239628845</v>
      </c>
      <c r="JE9" s="151">
        <f t="shared" si="142"/>
        <v>0.27691824177744223</v>
      </c>
      <c r="JF9" s="151">
        <f t="shared" si="525"/>
        <v>0.30127212519791491</v>
      </c>
      <c r="JG9" s="151">
        <f t="shared" si="526"/>
        <v>0.33303838894542503</v>
      </c>
      <c r="JH9" s="134">
        <f t="shared" si="527"/>
        <v>0.36095549482402151</v>
      </c>
      <c r="JI9" s="151">
        <f t="shared" si="528"/>
        <v>0.38409614651019136</v>
      </c>
      <c r="JJ9" s="151">
        <f t="shared" si="143"/>
        <v>0.40210667563230634</v>
      </c>
      <c r="JK9" s="151">
        <f t="shared" si="144"/>
        <v>0.41195426594787798</v>
      </c>
      <c r="JL9" s="151">
        <f t="shared" si="145"/>
        <v>0.42001722419981408</v>
      </c>
      <c r="JM9" s="151">
        <f t="shared" si="146"/>
        <v>0.42890416590730107</v>
      </c>
      <c r="JN9" s="163"/>
      <c r="JO9" s="164">
        <v>1.3</v>
      </c>
      <c r="JP9" s="151">
        <f t="shared" si="147"/>
        <v>-5.4809517381485389</v>
      </c>
      <c r="JQ9" s="151">
        <f t="shared" si="148"/>
        <v>-4.3061885713902619</v>
      </c>
      <c r="JR9" s="151">
        <f t="shared" si="149"/>
        <v>-3.2840134346287222</v>
      </c>
      <c r="JS9" s="151">
        <f t="shared" si="529"/>
        <v>-2.0925145776728087</v>
      </c>
      <c r="JT9" s="151">
        <f t="shared" si="530"/>
        <v>-7.5392595243194194E-2</v>
      </c>
      <c r="JU9" s="134">
        <f t="shared" si="531"/>
        <v>2.2138518037364783</v>
      </c>
      <c r="JV9" s="151">
        <f t="shared" si="532"/>
        <v>4.5435802370222085</v>
      </c>
      <c r="JW9" s="151">
        <f t="shared" si="150"/>
        <v>6.6662347397033095</v>
      </c>
      <c r="JX9" s="151">
        <f t="shared" si="151"/>
        <v>7.9527053599900697</v>
      </c>
      <c r="JY9" s="151">
        <f t="shared" si="152"/>
        <v>9.0767493302289424</v>
      </c>
      <c r="JZ9" s="151">
        <f t="shared" si="153"/>
        <v>10.39304191885218</v>
      </c>
      <c r="KA9" s="163"/>
      <c r="KB9" s="164">
        <v>1.3</v>
      </c>
      <c r="KC9" s="151">
        <f t="shared" si="154"/>
        <v>-4.5877095727434929</v>
      </c>
      <c r="KD9" s="151">
        <f t="shared" si="155"/>
        <v>-3.5517921895975419</v>
      </c>
      <c r="KE9" s="151">
        <f t="shared" si="156"/>
        <v>-2.627108598012498</v>
      </c>
      <c r="KF9" s="151">
        <f t="shared" si="533"/>
        <v>-1.5238712388116529</v>
      </c>
      <c r="KG9" s="151">
        <f t="shared" si="534"/>
        <v>0.40097601467577881</v>
      </c>
      <c r="KH9" s="134">
        <f t="shared" si="535"/>
        <v>2.6642111545347209</v>
      </c>
      <c r="KI9" s="151">
        <f t="shared" si="536"/>
        <v>5.04454465532997</v>
      </c>
      <c r="KJ9" s="151">
        <f t="shared" si="157"/>
        <v>7.2746549456531771</v>
      </c>
      <c r="KK9" s="151">
        <f t="shared" si="158"/>
        <v>8.6526333016712744</v>
      </c>
      <c r="KL9" s="151">
        <f t="shared" si="159"/>
        <v>9.8720485628139958</v>
      </c>
      <c r="KM9" s="151">
        <f t="shared" si="160"/>
        <v>11.317534221069058</v>
      </c>
      <c r="KN9" s="163"/>
      <c r="KO9" s="164">
        <v>1.4</v>
      </c>
      <c r="KP9" s="151">
        <f t="shared" si="161"/>
        <v>-8.1594355095740578</v>
      </c>
      <c r="KQ9" s="151">
        <f t="shared" si="162"/>
        <v>-6.7142138918931789</v>
      </c>
      <c r="KR9" s="151">
        <f t="shared" si="163"/>
        <v>-5.4782674079475218</v>
      </c>
      <c r="KS9" s="151">
        <f t="shared" si="537"/>
        <v>-4.0605688898905683</v>
      </c>
      <c r="KT9" s="151">
        <f t="shared" si="538"/>
        <v>-1.7110741449426996</v>
      </c>
      <c r="KU9" s="134">
        <f t="shared" si="539"/>
        <v>0.88760783575121849</v>
      </c>
      <c r="KV9" s="151">
        <f t="shared" si="540"/>
        <v>3.467862581068907</v>
      </c>
      <c r="KW9" s="151">
        <f t="shared" si="164"/>
        <v>5.7689543481858898</v>
      </c>
      <c r="KX9" s="151">
        <f t="shared" si="165"/>
        <v>7.1426208816485648</v>
      </c>
      <c r="KY9" s="151">
        <f t="shared" si="166"/>
        <v>8.3308132324397697</v>
      </c>
      <c r="KZ9" s="151">
        <f t="shared" si="167"/>
        <v>9.7087309871981837</v>
      </c>
      <c r="LA9" s="163"/>
      <c r="LB9" s="164">
        <v>1.3</v>
      </c>
      <c r="LC9" s="151">
        <f t="shared" si="168"/>
        <v>-18.743356485194617</v>
      </c>
      <c r="LD9" s="151">
        <f t="shared" si="169"/>
        <v>-14.879946826416624</v>
      </c>
      <c r="LE9" s="151">
        <f t="shared" si="170"/>
        <v>-11.435700764496239</v>
      </c>
      <c r="LF9" s="151">
        <f t="shared" si="541"/>
        <v>-7.3384007750509213</v>
      </c>
      <c r="LG9" s="151">
        <f t="shared" si="542"/>
        <v>-0.23225682166249584</v>
      </c>
      <c r="LH9" s="134">
        <f t="shared" si="543"/>
        <v>8.0440377134023109</v>
      </c>
      <c r="LI9" s="151">
        <f t="shared" si="544"/>
        <v>16.653435160080839</v>
      </c>
      <c r="LJ9" s="151">
        <f t="shared" si="171"/>
        <v>24.633511380101098</v>
      </c>
      <c r="LK9" s="151">
        <f t="shared" si="172"/>
        <v>29.524622276124454</v>
      </c>
      <c r="LL9" s="151">
        <f t="shared" si="173"/>
        <v>33.828640246807687</v>
      </c>
      <c r="LM9" s="151">
        <f t="shared" si="174"/>
        <v>38.902147786497814</v>
      </c>
      <c r="LN9" s="163"/>
      <c r="LO9" s="164">
        <v>1.3</v>
      </c>
      <c r="LP9" s="151">
        <f t="shared" si="175"/>
        <v>-15.514025555230718</v>
      </c>
      <c r="LQ9" s="151">
        <f t="shared" si="176"/>
        <v>-11.813006470738198</v>
      </c>
      <c r="LR9" s="151">
        <f t="shared" si="177"/>
        <v>-8.4918360269792075</v>
      </c>
      <c r="LS9" s="151">
        <f t="shared" si="545"/>
        <v>-4.5187767007864039</v>
      </c>
      <c r="LT9" s="151">
        <f t="shared" si="546"/>
        <v>2.4190593344197886</v>
      </c>
      <c r="LU9" s="134">
        <f t="shared" si="547"/>
        <v>10.560531780420458</v>
      </c>
      <c r="LV9" s="151">
        <f t="shared" si="548"/>
        <v>19.086223986688861</v>
      </c>
      <c r="LW9" s="151">
        <f t="shared" si="178"/>
        <v>27.031668045413067</v>
      </c>
      <c r="LX9" s="151">
        <f t="shared" si="179"/>
        <v>31.919405759563706</v>
      </c>
      <c r="LY9" s="151">
        <f t="shared" si="180"/>
        <v>36.230656005577671</v>
      </c>
      <c r="LZ9" s="151">
        <f t="shared" si="181"/>
        <v>41.324098593775574</v>
      </c>
      <c r="MA9" s="163"/>
      <c r="MB9" s="164">
        <v>1.4</v>
      </c>
      <c r="MC9" s="151">
        <f t="shared" si="182"/>
        <v>-19.761423289232919</v>
      </c>
      <c r="MD9" s="151">
        <f t="shared" si="183"/>
        <v>-15.896126710630828</v>
      </c>
      <c r="ME9" s="151">
        <f t="shared" si="184"/>
        <v>-12.495991661761355</v>
      </c>
      <c r="MF9" s="151">
        <f t="shared" si="549"/>
        <v>-8.4995812030586642</v>
      </c>
      <c r="MG9" s="151">
        <f t="shared" si="550"/>
        <v>-1.6741592647254109</v>
      </c>
      <c r="MH9" s="134">
        <f t="shared" si="551"/>
        <v>6.1351232918778678</v>
      </c>
      <c r="MI9" s="151">
        <f t="shared" si="552"/>
        <v>14.127490102465011</v>
      </c>
      <c r="MJ9" s="151">
        <f t="shared" si="185"/>
        <v>21.435262525855997</v>
      </c>
      <c r="MK9" s="151">
        <f t="shared" si="186"/>
        <v>25.872483173086188</v>
      </c>
      <c r="ML9" s="151">
        <f t="shared" si="187"/>
        <v>29.753183315125348</v>
      </c>
      <c r="MM9" s="151">
        <f t="shared" si="188"/>
        <v>34.300954330776939</v>
      </c>
      <c r="MN9" s="163"/>
      <c r="MO9" s="164">
        <v>1.3</v>
      </c>
      <c r="MP9" s="151">
        <f t="shared" si="189"/>
        <v>-17.61888485912468</v>
      </c>
      <c r="MQ9" s="151">
        <f t="shared" si="190"/>
        <v>-12.831231814632634</v>
      </c>
      <c r="MR9" s="151">
        <f t="shared" si="191"/>
        <v>-8.6888080104948457</v>
      </c>
      <c r="MS9" s="151">
        <f t="shared" si="553"/>
        <v>-3.8887440284931571</v>
      </c>
      <c r="MT9" s="151">
        <f t="shared" si="554"/>
        <v>4.167202966203277</v>
      </c>
      <c r="MU9" s="134">
        <f t="shared" si="555"/>
        <v>13.206098290324086</v>
      </c>
      <c r="MV9" s="151">
        <f t="shared" si="556"/>
        <v>22.297644797220379</v>
      </c>
      <c r="MW9" s="151">
        <f t="shared" si="192"/>
        <v>30.492963315390718</v>
      </c>
      <c r="MX9" s="151">
        <f t="shared" si="193"/>
        <v>35.421290645976406</v>
      </c>
      <c r="MY9" s="151">
        <f t="shared" si="194"/>
        <v>39.704615769703459</v>
      </c>
      <c r="MZ9" s="151">
        <f t="shared" si="195"/>
        <v>44.694532924224838</v>
      </c>
      <c r="NA9" s="163"/>
      <c r="NB9" s="164">
        <v>1.3</v>
      </c>
      <c r="NC9" s="151">
        <f t="shared" si="196"/>
        <v>-19.040226192169484</v>
      </c>
      <c r="ND9" s="151">
        <f t="shared" si="197"/>
        <v>-14.3654735254222</v>
      </c>
      <c r="NE9" s="151">
        <f t="shared" si="198"/>
        <v>-10.28576424663072</v>
      </c>
      <c r="NF9" s="151">
        <f t="shared" si="557"/>
        <v>-5.5303431475699725</v>
      </c>
      <c r="NG9" s="151">
        <f t="shared" si="558"/>
        <v>2.4989850800266353</v>
      </c>
      <c r="NH9" s="134">
        <f t="shared" si="559"/>
        <v>11.559628151224029</v>
      </c>
      <c r="NI9" s="151">
        <f t="shared" si="560"/>
        <v>20.713293693851352</v>
      </c>
      <c r="NJ9" s="151">
        <f t="shared" si="199"/>
        <v>28.99154695665737</v>
      </c>
      <c r="NK9" s="151">
        <f t="shared" si="200"/>
        <v>33.980052750981329</v>
      </c>
      <c r="NL9" s="151">
        <f t="shared" si="201"/>
        <v>38.32125038078064</v>
      </c>
      <c r="NM9" s="151">
        <f t="shared" si="202"/>
        <v>43.384564781126855</v>
      </c>
      <c r="NN9" s="163"/>
      <c r="NO9" s="164">
        <v>1.4</v>
      </c>
      <c r="NP9" s="151">
        <f t="shared" si="203"/>
        <v>-24.367703171265134</v>
      </c>
      <c r="NQ9" s="151">
        <f t="shared" si="204"/>
        <v>-19.760959591007445</v>
      </c>
      <c r="NR9" s="151">
        <f t="shared" si="205"/>
        <v>-15.793865913734656</v>
      </c>
      <c r="NS9" s="151">
        <f t="shared" si="561"/>
        <v>-11.215459830293295</v>
      </c>
      <c r="NT9" s="151">
        <f t="shared" si="562"/>
        <v>-3.5690798593387925</v>
      </c>
      <c r="NU9" s="134">
        <f t="shared" si="563"/>
        <v>4.9638322584146053</v>
      </c>
      <c r="NV9" s="151">
        <f t="shared" si="564"/>
        <v>13.505488910579032</v>
      </c>
      <c r="NW9" s="151">
        <f t="shared" si="206"/>
        <v>21.175194782173307</v>
      </c>
      <c r="NX9" s="151">
        <f t="shared" si="207"/>
        <v>25.775325468643352</v>
      </c>
      <c r="NY9" s="151">
        <f t="shared" si="208"/>
        <v>29.766619832586777</v>
      </c>
      <c r="NZ9" s="151">
        <f t="shared" si="209"/>
        <v>34.408865380661361</v>
      </c>
      <c r="OA9" s="163"/>
      <c r="OB9" s="164">
        <v>1.3</v>
      </c>
      <c r="OC9" s="151">
        <f t="shared" si="210"/>
        <v>12.07763213263085</v>
      </c>
      <c r="OD9" s="151">
        <f t="shared" si="211"/>
        <v>13.461150340965451</v>
      </c>
      <c r="OE9" s="151">
        <f t="shared" si="212"/>
        <v>14.771899821362302</v>
      </c>
      <c r="OF9" s="151">
        <f t="shared" si="565"/>
        <v>16.435617544061724</v>
      </c>
      <c r="OG9" s="151">
        <f t="shared" si="566"/>
        <v>19.61957457791668</v>
      </c>
      <c r="OH9" s="134">
        <f t="shared" si="567"/>
        <v>23.86712716830414</v>
      </c>
      <c r="OI9" s="151">
        <f t="shared" si="568"/>
        <v>28.992226578430763</v>
      </c>
      <c r="OJ9" s="151">
        <f t="shared" si="213"/>
        <v>34.478600519222944</v>
      </c>
      <c r="OK9" s="151">
        <f t="shared" si="214"/>
        <v>38.232533793566795</v>
      </c>
      <c r="OL9" s="151">
        <f t="shared" si="215"/>
        <v>41.80425687934239</v>
      </c>
      <c r="OM9" s="151">
        <f t="shared" si="216"/>
        <v>46.361176458431537</v>
      </c>
      <c r="ON9" s="163"/>
      <c r="OO9" s="164">
        <v>1.3</v>
      </c>
      <c r="OP9" s="151">
        <f t="shared" si="217"/>
        <v>12.732702991288228</v>
      </c>
      <c r="OQ9" s="151">
        <f t="shared" si="218"/>
        <v>14.148796649829343</v>
      </c>
      <c r="OR9" s="151">
        <f t="shared" si="219"/>
        <v>15.497172654261069</v>
      </c>
      <c r="OS9" s="151">
        <f t="shared" si="569"/>
        <v>17.218581112323157</v>
      </c>
      <c r="OT9" s="151">
        <f t="shared" si="570"/>
        <v>20.545037494829206</v>
      </c>
      <c r="OU9" s="134">
        <f t="shared" si="571"/>
        <v>25.04965224468366</v>
      </c>
      <c r="OV9" s="151">
        <f t="shared" si="572"/>
        <v>30.586700423431523</v>
      </c>
      <c r="OW9" s="151">
        <f t="shared" si="220"/>
        <v>36.634981174395371</v>
      </c>
      <c r="OX9" s="151">
        <f t="shared" si="221"/>
        <v>40.843547461826326</v>
      </c>
      <c r="OY9" s="151">
        <f t="shared" si="222"/>
        <v>44.899413316390984</v>
      </c>
      <c r="OZ9" s="151">
        <f t="shared" si="223"/>
        <v>50.145293823451304</v>
      </c>
      <c r="PA9" s="163"/>
      <c r="PB9" s="164">
        <v>1.4</v>
      </c>
      <c r="PC9" s="151">
        <f t="shared" si="224"/>
        <v>13.599593185235859</v>
      </c>
      <c r="PD9" s="151">
        <f t="shared" si="225"/>
        <v>15.312882330563518</v>
      </c>
      <c r="PE9" s="151">
        <f t="shared" si="226"/>
        <v>16.929717003631712</v>
      </c>
      <c r="PF9" s="151">
        <f t="shared" si="573"/>
        <v>18.971550409058459</v>
      </c>
      <c r="PG9" s="151">
        <f t="shared" si="574"/>
        <v>22.842981560020796</v>
      </c>
      <c r="PH9" s="134">
        <f t="shared" si="575"/>
        <v>27.929122538578881</v>
      </c>
      <c r="PI9" s="151">
        <f t="shared" si="576"/>
        <v>33.946074484456204</v>
      </c>
      <c r="PJ9" s="151">
        <f t="shared" si="227"/>
        <v>40.247847300700258</v>
      </c>
      <c r="PK9" s="151">
        <f t="shared" si="228"/>
        <v>44.481516968415043</v>
      </c>
      <c r="PL9" s="151">
        <f t="shared" si="229"/>
        <v>48.454104263379094</v>
      </c>
      <c r="PM9" s="151">
        <f t="shared" si="230"/>
        <v>53.448044386929311</v>
      </c>
      <c r="PN9" s="163"/>
      <c r="PO9" s="164">
        <v>1.3</v>
      </c>
      <c r="PP9" s="151">
        <f t="shared" si="231"/>
        <v>6.317403899197747</v>
      </c>
      <c r="PQ9" s="151">
        <f t="shared" si="232"/>
        <v>6.9891072906118561</v>
      </c>
      <c r="PR9" s="151">
        <f t="shared" si="233"/>
        <v>7.6121014571252372</v>
      </c>
      <c r="PS9" s="151">
        <f t="shared" si="577"/>
        <v>8.3855007134649711</v>
      </c>
      <c r="PT9" s="151">
        <f t="shared" si="578"/>
        <v>9.8167262679811902</v>
      </c>
      <c r="PU9" s="134">
        <f t="shared" si="579"/>
        <v>11.639091121782975</v>
      </c>
      <c r="PV9" s="151">
        <f t="shared" si="580"/>
        <v>13.726678128924169</v>
      </c>
      <c r="PW9" s="151">
        <f t="shared" si="234"/>
        <v>15.848866710661387</v>
      </c>
      <c r="PX9" s="151">
        <f t="shared" si="235"/>
        <v>17.243547266260258</v>
      </c>
      <c r="PY9" s="151">
        <f t="shared" si="236"/>
        <v>18.532337092713394</v>
      </c>
      <c r="PZ9" s="151">
        <f t="shared" si="237"/>
        <v>20.12793430462694</v>
      </c>
      <c r="QA9" s="163"/>
      <c r="QB9" s="164">
        <v>1.3</v>
      </c>
      <c r="QC9" s="151">
        <f t="shared" si="238"/>
        <v>6.7521116487005992</v>
      </c>
      <c r="QD9" s="151">
        <f t="shared" si="239"/>
        <v>7.3969374735049129</v>
      </c>
      <c r="QE9" s="151">
        <f t="shared" si="240"/>
        <v>7.9972295770106063</v>
      </c>
      <c r="QF9" s="151">
        <f t="shared" si="581"/>
        <v>8.7458941254595892</v>
      </c>
      <c r="QG9" s="151">
        <f t="shared" si="582"/>
        <v>10.142701306045224</v>
      </c>
      <c r="QH9" s="134">
        <f t="shared" si="583"/>
        <v>11.944722626746886</v>
      </c>
      <c r="QI9" s="151">
        <f t="shared" si="584"/>
        <v>14.043463635285507</v>
      </c>
      <c r="QJ9" s="151">
        <f t="shared" si="241"/>
        <v>16.215886095916868</v>
      </c>
      <c r="QK9" s="151">
        <f t="shared" si="242"/>
        <v>17.665138706442868</v>
      </c>
      <c r="QL9" s="151">
        <f t="shared" si="243"/>
        <v>19.019557477920131</v>
      </c>
      <c r="QM9" s="151">
        <f t="shared" si="244"/>
        <v>20.716554111198995</v>
      </c>
      <c r="QN9" s="163"/>
      <c r="QO9" s="164">
        <v>1.4</v>
      </c>
      <c r="QP9" s="151">
        <f t="shared" si="245"/>
        <v>6.4772725172155985</v>
      </c>
      <c r="QQ9" s="151">
        <f t="shared" si="246"/>
        <v>7.2614605571075224</v>
      </c>
      <c r="QR9" s="151">
        <f t="shared" si="247"/>
        <v>7.9850008357249891</v>
      </c>
      <c r="QS9" s="151">
        <f t="shared" si="585"/>
        <v>8.877630634353439</v>
      </c>
      <c r="QT9" s="151">
        <f t="shared" si="586"/>
        <v>10.512098498906951</v>
      </c>
      <c r="QU9" s="134">
        <f t="shared" si="587"/>
        <v>12.559706308663946</v>
      </c>
      <c r="QV9" s="151">
        <f t="shared" si="588"/>
        <v>14.859969800801313</v>
      </c>
      <c r="QW9" s="151">
        <f t="shared" si="248"/>
        <v>17.151212094992871</v>
      </c>
      <c r="QX9" s="151">
        <f t="shared" si="249"/>
        <v>18.632606198501449</v>
      </c>
      <c r="QY9" s="151">
        <f t="shared" si="250"/>
        <v>19.985245514319736</v>
      </c>
      <c r="QZ9" s="151">
        <f t="shared" si="251"/>
        <v>21.639267107665155</v>
      </c>
      <c r="RA9" s="163"/>
      <c r="RB9" s="164">
        <v>1.3</v>
      </c>
      <c r="RC9" s="151">
        <f t="shared" si="252"/>
        <v>0.29074906767473568</v>
      </c>
      <c r="RD9" s="151">
        <f t="shared" si="253"/>
        <v>0.31444703110967948</v>
      </c>
      <c r="RE9" s="151">
        <f t="shared" si="254"/>
        <v>0.33662510177532168</v>
      </c>
      <c r="RF9" s="151">
        <f t="shared" si="589"/>
        <v>0.36447048293034401</v>
      </c>
      <c r="RG9" s="151">
        <f t="shared" si="590"/>
        <v>0.41705953234256887</v>
      </c>
      <c r="RH9" s="134">
        <f t="shared" si="591"/>
        <v>0.48630194694483325</v>
      </c>
      <c r="RI9" s="151">
        <f t="shared" si="592"/>
        <v>0.56915455763301348</v>
      </c>
      <c r="RJ9" s="151">
        <f t="shared" si="255"/>
        <v>0.65761456371764704</v>
      </c>
      <c r="RK9" s="151">
        <f t="shared" si="256"/>
        <v>0.71822802443490108</v>
      </c>
      <c r="RL9" s="151">
        <f t="shared" si="257"/>
        <v>0.77606893135272481</v>
      </c>
      <c r="RM9" s="151">
        <f t="shared" si="258"/>
        <v>0.85020368654112111</v>
      </c>
      <c r="RN9" s="163"/>
      <c r="RO9" s="164">
        <v>1.3</v>
      </c>
      <c r="RP9" s="151">
        <f t="shared" si="259"/>
        <v>0.30633874693835217</v>
      </c>
      <c r="RQ9" s="151">
        <f t="shared" si="260"/>
        <v>0.33010514182460243</v>
      </c>
      <c r="RR9" s="151">
        <f t="shared" si="261"/>
        <v>0.35235829204478453</v>
      </c>
      <c r="RS9" s="151">
        <f t="shared" si="593"/>
        <v>0.38032134521040623</v>
      </c>
      <c r="RT9" s="151">
        <f t="shared" si="594"/>
        <v>0.43323072572527238</v>
      </c>
      <c r="RU9" s="134">
        <f t="shared" si="595"/>
        <v>0.50314725179407305</v>
      </c>
      <c r="RV9" s="151">
        <f t="shared" si="596"/>
        <v>0.58726035067200943</v>
      </c>
      <c r="RW9" s="151">
        <f t="shared" si="262"/>
        <v>0.67767877503207197</v>
      </c>
      <c r="RX9" s="151">
        <f t="shared" si="263"/>
        <v>0.74002303383003509</v>
      </c>
      <c r="RY9" s="151">
        <f t="shared" si="264"/>
        <v>0.79982043851307083</v>
      </c>
      <c r="RZ9" s="151">
        <f t="shared" si="265"/>
        <v>0.87690656320895943</v>
      </c>
      <c r="SA9" s="163"/>
      <c r="SB9" s="164">
        <v>1.4</v>
      </c>
      <c r="SC9" s="151">
        <f t="shared" si="266"/>
        <v>0.27477378055456175</v>
      </c>
      <c r="SD9" s="151">
        <f t="shared" si="267"/>
        <v>0.29866368346061145</v>
      </c>
      <c r="SE9" s="151">
        <f t="shared" si="268"/>
        <v>0.32088832695727876</v>
      </c>
      <c r="SF9" s="151">
        <f t="shared" si="597"/>
        <v>0.34860116490133491</v>
      </c>
      <c r="SG9" s="151">
        <f t="shared" si="598"/>
        <v>0.40033882105583313</v>
      </c>
      <c r="SH9" s="134">
        <f t="shared" si="599"/>
        <v>0.46724107497864936</v>
      </c>
      <c r="SI9" s="151">
        <f t="shared" si="600"/>
        <v>0.54549330064181567</v>
      </c>
      <c r="SJ9" s="151">
        <f t="shared" si="269"/>
        <v>0.62695946160501714</v>
      </c>
      <c r="SK9" s="151">
        <f t="shared" si="270"/>
        <v>0.6815993337742271</v>
      </c>
      <c r="SL9" s="151">
        <f t="shared" si="271"/>
        <v>0.73288693895053825</v>
      </c>
      <c r="SM9" s="151">
        <f t="shared" si="272"/>
        <v>0.7974603373630188</v>
      </c>
      <c r="SN9" s="163"/>
      <c r="SO9" s="164">
        <v>1.3</v>
      </c>
      <c r="SP9" s="151">
        <f t="shared" si="273"/>
        <v>0.22228433815633042</v>
      </c>
      <c r="SQ9" s="151">
        <f t="shared" si="274"/>
        <v>0.23736398898723948</v>
      </c>
      <c r="SR9" s="151">
        <f t="shared" si="275"/>
        <v>0.25078065424919083</v>
      </c>
      <c r="SS9" s="151">
        <f t="shared" si="276"/>
        <v>0.26676660847164541</v>
      </c>
      <c r="ST9" s="151">
        <f t="shared" si="601"/>
        <v>0.29467855076519228</v>
      </c>
      <c r="SU9" s="134">
        <f t="shared" si="602"/>
        <v>0.32764367890649909</v>
      </c>
      <c r="SV9" s="151">
        <f t="shared" si="603"/>
        <v>0.36258942032268426</v>
      </c>
      <c r="SW9" s="151">
        <f t="shared" si="280"/>
        <v>0.39564898092874601</v>
      </c>
      <c r="SX9" s="151">
        <f t="shared" si="281"/>
        <v>0.41624833521179189</v>
      </c>
      <c r="SY9" s="151">
        <f t="shared" si="282"/>
        <v>0.4345932244517533</v>
      </c>
      <c r="SZ9" s="151">
        <f t="shared" si="283"/>
        <v>0.45648486613176947</v>
      </c>
      <c r="TA9" s="163"/>
      <c r="TB9" s="164">
        <v>1.3</v>
      </c>
      <c r="TC9" s="151">
        <f t="shared" si="284"/>
        <v>0.2341215592440698</v>
      </c>
      <c r="TD9" s="151">
        <f t="shared" si="285"/>
        <v>0.24804746577583828</v>
      </c>
      <c r="TE9" s="151">
        <f t="shared" si="286"/>
        <v>0.26056524600412967</v>
      </c>
      <c r="TF9" s="151">
        <f t="shared" si="604"/>
        <v>0.27564050228338866</v>
      </c>
      <c r="TG9" s="151">
        <f t="shared" si="605"/>
        <v>0.30238916974579599</v>
      </c>
      <c r="TH9" s="134">
        <f t="shared" si="606"/>
        <v>0.33469387075358109</v>
      </c>
      <c r="TI9" s="151">
        <f t="shared" si="607"/>
        <v>0.36979773160782758</v>
      </c>
      <c r="TJ9" s="151">
        <f t="shared" si="287"/>
        <v>0.40382922478739175</v>
      </c>
      <c r="TK9" s="151">
        <f t="shared" si="288"/>
        <v>0.42544108033511968</v>
      </c>
      <c r="TL9" s="151">
        <f t="shared" si="289"/>
        <v>0.44495154090963435</v>
      </c>
      <c r="TM9" s="151">
        <f t="shared" si="290"/>
        <v>0.46856006467311345</v>
      </c>
      <c r="TN9" s="163"/>
      <c r="TO9" s="164">
        <v>1.4</v>
      </c>
      <c r="TP9" s="151">
        <f t="shared" si="291"/>
        <v>0.21502005020565568</v>
      </c>
      <c r="TQ9" s="151">
        <f t="shared" si="292"/>
        <v>0.22980074709799389</v>
      </c>
      <c r="TR9" s="151">
        <f t="shared" si="293"/>
        <v>0.24295708486453088</v>
      </c>
      <c r="TS9" s="151">
        <f t="shared" si="608"/>
        <v>0.25863923347375517</v>
      </c>
      <c r="TT9" s="151">
        <f t="shared" si="609"/>
        <v>0.28603569677642871</v>
      </c>
      <c r="TU9" s="134">
        <f t="shared" si="610"/>
        <v>0.31841358836700162</v>
      </c>
      <c r="TV9" s="151">
        <f t="shared" si="611"/>
        <v>0.35275882881917719</v>
      </c>
      <c r="TW9" s="151">
        <f t="shared" si="294"/>
        <v>0.38526842189021454</v>
      </c>
      <c r="TX9" s="151">
        <f t="shared" si="295"/>
        <v>0.40553304359681447</v>
      </c>
      <c r="TY9" s="151">
        <f t="shared" si="296"/>
        <v>0.42358454937763312</v>
      </c>
      <c r="TZ9" s="151">
        <f t="shared" si="297"/>
        <v>0.4451315141618099</v>
      </c>
      <c r="UA9" s="163"/>
      <c r="UB9" s="164">
        <v>1.3</v>
      </c>
      <c r="UC9" s="151">
        <f t="shared" si="298"/>
        <v>-22.655525997808581</v>
      </c>
      <c r="UD9" s="151">
        <f t="shared" si="299"/>
        <v>-19.762655595573321</v>
      </c>
      <c r="UE9" s="151">
        <f t="shared" si="300"/>
        <v>-17.336884587346091</v>
      </c>
      <c r="UF9" s="151">
        <f t="shared" si="612"/>
        <v>-14.604201527151361</v>
      </c>
      <c r="UG9" s="151">
        <f t="shared" si="613"/>
        <v>-10.180927770212293</v>
      </c>
      <c r="UH9" s="134">
        <f t="shared" si="614"/>
        <v>-5.4241063768276092</v>
      </c>
      <c r="UI9" s="151">
        <f t="shared" si="615"/>
        <v>-0.82445171143010043</v>
      </c>
      <c r="UJ9" s="151">
        <f t="shared" si="301"/>
        <v>3.1854942014888366</v>
      </c>
      <c r="UK9" s="151">
        <f t="shared" si="302"/>
        <v>5.5415648140544391</v>
      </c>
      <c r="UL9" s="151">
        <f t="shared" si="303"/>
        <v>7.5582537479581475</v>
      </c>
      <c r="UM9" s="151">
        <f t="shared" si="304"/>
        <v>9.8735064249707278</v>
      </c>
      <c r="UN9" s="163"/>
      <c r="UO9" s="164">
        <v>1.3</v>
      </c>
      <c r="UP9" s="151">
        <f t="shared" si="305"/>
        <v>-20.755886289852633</v>
      </c>
      <c r="UQ9" s="151">
        <f t="shared" si="306"/>
        <v>-18.117459144811363</v>
      </c>
      <c r="UR9" s="151">
        <f t="shared" si="307"/>
        <v>-15.855343640820411</v>
      </c>
      <c r="US9" s="151">
        <f t="shared" si="616"/>
        <v>-13.254224840409389</v>
      </c>
      <c r="UT9" s="151">
        <f t="shared" si="617"/>
        <v>-8.9292350617398206</v>
      </c>
      <c r="UU9" s="134">
        <f t="shared" si="618"/>
        <v>-4.1261448235970768</v>
      </c>
      <c r="UV9" s="151">
        <f t="shared" si="619"/>
        <v>0.66148209214279774</v>
      </c>
      <c r="UW9" s="151">
        <f t="shared" si="308"/>
        <v>4.9455803264832028</v>
      </c>
      <c r="UX9" s="151">
        <f t="shared" si="309"/>
        <v>7.5091276052818046</v>
      </c>
      <c r="UY9" s="151">
        <f t="shared" si="310"/>
        <v>9.7300506337946118</v>
      </c>
      <c r="UZ9" s="151">
        <f t="shared" si="311"/>
        <v>12.3095305409107</v>
      </c>
      <c r="VA9" s="163"/>
      <c r="VB9" s="164">
        <v>1.4</v>
      </c>
      <c r="VC9" s="151">
        <f t="shared" si="312"/>
        <v>-25.699775423847562</v>
      </c>
      <c r="VD9" s="151">
        <f t="shared" si="313"/>
        <v>-22.325147156725954</v>
      </c>
      <c r="VE9" s="151">
        <f t="shared" si="314"/>
        <v>-19.557113519239259</v>
      </c>
      <c r="VF9" s="151">
        <f t="shared" si="620"/>
        <v>-16.496726177867572</v>
      </c>
      <c r="VG9" s="151">
        <f t="shared" si="621"/>
        <v>-11.653669132085277</v>
      </c>
      <c r="VH9" s="134">
        <f t="shared" si="622"/>
        <v>-6.5732862275377215</v>
      </c>
      <c r="VI9" s="151">
        <f t="shared" si="623"/>
        <v>-1.7658239540791811</v>
      </c>
      <c r="VJ9" s="151">
        <f t="shared" si="315"/>
        <v>2.3531917009980674</v>
      </c>
      <c r="VK9" s="151">
        <f t="shared" si="316"/>
        <v>4.7454602537284387</v>
      </c>
      <c r="VL9" s="151">
        <f t="shared" si="317"/>
        <v>6.7780284668448587</v>
      </c>
      <c r="VM9" s="151">
        <f t="shared" si="318"/>
        <v>9.0953545443668702</v>
      </c>
      <c r="VN9" s="163"/>
      <c r="VO9" s="164">
        <v>1.3</v>
      </c>
      <c r="VP9" s="151">
        <f t="shared" si="319"/>
        <v>-44.521323481158888</v>
      </c>
      <c r="VQ9" s="151">
        <f t="shared" si="320"/>
        <v>-41.027061798910523</v>
      </c>
      <c r="VR9" s="151">
        <f t="shared" si="321"/>
        <v>-37.695551750715936</v>
      </c>
      <c r="VS9" s="151">
        <f t="shared" si="624"/>
        <v>-33.494891688087762</v>
      </c>
      <c r="VT9" s="151">
        <f t="shared" si="625"/>
        <v>-25.665940417007491</v>
      </c>
      <c r="VU9" s="134">
        <f t="shared" si="626"/>
        <v>-15.784660780974306</v>
      </c>
      <c r="VV9" s="151">
        <f t="shared" si="627"/>
        <v>-4.7423088397937434</v>
      </c>
      <c r="VW9" s="151">
        <f t="shared" si="322"/>
        <v>6.113172227297369</v>
      </c>
      <c r="VX9" s="151">
        <f t="shared" si="323"/>
        <v>13.03760966145645</v>
      </c>
      <c r="VY9" s="151">
        <f t="shared" si="324"/>
        <v>19.291209529036571</v>
      </c>
      <c r="VZ9" s="151">
        <f t="shared" si="325"/>
        <v>26.846938812218788</v>
      </c>
      <c r="WA9" s="163"/>
      <c r="WB9" s="164">
        <v>1.3</v>
      </c>
      <c r="WC9" s="151">
        <f t="shared" si="326"/>
        <v>-41.96973973440732</v>
      </c>
      <c r="WD9" s="151">
        <f t="shared" si="327"/>
        <v>-38.634335858049802</v>
      </c>
      <c r="WE9" s="151">
        <f t="shared" si="328"/>
        <v>-35.346732796746167</v>
      </c>
      <c r="WF9" s="151">
        <f t="shared" si="628"/>
        <v>-31.099339988634</v>
      </c>
      <c r="WG9" s="151">
        <f t="shared" si="629"/>
        <v>-22.979432270731866</v>
      </c>
      <c r="WH9" s="134">
        <f t="shared" si="630"/>
        <v>-12.48608170627233</v>
      </c>
      <c r="WI9" s="151">
        <f t="shared" si="631"/>
        <v>-0.55214227547489969</v>
      </c>
      <c r="WJ9" s="151">
        <f t="shared" si="329"/>
        <v>11.326031352500308</v>
      </c>
      <c r="WK9" s="151">
        <f t="shared" si="330"/>
        <v>18.959951205606806</v>
      </c>
      <c r="WL9" s="151">
        <f t="shared" si="331"/>
        <v>25.885615570328163</v>
      </c>
      <c r="WM9" s="151">
        <f t="shared" si="332"/>
        <v>34.287450746770908</v>
      </c>
      <c r="WN9" s="163"/>
      <c r="WO9" s="164">
        <v>1.4</v>
      </c>
      <c r="WP9" s="151">
        <f t="shared" si="333"/>
        <v>-46.612540885761383</v>
      </c>
      <c r="WQ9" s="151">
        <f t="shared" si="334"/>
        <v>-43.029935401266357</v>
      </c>
      <c r="WR9" s="151">
        <f t="shared" si="335"/>
        <v>-39.624570452188749</v>
      </c>
      <c r="WS9" s="151">
        <f t="shared" si="632"/>
        <v>-35.35914287493695</v>
      </c>
      <c r="WT9" s="151">
        <f t="shared" si="633"/>
        <v>-27.506504187615864</v>
      </c>
      <c r="WU9" s="134">
        <f t="shared" si="634"/>
        <v>-17.769224740616302</v>
      </c>
      <c r="WV9" s="151">
        <f t="shared" si="635"/>
        <v>-7.0896968559858209</v>
      </c>
      <c r="WW9" s="151">
        <f t="shared" si="336"/>
        <v>3.2311623283843431</v>
      </c>
      <c r="WX9" s="151">
        <f t="shared" si="337"/>
        <v>9.7338846024661407</v>
      </c>
      <c r="WY9" s="151">
        <f t="shared" si="338"/>
        <v>15.557852768015145</v>
      </c>
      <c r="WZ9" s="151">
        <f t="shared" si="339"/>
        <v>22.537552520966464</v>
      </c>
      <c r="XA9" s="163"/>
      <c r="XB9" s="164">
        <v>1.3</v>
      </c>
      <c r="XC9" s="151">
        <f t="shared" si="340"/>
        <v>-46.295135588717166</v>
      </c>
      <c r="XD9" s="151">
        <f t="shared" si="341"/>
        <v>-41.830383761351591</v>
      </c>
      <c r="XE9" s="151">
        <f t="shared" si="342"/>
        <v>-37.696220841206475</v>
      </c>
      <c r="XF9" s="151">
        <f t="shared" si="636"/>
        <v>-32.639422710869255</v>
      </c>
      <c r="XG9" s="151">
        <f t="shared" si="637"/>
        <v>-23.605989187744839</v>
      </c>
      <c r="XH9" s="134">
        <f t="shared" si="638"/>
        <v>-12.78041216947932</v>
      </c>
      <c r="XI9" s="151">
        <f t="shared" si="639"/>
        <v>-1.2661170335279337</v>
      </c>
      <c r="XJ9" s="151">
        <f t="shared" si="343"/>
        <v>9.5833667527598649</v>
      </c>
      <c r="XK9" s="151">
        <f t="shared" si="344"/>
        <v>16.302571431581917</v>
      </c>
      <c r="XL9" s="151">
        <f t="shared" si="345"/>
        <v>22.253402089150406</v>
      </c>
      <c r="XM9" s="151">
        <f t="shared" si="346"/>
        <v>29.309659638279946</v>
      </c>
      <c r="XN9" s="163"/>
      <c r="XO9" s="164">
        <v>1.3</v>
      </c>
      <c r="XP9" s="151">
        <f t="shared" si="347"/>
        <v>-47.107245787289052</v>
      </c>
      <c r="XQ9" s="151">
        <f t="shared" si="348"/>
        <v>-42.664774328300112</v>
      </c>
      <c r="XR9" s="151">
        <f t="shared" si="349"/>
        <v>-38.415232382982779</v>
      </c>
      <c r="XS9" s="151">
        <f t="shared" si="640"/>
        <v>-33.129806553480364</v>
      </c>
      <c r="XT9" s="151">
        <f t="shared" si="641"/>
        <v>-23.567975132441219</v>
      </c>
      <c r="XU9" s="134">
        <f t="shared" si="642"/>
        <v>-12.015428423349135</v>
      </c>
      <c r="XV9" s="151">
        <f t="shared" si="643"/>
        <v>0.31862780103190858</v>
      </c>
      <c r="XW9" s="151">
        <f t="shared" si="350"/>
        <v>11.95721956618975</v>
      </c>
      <c r="XX9" s="151">
        <f t="shared" si="351"/>
        <v>19.167531202954329</v>
      </c>
      <c r="XY9" s="151">
        <f t="shared" si="352"/>
        <v>25.553144728895369</v>
      </c>
      <c r="XZ9" s="151">
        <f t="shared" si="353"/>
        <v>33.123630236285756</v>
      </c>
      <c r="YA9" s="163"/>
      <c r="YB9" s="164">
        <v>1.4</v>
      </c>
      <c r="YC9" s="151">
        <f t="shared" si="354"/>
        <v>-47.168595450324702</v>
      </c>
      <c r="YD9" s="151">
        <f t="shared" si="355"/>
        <v>-43.358338053257242</v>
      </c>
      <c r="YE9" s="151">
        <f t="shared" si="356"/>
        <v>-39.891203696701105</v>
      </c>
      <c r="YF9" s="151">
        <f t="shared" si="644"/>
        <v>-35.709384436725713</v>
      </c>
      <c r="YG9" s="151">
        <f t="shared" si="645"/>
        <v>-28.359800226727081</v>
      </c>
      <c r="YH9" s="134">
        <f t="shared" si="646"/>
        <v>-19.702837165353444</v>
      </c>
      <c r="YI9" s="151">
        <f t="shared" si="647"/>
        <v>-10.629500159512723</v>
      </c>
      <c r="YJ9" s="151">
        <f t="shared" si="357"/>
        <v>-2.1794324086205066</v>
      </c>
      <c r="YK9" s="151">
        <f t="shared" si="358"/>
        <v>3.0132578855601793</v>
      </c>
      <c r="YL9" s="151">
        <f t="shared" si="359"/>
        <v>7.5892590148644103</v>
      </c>
      <c r="YM9" s="151">
        <f t="shared" si="360"/>
        <v>12.989900379225666</v>
      </c>
      <c r="YN9" s="163"/>
      <c r="YO9" s="164">
        <v>1.3</v>
      </c>
      <c r="YP9" s="151">
        <f t="shared" si="361"/>
        <v>16.368225941691467</v>
      </c>
      <c r="YQ9" s="151">
        <f t="shared" si="362"/>
        <v>18.515449397536322</v>
      </c>
      <c r="YR9" s="151">
        <f t="shared" si="363"/>
        <v>20.566325971413921</v>
      </c>
      <c r="YS9" s="151">
        <f t="shared" si="648"/>
        <v>23.189161770934874</v>
      </c>
      <c r="YT9" s="151">
        <f t="shared" si="649"/>
        <v>28.258270370246041</v>
      </c>
      <c r="YU9" s="134">
        <f t="shared" si="650"/>
        <v>35.097110882515004</v>
      </c>
      <c r="YV9" s="151">
        <f t="shared" si="651"/>
        <v>43.430309530771765</v>
      </c>
      <c r="YW9" s="151">
        <f t="shared" si="364"/>
        <v>52.418102340626781</v>
      </c>
      <c r="YX9" s="151">
        <f t="shared" si="365"/>
        <v>58.595880264020813</v>
      </c>
      <c r="YY9" s="151">
        <f t="shared" si="366"/>
        <v>64.489359690096848</v>
      </c>
      <c r="YZ9" s="151">
        <f t="shared" si="367"/>
        <v>72.025069596369477</v>
      </c>
      <c r="ZA9" s="163"/>
      <c r="ZB9" s="164">
        <v>1.3</v>
      </c>
      <c r="ZC9" s="151">
        <f t="shared" si="368"/>
        <v>17.396706612347327</v>
      </c>
      <c r="ZD9" s="151">
        <f t="shared" si="369"/>
        <v>19.454817473664406</v>
      </c>
      <c r="ZE9" s="151">
        <f t="shared" si="370"/>
        <v>21.410513359044725</v>
      </c>
      <c r="ZF9" s="151">
        <f t="shared" si="652"/>
        <v>23.900225185688669</v>
      </c>
      <c r="ZG9" s="151">
        <f t="shared" si="653"/>
        <v>28.685155749031953</v>
      </c>
      <c r="ZH9" s="134">
        <f t="shared" si="654"/>
        <v>35.103583983650118</v>
      </c>
      <c r="ZI9" s="151">
        <f t="shared" si="655"/>
        <v>42.89216227681716</v>
      </c>
      <c r="ZJ9" s="151">
        <f t="shared" si="371"/>
        <v>51.274004137299372</v>
      </c>
      <c r="ZK9" s="151">
        <f t="shared" si="372"/>
        <v>57.031642654482646</v>
      </c>
      <c r="ZL9" s="151">
        <f t="shared" si="373"/>
        <v>62.524872700560621</v>
      </c>
      <c r="ZM9" s="151">
        <f t="shared" si="374"/>
        <v>69.5526068676769</v>
      </c>
      <c r="ZN9" s="163"/>
      <c r="ZO9" s="164">
        <v>1.4</v>
      </c>
      <c r="ZP9" s="151">
        <f t="shared" si="375"/>
        <v>18.507299555409457</v>
      </c>
      <c r="ZQ9" s="151">
        <f t="shared" si="376"/>
        <v>20.925356234886895</v>
      </c>
      <c r="ZR9" s="151">
        <f t="shared" si="377"/>
        <v>23.228234181660572</v>
      </c>
      <c r="ZS9" s="151">
        <f t="shared" si="656"/>
        <v>26.164207576639317</v>
      </c>
      <c r="ZT9" s="151">
        <f t="shared" si="657"/>
        <v>31.811094842238234</v>
      </c>
      <c r="ZU9" s="134">
        <f t="shared" si="658"/>
        <v>39.376942202007314</v>
      </c>
      <c r="ZV9" s="151">
        <f t="shared" si="659"/>
        <v>48.523322054933381</v>
      </c>
      <c r="ZW9" s="151">
        <f t="shared" si="378"/>
        <v>58.3090729483581</v>
      </c>
      <c r="ZX9" s="151">
        <f t="shared" si="379"/>
        <v>64.992607607667679</v>
      </c>
      <c r="ZY9" s="151">
        <f t="shared" si="380"/>
        <v>71.338853080142059</v>
      </c>
      <c r="ZZ9" s="151">
        <f t="shared" si="381"/>
        <v>79.414245942112743</v>
      </c>
      <c r="AAA9" s="163"/>
      <c r="AAB9" s="164">
        <v>1.3</v>
      </c>
      <c r="AAC9" s="151">
        <f t="shared" si="382"/>
        <v>6.5304411665161508</v>
      </c>
      <c r="AAD9" s="151">
        <f t="shared" si="383"/>
        <v>7.3419760017697255</v>
      </c>
      <c r="AAE9" s="151">
        <f t="shared" si="384"/>
        <v>8.1070071702119737</v>
      </c>
      <c r="AAF9" s="151">
        <f t="shared" si="660"/>
        <v>9.0721487757042016</v>
      </c>
      <c r="AAG9" s="151">
        <f t="shared" si="661"/>
        <v>10.899567639540788</v>
      </c>
      <c r="AAH9" s="134">
        <f t="shared" si="662"/>
        <v>13.296275100785921</v>
      </c>
      <c r="AAI9" s="151">
        <f t="shared" si="663"/>
        <v>16.126921425513444</v>
      </c>
      <c r="AAJ9" s="151">
        <f t="shared" si="385"/>
        <v>19.087282738468016</v>
      </c>
      <c r="AAK9" s="151">
        <f t="shared" si="386"/>
        <v>21.074099066693528</v>
      </c>
      <c r="AAL9" s="151">
        <f t="shared" si="387"/>
        <v>22.937122941671461</v>
      </c>
      <c r="AAM9" s="151">
        <f t="shared" si="388"/>
        <v>25.27758760034471</v>
      </c>
      <c r="AAN9" s="163"/>
      <c r="AAO9" s="164">
        <v>1.3</v>
      </c>
      <c r="AAP9" s="151">
        <f t="shared" si="389"/>
        <v>6.5340910797053686</v>
      </c>
      <c r="AAQ9" s="151">
        <f t="shared" si="390"/>
        <v>7.3140081148056026</v>
      </c>
      <c r="AAR9" s="151">
        <f t="shared" si="391"/>
        <v>8.0550877913493153</v>
      </c>
      <c r="AAS9" s="151">
        <f t="shared" si="664"/>
        <v>8.9984068660890539</v>
      </c>
      <c r="AAT9" s="151">
        <f t="shared" si="665"/>
        <v>10.810751711967228</v>
      </c>
      <c r="AAU9" s="134">
        <f t="shared" si="666"/>
        <v>13.240134253898303</v>
      </c>
      <c r="AAV9" s="151">
        <f t="shared" si="667"/>
        <v>16.18510593567882</v>
      </c>
      <c r="AAW9" s="151">
        <f t="shared" si="392"/>
        <v>19.350462535915735</v>
      </c>
      <c r="AAX9" s="151">
        <f t="shared" si="393"/>
        <v>21.52241208473832</v>
      </c>
      <c r="AAY9" s="151">
        <f t="shared" si="394"/>
        <v>23.592822107862133</v>
      </c>
      <c r="AAZ9" s="151">
        <f t="shared" si="395"/>
        <v>26.239078359777764</v>
      </c>
      <c r="ABA9" s="163"/>
      <c r="ABB9" s="164">
        <v>1.4</v>
      </c>
      <c r="ABC9" s="151">
        <f t="shared" si="396"/>
        <v>6.893795352536352</v>
      </c>
      <c r="ABD9" s="151">
        <f t="shared" si="397"/>
        <v>7.8078363216284767</v>
      </c>
      <c r="ABE9" s="151">
        <f t="shared" si="398"/>
        <v>8.6649731574221569</v>
      </c>
      <c r="ABF9" s="151">
        <f t="shared" si="668"/>
        <v>9.7396879930246403</v>
      </c>
      <c r="ABG9" s="151">
        <f t="shared" si="669"/>
        <v>11.753821805833784</v>
      </c>
      <c r="ABH9" s="134">
        <f t="shared" si="670"/>
        <v>14.354730610020665</v>
      </c>
      <c r="ABI9" s="151">
        <f t="shared" si="671"/>
        <v>17.370177713962871</v>
      </c>
      <c r="ABJ9" s="151">
        <f t="shared" si="399"/>
        <v>20.46357292817514</v>
      </c>
      <c r="ABK9" s="151">
        <f t="shared" si="400"/>
        <v>22.50784651992052</v>
      </c>
      <c r="ABL9" s="151">
        <f t="shared" si="401"/>
        <v>24.403112115446575</v>
      </c>
      <c r="ABM9" s="151">
        <f t="shared" si="402"/>
        <v>26.756191879684877</v>
      </c>
      <c r="ABN9" s="163"/>
      <c r="ABO9" s="164">
        <v>1.3</v>
      </c>
      <c r="ABP9" s="151">
        <f t="shared" si="403"/>
        <v>0.16539041597477819</v>
      </c>
      <c r="ABQ9" s="151">
        <f t="shared" si="404"/>
        <v>0.19102145891294256</v>
      </c>
      <c r="ABR9" s="151">
        <f t="shared" si="405"/>
        <v>0.21528301767535454</v>
      </c>
      <c r="ABS9" s="151">
        <f t="shared" si="672"/>
        <v>0.24595889975550178</v>
      </c>
      <c r="ABT9" s="151">
        <f t="shared" si="673"/>
        <v>0.30405532703851867</v>
      </c>
      <c r="ABU9" s="134">
        <f t="shared" si="674"/>
        <v>0.37994490374827083</v>
      </c>
      <c r="ABV9" s="151">
        <f t="shared" si="675"/>
        <v>0.46878824039292261</v>
      </c>
      <c r="ABW9" s="151">
        <f t="shared" si="406"/>
        <v>0.56059620927290887</v>
      </c>
      <c r="ABX9" s="151">
        <f t="shared" si="407"/>
        <v>0.62153995200683287</v>
      </c>
      <c r="ABY9" s="151">
        <f t="shared" si="408"/>
        <v>0.67819226778967978</v>
      </c>
      <c r="ABZ9" s="151">
        <f t="shared" si="409"/>
        <v>0.74869283448736645</v>
      </c>
      <c r="ACA9" s="163"/>
      <c r="ACB9" s="164">
        <v>1.3</v>
      </c>
      <c r="ACC9" s="151">
        <f t="shared" si="410"/>
        <v>0.17994786122155493</v>
      </c>
      <c r="ACD9" s="151">
        <f t="shared" si="411"/>
        <v>0.20481701216619513</v>
      </c>
      <c r="ACE9" s="151">
        <f t="shared" si="412"/>
        <v>0.22851265366115223</v>
      </c>
      <c r="ACF9" s="151">
        <f t="shared" si="676"/>
        <v>0.25872008000279767</v>
      </c>
      <c r="ACG9" s="151">
        <f t="shared" si="677"/>
        <v>0.31675908086447546</v>
      </c>
      <c r="ACH9" s="134">
        <f t="shared" si="678"/>
        <v>0.39430495037487684</v>
      </c>
      <c r="ACI9" s="151">
        <f t="shared" si="679"/>
        <v>0.48762578289089081</v>
      </c>
      <c r="ACJ9" s="151">
        <f t="shared" si="413"/>
        <v>0.58690589577340135</v>
      </c>
      <c r="ACK9" s="151">
        <f t="shared" si="414"/>
        <v>0.65437185071226445</v>
      </c>
      <c r="ACL9" s="151">
        <f t="shared" si="415"/>
        <v>0.71817977533786737</v>
      </c>
      <c r="ACM9" s="151">
        <f t="shared" si="416"/>
        <v>0.79902418854279467</v>
      </c>
      <c r="ACN9" s="163"/>
      <c r="ACO9" s="164">
        <v>1.4</v>
      </c>
      <c r="ACP9" s="151">
        <f t="shared" si="417"/>
        <v>0.16330953589516359</v>
      </c>
      <c r="ACQ9" s="151">
        <f t="shared" si="418"/>
        <v>0.18971999286732474</v>
      </c>
      <c r="ACR9" s="151">
        <f t="shared" si="419"/>
        <v>0.2140711363775544</v>
      </c>
      <c r="ACS9" s="151">
        <f t="shared" si="680"/>
        <v>0.24403302744772598</v>
      </c>
      <c r="ACT9" s="151">
        <f t="shared" si="681"/>
        <v>0.29853354637460316</v>
      </c>
      <c r="ACU9" s="134">
        <f t="shared" si="682"/>
        <v>0.36597658714226833</v>
      </c>
      <c r="ACV9" s="151">
        <f t="shared" si="683"/>
        <v>0.44052435031158382</v>
      </c>
      <c r="ACW9" s="151">
        <f t="shared" si="420"/>
        <v>0.51348935484093061</v>
      </c>
      <c r="ACX9" s="151">
        <f t="shared" si="421"/>
        <v>0.55999859646412475</v>
      </c>
      <c r="ACY9" s="151">
        <f t="shared" si="422"/>
        <v>0.60202532132215336</v>
      </c>
      <c r="ACZ9" s="151">
        <f t="shared" si="423"/>
        <v>0.65286592912585806</v>
      </c>
      <c r="ADA9" s="163"/>
      <c r="ADB9" s="164">
        <v>1.3</v>
      </c>
      <c r="ADC9" s="151">
        <f t="shared" si="424"/>
        <v>0.1392109049315475</v>
      </c>
      <c r="ADD9" s="151">
        <f t="shared" si="425"/>
        <v>0.15922649072416012</v>
      </c>
      <c r="ADE9" s="151">
        <f t="shared" si="426"/>
        <v>0.17690934869415412</v>
      </c>
      <c r="ADF9" s="151">
        <f t="shared" si="684"/>
        <v>0.19780071604679778</v>
      </c>
      <c r="ADG9" s="151">
        <f t="shared" si="685"/>
        <v>0.23377047090236744</v>
      </c>
      <c r="ADH9" s="134">
        <f t="shared" si="686"/>
        <v>0.27538186263637648</v>
      </c>
      <c r="ADI9" s="151">
        <f t="shared" si="687"/>
        <v>0.31846190494177201</v>
      </c>
      <c r="ADJ9" s="151">
        <f t="shared" si="427"/>
        <v>0.35826933386702292</v>
      </c>
      <c r="ADK9" s="151">
        <f t="shared" si="428"/>
        <v>0.38262619044134133</v>
      </c>
      <c r="ADL9" s="151">
        <f t="shared" si="429"/>
        <v>0.40403930666051624</v>
      </c>
      <c r="ADM9" s="151">
        <f t="shared" si="430"/>
        <v>0.42926123529683663</v>
      </c>
      <c r="ADN9" s="163"/>
      <c r="ADO9" s="164">
        <v>1.3</v>
      </c>
      <c r="ADP9" s="151">
        <f t="shared" si="431"/>
        <v>0.15030350791632813</v>
      </c>
      <c r="ADQ9" s="151">
        <f t="shared" si="432"/>
        <v>0.16894277820500916</v>
      </c>
      <c r="ADR9" s="151">
        <f t="shared" si="433"/>
        <v>0.18564898867729349</v>
      </c>
      <c r="ADS9" s="151">
        <f t="shared" si="688"/>
        <v>0.20566813276284729</v>
      </c>
      <c r="ADT9" s="151">
        <f t="shared" si="689"/>
        <v>0.24082429602019265</v>
      </c>
      <c r="ADU9" s="134">
        <f t="shared" si="690"/>
        <v>0.28252567602467771</v>
      </c>
      <c r="ADV9" s="151">
        <f t="shared" si="691"/>
        <v>0.32679322377475017</v>
      </c>
      <c r="ADW9" s="151">
        <f t="shared" si="434"/>
        <v>0.36862803789410942</v>
      </c>
      <c r="ADX9" s="151">
        <f t="shared" si="435"/>
        <v>0.39464413189072983</v>
      </c>
      <c r="ADY9" s="151">
        <f t="shared" si="436"/>
        <v>0.41776864162730803</v>
      </c>
      <c r="ADZ9" s="151">
        <f t="shared" si="437"/>
        <v>0.44530053283398802</v>
      </c>
      <c r="AEA9" s="163"/>
      <c r="AEB9" s="164">
        <v>1.4</v>
      </c>
      <c r="AEC9" s="151">
        <f t="shared" si="438"/>
        <v>0.13743497880303482</v>
      </c>
      <c r="AED9" s="151">
        <f t="shared" si="439"/>
        <v>0.15824643838785496</v>
      </c>
      <c r="AEE9" s="151">
        <f t="shared" si="440"/>
        <v>0.17605749296510517</v>
      </c>
      <c r="AEF9" s="151">
        <f t="shared" si="692"/>
        <v>0.19650373384860012</v>
      </c>
      <c r="AEG9" s="151">
        <f t="shared" si="693"/>
        <v>0.23042705648098707</v>
      </c>
      <c r="AEH9" s="134">
        <f t="shared" si="694"/>
        <v>0.26800406328561571</v>
      </c>
      <c r="AEI9" s="151">
        <f t="shared" si="695"/>
        <v>0.30537077139290425</v>
      </c>
      <c r="AEJ9" s="151">
        <f t="shared" si="441"/>
        <v>0.33873984485350839</v>
      </c>
      <c r="AEK9" s="151">
        <f t="shared" si="442"/>
        <v>0.35867940233901607</v>
      </c>
      <c r="AEL9" s="151">
        <f t="shared" si="443"/>
        <v>0.37593803886623778</v>
      </c>
      <c r="AEM9" s="151">
        <f t="shared" si="444"/>
        <v>0.39596527722413072</v>
      </c>
      <c r="AEN9" s="163"/>
    </row>
    <row r="10" spans="1:820">
      <c r="A10" s="163"/>
      <c r="B10" s="164">
        <v>1.5</v>
      </c>
      <c r="C10" s="151">
        <f t="shared" si="0"/>
        <v>1.7731491993678605</v>
      </c>
      <c r="D10" s="151">
        <f t="shared" si="1"/>
        <v>2.059902416023268</v>
      </c>
      <c r="E10" s="151">
        <f t="shared" si="2"/>
        <v>2.3513133630427046</v>
      </c>
      <c r="F10" s="151">
        <f t="shared" si="445"/>
        <v>2.7500908636531571</v>
      </c>
      <c r="G10" s="151">
        <f t="shared" si="446"/>
        <v>3.609102979588982</v>
      </c>
      <c r="H10" s="134">
        <f t="shared" si="447"/>
        <v>4.9697597198195886</v>
      </c>
      <c r="I10" s="151">
        <f t="shared" si="448"/>
        <v>6.9817480863262542</v>
      </c>
      <c r="J10" s="151">
        <f t="shared" si="3"/>
        <v>9.6552256018911855</v>
      </c>
      <c r="K10" s="151">
        <f t="shared" si="4"/>
        <v>11.840660619048169</v>
      </c>
      <c r="L10" s="151">
        <f t="shared" si="5"/>
        <v>14.224098649031538</v>
      </c>
      <c r="M10" s="151">
        <f t="shared" si="6"/>
        <v>17.747820812617494</v>
      </c>
      <c r="N10" s="163"/>
      <c r="O10" s="164">
        <v>1.5</v>
      </c>
      <c r="P10" s="151">
        <f t="shared" si="7"/>
        <v>2.1614607152171863</v>
      </c>
      <c r="Q10" s="151">
        <f t="shared" si="8"/>
        <v>2.4343625834846079</v>
      </c>
      <c r="R10" s="151">
        <f t="shared" si="9"/>
        <v>2.7093556810724917</v>
      </c>
      <c r="S10" s="151">
        <f t="shared" si="449"/>
        <v>3.0836728421381774</v>
      </c>
      <c r="T10" s="151">
        <f t="shared" si="450"/>
        <v>3.8894076081863922</v>
      </c>
      <c r="U10" s="134">
        <f t="shared" si="451"/>
        <v>5.1835074527473397</v>
      </c>
      <c r="V10" s="151">
        <f t="shared" si="452"/>
        <v>7.1732561949046358</v>
      </c>
      <c r="W10" s="151">
        <f t="shared" si="10"/>
        <v>10.005415218152731</v>
      </c>
      <c r="X10" s="151">
        <f t="shared" si="11"/>
        <v>12.507713773512583</v>
      </c>
      <c r="Y10" s="151">
        <f t="shared" si="12"/>
        <v>15.45108549690284</v>
      </c>
      <c r="Z10" s="151">
        <f t="shared" si="13"/>
        <v>20.255261892617796</v>
      </c>
      <c r="AA10" s="163"/>
      <c r="AB10" s="164">
        <v>1.5</v>
      </c>
      <c r="AC10" s="151">
        <f t="shared" si="14"/>
        <v>1.4672708203172138</v>
      </c>
      <c r="AD10" s="151">
        <f t="shared" si="15"/>
        <v>1.7181514119496482</v>
      </c>
      <c r="AE10" s="151">
        <f t="shared" si="16"/>
        <v>1.9771128321640385</v>
      </c>
      <c r="AF10" s="151">
        <f t="shared" si="453"/>
        <v>2.3377752879453637</v>
      </c>
      <c r="AG10" s="151">
        <f t="shared" si="454"/>
        <v>3.1380378373500317</v>
      </c>
      <c r="AH10" s="134">
        <f t="shared" si="455"/>
        <v>4.4659814272519318</v>
      </c>
      <c r="AI10" s="151">
        <f t="shared" si="456"/>
        <v>6.5524274089054266</v>
      </c>
      <c r="AJ10" s="151">
        <f t="shared" si="17"/>
        <v>9.5294522465505285</v>
      </c>
      <c r="AK10" s="151">
        <f t="shared" si="18"/>
        <v>12.122301045311943</v>
      </c>
      <c r="AL10" s="151">
        <f t="shared" si="19"/>
        <v>15.102890909101006</v>
      </c>
      <c r="AM10" s="151">
        <f t="shared" si="20"/>
        <v>19.785849912285638</v>
      </c>
      <c r="AN10" s="163"/>
      <c r="AO10" s="164">
        <v>1.5</v>
      </c>
      <c r="AP10" s="151">
        <f t="shared" si="21"/>
        <v>2.0422549287912437</v>
      </c>
      <c r="AQ10" s="151">
        <f t="shared" si="22"/>
        <v>3.8132659966152067</v>
      </c>
      <c r="AR10" s="151">
        <f t="shared" si="23"/>
        <v>5.4698796324002528</v>
      </c>
      <c r="AS10" s="151">
        <f t="shared" si="457"/>
        <v>7.5342253429223343</v>
      </c>
      <c r="AT10" s="151">
        <f t="shared" si="458"/>
        <v>11.349177898433606</v>
      </c>
      <c r="AU10" s="134">
        <f t="shared" si="459"/>
        <v>16.154089495630398</v>
      </c>
      <c r="AV10" s="151">
        <f t="shared" si="460"/>
        <v>21.548332280623857</v>
      </c>
      <c r="AW10" s="151">
        <f t="shared" si="24"/>
        <v>26.894673684246339</v>
      </c>
      <c r="AX10" s="151">
        <f t="shared" si="25"/>
        <v>30.331125501902168</v>
      </c>
      <c r="AY10" s="151">
        <f t="shared" si="26"/>
        <v>33.453098704466647</v>
      </c>
      <c r="AZ10" s="151">
        <f t="shared" si="27"/>
        <v>37.248923259929974</v>
      </c>
      <c r="BA10" s="163"/>
      <c r="BB10" s="164">
        <v>1.5</v>
      </c>
      <c r="BC10" s="151">
        <f t="shared" si="28"/>
        <v>2.4876373632801636</v>
      </c>
      <c r="BD10" s="151">
        <f t="shared" si="29"/>
        <v>4.4821885212581991</v>
      </c>
      <c r="BE10" s="151">
        <f t="shared" si="30"/>
        <v>6.3214132607711546</v>
      </c>
      <c r="BF10" s="151">
        <f t="shared" si="461"/>
        <v>8.5800040067512455</v>
      </c>
      <c r="BG10" s="151">
        <f t="shared" si="462"/>
        <v>12.666634395979088</v>
      </c>
      <c r="BH10" s="134">
        <f t="shared" si="463"/>
        <v>17.674825562176107</v>
      </c>
      <c r="BI10" s="151">
        <f t="shared" si="464"/>
        <v>23.142982727798213</v>
      </c>
      <c r="BJ10" s="151">
        <f t="shared" si="31"/>
        <v>28.427397548775868</v>
      </c>
      <c r="BK10" s="151">
        <f t="shared" si="32"/>
        <v>31.762395660298477</v>
      </c>
      <c r="BL10" s="151">
        <f t="shared" si="33"/>
        <v>34.754633834303917</v>
      </c>
      <c r="BM10" s="151">
        <f t="shared" si="34"/>
        <v>38.348474437120977</v>
      </c>
      <c r="BN10" s="163"/>
      <c r="BO10" s="164">
        <v>1.5</v>
      </c>
      <c r="BP10" s="151">
        <f t="shared" si="35"/>
        <v>3.8507334703787577</v>
      </c>
      <c r="BQ10" s="151">
        <f t="shared" si="36"/>
        <v>4.7200407724626086</v>
      </c>
      <c r="BR10" s="151">
        <f t="shared" si="37"/>
        <v>5.5963232708553363</v>
      </c>
      <c r="BS10" s="151">
        <f t="shared" si="465"/>
        <v>6.7751608870115723</v>
      </c>
      <c r="BT10" s="151">
        <f t="shared" si="466"/>
        <v>9.2126393500175272</v>
      </c>
      <c r="BU10" s="134">
        <f t="shared" si="467"/>
        <v>12.773836215242842</v>
      </c>
      <c r="BV10" s="151">
        <f t="shared" si="468"/>
        <v>17.44651723298373</v>
      </c>
      <c r="BW10" s="151">
        <f t="shared" si="38"/>
        <v>22.807580014745149</v>
      </c>
      <c r="BX10" s="151">
        <f t="shared" si="39"/>
        <v>26.649452291962902</v>
      </c>
      <c r="BY10" s="151">
        <f t="shared" si="40"/>
        <v>30.415395189431742</v>
      </c>
      <c r="BZ10" s="151">
        <f t="shared" si="41"/>
        <v>35.355536340920175</v>
      </c>
      <c r="CA10" s="163"/>
      <c r="CB10" s="164">
        <v>1.5</v>
      </c>
      <c r="CC10" s="151">
        <f t="shared" si="42"/>
        <v>-3.122309209140266</v>
      </c>
      <c r="CD10" s="151">
        <f t="shared" si="43"/>
        <v>-0.69582837654515206</v>
      </c>
      <c r="CE10" s="151">
        <f t="shared" si="44"/>
        <v>1.6425438620152493</v>
      </c>
      <c r="CF10" s="151">
        <f t="shared" si="469"/>
        <v>4.5873511971808538</v>
      </c>
      <c r="CG10" s="151">
        <f t="shared" si="470"/>
        <v>10.015543170368474</v>
      </c>
      <c r="CH10" s="134">
        <f t="shared" si="471"/>
        <v>16.725491085822217</v>
      </c>
      <c r="CI10" s="151">
        <f t="shared" si="472"/>
        <v>24.043062527317502</v>
      </c>
      <c r="CJ10" s="151">
        <f t="shared" si="45"/>
        <v>31.071501937465161</v>
      </c>
      <c r="CK10" s="151">
        <f t="shared" si="46"/>
        <v>35.478752386641531</v>
      </c>
      <c r="CL10" s="151">
        <f t="shared" si="47"/>
        <v>39.412830667636968</v>
      </c>
      <c r="CM10" s="151">
        <f t="shared" si="48"/>
        <v>44.112001715940039</v>
      </c>
      <c r="CN10" s="163"/>
      <c r="CO10" s="164">
        <v>1.5</v>
      </c>
      <c r="CP10" s="151">
        <f t="shared" si="49"/>
        <v>0.4697515849082281</v>
      </c>
      <c r="CQ10" s="151">
        <f t="shared" si="50"/>
        <v>2.9768450324922417</v>
      </c>
      <c r="CR10" s="151">
        <f t="shared" si="51"/>
        <v>5.3211316443166874</v>
      </c>
      <c r="CS10" s="151">
        <f t="shared" si="473"/>
        <v>8.218853816006142</v>
      </c>
      <c r="CT10" s="151">
        <f t="shared" si="474"/>
        <v>13.471923988088502</v>
      </c>
      <c r="CU10" s="134">
        <f t="shared" si="475"/>
        <v>19.88058101290612</v>
      </c>
      <c r="CV10" s="151">
        <f t="shared" si="476"/>
        <v>26.812796152139523</v>
      </c>
      <c r="CW10" s="151">
        <f t="shared" si="52"/>
        <v>33.438985802266828</v>
      </c>
      <c r="CX10" s="151">
        <f t="shared" si="53"/>
        <v>37.583525395066857</v>
      </c>
      <c r="CY10" s="151">
        <f t="shared" si="54"/>
        <v>41.27812515920396</v>
      </c>
      <c r="CZ10" s="151">
        <f t="shared" si="55"/>
        <v>45.686444446851354</v>
      </c>
      <c r="DA10" s="163"/>
      <c r="DB10" s="164">
        <v>1.5</v>
      </c>
      <c r="DC10" s="151">
        <f t="shared" si="56"/>
        <v>-4.4577643057762248</v>
      </c>
      <c r="DD10" s="151">
        <f t="shared" si="57"/>
        <v>-2.7790798862488293</v>
      </c>
      <c r="DE10" s="151">
        <f t="shared" si="58"/>
        <v>-1.0816831944075194</v>
      </c>
      <c r="DF10" s="151">
        <f t="shared" si="477"/>
        <v>1.1435654360737244</v>
      </c>
      <c r="DG10" s="151">
        <f t="shared" si="478"/>
        <v>5.4466550420819173</v>
      </c>
      <c r="DH10" s="134">
        <f t="shared" si="479"/>
        <v>11.046097537120286</v>
      </c>
      <c r="DI10" s="151">
        <f t="shared" si="480"/>
        <v>17.428937746983742</v>
      </c>
      <c r="DJ10" s="151">
        <f t="shared" si="59"/>
        <v>23.780971260299875</v>
      </c>
      <c r="DK10" s="151">
        <f t="shared" si="60"/>
        <v>27.859494262446884</v>
      </c>
      <c r="DL10" s="151">
        <f t="shared" si="61"/>
        <v>31.556133223854584</v>
      </c>
      <c r="DM10" s="151">
        <f t="shared" si="62"/>
        <v>36.035724480065291</v>
      </c>
      <c r="DN10" s="163"/>
      <c r="DO10" s="164">
        <v>1.5</v>
      </c>
      <c r="DP10" s="151">
        <f t="shared" si="63"/>
        <v>13.615383523388617</v>
      </c>
      <c r="DQ10" s="151">
        <f t="shared" si="64"/>
        <v>14.523879454537921</v>
      </c>
      <c r="DR10" s="151">
        <f t="shared" si="65"/>
        <v>15.388965068354327</v>
      </c>
      <c r="DS10" s="151">
        <f t="shared" si="481"/>
        <v>16.497883787102534</v>
      </c>
      <c r="DT10" s="151">
        <f t="shared" si="482"/>
        <v>18.670868220488533</v>
      </c>
      <c r="DU10" s="134">
        <f t="shared" si="483"/>
        <v>21.715070749077118</v>
      </c>
      <c r="DV10" s="151">
        <f t="shared" si="484"/>
        <v>25.684165475093682</v>
      </c>
      <c r="DW10" s="151">
        <f t="shared" si="66"/>
        <v>30.393915092479915</v>
      </c>
      <c r="DX10" s="151">
        <f t="shared" si="67"/>
        <v>33.953383383356673</v>
      </c>
      <c r="DY10" s="151">
        <f t="shared" si="68"/>
        <v>37.641391695869281</v>
      </c>
      <c r="DZ10" s="151">
        <f t="shared" si="69"/>
        <v>42.845260082865209</v>
      </c>
      <c r="EA10" s="163"/>
      <c r="EB10" s="164">
        <v>1.5</v>
      </c>
      <c r="EC10" s="151">
        <f t="shared" si="70"/>
        <v>13.738837388019698</v>
      </c>
      <c r="ED10" s="151">
        <f t="shared" si="71"/>
        <v>14.600916384863734</v>
      </c>
      <c r="EE10" s="151">
        <f t="shared" si="72"/>
        <v>15.414197429756047</v>
      </c>
      <c r="EF10" s="151">
        <f t="shared" si="485"/>
        <v>16.446037232299975</v>
      </c>
      <c r="EG10" s="151">
        <f t="shared" si="486"/>
        <v>18.434082645026855</v>
      </c>
      <c r="EH10" s="134">
        <f t="shared" si="487"/>
        <v>21.146709952477011</v>
      </c>
      <c r="EI10" s="151">
        <f t="shared" si="488"/>
        <v>24.563911337964608</v>
      </c>
      <c r="EJ10" s="151">
        <f t="shared" si="73"/>
        <v>28.456239534492543</v>
      </c>
      <c r="EK10" s="151">
        <f t="shared" si="74"/>
        <v>31.289768692048437</v>
      </c>
      <c r="EL10" s="151">
        <f t="shared" si="75"/>
        <v>34.134453085464614</v>
      </c>
      <c r="EM10" s="151">
        <f t="shared" si="76"/>
        <v>38.00179363995359</v>
      </c>
      <c r="EN10" s="163"/>
      <c r="EO10" s="164">
        <v>1.5</v>
      </c>
      <c r="EP10" s="151">
        <f t="shared" si="77"/>
        <v>13.68266425538989</v>
      </c>
      <c r="EQ10" s="151">
        <f t="shared" si="78"/>
        <v>14.825991062337035</v>
      </c>
      <c r="ER10" s="151">
        <f t="shared" si="79"/>
        <v>15.920674202112304</v>
      </c>
      <c r="ES10" s="151">
        <f t="shared" si="489"/>
        <v>17.330457544803721</v>
      </c>
      <c r="ET10" s="151">
        <f t="shared" si="490"/>
        <v>20.10660571500517</v>
      </c>
      <c r="EU10" s="134">
        <f t="shared" si="491"/>
        <v>24.005595484501722</v>
      </c>
      <c r="EV10" s="151">
        <f t="shared" si="492"/>
        <v>29.069161139078354</v>
      </c>
      <c r="EW10" s="151">
        <f t="shared" si="80"/>
        <v>35.003321807297311</v>
      </c>
      <c r="EX10" s="151">
        <f t="shared" si="81"/>
        <v>39.413813567188306</v>
      </c>
      <c r="EY10" s="151">
        <f t="shared" si="82"/>
        <v>43.905040515155385</v>
      </c>
      <c r="EZ10" s="151">
        <f t="shared" si="83"/>
        <v>50.09538838578456</v>
      </c>
      <c r="FA10" s="163"/>
      <c r="FB10" s="164">
        <v>1.5</v>
      </c>
      <c r="FC10" s="151">
        <f t="shared" si="84"/>
        <v>6.5205919660633613</v>
      </c>
      <c r="FD10" s="151">
        <f t="shared" si="85"/>
        <v>7.1493426729572169</v>
      </c>
      <c r="FE10" s="151">
        <f t="shared" si="86"/>
        <v>7.7518436974424523</v>
      </c>
      <c r="FF10" s="151">
        <f t="shared" si="493"/>
        <v>8.527543214744739</v>
      </c>
      <c r="FG10" s="151">
        <f t="shared" si="494"/>
        <v>10.050877026549282</v>
      </c>
      <c r="FH10" s="134">
        <f t="shared" si="495"/>
        <v>12.172944501241137</v>
      </c>
      <c r="FI10" s="151">
        <f t="shared" si="496"/>
        <v>14.886415960667929</v>
      </c>
      <c r="FJ10" s="151">
        <f t="shared" si="87"/>
        <v>17.994621272390734</v>
      </c>
      <c r="FK10" s="151">
        <f t="shared" si="88"/>
        <v>20.251473811973469</v>
      </c>
      <c r="FL10" s="151">
        <f t="shared" si="89"/>
        <v>22.502484917520164</v>
      </c>
      <c r="FM10" s="151">
        <f t="shared" si="90"/>
        <v>25.528259631910558</v>
      </c>
      <c r="FN10" s="163"/>
      <c r="FO10" s="164">
        <v>1.5</v>
      </c>
      <c r="FP10" s="151">
        <f t="shared" si="91"/>
        <v>6.3375604617435544</v>
      </c>
      <c r="FQ10" s="151">
        <f t="shared" si="92"/>
        <v>6.9720449500897761</v>
      </c>
      <c r="FR10" s="151">
        <f t="shared" si="93"/>
        <v>7.574718481400998</v>
      </c>
      <c r="FS10" s="151">
        <f t="shared" si="497"/>
        <v>8.3427669332773657</v>
      </c>
      <c r="FT10" s="151">
        <f t="shared" si="498"/>
        <v>9.8250138051592977</v>
      </c>
      <c r="FU10" s="134">
        <f t="shared" si="499"/>
        <v>11.833180045997484</v>
      </c>
      <c r="FV10" s="151">
        <f t="shared" si="500"/>
        <v>14.309847581894664</v>
      </c>
      <c r="FW10" s="151">
        <f t="shared" si="94"/>
        <v>17.03140012956462</v>
      </c>
      <c r="FX10" s="151">
        <f t="shared" si="95"/>
        <v>18.937172377002099</v>
      </c>
      <c r="FY10" s="151">
        <f t="shared" si="96"/>
        <v>20.784021036395231</v>
      </c>
      <c r="FZ10" s="151">
        <f t="shared" si="97"/>
        <v>23.188384191786302</v>
      </c>
      <c r="GA10" s="163"/>
      <c r="GB10" s="164">
        <v>1.5</v>
      </c>
      <c r="GC10" s="151">
        <f t="shared" si="98"/>
        <v>6.6562839149544093</v>
      </c>
      <c r="GD10" s="151">
        <f t="shared" si="99"/>
        <v>7.3992639576338322</v>
      </c>
      <c r="GE10" s="151">
        <f t="shared" si="100"/>
        <v>8.1136794323087358</v>
      </c>
      <c r="GF10" s="151">
        <f t="shared" si="501"/>
        <v>9.0357246984088722</v>
      </c>
      <c r="GG10" s="151">
        <f t="shared" si="502"/>
        <v>10.849372203702769</v>
      </c>
      <c r="GH10" s="134">
        <f t="shared" si="503"/>
        <v>13.372058806152817</v>
      </c>
      <c r="GI10" s="151">
        <f t="shared" si="504"/>
        <v>16.576335147961984</v>
      </c>
      <c r="GJ10" s="151">
        <f t="shared" si="101"/>
        <v>20.203572002276214</v>
      </c>
      <c r="GK10" s="151">
        <f t="shared" si="102"/>
        <v>22.803870775150351</v>
      </c>
      <c r="GL10" s="151">
        <f t="shared" si="103"/>
        <v>25.367842731252939</v>
      </c>
      <c r="GM10" s="151">
        <f t="shared" si="104"/>
        <v>28.76696118170101</v>
      </c>
      <c r="GN10" s="163"/>
      <c r="GO10" s="164">
        <v>1.5</v>
      </c>
      <c r="GP10" s="151">
        <f t="shared" si="105"/>
        <v>0.28435174712376965</v>
      </c>
      <c r="GQ10" s="151">
        <f t="shared" si="106"/>
        <v>0.34813399198198219</v>
      </c>
      <c r="GR10" s="151">
        <f t="shared" si="107"/>
        <v>0.39441468079410069</v>
      </c>
      <c r="GS10" s="151">
        <f t="shared" si="505"/>
        <v>0.44147953629332204</v>
      </c>
      <c r="GT10" s="151">
        <f t="shared" si="506"/>
        <v>0.50992473503209179</v>
      </c>
      <c r="GU10" s="134">
        <f t="shared" si="507"/>
        <v>0.57622124185608947</v>
      </c>
      <c r="GV10" s="151">
        <f t="shared" si="508"/>
        <v>0.63527104586546457</v>
      </c>
      <c r="GW10" s="151">
        <f t="shared" si="108"/>
        <v>0.68368638716717312</v>
      </c>
      <c r="GX10" s="151">
        <f t="shared" si="109"/>
        <v>0.71104104294310677</v>
      </c>
      <c r="GY10" s="151">
        <f t="shared" si="110"/>
        <v>0.73389417318797834</v>
      </c>
      <c r="GZ10" s="151">
        <f t="shared" si="111"/>
        <v>0.7595518991469673</v>
      </c>
      <c r="HA10" s="163"/>
      <c r="HB10" s="164">
        <v>1.5</v>
      </c>
      <c r="HC10" s="151">
        <f t="shared" si="112"/>
        <v>0.28606313211266671</v>
      </c>
      <c r="HD10" s="151">
        <f t="shared" si="113"/>
        <v>0.34829572732829278</v>
      </c>
      <c r="HE10" s="151">
        <f t="shared" si="114"/>
        <v>0.39376644395030236</v>
      </c>
      <c r="HF10" s="151">
        <f t="shared" si="509"/>
        <v>0.44019705058509112</v>
      </c>
      <c r="HG10" s="151">
        <f t="shared" si="510"/>
        <v>0.50797242351546368</v>
      </c>
      <c r="HH10" s="134">
        <f t="shared" si="511"/>
        <v>0.57383476389357713</v>
      </c>
      <c r="HI10" s="151">
        <f t="shared" si="512"/>
        <v>0.63263511042229426</v>
      </c>
      <c r="HJ10" s="151">
        <f t="shared" si="115"/>
        <v>0.68092505186382246</v>
      </c>
      <c r="HK10" s="151">
        <f t="shared" si="116"/>
        <v>0.70823636804966883</v>
      </c>
      <c r="HL10" s="151">
        <f t="shared" si="117"/>
        <v>0.73106720103330225</v>
      </c>
      <c r="HM10" s="151">
        <f t="shared" si="118"/>
        <v>0.75671403685342031</v>
      </c>
      <c r="HN10" s="163"/>
      <c r="HO10" s="164">
        <v>1.5</v>
      </c>
      <c r="HP10" s="151">
        <f t="shared" si="119"/>
        <v>0.28866704551378619</v>
      </c>
      <c r="HQ10" s="151">
        <f t="shared" si="120"/>
        <v>0.35129036148130444</v>
      </c>
      <c r="HR10" s="151">
        <f t="shared" si="121"/>
        <v>0.3967968452056348</v>
      </c>
      <c r="HS10" s="151">
        <f t="shared" si="513"/>
        <v>0.44309766737893874</v>
      </c>
      <c r="HT10" s="151">
        <f t="shared" si="514"/>
        <v>0.51044119480496764</v>
      </c>
      <c r="HU10" s="134">
        <f t="shared" si="515"/>
        <v>0.57565896934170424</v>
      </c>
      <c r="HV10" s="151">
        <f t="shared" si="516"/>
        <v>0.6337278088316407</v>
      </c>
      <c r="HW10" s="151">
        <f t="shared" si="122"/>
        <v>0.68132124219623724</v>
      </c>
      <c r="HX10" s="151">
        <f t="shared" si="123"/>
        <v>0.70820391027679086</v>
      </c>
      <c r="HY10" s="151">
        <f t="shared" si="124"/>
        <v>0.73065836665924599</v>
      </c>
      <c r="HZ10" s="151">
        <f t="shared" si="125"/>
        <v>0.75586369057491276</v>
      </c>
      <c r="IA10" s="163"/>
      <c r="IB10" s="164">
        <v>1.5</v>
      </c>
      <c r="IC10" s="151">
        <f t="shared" si="126"/>
        <v>0.21765679179799802</v>
      </c>
      <c r="ID10" s="151">
        <f t="shared" si="127"/>
        <v>0.25864304803526528</v>
      </c>
      <c r="IE10" s="151">
        <f t="shared" si="128"/>
        <v>0.28383620745002108</v>
      </c>
      <c r="IF10" s="151">
        <f t="shared" si="517"/>
        <v>0.30708115108733919</v>
      </c>
      <c r="IG10" s="151">
        <f t="shared" si="518"/>
        <v>0.33791874298782448</v>
      </c>
      <c r="IH10" s="134">
        <f t="shared" si="519"/>
        <v>0.36535837972318702</v>
      </c>
      <c r="II10" s="151">
        <f t="shared" si="520"/>
        <v>0.38827605577228047</v>
      </c>
      <c r="IJ10" s="151">
        <f t="shared" si="129"/>
        <v>0.40619713781390948</v>
      </c>
      <c r="IK10" s="151">
        <f t="shared" si="130"/>
        <v>0.41602191710322028</v>
      </c>
      <c r="IL10" s="151">
        <f t="shared" si="131"/>
        <v>0.42407840614006842</v>
      </c>
      <c r="IM10" s="151">
        <f t="shared" si="132"/>
        <v>0.43296992208608409</v>
      </c>
      <c r="IN10" s="163"/>
      <c r="IO10" s="164">
        <v>1.5</v>
      </c>
      <c r="IP10" s="151">
        <f t="shared" si="133"/>
        <v>0.21924394008949394</v>
      </c>
      <c r="IQ10" s="151">
        <f t="shared" si="134"/>
        <v>0.25880456552906161</v>
      </c>
      <c r="IR10" s="151">
        <f t="shared" si="135"/>
        <v>0.28348984788597914</v>
      </c>
      <c r="IS10" s="151">
        <f t="shared" si="521"/>
        <v>0.30642314480123817</v>
      </c>
      <c r="IT10" s="151">
        <f t="shared" si="522"/>
        <v>0.33701167250732483</v>
      </c>
      <c r="IU10" s="134">
        <f t="shared" si="523"/>
        <v>0.36434450708721866</v>
      </c>
      <c r="IV10" s="151">
        <f t="shared" si="524"/>
        <v>0.38723542674294598</v>
      </c>
      <c r="IW10" s="151">
        <f t="shared" si="136"/>
        <v>0.40516763127794353</v>
      </c>
      <c r="IX10" s="151">
        <f t="shared" si="137"/>
        <v>0.41500884981723302</v>
      </c>
      <c r="IY10" s="151">
        <f t="shared" si="138"/>
        <v>0.42308379320345696</v>
      </c>
      <c r="IZ10" s="151">
        <f t="shared" si="139"/>
        <v>0.43200054464578996</v>
      </c>
      <c r="JA10" s="163"/>
      <c r="JB10" s="164">
        <v>1.5</v>
      </c>
      <c r="JC10" s="151">
        <f t="shared" si="140"/>
        <v>0.22004637193258525</v>
      </c>
      <c r="JD10" s="151">
        <f t="shared" si="141"/>
        <v>0.26016573779163127</v>
      </c>
      <c r="JE10" s="151">
        <f t="shared" si="142"/>
        <v>0.28491729903019447</v>
      </c>
      <c r="JF10" s="151">
        <f t="shared" si="525"/>
        <v>0.30778385428404886</v>
      </c>
      <c r="JG10" s="151">
        <f t="shared" si="526"/>
        <v>0.33814017811583696</v>
      </c>
      <c r="JH10" s="134">
        <f t="shared" si="527"/>
        <v>0.36515840115173409</v>
      </c>
      <c r="JI10" s="151">
        <f t="shared" si="528"/>
        <v>0.38772332215474914</v>
      </c>
      <c r="JJ10" s="151">
        <f t="shared" si="143"/>
        <v>0.40536614526252024</v>
      </c>
      <c r="JK10" s="151">
        <f t="shared" si="144"/>
        <v>0.41503711077904382</v>
      </c>
      <c r="JL10" s="151">
        <f t="shared" si="145"/>
        <v>0.42296669720677765</v>
      </c>
      <c r="JM10" s="151">
        <f t="shared" si="146"/>
        <v>0.43171728341833787</v>
      </c>
      <c r="JN10" s="163"/>
      <c r="JO10" s="164">
        <v>1.4</v>
      </c>
      <c r="JP10" s="151">
        <f t="shared" si="147"/>
        <v>-6.5526815492454986</v>
      </c>
      <c r="JQ10" s="151">
        <f t="shared" si="148"/>
        <v>-5.226721026488061</v>
      </c>
      <c r="JR10" s="151">
        <f t="shared" si="149"/>
        <v>-4.070342692892428</v>
      </c>
      <c r="JS10" s="151">
        <f t="shared" si="529"/>
        <v>-2.7196771849876278</v>
      </c>
      <c r="JT10" s="151">
        <f t="shared" si="530"/>
        <v>-0.42730607173557544</v>
      </c>
      <c r="JU10" s="134">
        <f t="shared" si="531"/>
        <v>2.1817291497476319</v>
      </c>
      <c r="JV10" s="151">
        <f t="shared" si="532"/>
        <v>4.8435743402875389</v>
      </c>
      <c r="JW10" s="151">
        <f t="shared" si="150"/>
        <v>7.2737306321086699</v>
      </c>
      <c r="JX10" s="151">
        <f t="shared" si="151"/>
        <v>8.7485470997700112</v>
      </c>
      <c r="JY10" s="151">
        <f t="shared" si="152"/>
        <v>10.038259731457316</v>
      </c>
      <c r="JZ10" s="151">
        <f t="shared" si="153"/>
        <v>11.549762856917898</v>
      </c>
      <c r="KA10" s="163"/>
      <c r="KB10" s="164">
        <v>1.4</v>
      </c>
      <c r="KC10" s="151">
        <f t="shared" si="154"/>
        <v>-5.7290489597702647</v>
      </c>
      <c r="KD10" s="151">
        <f t="shared" si="155"/>
        <v>-4.5669487455017324</v>
      </c>
      <c r="KE10" s="151">
        <f t="shared" si="156"/>
        <v>-3.5186005187102758</v>
      </c>
      <c r="KF10" s="151">
        <f t="shared" si="533"/>
        <v>-2.2567289344487982</v>
      </c>
      <c r="KG10" s="151">
        <f t="shared" si="534"/>
        <v>-3.2106532810770361E-2</v>
      </c>
      <c r="KH10" s="134">
        <f t="shared" si="535"/>
        <v>2.6123240470333595</v>
      </c>
      <c r="KI10" s="151">
        <f t="shared" si="536"/>
        <v>5.4187947138195494</v>
      </c>
      <c r="KJ10" s="151">
        <f t="shared" si="157"/>
        <v>8.0663247358434429</v>
      </c>
      <c r="KK10" s="151">
        <f t="shared" si="158"/>
        <v>9.7094456304366172</v>
      </c>
      <c r="KL10" s="151">
        <f t="shared" si="159"/>
        <v>11.167479937761451</v>
      </c>
      <c r="KM10" s="151">
        <f t="shared" si="160"/>
        <v>12.900166917784391</v>
      </c>
      <c r="KN10" s="163"/>
      <c r="KO10" s="164">
        <v>1.5</v>
      </c>
      <c r="KP10" s="151">
        <f t="shared" si="161"/>
        <v>-9.1121233402078623</v>
      </c>
      <c r="KQ10" s="151">
        <f t="shared" si="162"/>
        <v>-7.5045305693877324</v>
      </c>
      <c r="KR10" s="151">
        <f t="shared" si="163"/>
        <v>-6.1311158719818994</v>
      </c>
      <c r="KS10" s="151">
        <f t="shared" si="537"/>
        <v>-4.5570168508666171</v>
      </c>
      <c r="KT10" s="151">
        <f t="shared" si="538"/>
        <v>-1.950739692274194</v>
      </c>
      <c r="KU10" s="134">
        <f t="shared" si="539"/>
        <v>0.92923750910468428</v>
      </c>
      <c r="KV10" s="151">
        <f t="shared" si="540"/>
        <v>3.7866293513045974</v>
      </c>
      <c r="KW10" s="151">
        <f t="shared" si="164"/>
        <v>6.3334389793526213</v>
      </c>
      <c r="KX10" s="151">
        <f t="shared" si="165"/>
        <v>7.8532513691662942</v>
      </c>
      <c r="KY10" s="151">
        <f t="shared" si="166"/>
        <v>9.1675714729457773</v>
      </c>
      <c r="KZ10" s="151">
        <f t="shared" si="167"/>
        <v>10.691456103477854</v>
      </c>
      <c r="LA10" s="163"/>
      <c r="LB10" s="164">
        <v>1.4</v>
      </c>
      <c r="LC10" s="151">
        <f t="shared" si="168"/>
        <v>-20.776312724915151</v>
      </c>
      <c r="LD10" s="151">
        <f t="shared" si="169"/>
        <v>-16.779991079829195</v>
      </c>
      <c r="LE10" s="151">
        <f t="shared" si="170"/>
        <v>-13.199027833431376</v>
      </c>
      <c r="LF10" s="151">
        <f t="shared" si="541"/>
        <v>-8.9227652455437401</v>
      </c>
      <c r="LG10" s="151">
        <f t="shared" si="542"/>
        <v>-1.4759751775658287</v>
      </c>
      <c r="LH10" s="134">
        <f t="shared" si="543"/>
        <v>7.2307449479549888</v>
      </c>
      <c r="LI10" s="151">
        <f t="shared" si="544"/>
        <v>16.314405975849205</v>
      </c>
      <c r="LJ10" s="151">
        <f t="shared" si="171"/>
        <v>24.751595578353282</v>
      </c>
      <c r="LK10" s="151">
        <f t="shared" si="172"/>
        <v>29.929430551093994</v>
      </c>
      <c r="LL10" s="151">
        <f t="shared" si="173"/>
        <v>34.489229106169809</v>
      </c>
      <c r="LM10" s="151">
        <f t="shared" si="174"/>
        <v>39.867918164037782</v>
      </c>
      <c r="LN10" s="163"/>
      <c r="LO10" s="164">
        <v>1.4</v>
      </c>
      <c r="LP10" s="151">
        <f t="shared" si="175"/>
        <v>-17.90560782456037</v>
      </c>
      <c r="LQ10" s="151">
        <f t="shared" si="176"/>
        <v>-14.035597870777742</v>
      </c>
      <c r="LR10" s="151">
        <f t="shared" si="177"/>
        <v>-10.534462165759233</v>
      </c>
      <c r="LS10" s="151">
        <f t="shared" si="545"/>
        <v>-6.3208738179564321</v>
      </c>
      <c r="LT10" s="151">
        <f t="shared" si="546"/>
        <v>1.083671315368715</v>
      </c>
      <c r="LU10" s="134">
        <f t="shared" si="547"/>
        <v>9.8247071527449883</v>
      </c>
      <c r="LV10" s="151">
        <f t="shared" si="548"/>
        <v>19.019050958059264</v>
      </c>
      <c r="LW10" s="151">
        <f t="shared" si="178"/>
        <v>27.61458280104225</v>
      </c>
      <c r="LX10" s="151">
        <f t="shared" si="179"/>
        <v>32.912306547569514</v>
      </c>
      <c r="LY10" s="151">
        <f t="shared" si="180"/>
        <v>37.590528870534243</v>
      </c>
      <c r="LZ10" s="151">
        <f t="shared" si="181"/>
        <v>43.123175241718215</v>
      </c>
      <c r="MA10" s="163"/>
      <c r="MB10" s="164">
        <v>1.5</v>
      </c>
      <c r="MC10" s="151">
        <f t="shared" si="182"/>
        <v>-21.379236847675898</v>
      </c>
      <c r="MD10" s="151">
        <f t="shared" si="183"/>
        <v>-17.36285557208226</v>
      </c>
      <c r="ME10" s="151">
        <f t="shared" si="184"/>
        <v>-13.819850594365061</v>
      </c>
      <c r="MF10" s="151">
        <f t="shared" si="549"/>
        <v>-9.647054028792386</v>
      </c>
      <c r="MG10" s="151">
        <f t="shared" si="550"/>
        <v>-2.5054804002528499</v>
      </c>
      <c r="MH10" s="134">
        <f t="shared" si="551"/>
        <v>5.6813163511343774</v>
      </c>
      <c r="MI10" s="151">
        <f t="shared" si="552"/>
        <v>14.071930514622117</v>
      </c>
      <c r="MJ10" s="151">
        <f t="shared" si="185"/>
        <v>21.751420647515083</v>
      </c>
      <c r="MK10" s="151">
        <f t="shared" si="186"/>
        <v>26.417117226607964</v>
      </c>
      <c r="ML10" s="151">
        <f t="shared" si="187"/>
        <v>30.499083738526785</v>
      </c>
      <c r="MM10" s="151">
        <f t="shared" si="188"/>
        <v>35.284227869481647</v>
      </c>
      <c r="MN10" s="163"/>
      <c r="MO10" s="164">
        <v>1.4</v>
      </c>
      <c r="MP10" s="151">
        <f t="shared" si="189"/>
        <v>-21.581806706452532</v>
      </c>
      <c r="MQ10" s="151">
        <f t="shared" si="190"/>
        <v>-16.517753954867388</v>
      </c>
      <c r="MR10" s="151">
        <f t="shared" si="191"/>
        <v>-12.129444033183862</v>
      </c>
      <c r="MS10" s="151">
        <f t="shared" si="553"/>
        <v>-7.0391580478507727</v>
      </c>
      <c r="MT10" s="151">
        <f t="shared" si="554"/>
        <v>1.5125948688789634</v>
      </c>
      <c r="MU10" s="134">
        <f t="shared" si="555"/>
        <v>11.116481549583632</v>
      </c>
      <c r="MV10" s="151">
        <f t="shared" si="556"/>
        <v>20.78250382186129</v>
      </c>
      <c r="MW10" s="151">
        <f t="shared" si="192"/>
        <v>29.499462727493444</v>
      </c>
      <c r="MX10" s="151">
        <f t="shared" si="193"/>
        <v>34.742834632209259</v>
      </c>
      <c r="MY10" s="151">
        <f t="shared" si="194"/>
        <v>39.300665119896301</v>
      </c>
      <c r="MZ10" s="151">
        <f t="shared" si="195"/>
        <v>44.611084705946034</v>
      </c>
      <c r="NA10" s="163"/>
      <c r="NB10" s="164">
        <v>1.4</v>
      </c>
      <c r="NC10" s="151">
        <f t="shared" si="196"/>
        <v>-23.459387762652508</v>
      </c>
      <c r="ND10" s="151">
        <f t="shared" si="197"/>
        <v>-18.556746145849047</v>
      </c>
      <c r="NE10" s="151">
        <f t="shared" si="198"/>
        <v>-14.242168462670682</v>
      </c>
      <c r="NF10" s="151">
        <f t="shared" si="557"/>
        <v>-9.1925572523148631</v>
      </c>
      <c r="NG10" s="151">
        <f t="shared" si="558"/>
        <v>-0.6392361521179879</v>
      </c>
      <c r="NH10" s="134">
        <f t="shared" si="559"/>
        <v>9.0357111773015966</v>
      </c>
      <c r="NI10" s="151">
        <f t="shared" si="560"/>
        <v>18.824412172585713</v>
      </c>
      <c r="NJ10" s="151">
        <f t="shared" si="199"/>
        <v>27.685097002102619</v>
      </c>
      <c r="NK10" s="151">
        <f t="shared" si="200"/>
        <v>33.027327238258181</v>
      </c>
      <c r="NL10" s="151">
        <f t="shared" si="201"/>
        <v>37.677715799721312</v>
      </c>
      <c r="NM10" s="151">
        <f t="shared" si="202"/>
        <v>43.103030661846248</v>
      </c>
      <c r="NN10" s="163"/>
      <c r="NO10" s="164">
        <v>1.5</v>
      </c>
      <c r="NP10" s="151">
        <f t="shared" si="203"/>
        <v>-27.616717435651296</v>
      </c>
      <c r="NQ10" s="151">
        <f t="shared" si="204"/>
        <v>-22.803690384161222</v>
      </c>
      <c r="NR10" s="151">
        <f t="shared" si="205"/>
        <v>-18.657467175694087</v>
      </c>
      <c r="NS10" s="151">
        <f t="shared" si="561"/>
        <v>-13.871320033359442</v>
      </c>
      <c r="NT10" s="151">
        <f t="shared" si="562"/>
        <v>-5.8765056155274031</v>
      </c>
      <c r="NU10" s="134">
        <f t="shared" si="563"/>
        <v>3.0465878065055136</v>
      </c>
      <c r="NV10" s="151">
        <f t="shared" si="564"/>
        <v>11.97971676163516</v>
      </c>
      <c r="NW10" s="151">
        <f t="shared" si="206"/>
        <v>20.001450980785151</v>
      </c>
      <c r="NX10" s="151">
        <f t="shared" si="207"/>
        <v>24.812899635863282</v>
      </c>
      <c r="NY10" s="151">
        <f t="shared" si="208"/>
        <v>28.987633332989866</v>
      </c>
      <c r="NZ10" s="151">
        <f t="shared" si="209"/>
        <v>33.843326970559112</v>
      </c>
      <c r="OA10" s="163"/>
      <c r="OB10" s="164">
        <v>1.4</v>
      </c>
      <c r="OC10" s="151">
        <f t="shared" si="210"/>
        <v>12.85565004769057</v>
      </c>
      <c r="OD10" s="151">
        <f t="shared" si="211"/>
        <v>14.370184603176995</v>
      </c>
      <c r="OE10" s="151">
        <f t="shared" si="212"/>
        <v>15.808788493913992</v>
      </c>
      <c r="OF10" s="151">
        <f t="shared" si="565"/>
        <v>17.639499485799703</v>
      </c>
      <c r="OG10" s="151">
        <f t="shared" si="566"/>
        <v>21.155951766752569</v>
      </c>
      <c r="OH10" s="134">
        <f t="shared" si="567"/>
        <v>25.869467602524956</v>
      </c>
      <c r="OI10" s="151">
        <f t="shared" si="568"/>
        <v>31.584920383899448</v>
      </c>
      <c r="OJ10" s="151">
        <f t="shared" si="213"/>
        <v>37.731452988479518</v>
      </c>
      <c r="OK10" s="151">
        <f t="shared" si="214"/>
        <v>41.951443647665791</v>
      </c>
      <c r="OL10" s="151">
        <f t="shared" si="215"/>
        <v>45.976188963107866</v>
      </c>
      <c r="OM10" s="151">
        <f t="shared" si="216"/>
        <v>51.123367523209737</v>
      </c>
      <c r="ON10" s="163"/>
      <c r="OO10" s="164">
        <v>1.4</v>
      </c>
      <c r="OP10" s="151">
        <f t="shared" si="217"/>
        <v>13.645352600330767</v>
      </c>
      <c r="OQ10" s="151">
        <f t="shared" si="218"/>
        <v>15.169839196797072</v>
      </c>
      <c r="OR10" s="151">
        <f t="shared" si="219"/>
        <v>16.622061676225663</v>
      </c>
      <c r="OS10" s="151">
        <f t="shared" si="569"/>
        <v>18.476865964536731</v>
      </c>
      <c r="OT10" s="151">
        <f t="shared" si="570"/>
        <v>22.063405613675688</v>
      </c>
      <c r="OU10" s="134">
        <f t="shared" si="571"/>
        <v>26.924369751656851</v>
      </c>
      <c r="OV10" s="151">
        <f t="shared" si="572"/>
        <v>32.904881513344989</v>
      </c>
      <c r="OW10" s="151">
        <f t="shared" si="220"/>
        <v>39.443273976152611</v>
      </c>
      <c r="OX10" s="151">
        <f t="shared" si="221"/>
        <v>43.995886794003241</v>
      </c>
      <c r="OY10" s="151">
        <f t="shared" si="222"/>
        <v>48.385389289547419</v>
      </c>
      <c r="OZ10" s="151">
        <f t="shared" si="223"/>
        <v>54.065527461632541</v>
      </c>
      <c r="PA10" s="163"/>
      <c r="PB10" s="164">
        <v>1.5</v>
      </c>
      <c r="PC10" s="151">
        <f t="shared" si="224"/>
        <v>14.480278281061276</v>
      </c>
      <c r="PD10" s="151">
        <f t="shared" si="225"/>
        <v>16.325059522488761</v>
      </c>
      <c r="PE10" s="151">
        <f t="shared" si="226"/>
        <v>18.067682761860659</v>
      </c>
      <c r="PF10" s="151">
        <f t="shared" si="573"/>
        <v>20.270446063008347</v>
      </c>
      <c r="PG10" s="151">
        <f t="shared" si="574"/>
        <v>24.452462333102094</v>
      </c>
      <c r="PH10" s="134">
        <f t="shared" si="575"/>
        <v>29.955581595612998</v>
      </c>
      <c r="PI10" s="151">
        <f t="shared" si="576"/>
        <v>36.476323506193332</v>
      </c>
      <c r="PJ10" s="151">
        <f t="shared" si="227"/>
        <v>43.315574897295058</v>
      </c>
      <c r="PK10" s="151">
        <f t="shared" si="228"/>
        <v>47.915081286022769</v>
      </c>
      <c r="PL10" s="151">
        <f t="shared" si="229"/>
        <v>52.233979092149951</v>
      </c>
      <c r="PM10" s="151">
        <f t="shared" si="230"/>
        <v>57.667006497062829</v>
      </c>
      <c r="PN10" s="163"/>
      <c r="PO10" s="164">
        <v>1.4</v>
      </c>
      <c r="PP10" s="151">
        <f t="shared" si="231"/>
        <v>6.6519297448918406</v>
      </c>
      <c r="PQ10" s="151">
        <f t="shared" si="232"/>
        <v>7.3742799294976313</v>
      </c>
      <c r="PR10" s="151">
        <f t="shared" si="233"/>
        <v>8.0452631613899399</v>
      </c>
      <c r="PS10" s="151">
        <f t="shared" si="577"/>
        <v>8.879453351034849</v>
      </c>
      <c r="PT10" s="151">
        <f t="shared" si="578"/>
        <v>10.426281904075228</v>
      </c>
      <c r="PU10" s="134">
        <f t="shared" si="579"/>
        <v>12.400773567655788</v>
      </c>
      <c r="PV10" s="151">
        <f t="shared" si="580"/>
        <v>14.668220231780429</v>
      </c>
      <c r="PW10" s="151">
        <f t="shared" si="234"/>
        <v>16.978325393929172</v>
      </c>
      <c r="PX10" s="151">
        <f t="shared" si="235"/>
        <v>18.498895395933317</v>
      </c>
      <c r="PY10" s="151">
        <f t="shared" si="236"/>
        <v>19.905517844466164</v>
      </c>
      <c r="PZ10" s="151">
        <f t="shared" si="237"/>
        <v>21.648817581106286</v>
      </c>
      <c r="QA10" s="163"/>
      <c r="QB10" s="164">
        <v>1.4</v>
      </c>
      <c r="QC10" s="151">
        <f t="shared" si="238"/>
        <v>7.0200894115237489</v>
      </c>
      <c r="QD10" s="151">
        <f t="shared" si="239"/>
        <v>7.7146755219590908</v>
      </c>
      <c r="QE10" s="151">
        <f t="shared" si="240"/>
        <v>8.363048666866348</v>
      </c>
      <c r="QF10" s="151">
        <f t="shared" si="581"/>
        <v>9.1738504512354115</v>
      </c>
      <c r="QG10" s="151">
        <f t="shared" si="582"/>
        <v>10.692363300556721</v>
      </c>
      <c r="QH10" s="134">
        <f t="shared" si="583"/>
        <v>12.661053981596059</v>
      </c>
      <c r="QI10" s="151">
        <f t="shared" si="584"/>
        <v>14.965553598811177</v>
      </c>
      <c r="QJ10" s="151">
        <f t="shared" si="241"/>
        <v>17.362192100308793</v>
      </c>
      <c r="QK10" s="151">
        <f t="shared" si="242"/>
        <v>18.966584243831839</v>
      </c>
      <c r="QL10" s="151">
        <f t="shared" si="243"/>
        <v>20.469619440714979</v>
      </c>
      <c r="QM10" s="151">
        <f t="shared" si="244"/>
        <v>22.357369918511637</v>
      </c>
      <c r="QN10" s="163"/>
      <c r="QO10" s="164">
        <v>1.5</v>
      </c>
      <c r="QP10" s="151">
        <f t="shared" si="245"/>
        <v>6.8988985162735554</v>
      </c>
      <c r="QQ10" s="151">
        <f t="shared" si="246"/>
        <v>7.726931212646595</v>
      </c>
      <c r="QR10" s="151">
        <f t="shared" si="247"/>
        <v>8.4904955580460744</v>
      </c>
      <c r="QS10" s="151">
        <f t="shared" si="585"/>
        <v>9.4320086978661699</v>
      </c>
      <c r="QT10" s="151">
        <f t="shared" si="586"/>
        <v>11.154786328464684</v>
      </c>
      <c r="QU10" s="134">
        <f t="shared" si="587"/>
        <v>13.311238661352293</v>
      </c>
      <c r="QV10" s="151">
        <f t="shared" si="588"/>
        <v>15.731890263121759</v>
      </c>
      <c r="QW10" s="151">
        <f t="shared" si="248"/>
        <v>18.141449151703995</v>
      </c>
      <c r="QX10" s="151">
        <f t="shared" si="249"/>
        <v>19.698625500001601</v>
      </c>
      <c r="QY10" s="151">
        <f t="shared" si="250"/>
        <v>21.120029863491027</v>
      </c>
      <c r="QZ10" s="151">
        <f t="shared" si="251"/>
        <v>22.85763408617073</v>
      </c>
      <c r="RA10" s="163"/>
      <c r="RB10" s="164">
        <v>1.4</v>
      </c>
      <c r="RC10" s="151">
        <f t="shared" si="252"/>
        <v>0.27558874330297983</v>
      </c>
      <c r="RD10" s="151">
        <f t="shared" si="253"/>
        <v>0.29967096111790437</v>
      </c>
      <c r="RE10" s="151">
        <f t="shared" si="254"/>
        <v>0.3223413846929517</v>
      </c>
      <c r="RF10" s="151">
        <f t="shared" si="589"/>
        <v>0.35097662238294536</v>
      </c>
      <c r="RG10" s="151">
        <f t="shared" si="590"/>
        <v>0.40554267082959011</v>
      </c>
      <c r="RH10" s="134">
        <f t="shared" si="591"/>
        <v>0.47826961934918749</v>
      </c>
      <c r="RI10" s="151">
        <f t="shared" si="592"/>
        <v>0.56646916662891245</v>
      </c>
      <c r="RJ10" s="151">
        <f t="shared" si="255"/>
        <v>0.66190249566308823</v>
      </c>
      <c r="RK10" s="151">
        <f t="shared" si="256"/>
        <v>0.72797941115808895</v>
      </c>
      <c r="RL10" s="151">
        <f t="shared" si="257"/>
        <v>0.79151555580691346</v>
      </c>
      <c r="RM10" s="151">
        <f t="shared" si="258"/>
        <v>0.87359545612397338</v>
      </c>
      <c r="RN10" s="163"/>
      <c r="RO10" s="164">
        <v>1.4</v>
      </c>
      <c r="RP10" s="151">
        <f t="shared" si="259"/>
        <v>0.28797886605588308</v>
      </c>
      <c r="RQ10" s="151">
        <f t="shared" si="260"/>
        <v>0.31238640510495758</v>
      </c>
      <c r="RR10" s="151">
        <f t="shared" si="261"/>
        <v>0.33541417584678562</v>
      </c>
      <c r="RS10" s="151">
        <f t="shared" si="593"/>
        <v>0.36457855973256048</v>
      </c>
      <c r="RT10" s="151">
        <f t="shared" si="594"/>
        <v>0.42041519889612061</v>
      </c>
      <c r="RU10" s="134">
        <f t="shared" si="595"/>
        <v>0.49541401335758584</v>
      </c>
      <c r="RV10" s="151">
        <f t="shared" si="596"/>
        <v>0.58730878401858577</v>
      </c>
      <c r="RW10" s="151">
        <f t="shared" si="262"/>
        <v>0.68793830478481754</v>
      </c>
      <c r="RX10" s="151">
        <f t="shared" si="263"/>
        <v>0.75835090202322286</v>
      </c>
      <c r="RY10" s="151">
        <f t="shared" si="264"/>
        <v>0.8266261229337365</v>
      </c>
      <c r="RZ10" s="151">
        <f t="shared" si="265"/>
        <v>0.91565277587376337</v>
      </c>
      <c r="SA10" s="163"/>
      <c r="SB10" s="164">
        <v>1.5</v>
      </c>
      <c r="SC10" s="151">
        <f t="shared" si="266"/>
        <v>0.26110229143220681</v>
      </c>
      <c r="SD10" s="151">
        <f t="shared" si="267"/>
        <v>0.28544476771731925</v>
      </c>
      <c r="SE10" s="151">
        <f t="shared" si="268"/>
        <v>0.30821367204543454</v>
      </c>
      <c r="SF10" s="151">
        <f t="shared" si="597"/>
        <v>0.33675991541502776</v>
      </c>
      <c r="SG10" s="151">
        <f t="shared" si="598"/>
        <v>0.39047333996662109</v>
      </c>
      <c r="SH10" s="134">
        <f t="shared" si="599"/>
        <v>0.46065232299592618</v>
      </c>
      <c r="SI10" s="151">
        <f t="shared" si="600"/>
        <v>0.54363788366358889</v>
      </c>
      <c r="SJ10" s="151">
        <f t="shared" si="269"/>
        <v>0.63093190369714713</v>
      </c>
      <c r="SK10" s="151">
        <f t="shared" si="270"/>
        <v>0.68993969193221094</v>
      </c>
      <c r="SL10" s="151">
        <f t="shared" si="271"/>
        <v>0.74563406345253247</v>
      </c>
      <c r="SM10" s="151">
        <f t="shared" si="272"/>
        <v>0.81614841947388395</v>
      </c>
      <c r="SN10" s="163"/>
      <c r="SO10" s="164">
        <v>1.4</v>
      </c>
      <c r="SP10" s="151">
        <f t="shared" si="273"/>
        <v>0.21244680239018127</v>
      </c>
      <c r="SQ10" s="151">
        <f t="shared" si="274"/>
        <v>0.22827971691991961</v>
      </c>
      <c r="SR10" s="151">
        <f t="shared" si="275"/>
        <v>0.24241141959584186</v>
      </c>
      <c r="SS10" s="151">
        <f t="shared" si="276"/>
        <v>0.25929989666804831</v>
      </c>
      <c r="ST10" s="151">
        <f t="shared" si="601"/>
        <v>0.28890651457916566</v>
      </c>
      <c r="SU10" s="134">
        <f t="shared" si="602"/>
        <v>0.32404441501354175</v>
      </c>
      <c r="SV10" s="151">
        <f t="shared" si="603"/>
        <v>0.36146852476053742</v>
      </c>
      <c r="SW10" s="151">
        <f t="shared" si="280"/>
        <v>0.39701688002037244</v>
      </c>
      <c r="SX10" s="151">
        <f t="shared" si="281"/>
        <v>0.41923030773975478</v>
      </c>
      <c r="SY10" s="151">
        <f t="shared" si="282"/>
        <v>0.43905017924323542</v>
      </c>
      <c r="SZ10" s="151">
        <f t="shared" si="283"/>
        <v>0.46274523254251554</v>
      </c>
      <c r="TA10" s="163"/>
      <c r="TB10" s="164">
        <v>1.4</v>
      </c>
      <c r="TC10" s="151">
        <f t="shared" si="284"/>
        <v>0.22302031527800623</v>
      </c>
      <c r="TD10" s="151">
        <f t="shared" si="285"/>
        <v>0.23779599956034667</v>
      </c>
      <c r="TE10" s="151">
        <f t="shared" si="286"/>
        <v>0.25114208509699237</v>
      </c>
      <c r="TF10" s="151">
        <f t="shared" si="604"/>
        <v>0.26729115411844945</v>
      </c>
      <c r="TG10" s="151">
        <f t="shared" si="605"/>
        <v>0.29613576514621481</v>
      </c>
      <c r="TH10" s="134">
        <f t="shared" si="606"/>
        <v>0.33126801046372956</v>
      </c>
      <c r="TI10" s="151">
        <f t="shared" si="607"/>
        <v>0.36977411636446667</v>
      </c>
      <c r="TJ10" s="151">
        <f t="shared" si="287"/>
        <v>0.40739860945836814</v>
      </c>
      <c r="TK10" s="151">
        <f t="shared" si="288"/>
        <v>0.43143015499888554</v>
      </c>
      <c r="TL10" s="151">
        <f t="shared" si="289"/>
        <v>0.45321101600595015</v>
      </c>
      <c r="TM10" s="151">
        <f t="shared" si="290"/>
        <v>0.47967008493916463</v>
      </c>
      <c r="TN10" s="163"/>
      <c r="TO10" s="164">
        <v>1.5</v>
      </c>
      <c r="TP10" s="151">
        <f t="shared" si="291"/>
        <v>0.20626562481790275</v>
      </c>
      <c r="TQ10" s="151">
        <f t="shared" si="292"/>
        <v>0.22173247362321394</v>
      </c>
      <c r="TR10" s="151">
        <f t="shared" si="293"/>
        <v>0.23554043893697305</v>
      </c>
      <c r="TS10" s="151">
        <f t="shared" si="608"/>
        <v>0.25204539362758621</v>
      </c>
      <c r="TT10" s="151">
        <f t="shared" si="609"/>
        <v>0.28098757376219596</v>
      </c>
      <c r="TU10" s="134">
        <f t="shared" si="610"/>
        <v>0.31534825798997651</v>
      </c>
      <c r="TV10" s="151">
        <f t="shared" si="611"/>
        <v>0.35195614429022637</v>
      </c>
      <c r="TW10" s="151">
        <f t="shared" si="294"/>
        <v>0.38673867534256495</v>
      </c>
      <c r="TX10" s="151">
        <f t="shared" si="295"/>
        <v>0.40847770805209432</v>
      </c>
      <c r="TY10" s="151">
        <f t="shared" si="296"/>
        <v>0.42787675984997536</v>
      </c>
      <c r="TZ10" s="151">
        <f t="shared" si="297"/>
        <v>0.45107154178933601</v>
      </c>
      <c r="UA10" s="163"/>
      <c r="UB10" s="164">
        <v>1.4</v>
      </c>
      <c r="UC10" s="151">
        <f t="shared" si="298"/>
        <v>-24.881991398812112</v>
      </c>
      <c r="UD10" s="151">
        <f t="shared" si="299"/>
        <v>-21.552975430652189</v>
      </c>
      <c r="UE10" s="151">
        <f t="shared" si="300"/>
        <v>-18.775430184842492</v>
      </c>
      <c r="UF10" s="151">
        <f t="shared" si="612"/>
        <v>-15.659400123911603</v>
      </c>
      <c r="UG10" s="151">
        <f t="shared" si="613"/>
        <v>-10.639912373048325</v>
      </c>
      <c r="UH10" s="134">
        <f t="shared" si="614"/>
        <v>-5.2692323685892006</v>
      </c>
      <c r="UI10" s="151">
        <f t="shared" si="615"/>
        <v>-9.7636014339421706E-2</v>
      </c>
      <c r="UJ10" s="151">
        <f t="shared" si="301"/>
        <v>4.396641410260429</v>
      </c>
      <c r="UK10" s="151">
        <f t="shared" si="302"/>
        <v>7.0319402345359663</v>
      </c>
      <c r="UL10" s="151">
        <f t="shared" si="303"/>
        <v>9.2848151220441082</v>
      </c>
      <c r="UM10" s="151">
        <f t="shared" si="304"/>
        <v>11.868264560480839</v>
      </c>
      <c r="UN10" s="163"/>
      <c r="UO10" s="164">
        <v>1.4</v>
      </c>
      <c r="UP10" s="151">
        <f t="shared" si="305"/>
        <v>-23.372349009354799</v>
      </c>
      <c r="UQ10" s="151">
        <f t="shared" si="306"/>
        <v>-20.301608740882905</v>
      </c>
      <c r="UR10" s="151">
        <f t="shared" si="307"/>
        <v>-17.671774338004742</v>
      </c>
      <c r="US10" s="151">
        <f t="shared" si="616"/>
        <v>-14.650184611525074</v>
      </c>
      <c r="UT10" s="151">
        <f t="shared" si="617"/>
        <v>-9.6299881003603467</v>
      </c>
      <c r="UU10" s="134">
        <f t="shared" si="618"/>
        <v>-4.0587947128388997</v>
      </c>
      <c r="UV10" s="151">
        <f t="shared" si="619"/>
        <v>1.4916198394690312</v>
      </c>
      <c r="UW10" s="151">
        <f t="shared" si="308"/>
        <v>6.4565301050102235</v>
      </c>
      <c r="UX10" s="151">
        <f t="shared" si="309"/>
        <v>9.4268406760287604</v>
      </c>
      <c r="UY10" s="151">
        <f t="shared" si="310"/>
        <v>11.999841001285816</v>
      </c>
      <c r="UZ10" s="151">
        <f t="shared" si="311"/>
        <v>14.987908381270536</v>
      </c>
      <c r="VA10" s="163"/>
      <c r="VB10" s="164">
        <v>1.5</v>
      </c>
      <c r="VC10" s="151">
        <f t="shared" si="312"/>
        <v>-27.684651450457579</v>
      </c>
      <c r="VD10" s="151">
        <f t="shared" si="313"/>
        <v>-23.850616319629374</v>
      </c>
      <c r="VE10" s="151">
        <f t="shared" si="314"/>
        <v>-20.731910569587605</v>
      </c>
      <c r="VF10" s="151">
        <f t="shared" si="620"/>
        <v>-17.30590958440191</v>
      </c>
      <c r="VG10" s="151">
        <f t="shared" si="621"/>
        <v>-11.922117135984116</v>
      </c>
      <c r="VH10" s="134">
        <f t="shared" si="622"/>
        <v>-6.3133399426147676</v>
      </c>
      <c r="VI10" s="151">
        <f t="shared" si="623"/>
        <v>-1.0341241201225131</v>
      </c>
      <c r="VJ10" s="151">
        <f t="shared" si="315"/>
        <v>3.4716352185891566</v>
      </c>
      <c r="VK10" s="151">
        <f t="shared" si="316"/>
        <v>6.082276095734457</v>
      </c>
      <c r="VL10" s="151">
        <f t="shared" si="317"/>
        <v>8.2971860646577227</v>
      </c>
      <c r="VM10" s="151">
        <f t="shared" si="318"/>
        <v>10.819126090088531</v>
      </c>
      <c r="VN10" s="163"/>
      <c r="VO10" s="164">
        <v>1.4</v>
      </c>
      <c r="VP10" s="151">
        <f t="shared" si="319"/>
        <v>-45.630380257709604</v>
      </c>
      <c r="VQ10" s="151">
        <f t="shared" si="320"/>
        <v>-41.990672429602142</v>
      </c>
      <c r="VR10" s="151">
        <f t="shared" si="321"/>
        <v>-38.474049010779957</v>
      </c>
      <c r="VS10" s="151">
        <f t="shared" si="624"/>
        <v>-33.995862262607176</v>
      </c>
      <c r="VT10" s="151">
        <f t="shared" si="625"/>
        <v>-25.561689153587505</v>
      </c>
      <c r="VU10" s="134">
        <f t="shared" si="626"/>
        <v>-14.811233128841359</v>
      </c>
      <c r="VV10" s="151">
        <f t="shared" si="627"/>
        <v>-2.7088171006120447</v>
      </c>
      <c r="VW10" s="151">
        <f t="shared" si="322"/>
        <v>9.2508609599711988</v>
      </c>
      <c r="VX10" s="151">
        <f t="shared" si="323"/>
        <v>16.903742018448405</v>
      </c>
      <c r="VY10" s="151">
        <f t="shared" si="324"/>
        <v>23.828358701893571</v>
      </c>
      <c r="VZ10" s="151">
        <f t="shared" si="325"/>
        <v>32.209078628298137</v>
      </c>
      <c r="WA10" s="163"/>
      <c r="WB10" s="164">
        <v>1.4</v>
      </c>
      <c r="WC10" s="151">
        <f t="shared" si="326"/>
        <v>-43.626615435109713</v>
      </c>
      <c r="WD10" s="151">
        <f t="shared" si="327"/>
        <v>-40.243730737235374</v>
      </c>
      <c r="WE10" s="151">
        <f t="shared" si="328"/>
        <v>-36.804268422916145</v>
      </c>
      <c r="WF10" s="151">
        <f t="shared" si="628"/>
        <v>-32.266749215826707</v>
      </c>
      <c r="WG10" s="151">
        <f t="shared" si="629"/>
        <v>-23.413367918945251</v>
      </c>
      <c r="WH10" s="134">
        <f t="shared" si="630"/>
        <v>-11.767532019005003</v>
      </c>
      <c r="WI10" s="151">
        <f t="shared" si="631"/>
        <v>1.6428541636121352</v>
      </c>
      <c r="WJ10" s="151">
        <f t="shared" si="329"/>
        <v>15.103195121073576</v>
      </c>
      <c r="WK10" s="151">
        <f t="shared" si="330"/>
        <v>23.796839165239625</v>
      </c>
      <c r="WL10" s="151">
        <f t="shared" si="331"/>
        <v>31.707021211760754</v>
      </c>
      <c r="WM10" s="151">
        <f t="shared" si="332"/>
        <v>41.328095250790547</v>
      </c>
      <c r="WN10" s="163"/>
      <c r="WO10" s="164">
        <v>1.5</v>
      </c>
      <c r="WP10" s="151">
        <f t="shared" si="333"/>
        <v>-47.448825487651852</v>
      </c>
      <c r="WQ10" s="151">
        <f t="shared" si="334"/>
        <v>-43.693651734957243</v>
      </c>
      <c r="WR10" s="151">
        <f t="shared" si="335"/>
        <v>-40.081061626808918</v>
      </c>
      <c r="WS10" s="151">
        <f t="shared" si="632"/>
        <v>-35.519202490410976</v>
      </c>
      <c r="WT10" s="151">
        <f t="shared" si="633"/>
        <v>-27.054080382970586</v>
      </c>
      <c r="WU10" s="134">
        <f t="shared" si="634"/>
        <v>-16.484520792610176</v>
      </c>
      <c r="WV10" s="151">
        <f t="shared" si="635"/>
        <v>-4.8357450521628564</v>
      </c>
      <c r="WW10" s="151">
        <f t="shared" si="336"/>
        <v>6.4588305607825376</v>
      </c>
      <c r="WX10" s="151">
        <f t="shared" si="337"/>
        <v>13.588828672435817</v>
      </c>
      <c r="WY10" s="151">
        <f t="shared" si="338"/>
        <v>19.981899300112609</v>
      </c>
      <c r="WZ10" s="151">
        <f t="shared" si="339"/>
        <v>27.651383373168791</v>
      </c>
      <c r="XA10" s="163"/>
      <c r="XB10" s="164">
        <v>1.4</v>
      </c>
      <c r="XC10" s="151">
        <f t="shared" si="340"/>
        <v>-49.214157059947567</v>
      </c>
      <c r="XD10" s="151">
        <f t="shared" si="341"/>
        <v>-44.643596009707025</v>
      </c>
      <c r="XE10" s="151">
        <f t="shared" si="342"/>
        <v>-40.314447070914333</v>
      </c>
      <c r="XF10" s="151">
        <f t="shared" si="636"/>
        <v>-34.946085144259357</v>
      </c>
      <c r="XG10" s="151">
        <f t="shared" si="637"/>
        <v>-25.237009479805664</v>
      </c>
      <c r="XH10" s="134">
        <f t="shared" si="638"/>
        <v>-13.483528415491023</v>
      </c>
      <c r="XI10" s="151">
        <f t="shared" si="639"/>
        <v>-0.89774256032688982</v>
      </c>
      <c r="XJ10" s="151">
        <f t="shared" si="343"/>
        <v>11.013642963075689</v>
      </c>
      <c r="XK10" s="151">
        <f t="shared" si="344"/>
        <v>18.409228306901177</v>
      </c>
      <c r="XL10" s="151">
        <f t="shared" si="345"/>
        <v>24.968765777957394</v>
      </c>
      <c r="XM10" s="151">
        <f t="shared" si="346"/>
        <v>32.756863203743926</v>
      </c>
      <c r="XN10" s="163"/>
      <c r="XO10" s="164">
        <v>1.4</v>
      </c>
      <c r="XP10" s="151">
        <f t="shared" si="347"/>
        <v>-49.992943597409237</v>
      </c>
      <c r="XQ10" s="151">
        <f t="shared" si="348"/>
        <v>-45.671168491659841</v>
      </c>
      <c r="XR10" s="151">
        <f t="shared" si="349"/>
        <v>-41.286343247432796</v>
      </c>
      <c r="XS10" s="151">
        <f t="shared" si="640"/>
        <v>-35.69325808979994</v>
      </c>
      <c r="XT10" s="151">
        <f t="shared" si="641"/>
        <v>-25.384349742790906</v>
      </c>
      <c r="XU10" s="134">
        <f t="shared" si="642"/>
        <v>-12.763835960795731</v>
      </c>
      <c r="XV10" s="151">
        <f t="shared" si="643"/>
        <v>0.81727949051730064</v>
      </c>
      <c r="XW10" s="151">
        <f t="shared" si="350"/>
        <v>13.694484720918062</v>
      </c>
      <c r="XX10" s="151">
        <f t="shared" si="351"/>
        <v>21.693443494349417</v>
      </c>
      <c r="XY10" s="151">
        <f t="shared" si="352"/>
        <v>28.788238333996382</v>
      </c>
      <c r="XZ10" s="151">
        <f t="shared" si="353"/>
        <v>37.210482630443956</v>
      </c>
      <c r="YA10" s="163"/>
      <c r="YB10" s="164">
        <v>1.5</v>
      </c>
      <c r="YC10" s="151">
        <f t="shared" si="354"/>
        <v>-49.572901333930176</v>
      </c>
      <c r="YD10" s="151">
        <f t="shared" si="355"/>
        <v>-45.541518773750042</v>
      </c>
      <c r="YE10" s="151">
        <f t="shared" si="356"/>
        <v>-41.809614172150226</v>
      </c>
      <c r="YF10" s="151">
        <f t="shared" si="644"/>
        <v>-37.261593734782025</v>
      </c>
      <c r="YG10" s="151">
        <f t="shared" si="645"/>
        <v>-29.193669553334207</v>
      </c>
      <c r="YH10" s="134">
        <f t="shared" si="646"/>
        <v>-19.617815734161475</v>
      </c>
      <c r="YI10" s="151">
        <f t="shared" si="647"/>
        <v>-9.5302459408182258</v>
      </c>
      <c r="YJ10" s="151">
        <f t="shared" si="357"/>
        <v>-0.1044206462767221</v>
      </c>
      <c r="YK10" s="151">
        <f t="shared" si="358"/>
        <v>5.6989684100331957</v>
      </c>
      <c r="YL10" s="151">
        <f t="shared" si="359"/>
        <v>10.818827207532713</v>
      </c>
      <c r="YM10" s="151">
        <f t="shared" si="360"/>
        <v>16.867215881092413</v>
      </c>
      <c r="YN10" s="163"/>
      <c r="YO10" s="164">
        <v>1.4</v>
      </c>
      <c r="YP10" s="151">
        <f t="shared" si="361"/>
        <v>16.913569468065052</v>
      </c>
      <c r="YQ10" s="151">
        <f t="shared" si="362"/>
        <v>19.19572373310055</v>
      </c>
      <c r="YR10" s="151">
        <f t="shared" si="363"/>
        <v>21.381581290140286</v>
      </c>
      <c r="YS10" s="151">
        <f t="shared" si="648"/>
        <v>24.184729821878765</v>
      </c>
      <c r="YT10" s="151">
        <f t="shared" si="649"/>
        <v>29.623344089826222</v>
      </c>
      <c r="YU10" s="134">
        <f t="shared" si="650"/>
        <v>36.996941836461247</v>
      </c>
      <c r="YV10" s="151">
        <f t="shared" si="651"/>
        <v>46.026824016553213</v>
      </c>
      <c r="YW10" s="151">
        <f t="shared" si="364"/>
        <v>55.81069952402698</v>
      </c>
      <c r="YX10" s="151">
        <f t="shared" si="365"/>
        <v>62.558167858248659</v>
      </c>
      <c r="YY10" s="151">
        <f t="shared" si="366"/>
        <v>69.010011214595565</v>
      </c>
      <c r="YZ10" s="151">
        <f t="shared" si="367"/>
        <v>77.278607223659733</v>
      </c>
      <c r="ZA10" s="163"/>
      <c r="ZB10" s="164">
        <v>1.4</v>
      </c>
      <c r="ZC10" s="151">
        <f t="shared" si="368"/>
        <v>17.674372250422241</v>
      </c>
      <c r="ZD10" s="151">
        <f t="shared" si="369"/>
        <v>19.864582446056616</v>
      </c>
      <c r="ZE10" s="151">
        <f t="shared" si="370"/>
        <v>21.955090216687104</v>
      </c>
      <c r="ZF10" s="151">
        <f t="shared" si="652"/>
        <v>24.628207135994838</v>
      </c>
      <c r="ZG10" s="151">
        <f t="shared" si="653"/>
        <v>29.798128378253185</v>
      </c>
      <c r="ZH10" s="134">
        <f t="shared" si="654"/>
        <v>36.789811239374338</v>
      </c>
      <c r="ZI10" s="151">
        <f t="shared" si="655"/>
        <v>45.345978654369716</v>
      </c>
      <c r="ZJ10" s="151">
        <f t="shared" si="371"/>
        <v>54.626593762408945</v>
      </c>
      <c r="ZK10" s="151">
        <f t="shared" si="372"/>
        <v>61.038874437446779</v>
      </c>
      <c r="ZL10" s="151">
        <f t="shared" si="373"/>
        <v>67.181679923624316</v>
      </c>
      <c r="ZM10" s="151">
        <f t="shared" si="374"/>
        <v>75.072599585451883</v>
      </c>
      <c r="ZN10" s="163"/>
      <c r="ZO10" s="164">
        <v>1.5</v>
      </c>
      <c r="ZP10" s="151">
        <f t="shared" si="375"/>
        <v>19.23560739893718</v>
      </c>
      <c r="ZQ10" s="151">
        <f t="shared" si="376"/>
        <v>21.760300698972138</v>
      </c>
      <c r="ZR10" s="151">
        <f t="shared" si="377"/>
        <v>24.165782147282236</v>
      </c>
      <c r="ZS10" s="151">
        <f t="shared" si="656"/>
        <v>27.233870506148918</v>
      </c>
      <c r="ZT10" s="151">
        <f t="shared" si="657"/>
        <v>33.138378255376992</v>
      </c>
      <c r="ZU10" s="134">
        <f t="shared" si="658"/>
        <v>41.055356777933795</v>
      </c>
      <c r="ZV10" s="151">
        <f t="shared" si="659"/>
        <v>50.633492179965025</v>
      </c>
      <c r="ZW10" s="151">
        <f t="shared" si="378"/>
        <v>60.888248331258154</v>
      </c>
      <c r="ZX10" s="151">
        <f t="shared" si="379"/>
        <v>67.895613237674795</v>
      </c>
      <c r="ZY10" s="151">
        <f t="shared" si="380"/>
        <v>74.551638611534486</v>
      </c>
      <c r="ZZ10" s="151">
        <f t="shared" si="381"/>
        <v>83.024099387815582</v>
      </c>
      <c r="AAA10" s="163"/>
      <c r="AAB10" s="164">
        <v>1.4</v>
      </c>
      <c r="AAC10" s="151">
        <f t="shared" si="382"/>
        <v>6.9711089808614046</v>
      </c>
      <c r="AAD10" s="151">
        <f t="shared" si="383"/>
        <v>7.844469650019855</v>
      </c>
      <c r="AAE10" s="151">
        <f t="shared" si="384"/>
        <v>8.6683596195300403</v>
      </c>
      <c r="AAF10" s="151">
        <f t="shared" si="660"/>
        <v>9.7084590841184362</v>
      </c>
      <c r="AAG10" s="151">
        <f t="shared" si="661"/>
        <v>11.679649464213805</v>
      </c>
      <c r="AAH10" s="134">
        <f t="shared" si="662"/>
        <v>14.267939480796855</v>
      </c>
      <c r="AAI10" s="151">
        <f t="shared" si="663"/>
        <v>17.328401087267615</v>
      </c>
      <c r="AAJ10" s="151">
        <f t="shared" si="385"/>
        <v>20.532429153214061</v>
      </c>
      <c r="AAK10" s="151">
        <f t="shared" si="386"/>
        <v>22.684380674530118</v>
      </c>
      <c r="AAL10" s="151">
        <f t="shared" si="387"/>
        <v>24.703273515609922</v>
      </c>
      <c r="AAM10" s="151">
        <f t="shared" si="388"/>
        <v>27.240812341220678</v>
      </c>
      <c r="AAN10" s="163"/>
      <c r="AAO10" s="164">
        <v>1.4</v>
      </c>
      <c r="AAP10" s="151">
        <f t="shared" si="389"/>
        <v>6.9293107362262587</v>
      </c>
      <c r="AAQ10" s="151">
        <f t="shared" si="390"/>
        <v>7.7658613544741923</v>
      </c>
      <c r="AAR10" s="151">
        <f t="shared" si="391"/>
        <v>8.5616082155402502</v>
      </c>
      <c r="AAS10" s="151">
        <f t="shared" si="664"/>
        <v>9.5755906678815599</v>
      </c>
      <c r="AAT10" s="151">
        <f t="shared" si="665"/>
        <v>11.526650726790972</v>
      </c>
      <c r="AAU10" s="134">
        <f t="shared" si="666"/>
        <v>14.147095939332832</v>
      </c>
      <c r="AAV10" s="151">
        <f t="shared" si="667"/>
        <v>17.330096266657975</v>
      </c>
      <c r="AAW10" s="151">
        <f t="shared" si="392"/>
        <v>20.757711877025805</v>
      </c>
      <c r="AAX10" s="151">
        <f t="shared" si="393"/>
        <v>23.112874242079673</v>
      </c>
      <c r="AAY10" s="151">
        <f t="shared" si="394"/>
        <v>25.360104594180942</v>
      </c>
      <c r="AAZ10" s="151">
        <f t="shared" si="395"/>
        <v>28.235139652813206</v>
      </c>
      <c r="ABA10" s="163"/>
      <c r="ABB10" s="164">
        <v>1.5</v>
      </c>
      <c r="ABC10" s="151">
        <f t="shared" si="396"/>
        <v>7.3225101724593165</v>
      </c>
      <c r="ABD10" s="151">
        <f t="shared" si="397"/>
        <v>8.3053241909964051</v>
      </c>
      <c r="ABE10" s="151">
        <f t="shared" si="398"/>
        <v>9.2278594346923324</v>
      </c>
      <c r="ABF10" s="151">
        <f t="shared" si="668"/>
        <v>10.385649360674158</v>
      </c>
      <c r="ABG10" s="151">
        <f t="shared" si="669"/>
        <v>12.558192844257473</v>
      </c>
      <c r="ABH10" s="134">
        <f t="shared" si="670"/>
        <v>15.367908481134277</v>
      </c>
      <c r="ABI10" s="151">
        <f t="shared" si="671"/>
        <v>18.630163662404815</v>
      </c>
      <c r="ABJ10" s="151">
        <f t="shared" si="399"/>
        <v>21.980943157703233</v>
      </c>
      <c r="ABK10" s="151">
        <f t="shared" si="400"/>
        <v>24.197251866229571</v>
      </c>
      <c r="ABL10" s="151">
        <f t="shared" si="401"/>
        <v>26.253215130562168</v>
      </c>
      <c r="ABM10" s="151">
        <f t="shared" si="402"/>
        <v>28.807251389040157</v>
      </c>
      <c r="ABN10" s="163"/>
      <c r="ABO10" s="164">
        <v>1.4</v>
      </c>
      <c r="ABP10" s="151">
        <f t="shared" si="403"/>
        <v>0.15968279257372506</v>
      </c>
      <c r="ABQ10" s="151">
        <f t="shared" si="404"/>
        <v>0.18625708695119761</v>
      </c>
      <c r="ABR10" s="151">
        <f t="shared" si="405"/>
        <v>0.21157370462962843</v>
      </c>
      <c r="ABS10" s="151">
        <f t="shared" si="672"/>
        <v>0.24377527690586129</v>
      </c>
      <c r="ABT10" s="151">
        <f t="shared" si="673"/>
        <v>0.30524384960672996</v>
      </c>
      <c r="ABU10" s="134">
        <f t="shared" si="674"/>
        <v>0.38628802569067616</v>
      </c>
      <c r="ABV10" s="151">
        <f t="shared" si="675"/>
        <v>0.48199150965012666</v>
      </c>
      <c r="ABW10" s="151">
        <f t="shared" si="406"/>
        <v>0.5816154028694569</v>
      </c>
      <c r="ABX10" s="151">
        <f t="shared" si="407"/>
        <v>0.64808102155554004</v>
      </c>
      <c r="ABY10" s="151">
        <f t="shared" si="408"/>
        <v>0.71007148443877033</v>
      </c>
      <c r="ABZ10" s="151">
        <f t="shared" si="409"/>
        <v>0.78745973885854292</v>
      </c>
      <c r="ACA10" s="163"/>
      <c r="ACB10" s="164">
        <v>1.4</v>
      </c>
      <c r="ACC10" s="151">
        <f t="shared" si="410"/>
        <v>0.17393858247591854</v>
      </c>
      <c r="ACD10" s="151">
        <f t="shared" si="411"/>
        <v>0.19991260256375362</v>
      </c>
      <c r="ACE10" s="151">
        <f t="shared" si="412"/>
        <v>0.2248501955944342</v>
      </c>
      <c r="ACF10" s="151">
        <f t="shared" si="676"/>
        <v>0.25687559908581087</v>
      </c>
      <c r="ACG10" s="151">
        <f t="shared" si="677"/>
        <v>0.31903632640882612</v>
      </c>
      <c r="ACH10" s="134">
        <f t="shared" si="678"/>
        <v>0.40314466207560662</v>
      </c>
      <c r="ACI10" s="151">
        <f t="shared" si="679"/>
        <v>0.50563340593221073</v>
      </c>
      <c r="ACJ10" s="151">
        <f t="shared" si="413"/>
        <v>0.61588517931632425</v>
      </c>
      <c r="ACK10" s="151">
        <f t="shared" si="414"/>
        <v>0.69140456543836171</v>
      </c>
      <c r="ACL10" s="151">
        <f t="shared" si="415"/>
        <v>0.76321636364767353</v>
      </c>
      <c r="ACM10" s="151">
        <f t="shared" si="416"/>
        <v>0.85468448439854738</v>
      </c>
      <c r="ACN10" s="163"/>
      <c r="ACO10" s="164">
        <v>1.5</v>
      </c>
      <c r="ACP10" s="151">
        <f t="shared" si="417"/>
        <v>0.16213096606362853</v>
      </c>
      <c r="ACQ10" s="151">
        <f t="shared" si="418"/>
        <v>0.18989896414680549</v>
      </c>
      <c r="ACR10" s="151">
        <f t="shared" si="419"/>
        <v>0.21559588076302147</v>
      </c>
      <c r="ACS10" s="151">
        <f t="shared" si="680"/>
        <v>0.24731523716152143</v>
      </c>
      <c r="ACT10" s="151">
        <f t="shared" si="681"/>
        <v>0.30524179723872591</v>
      </c>
      <c r="ACU10" s="134">
        <f t="shared" si="682"/>
        <v>0.37723790416465885</v>
      </c>
      <c r="ACV10" s="151">
        <f t="shared" si="683"/>
        <v>0.45711981677183566</v>
      </c>
      <c r="ACW10" s="151">
        <f t="shared" si="420"/>
        <v>0.5355405610881282</v>
      </c>
      <c r="ACX10" s="151">
        <f t="shared" si="421"/>
        <v>0.58562589914982532</v>
      </c>
      <c r="ACY10" s="151">
        <f t="shared" si="422"/>
        <v>0.63094067460005943</v>
      </c>
      <c r="ACZ10" s="151">
        <f t="shared" si="423"/>
        <v>0.68582270872041207</v>
      </c>
      <c r="ADA10" s="163"/>
      <c r="ADB10" s="164">
        <v>1.4</v>
      </c>
      <c r="ADC10" s="151">
        <f t="shared" si="424"/>
        <v>0.13466324835742272</v>
      </c>
      <c r="ADD10" s="151">
        <f t="shared" si="425"/>
        <v>0.15572424501557089</v>
      </c>
      <c r="ADE10" s="151">
        <f t="shared" si="426"/>
        <v>0.17436954558803619</v>
      </c>
      <c r="ADF10" s="151">
        <f t="shared" si="684"/>
        <v>0.19643599557097699</v>
      </c>
      <c r="ADG10" s="151">
        <f t="shared" si="685"/>
        <v>0.23450533934000289</v>
      </c>
      <c r="ADH10" s="134">
        <f t="shared" si="686"/>
        <v>0.27863784792131857</v>
      </c>
      <c r="ADI10" s="151">
        <f t="shared" si="687"/>
        <v>0.3244063060772131</v>
      </c>
      <c r="ADJ10" s="151">
        <f t="shared" si="427"/>
        <v>0.36675280208419314</v>
      </c>
      <c r="ADK10" s="151">
        <f t="shared" si="428"/>
        <v>0.39268460631228164</v>
      </c>
      <c r="ADL10" s="151">
        <f t="shared" si="429"/>
        <v>0.41549395886226481</v>
      </c>
      <c r="ADM10" s="151">
        <f t="shared" si="430"/>
        <v>0.44237300881752145</v>
      </c>
      <c r="ADN10" s="163"/>
      <c r="ADO10" s="164">
        <v>1.4</v>
      </c>
      <c r="ADP10" s="151">
        <f t="shared" si="431"/>
        <v>0.14575591486923192</v>
      </c>
      <c r="ADQ10" s="151">
        <f t="shared" si="432"/>
        <v>0.16549186652638426</v>
      </c>
      <c r="ADR10" s="151">
        <f t="shared" si="433"/>
        <v>0.1832419496835388</v>
      </c>
      <c r="ADS10" s="151">
        <f t="shared" si="688"/>
        <v>0.20457599557949221</v>
      </c>
      <c r="ADT10" s="151">
        <f t="shared" si="689"/>
        <v>0.24218051843482336</v>
      </c>
      <c r="ADU10" s="134">
        <f t="shared" si="690"/>
        <v>0.28696910675191339</v>
      </c>
      <c r="ADV10" s="151">
        <f t="shared" si="691"/>
        <v>0.33468309767649479</v>
      </c>
      <c r="ADW10" s="151">
        <f t="shared" si="434"/>
        <v>0.37990238292051431</v>
      </c>
      <c r="ADX10" s="151">
        <f t="shared" si="435"/>
        <v>0.40807542283161946</v>
      </c>
      <c r="ADY10" s="151">
        <f t="shared" si="436"/>
        <v>0.43314661675153632</v>
      </c>
      <c r="ADZ10" s="151">
        <f t="shared" si="437"/>
        <v>0.4630288879976226</v>
      </c>
      <c r="AEA10" s="163"/>
      <c r="AEB10" s="164">
        <v>1.5</v>
      </c>
      <c r="AEC10" s="151">
        <f t="shared" si="438"/>
        <v>0.1365254369884803</v>
      </c>
      <c r="AED10" s="151">
        <f t="shared" si="439"/>
        <v>0.15842950222756891</v>
      </c>
      <c r="AEE10" s="151">
        <f t="shared" si="440"/>
        <v>0.17717086049288916</v>
      </c>
      <c r="AEF10" s="151">
        <f t="shared" si="692"/>
        <v>0.19868080746389027</v>
      </c>
      <c r="AEG10" s="151">
        <f t="shared" si="693"/>
        <v>0.23436128757731192</v>
      </c>
      <c r="AEH10" s="134">
        <f t="shared" si="694"/>
        <v>0.27387634435432695</v>
      </c>
      <c r="AEI10" s="151">
        <f t="shared" si="695"/>
        <v>0.31316382716194169</v>
      </c>
      <c r="AEJ10" s="151">
        <f t="shared" si="441"/>
        <v>0.34824402535432014</v>
      </c>
      <c r="AEK10" s="151">
        <f t="shared" si="442"/>
        <v>0.36920452491605293</v>
      </c>
      <c r="AEL10" s="151">
        <f t="shared" si="443"/>
        <v>0.38734603205305757</v>
      </c>
      <c r="AEM10" s="151">
        <f t="shared" si="444"/>
        <v>0.40839693025515439</v>
      </c>
      <c r="AEN10" s="163"/>
    </row>
    <row r="11" spans="1:820">
      <c r="A11" s="163"/>
      <c r="B11" s="164">
        <v>1.6</v>
      </c>
      <c r="C11" s="151">
        <f t="shared" si="0"/>
        <v>1.6572626427128556</v>
      </c>
      <c r="D11" s="151">
        <f t="shared" si="1"/>
        <v>1.9552179562662746</v>
      </c>
      <c r="E11" s="151">
        <f t="shared" si="2"/>
        <v>2.2633267048484873</v>
      </c>
      <c r="F11" s="151">
        <f t="shared" si="445"/>
        <v>2.692821978655779</v>
      </c>
      <c r="G11" s="151">
        <f t="shared" si="446"/>
        <v>3.6451844664731126</v>
      </c>
      <c r="H11" s="134">
        <f t="shared" si="447"/>
        <v>5.2178423341436382</v>
      </c>
      <c r="I11" s="151">
        <f t="shared" si="448"/>
        <v>7.6607936526173868</v>
      </c>
      <c r="J11" s="151">
        <f t="shared" si="3"/>
        <v>11.082825085454632</v>
      </c>
      <c r="K11" s="151">
        <f t="shared" si="4"/>
        <v>14.005161034201105</v>
      </c>
      <c r="L11" s="151">
        <f t="shared" si="5"/>
        <v>17.303465722273135</v>
      </c>
      <c r="M11" s="151">
        <f t="shared" si="6"/>
        <v>22.367624721363264</v>
      </c>
      <c r="N11" s="163"/>
      <c r="O11" s="164">
        <v>1.6</v>
      </c>
      <c r="P11" s="151">
        <f t="shared" si="7"/>
        <v>2.209100342283417</v>
      </c>
      <c r="Q11" s="151">
        <f t="shared" si="8"/>
        <v>2.5012743860766133</v>
      </c>
      <c r="R11" s="151">
        <f t="shared" si="9"/>
        <v>2.797826765873372</v>
      </c>
      <c r="S11" s="151">
        <f t="shared" si="449"/>
        <v>3.2047377781224853</v>
      </c>
      <c r="T11" s="151">
        <f t="shared" si="450"/>
        <v>4.0923461675194872</v>
      </c>
      <c r="U11" s="134">
        <f t="shared" si="451"/>
        <v>5.5478924034407768</v>
      </c>
      <c r="V11" s="151">
        <f t="shared" si="452"/>
        <v>7.8484820664870991</v>
      </c>
      <c r="W11" s="151">
        <f t="shared" si="10"/>
        <v>11.23567440887007</v>
      </c>
      <c r="X11" s="151">
        <f t="shared" si="11"/>
        <v>14.324895799299048</v>
      </c>
      <c r="Y11" s="151">
        <f t="shared" si="12"/>
        <v>18.062550026320949</v>
      </c>
      <c r="Z11" s="151">
        <f t="shared" si="13"/>
        <v>24.381531309541877</v>
      </c>
      <c r="AA11" s="163"/>
      <c r="AB11" s="164">
        <v>1.6</v>
      </c>
      <c r="AC11" s="151">
        <f t="shared" si="14"/>
        <v>1.4076445854140605</v>
      </c>
      <c r="AD11" s="151">
        <f t="shared" si="15"/>
        <v>1.6684526152655281</v>
      </c>
      <c r="AE11" s="151">
        <f t="shared" si="16"/>
        <v>1.9415269727164521</v>
      </c>
      <c r="AF11" s="151">
        <f t="shared" si="453"/>
        <v>2.327750293441162</v>
      </c>
      <c r="AG11" s="151">
        <f t="shared" si="454"/>
        <v>3.2061740265527234</v>
      </c>
      <c r="AH11" s="134">
        <f t="shared" si="455"/>
        <v>4.7182051458446015</v>
      </c>
      <c r="AI11" s="151">
        <f t="shared" si="456"/>
        <v>7.2036567298499081</v>
      </c>
      <c r="AJ11" s="151">
        <f t="shared" si="17"/>
        <v>10.934224741805437</v>
      </c>
      <c r="AK11" s="151">
        <f t="shared" si="18"/>
        <v>14.328271769590025</v>
      </c>
      <c r="AL11" s="151">
        <f t="shared" si="19"/>
        <v>18.371727950279169</v>
      </c>
      <c r="AM11" s="151">
        <f t="shared" si="20"/>
        <v>24.990172294861313</v>
      </c>
      <c r="AN11" s="163"/>
      <c r="AO11" s="164">
        <v>1.6</v>
      </c>
      <c r="AP11" s="151">
        <f t="shared" si="21"/>
        <v>1.088887556342395</v>
      </c>
      <c r="AQ11" s="151">
        <f t="shared" si="22"/>
        <v>2.875071034388168</v>
      </c>
      <c r="AR11" s="151">
        <f t="shared" si="23"/>
        <v>4.5614619282512878</v>
      </c>
      <c r="AS11" s="151">
        <f t="shared" si="457"/>
        <v>6.6796359160930914</v>
      </c>
      <c r="AT11" s="151">
        <f t="shared" si="458"/>
        <v>10.631633730611355</v>
      </c>
      <c r="AU11" s="134">
        <f t="shared" si="459"/>
        <v>15.660219686820035</v>
      </c>
      <c r="AV11" s="151">
        <f t="shared" si="460"/>
        <v>21.354337271455556</v>
      </c>
      <c r="AW11" s="151">
        <f t="shared" si="24"/>
        <v>27.035648327208211</v>
      </c>
      <c r="AX11" s="151">
        <f t="shared" si="25"/>
        <v>30.703160443646251</v>
      </c>
      <c r="AY11" s="151">
        <f t="shared" si="26"/>
        <v>34.044073840897696</v>
      </c>
      <c r="AZ11" s="151">
        <f t="shared" si="27"/>
        <v>38.116251013474582</v>
      </c>
      <c r="BA11" s="163"/>
      <c r="BB11" s="164">
        <v>1.6</v>
      </c>
      <c r="BC11" s="151">
        <f t="shared" si="28"/>
        <v>2.1380509860328418</v>
      </c>
      <c r="BD11" s="151">
        <f t="shared" si="29"/>
        <v>4.2114657481610545</v>
      </c>
      <c r="BE11" s="151">
        <f t="shared" si="30"/>
        <v>6.132487005617361</v>
      </c>
      <c r="BF11" s="151">
        <f t="shared" si="461"/>
        <v>8.5006797981990623</v>
      </c>
      <c r="BG11" s="151">
        <f t="shared" si="462"/>
        <v>12.804827442052979</v>
      </c>
      <c r="BH11" s="134">
        <f t="shared" si="463"/>
        <v>18.103827403200633</v>
      </c>
      <c r="BI11" s="151">
        <f t="shared" si="464"/>
        <v>23.910996271982345</v>
      </c>
      <c r="BJ11" s="151">
        <f t="shared" si="31"/>
        <v>29.538663129520121</v>
      </c>
      <c r="BK11" s="151">
        <f t="shared" si="32"/>
        <v>33.096528728163662</v>
      </c>
      <c r="BL11" s="151">
        <f t="shared" si="33"/>
        <v>36.292192320750345</v>
      </c>
      <c r="BM11" s="151">
        <f t="shared" si="34"/>
        <v>40.134156528546747</v>
      </c>
      <c r="BN11" s="163"/>
      <c r="BO11" s="164">
        <v>1.6</v>
      </c>
      <c r="BP11" s="151">
        <f t="shared" si="35"/>
        <v>3.2775826585438432</v>
      </c>
      <c r="BQ11" s="151">
        <f t="shared" si="36"/>
        <v>4.1137973578359004</v>
      </c>
      <c r="BR11" s="151">
        <f t="shared" si="37"/>
        <v>4.9721534042778952</v>
      </c>
      <c r="BS11" s="151">
        <f t="shared" si="465"/>
        <v>6.1468685938347978</v>
      </c>
      <c r="BT11" s="151">
        <f t="shared" si="466"/>
        <v>8.6328123980962381</v>
      </c>
      <c r="BU11" s="134">
        <f t="shared" si="467"/>
        <v>12.3669360310369</v>
      </c>
      <c r="BV11" s="151">
        <f t="shared" si="468"/>
        <v>17.397417533674492</v>
      </c>
      <c r="BW11" s="151">
        <f t="shared" si="38"/>
        <v>23.301407563006357</v>
      </c>
      <c r="BX11" s="151">
        <f t="shared" si="39"/>
        <v>27.599523908091609</v>
      </c>
      <c r="BY11" s="151">
        <f t="shared" si="40"/>
        <v>31.85739494368374</v>
      </c>
      <c r="BZ11" s="151">
        <f t="shared" si="41"/>
        <v>37.500093302978414</v>
      </c>
      <c r="CA11" s="163"/>
      <c r="CB11" s="164">
        <v>1.6</v>
      </c>
      <c r="CC11" s="151">
        <f t="shared" si="42"/>
        <v>-4.7229141158353389</v>
      </c>
      <c r="CD11" s="151">
        <f t="shared" si="43"/>
        <v>-2.5736994353719442</v>
      </c>
      <c r="CE11" s="151">
        <f t="shared" si="44"/>
        <v>-0.42984561082600958</v>
      </c>
      <c r="CF11" s="151">
        <f t="shared" si="469"/>
        <v>2.3228820259445504</v>
      </c>
      <c r="CG11" s="151">
        <f t="shared" si="470"/>
        <v>7.4821146036464112</v>
      </c>
      <c r="CH11" s="134">
        <f t="shared" si="471"/>
        <v>13.943431045378773</v>
      </c>
      <c r="CI11" s="151">
        <f t="shared" si="472"/>
        <v>21.049605642042327</v>
      </c>
      <c r="CJ11" s="151">
        <f t="shared" si="45"/>
        <v>27.911958237454453</v>
      </c>
      <c r="CK11" s="151">
        <f t="shared" si="46"/>
        <v>32.228313596955751</v>
      </c>
      <c r="CL11" s="151">
        <f t="shared" si="47"/>
        <v>36.0881108976319</v>
      </c>
      <c r="CM11" s="151">
        <f t="shared" si="48"/>
        <v>40.705705097206774</v>
      </c>
      <c r="CN11" s="163"/>
      <c r="CO11" s="164">
        <v>1.6</v>
      </c>
      <c r="CP11" s="151">
        <f t="shared" si="49"/>
        <v>-0.89542931713320506</v>
      </c>
      <c r="CQ11" s="151">
        <f t="shared" si="50"/>
        <v>1.4505647587150827</v>
      </c>
      <c r="CR11" s="151">
        <f t="shared" si="51"/>
        <v>3.669705051440121</v>
      </c>
      <c r="CS11" s="151">
        <f t="shared" si="473"/>
        <v>6.4343649135555046</v>
      </c>
      <c r="CT11" s="151">
        <f t="shared" si="474"/>
        <v>11.485002288383473</v>
      </c>
      <c r="CU11" s="134">
        <f t="shared" si="475"/>
        <v>17.688601855478261</v>
      </c>
      <c r="CV11" s="151">
        <f t="shared" si="476"/>
        <v>24.431204218609537</v>
      </c>
      <c r="CW11" s="151">
        <f t="shared" si="52"/>
        <v>30.897114429081423</v>
      </c>
      <c r="CX11" s="151">
        <f t="shared" si="53"/>
        <v>34.949167193121191</v>
      </c>
      <c r="CY11" s="151">
        <f t="shared" si="54"/>
        <v>38.565418911282286</v>
      </c>
      <c r="CZ11" s="151">
        <f t="shared" si="55"/>
        <v>42.884587021696667</v>
      </c>
      <c r="DA11" s="163"/>
      <c r="DB11" s="164">
        <v>1.6</v>
      </c>
      <c r="DC11" s="151">
        <f t="shared" si="56"/>
        <v>-5.475668212318852</v>
      </c>
      <c r="DD11" s="151">
        <f t="shared" si="57"/>
        <v>-4.0128060914051451</v>
      </c>
      <c r="DE11" s="151">
        <f t="shared" si="58"/>
        <v>-2.4664138231266248</v>
      </c>
      <c r="DF11" s="151">
        <f t="shared" si="477"/>
        <v>-0.38464850237857373</v>
      </c>
      <c r="DG11" s="151">
        <f t="shared" si="478"/>
        <v>3.7372550981058188</v>
      </c>
      <c r="DH11" s="134">
        <f t="shared" si="479"/>
        <v>9.2039243137888853</v>
      </c>
      <c r="DI11" s="151">
        <f t="shared" si="480"/>
        <v>15.514217467400346</v>
      </c>
      <c r="DJ11" s="151">
        <f t="shared" si="59"/>
        <v>21.845462280049542</v>
      </c>
      <c r="DK11" s="151">
        <f t="shared" si="60"/>
        <v>25.929705148600252</v>
      </c>
      <c r="DL11" s="151">
        <f t="shared" si="61"/>
        <v>29.64163138357058</v>
      </c>
      <c r="DM11" s="151">
        <f t="shared" si="62"/>
        <v>34.150493034439926</v>
      </c>
      <c r="DN11" s="163"/>
      <c r="DO11" s="164">
        <v>1.6</v>
      </c>
      <c r="DP11" s="151">
        <f t="shared" si="63"/>
        <v>14.355094285869782</v>
      </c>
      <c r="DQ11" s="151">
        <f t="shared" si="64"/>
        <v>15.348481986326611</v>
      </c>
      <c r="DR11" s="151">
        <f t="shared" si="65"/>
        <v>16.297934609948943</v>
      </c>
      <c r="DS11" s="151">
        <f t="shared" si="481"/>
        <v>17.519958589232299</v>
      </c>
      <c r="DT11" s="151">
        <f t="shared" si="482"/>
        <v>19.930400316996234</v>
      </c>
      <c r="DU11" s="134">
        <f t="shared" si="483"/>
        <v>23.341531979321704</v>
      </c>
      <c r="DV11" s="151">
        <f t="shared" si="484"/>
        <v>27.847083698770632</v>
      </c>
      <c r="DW11" s="151">
        <f t="shared" si="66"/>
        <v>33.275675999802395</v>
      </c>
      <c r="DX11" s="151">
        <f t="shared" si="67"/>
        <v>37.435925778946448</v>
      </c>
      <c r="DY11" s="151">
        <f t="shared" si="68"/>
        <v>41.797400360279575</v>
      </c>
      <c r="DZ11" s="151">
        <f t="shared" si="69"/>
        <v>48.038047411358605</v>
      </c>
      <c r="EA11" s="163"/>
      <c r="EB11" s="164">
        <v>1.6</v>
      </c>
      <c r="EC11" s="151">
        <f t="shared" si="70"/>
        <v>14.438547996019352</v>
      </c>
      <c r="ED11" s="151">
        <f t="shared" si="71"/>
        <v>15.313408290468347</v>
      </c>
      <c r="EE11" s="151">
        <f t="shared" si="72"/>
        <v>16.136163575633855</v>
      </c>
      <c r="EF11" s="151">
        <f t="shared" si="485"/>
        <v>17.176513764490288</v>
      </c>
      <c r="EG11" s="151">
        <f t="shared" si="486"/>
        <v>19.170291414800154</v>
      </c>
      <c r="EH11" s="134">
        <f t="shared" si="487"/>
        <v>21.86921530180226</v>
      </c>
      <c r="EI11" s="151">
        <f t="shared" si="488"/>
        <v>25.236019686076979</v>
      </c>
      <c r="EJ11" s="151">
        <f t="shared" si="73"/>
        <v>29.029026305336394</v>
      </c>
      <c r="EK11" s="151">
        <f t="shared" si="74"/>
        <v>31.76392105837154</v>
      </c>
      <c r="EL11" s="151">
        <f t="shared" si="75"/>
        <v>34.488454731731714</v>
      </c>
      <c r="EM11" s="151">
        <f t="shared" si="76"/>
        <v>38.160139250214598</v>
      </c>
      <c r="EN11" s="163"/>
      <c r="EO11" s="164">
        <v>1.6</v>
      </c>
      <c r="EP11" s="151">
        <f t="shared" si="77"/>
        <v>14.455306594610578</v>
      </c>
      <c r="EQ11" s="151">
        <f t="shared" si="78"/>
        <v>15.688265005766587</v>
      </c>
      <c r="ER11" s="151">
        <f t="shared" si="79"/>
        <v>16.871330919698909</v>
      </c>
      <c r="ES11" s="151">
        <f t="shared" si="489"/>
        <v>18.398478188913817</v>
      </c>
      <c r="ET11" s="151">
        <f t="shared" si="490"/>
        <v>21.416756962263413</v>
      </c>
      <c r="EU11" s="134">
        <f t="shared" si="491"/>
        <v>25.678689355137298</v>
      </c>
      <c r="EV11" s="151">
        <f t="shared" si="492"/>
        <v>31.249931589517612</v>
      </c>
      <c r="EW11" s="151">
        <f t="shared" si="80"/>
        <v>37.826368668401848</v>
      </c>
      <c r="EX11" s="151">
        <f t="shared" si="81"/>
        <v>42.744558706934541</v>
      </c>
      <c r="EY11" s="151">
        <f t="shared" si="82"/>
        <v>47.77752504515815</v>
      </c>
      <c r="EZ11" s="151">
        <f t="shared" si="83"/>
        <v>54.75299753711829</v>
      </c>
      <c r="FA11" s="163"/>
      <c r="FB11" s="164">
        <v>1.6</v>
      </c>
      <c r="FC11" s="151">
        <f t="shared" si="84"/>
        <v>7.1617948671037981</v>
      </c>
      <c r="FD11" s="151">
        <f t="shared" si="85"/>
        <v>7.8614580737484632</v>
      </c>
      <c r="FE11" s="151">
        <f t="shared" si="86"/>
        <v>8.532831051105326</v>
      </c>
      <c r="FF11" s="151">
        <f t="shared" si="493"/>
        <v>9.3984428348552331</v>
      </c>
      <c r="FG11" s="151">
        <f t="shared" si="494"/>
        <v>11.102088524936777</v>
      </c>
      <c r="FH11" s="134">
        <f t="shared" si="495"/>
        <v>13.482727699441856</v>
      </c>
      <c r="FI11" s="151">
        <f t="shared" si="496"/>
        <v>16.537772462040834</v>
      </c>
      <c r="FJ11" s="151">
        <f t="shared" si="87"/>
        <v>20.050343027851522</v>
      </c>
      <c r="FK11" s="151">
        <f t="shared" si="88"/>
        <v>22.608570304251877</v>
      </c>
      <c r="FL11" s="151">
        <f t="shared" si="89"/>
        <v>25.166076427718394</v>
      </c>
      <c r="FM11" s="151">
        <f t="shared" si="90"/>
        <v>28.612368772971614</v>
      </c>
      <c r="FN11" s="163"/>
      <c r="FO11" s="164">
        <v>1.6</v>
      </c>
      <c r="FP11" s="151">
        <f t="shared" si="91"/>
        <v>7.0903034467006636</v>
      </c>
      <c r="FQ11" s="151">
        <f t="shared" si="92"/>
        <v>7.7555557427305741</v>
      </c>
      <c r="FR11" s="151">
        <f t="shared" si="93"/>
        <v>8.3836805934827634</v>
      </c>
      <c r="FS11" s="151">
        <f t="shared" si="497"/>
        <v>9.1792842317807217</v>
      </c>
      <c r="FT11" s="151">
        <f t="shared" si="498"/>
        <v>10.70087729921813</v>
      </c>
      <c r="FU11" s="134">
        <f t="shared" si="499"/>
        <v>12.737210107421552</v>
      </c>
      <c r="FV11" s="151">
        <f t="shared" si="500"/>
        <v>15.215137808675355</v>
      </c>
      <c r="FW11" s="151">
        <f t="shared" si="94"/>
        <v>17.902334791527878</v>
      </c>
      <c r="FX11" s="151">
        <f t="shared" si="95"/>
        <v>19.764859430787283</v>
      </c>
      <c r="FY11" s="151">
        <f t="shared" si="96"/>
        <v>21.556403903691976</v>
      </c>
      <c r="FZ11" s="151">
        <f t="shared" si="97"/>
        <v>23.870887836588498</v>
      </c>
      <c r="GA11" s="163"/>
      <c r="GB11" s="164">
        <v>1.6</v>
      </c>
      <c r="GC11" s="151">
        <f t="shared" si="98"/>
        <v>7.2607649023426255</v>
      </c>
      <c r="GD11" s="151">
        <f t="shared" si="99"/>
        <v>8.0800629853846413</v>
      </c>
      <c r="GE11" s="151">
        <f t="shared" si="100"/>
        <v>8.8687772008658001</v>
      </c>
      <c r="GF11" s="151">
        <f t="shared" si="501"/>
        <v>9.8879292279296731</v>
      </c>
      <c r="GG11" s="151">
        <f t="shared" si="502"/>
        <v>11.896157406655513</v>
      </c>
      <c r="GH11" s="134">
        <f t="shared" si="503"/>
        <v>14.696306682310963</v>
      </c>
      <c r="GI11" s="151">
        <f t="shared" si="504"/>
        <v>18.262608037355488</v>
      </c>
      <c r="GJ11" s="151">
        <f t="shared" si="101"/>
        <v>22.310508614814736</v>
      </c>
      <c r="GK11" s="151">
        <f t="shared" si="102"/>
        <v>25.218477411045125</v>
      </c>
      <c r="GL11" s="151">
        <f t="shared" si="103"/>
        <v>28.090249719748851</v>
      </c>
      <c r="GM11" s="151">
        <f t="shared" si="104"/>
        <v>31.903554312663147</v>
      </c>
      <c r="GN11" s="163"/>
      <c r="GO11" s="164">
        <v>1.6</v>
      </c>
      <c r="GP11" s="151">
        <f t="shared" si="105"/>
        <v>0.31781149982851425</v>
      </c>
      <c r="GQ11" s="151">
        <f t="shared" si="106"/>
        <v>0.3748898912887661</v>
      </c>
      <c r="GR11" s="151">
        <f t="shared" si="107"/>
        <v>0.41746347177746779</v>
      </c>
      <c r="GS11" s="151">
        <f t="shared" si="505"/>
        <v>0.4614402878721221</v>
      </c>
      <c r="GT11" s="151">
        <f t="shared" si="506"/>
        <v>0.52626357071844743</v>
      </c>
      <c r="GU11" s="134">
        <f t="shared" si="507"/>
        <v>0.58974244982020774</v>
      </c>
      <c r="GV11" s="151">
        <f t="shared" si="508"/>
        <v>0.64668815551933723</v>
      </c>
      <c r="GW11" s="151">
        <f t="shared" si="108"/>
        <v>0.69359343818468044</v>
      </c>
      <c r="GX11" s="151">
        <f t="shared" si="109"/>
        <v>0.7201648009558369</v>
      </c>
      <c r="GY11" s="151">
        <f t="shared" si="110"/>
        <v>0.74239714832491832</v>
      </c>
      <c r="GZ11" s="151">
        <f t="shared" si="111"/>
        <v>0.76739079647650432</v>
      </c>
      <c r="HA11" s="163"/>
      <c r="HB11" s="164">
        <v>1.6</v>
      </c>
      <c r="HC11" s="151">
        <f t="shared" si="112"/>
        <v>0.33081631670242873</v>
      </c>
      <c r="HD11" s="151">
        <f t="shared" si="113"/>
        <v>0.38524305681792698</v>
      </c>
      <c r="HE11" s="151">
        <f t="shared" si="114"/>
        <v>0.42633810118787302</v>
      </c>
      <c r="HF11" s="151">
        <f t="shared" si="509"/>
        <v>0.46911193033781606</v>
      </c>
      <c r="HG11" s="151">
        <f t="shared" si="510"/>
        <v>0.53261005725653798</v>
      </c>
      <c r="HH11" s="134">
        <f t="shared" si="511"/>
        <v>0.59517634388393159</v>
      </c>
      <c r="HI11" s="151">
        <f t="shared" si="512"/>
        <v>0.65154767384342471</v>
      </c>
      <c r="HJ11" s="151">
        <f t="shared" si="115"/>
        <v>0.69811820675083291</v>
      </c>
      <c r="HK11" s="151">
        <f t="shared" si="116"/>
        <v>0.72454716843970068</v>
      </c>
      <c r="HL11" s="151">
        <f t="shared" si="117"/>
        <v>0.74668390534706752</v>
      </c>
      <c r="HM11" s="151">
        <f t="shared" si="118"/>
        <v>0.77159373001989406</v>
      </c>
      <c r="HN11" s="163"/>
      <c r="HO11" s="164">
        <v>1.6</v>
      </c>
      <c r="HP11" s="151">
        <f t="shared" si="119"/>
        <v>0.3199364291390015</v>
      </c>
      <c r="HQ11" s="151">
        <f t="shared" si="120"/>
        <v>0.37615172212946429</v>
      </c>
      <c r="HR11" s="151">
        <f t="shared" si="121"/>
        <v>0.41808282118460655</v>
      </c>
      <c r="HS11" s="151">
        <f t="shared" si="513"/>
        <v>0.46138703482877791</v>
      </c>
      <c r="HT11" s="151">
        <f t="shared" si="514"/>
        <v>0.5251924095042716</v>
      </c>
      <c r="HU11" s="134">
        <f t="shared" si="515"/>
        <v>0.58763755867817902</v>
      </c>
      <c r="HV11" s="151">
        <f t="shared" si="516"/>
        <v>0.64362244935858948</v>
      </c>
      <c r="HW11" s="151">
        <f t="shared" si="122"/>
        <v>0.68971219252168015</v>
      </c>
      <c r="HX11" s="151">
        <f t="shared" si="123"/>
        <v>0.71581194730236553</v>
      </c>
      <c r="HY11" s="151">
        <f t="shared" si="124"/>
        <v>0.73764441300993677</v>
      </c>
      <c r="HZ11" s="151">
        <f t="shared" si="125"/>
        <v>0.76218282528008907</v>
      </c>
      <c r="IA11" s="163"/>
      <c r="IB11" s="164">
        <v>1.6</v>
      </c>
      <c r="IC11" s="151">
        <f t="shared" si="126"/>
        <v>0.24063098369408673</v>
      </c>
      <c r="ID11" s="151">
        <f t="shared" si="127"/>
        <v>0.2737047574733219</v>
      </c>
      <c r="IE11" s="151">
        <f t="shared" si="128"/>
        <v>0.29557119446412122</v>
      </c>
      <c r="IF11" s="151">
        <f t="shared" si="517"/>
        <v>0.31644580405517875</v>
      </c>
      <c r="IG11" s="151">
        <f t="shared" si="518"/>
        <v>0.34487880320537817</v>
      </c>
      <c r="IH11" s="134">
        <f t="shared" si="519"/>
        <v>0.3706866631255451</v>
      </c>
      <c r="II11" s="151">
        <f t="shared" si="520"/>
        <v>0.39250679424624868</v>
      </c>
      <c r="IJ11" s="151">
        <f t="shared" si="129"/>
        <v>0.40969936159600678</v>
      </c>
      <c r="IK11" s="151">
        <f t="shared" si="130"/>
        <v>0.41916485877019899</v>
      </c>
      <c r="IL11" s="151">
        <f t="shared" si="131"/>
        <v>0.42694538691253375</v>
      </c>
      <c r="IM11" s="151">
        <f t="shared" si="132"/>
        <v>0.43555012828707235</v>
      </c>
      <c r="IN11" s="163"/>
      <c r="IO11" s="164">
        <v>1.6</v>
      </c>
      <c r="IP11" s="151">
        <f t="shared" si="133"/>
        <v>0.24889950251726833</v>
      </c>
      <c r="IQ11" s="151">
        <f t="shared" si="134"/>
        <v>0.27928371511484029</v>
      </c>
      <c r="IR11" s="151">
        <f t="shared" si="135"/>
        <v>0.29992942641094839</v>
      </c>
      <c r="IS11" s="151">
        <f t="shared" si="521"/>
        <v>0.31992834803088005</v>
      </c>
      <c r="IT11" s="151">
        <f t="shared" si="522"/>
        <v>0.34750356953565503</v>
      </c>
      <c r="IU11" s="134">
        <f t="shared" si="523"/>
        <v>0.37277996587378465</v>
      </c>
      <c r="IV11" s="151">
        <f t="shared" si="524"/>
        <v>0.39428824780894001</v>
      </c>
      <c r="IW11" s="151">
        <f t="shared" si="136"/>
        <v>0.41130568867982104</v>
      </c>
      <c r="IX11" s="151">
        <f t="shared" si="137"/>
        <v>0.42069735837566108</v>
      </c>
      <c r="IY11" s="151">
        <f t="shared" si="138"/>
        <v>0.42842796788600668</v>
      </c>
      <c r="IZ11" s="151">
        <f t="shared" si="139"/>
        <v>0.43698795769678939</v>
      </c>
      <c r="JA11" s="163"/>
      <c r="JB11" s="164">
        <v>1.6</v>
      </c>
      <c r="JC11" s="151">
        <f t="shared" si="140"/>
        <v>0.2415531410942601</v>
      </c>
      <c r="JD11" s="151">
        <f t="shared" si="141"/>
        <v>0.27420395490217858</v>
      </c>
      <c r="JE11" s="151">
        <f t="shared" si="142"/>
        <v>0.29578923836455878</v>
      </c>
      <c r="JF11" s="151">
        <f t="shared" si="525"/>
        <v>0.31639007859899543</v>
      </c>
      <c r="JG11" s="151">
        <f t="shared" si="526"/>
        <v>0.34443850858104458</v>
      </c>
      <c r="JH11" s="134">
        <f t="shared" si="527"/>
        <v>0.36988383644923561</v>
      </c>
      <c r="JI11" s="151">
        <f t="shared" si="528"/>
        <v>0.39138679394753101</v>
      </c>
      <c r="JJ11" s="151">
        <f t="shared" si="143"/>
        <v>0.40832243777867666</v>
      </c>
      <c r="JK11" s="151">
        <f t="shared" si="144"/>
        <v>0.41764383839307145</v>
      </c>
      <c r="JL11" s="151">
        <f t="shared" si="145"/>
        <v>0.42530451817817561</v>
      </c>
      <c r="JM11" s="151">
        <f t="shared" si="146"/>
        <v>0.4337752476045123</v>
      </c>
      <c r="JN11" s="163"/>
      <c r="JO11" s="164">
        <v>1.5</v>
      </c>
      <c r="JP11" s="151">
        <f t="shared" si="147"/>
        <v>-7.61059082354212</v>
      </c>
      <c r="JQ11" s="151">
        <f t="shared" si="148"/>
        <v>-6.1378911241429428</v>
      </c>
      <c r="JR11" s="151">
        <f t="shared" si="149"/>
        <v>-4.8502947861850032</v>
      </c>
      <c r="JS11" s="151">
        <f t="shared" si="529"/>
        <v>-3.343075231676611</v>
      </c>
      <c r="JT11" s="151">
        <f t="shared" si="530"/>
        <v>-0.77816325976057854</v>
      </c>
      <c r="JU11" s="134">
        <f t="shared" si="531"/>
        <v>2.1496143276230519</v>
      </c>
      <c r="JV11" s="151">
        <f t="shared" si="532"/>
        <v>5.1441825790857294</v>
      </c>
      <c r="JW11" s="151">
        <f t="shared" si="150"/>
        <v>7.8835325895945516</v>
      </c>
      <c r="JX11" s="151">
        <f t="shared" si="151"/>
        <v>9.548153923216514</v>
      </c>
      <c r="JY11" s="151">
        <f t="shared" si="152"/>
        <v>11.005041658251098</v>
      </c>
      <c r="JZ11" s="151">
        <f t="shared" si="153"/>
        <v>12.713764995895136</v>
      </c>
      <c r="KA11" s="163"/>
      <c r="KB11" s="164">
        <v>1.5</v>
      </c>
      <c r="KC11" s="151">
        <f t="shared" si="154"/>
        <v>-6.8077763519023451</v>
      </c>
      <c r="KD11" s="151">
        <f t="shared" si="155"/>
        <v>-5.5397878193042187</v>
      </c>
      <c r="KE11" s="151">
        <f t="shared" si="156"/>
        <v>-4.3812324669263312</v>
      </c>
      <c r="KF11" s="151">
        <f t="shared" si="533"/>
        <v>-2.97245981008904</v>
      </c>
      <c r="KG11" s="151">
        <f t="shared" si="534"/>
        <v>-0.46026189451421651</v>
      </c>
      <c r="KH11" s="134">
        <f t="shared" si="535"/>
        <v>2.5604954599552787</v>
      </c>
      <c r="KI11" s="151">
        <f t="shared" si="536"/>
        <v>5.7956193413261641</v>
      </c>
      <c r="KJ11" s="151">
        <f t="shared" si="157"/>
        <v>8.8680539913631033</v>
      </c>
      <c r="KK11" s="151">
        <f t="shared" si="158"/>
        <v>10.782877953989894</v>
      </c>
      <c r="KL11" s="151">
        <f t="shared" si="159"/>
        <v>12.486368960416799</v>
      </c>
      <c r="KM11" s="151">
        <f t="shared" si="160"/>
        <v>14.515459145422904</v>
      </c>
      <c r="KN11" s="163"/>
      <c r="KO11" s="164">
        <v>1.6</v>
      </c>
      <c r="KP11" s="151">
        <f t="shared" si="161"/>
        <v>-9.8209715968610247</v>
      </c>
      <c r="KQ11" s="151">
        <f t="shared" si="162"/>
        <v>-8.064338002544277</v>
      </c>
      <c r="KR11" s="151">
        <f t="shared" si="163"/>
        <v>-6.56500712974238</v>
      </c>
      <c r="KS11" s="151">
        <f t="shared" si="537"/>
        <v>-4.8478553455157787</v>
      </c>
      <c r="KT11" s="151">
        <f t="shared" si="538"/>
        <v>-2.0070251237880754</v>
      </c>
      <c r="KU11" s="134">
        <f t="shared" si="539"/>
        <v>1.1296179340703212</v>
      </c>
      <c r="KV11" s="151">
        <f t="shared" si="540"/>
        <v>4.2397160451219165</v>
      </c>
      <c r="KW11" s="151">
        <f t="shared" si="164"/>
        <v>7.0105005003671366</v>
      </c>
      <c r="KX11" s="151">
        <f t="shared" si="165"/>
        <v>8.6635029135326391</v>
      </c>
      <c r="KY11" s="151">
        <f t="shared" si="166"/>
        <v>10.09275942271422</v>
      </c>
      <c r="KZ11" s="151">
        <f t="shared" si="167"/>
        <v>11.749650394606736</v>
      </c>
      <c r="LA11" s="163"/>
      <c r="LB11" s="164">
        <v>1.5</v>
      </c>
      <c r="LC11" s="151">
        <f t="shared" si="168"/>
        <v>-22.248860322070492</v>
      </c>
      <c r="LD11" s="151">
        <f t="shared" si="169"/>
        <v>-18.156597278203623</v>
      </c>
      <c r="LE11" s="151">
        <f t="shared" si="170"/>
        <v>-14.473432304133802</v>
      </c>
      <c r="LF11" s="151">
        <f t="shared" si="541"/>
        <v>-10.061013280065765</v>
      </c>
      <c r="LG11" s="151">
        <f t="shared" si="542"/>
        <v>-2.3516040270121437</v>
      </c>
      <c r="LH11" s="134">
        <f t="shared" si="543"/>
        <v>6.6898951329753515</v>
      </c>
      <c r="LI11" s="151">
        <f t="shared" si="544"/>
        <v>16.144191425471448</v>
      </c>
      <c r="LJ11" s="151">
        <f t="shared" si="171"/>
        <v>24.939531944672353</v>
      </c>
      <c r="LK11" s="151">
        <f t="shared" si="172"/>
        <v>30.342303732471073</v>
      </c>
      <c r="LL11" s="151">
        <f t="shared" si="173"/>
        <v>35.102897669887547</v>
      </c>
      <c r="LM11" s="151">
        <f t="shared" si="174"/>
        <v>40.721292358493606</v>
      </c>
      <c r="LN11" s="163"/>
      <c r="LO11" s="164">
        <v>1.5</v>
      </c>
      <c r="LP11" s="151">
        <f t="shared" si="175"/>
        <v>-20.200846474446045</v>
      </c>
      <c r="LQ11" s="151">
        <f t="shared" si="176"/>
        <v>-16.193332496985569</v>
      </c>
      <c r="LR11" s="151">
        <f t="shared" si="177"/>
        <v>-12.531397766554107</v>
      </c>
      <c r="LS11" s="151">
        <f t="shared" si="545"/>
        <v>-8.093315944365191</v>
      </c>
      <c r="LT11" s="151">
        <f t="shared" si="546"/>
        <v>-0.23910664404729687</v>
      </c>
      <c r="LU11" s="134">
        <f t="shared" si="547"/>
        <v>9.0919071916751228</v>
      </c>
      <c r="LV11" s="151">
        <f t="shared" si="548"/>
        <v>18.951898580747123</v>
      </c>
      <c r="LW11" s="151">
        <f t="shared" si="178"/>
        <v>28.198828095539032</v>
      </c>
      <c r="LX11" s="151">
        <f t="shared" si="179"/>
        <v>33.908752331128014</v>
      </c>
      <c r="LY11" s="151">
        <f t="shared" si="180"/>
        <v>38.956604102175547</v>
      </c>
      <c r="LZ11" s="151">
        <f t="shared" si="181"/>
        <v>44.932307882637758</v>
      </c>
      <c r="MA11" s="163"/>
      <c r="MB11" s="164">
        <v>1.6</v>
      </c>
      <c r="MC11" s="151">
        <f t="shared" si="182"/>
        <v>-22.975293163205457</v>
      </c>
      <c r="MD11" s="151">
        <f t="shared" si="183"/>
        <v>-18.81551161570707</v>
      </c>
      <c r="ME11" s="151">
        <f t="shared" si="184"/>
        <v>-15.134057083912943</v>
      </c>
      <c r="MF11" s="151">
        <f t="shared" si="549"/>
        <v>-10.788412700018732</v>
      </c>
      <c r="MG11" s="151">
        <f t="shared" si="550"/>
        <v>-3.3342712547721405</v>
      </c>
      <c r="MH11" s="134">
        <f t="shared" si="551"/>
        <v>5.228116316329249</v>
      </c>
      <c r="MI11" s="151">
        <f t="shared" si="552"/>
        <v>14.016378508380505</v>
      </c>
      <c r="MJ11" s="151">
        <f t="shared" si="185"/>
        <v>22.067791797778519</v>
      </c>
      <c r="MK11" s="151">
        <f t="shared" si="186"/>
        <v>26.962336440535481</v>
      </c>
      <c r="ML11" s="151">
        <f t="shared" si="187"/>
        <v>31.246014670773313</v>
      </c>
      <c r="MM11" s="151">
        <f t="shared" si="188"/>
        <v>36.269172510719152</v>
      </c>
      <c r="MN11" s="163"/>
      <c r="MO11" s="164">
        <v>1.5</v>
      </c>
      <c r="MP11" s="151">
        <f t="shared" si="189"/>
        <v>-24.642347191740772</v>
      </c>
      <c r="MQ11" s="151">
        <f t="shared" si="190"/>
        <v>-19.464071498083332</v>
      </c>
      <c r="MR11" s="151">
        <f t="shared" si="191"/>
        <v>-14.969918334645985</v>
      </c>
      <c r="MS11" s="151">
        <f t="shared" si="553"/>
        <v>-9.7518706158596125</v>
      </c>
      <c r="MT11" s="151">
        <f t="shared" si="554"/>
        <v>-0.97773922846591432</v>
      </c>
      <c r="MU11" s="134">
        <f t="shared" si="555"/>
        <v>8.8832056857673365</v>
      </c>
      <c r="MV11" s="151">
        <f t="shared" si="556"/>
        <v>18.812951812607068</v>
      </c>
      <c r="MW11" s="151">
        <f t="shared" si="192"/>
        <v>27.77071890171073</v>
      </c>
      <c r="MX11" s="151">
        <f t="shared" si="193"/>
        <v>33.159981584171625</v>
      </c>
      <c r="MY11" s="151">
        <f t="shared" si="194"/>
        <v>37.845156157420085</v>
      </c>
      <c r="MZ11" s="151">
        <f t="shared" si="195"/>
        <v>43.304486462172314</v>
      </c>
      <c r="NA11" s="163"/>
      <c r="NB11" s="164">
        <v>1.5</v>
      </c>
      <c r="NC11" s="151">
        <f t="shared" si="196"/>
        <v>-25.780952787400114</v>
      </c>
      <c r="ND11" s="151">
        <f t="shared" si="197"/>
        <v>-20.79416327326339</v>
      </c>
      <c r="NE11" s="151">
        <f t="shared" si="198"/>
        <v>-16.364012825323631</v>
      </c>
      <c r="NF11" s="151">
        <f t="shared" si="557"/>
        <v>-11.161792965565429</v>
      </c>
      <c r="NG11" s="151">
        <f t="shared" si="558"/>
        <v>-2.3298956941334232</v>
      </c>
      <c r="NH11" s="134">
        <f t="shared" si="559"/>
        <v>7.6755194474610455</v>
      </c>
      <c r="NI11" s="151">
        <f t="shared" si="560"/>
        <v>17.8075611837947</v>
      </c>
      <c r="NJ11" s="151">
        <f t="shared" si="199"/>
        <v>26.983893134273675</v>
      </c>
      <c r="NK11" s="151">
        <f t="shared" si="200"/>
        <v>32.518034402406741</v>
      </c>
      <c r="NL11" s="151">
        <f t="shared" si="201"/>
        <v>37.336265676434692</v>
      </c>
      <c r="NM11" s="151">
        <f t="shared" si="202"/>
        <v>42.958177016879887</v>
      </c>
      <c r="NN11" s="163"/>
      <c r="NO11" s="164">
        <v>1.6</v>
      </c>
      <c r="NP11" s="151">
        <f t="shared" si="203"/>
        <v>-29.284320412729627</v>
      </c>
      <c r="NQ11" s="151">
        <f t="shared" si="204"/>
        <v>-24.391977207903253</v>
      </c>
      <c r="NR11" s="151">
        <f t="shared" si="205"/>
        <v>-20.176366125724108</v>
      </c>
      <c r="NS11" s="151">
        <f t="shared" si="561"/>
        <v>-15.309473034798796</v>
      </c>
      <c r="NT11" s="151">
        <f t="shared" si="562"/>
        <v>-7.1788840213416059</v>
      </c>
      <c r="NU11" s="134">
        <f t="shared" si="563"/>
        <v>1.896521056416276</v>
      </c>
      <c r="NV11" s="151">
        <f t="shared" si="564"/>
        <v>10.982623479656887</v>
      </c>
      <c r="NW11" s="151">
        <f t="shared" si="206"/>
        <v>19.142002331885635</v>
      </c>
      <c r="NX11" s="151">
        <f t="shared" si="207"/>
        <v>24.036104841601698</v>
      </c>
      <c r="NY11" s="151">
        <f t="shared" si="208"/>
        <v>28.282601489173963</v>
      </c>
      <c r="NZ11" s="151">
        <f t="shared" si="209"/>
        <v>33.221811062132794</v>
      </c>
      <c r="OA11" s="163"/>
      <c r="OB11" s="164">
        <v>1.5</v>
      </c>
      <c r="OC11" s="151">
        <f t="shared" si="210"/>
        <v>13.70816123486464</v>
      </c>
      <c r="OD11" s="151">
        <f t="shared" si="211"/>
        <v>15.33372443969672</v>
      </c>
      <c r="OE11" s="151">
        <f t="shared" si="212"/>
        <v>16.878739490500823</v>
      </c>
      <c r="OF11" s="151">
        <f t="shared" si="565"/>
        <v>18.846064122541947</v>
      </c>
      <c r="OG11" s="151">
        <f t="shared" si="566"/>
        <v>22.62821664239269</v>
      </c>
      <c r="OH11" s="134">
        <f t="shared" si="567"/>
        <v>27.703598595614572</v>
      </c>
      <c r="OI11" s="151">
        <f t="shared" si="568"/>
        <v>33.865022490061179</v>
      </c>
      <c r="OJ11" s="151">
        <f t="shared" si="213"/>
        <v>40.498369651484694</v>
      </c>
      <c r="OK11" s="151">
        <f t="shared" si="214"/>
        <v>45.05626053018829</v>
      </c>
      <c r="OL11" s="151">
        <f t="shared" si="215"/>
        <v>49.405723759832135</v>
      </c>
      <c r="OM11" s="151">
        <f t="shared" si="216"/>
        <v>54.971319776089551</v>
      </c>
      <c r="ON11" s="163"/>
      <c r="OO11" s="164">
        <v>1.5</v>
      </c>
      <c r="OP11" s="151">
        <f t="shared" si="217"/>
        <v>14.217616427166003</v>
      </c>
      <c r="OQ11" s="151">
        <f t="shared" si="218"/>
        <v>15.791209600236582</v>
      </c>
      <c r="OR11" s="151">
        <f t="shared" si="219"/>
        <v>17.288853178271793</v>
      </c>
      <c r="OS11" s="151">
        <f t="shared" si="569"/>
        <v>19.199923881308237</v>
      </c>
      <c r="OT11" s="151">
        <f t="shared" si="570"/>
        <v>22.890351307636209</v>
      </c>
      <c r="OU11" s="134">
        <f t="shared" si="571"/>
        <v>27.883301183844079</v>
      </c>
      <c r="OV11" s="151">
        <f t="shared" si="572"/>
        <v>34.014659131356481</v>
      </c>
      <c r="OW11" s="151">
        <f t="shared" si="220"/>
        <v>40.705897501240045</v>
      </c>
      <c r="OX11" s="151">
        <f t="shared" si="221"/>
        <v>45.358569220334523</v>
      </c>
      <c r="OY11" s="151">
        <f t="shared" si="222"/>
        <v>49.840170735735349</v>
      </c>
      <c r="OZ11" s="151">
        <f t="shared" si="223"/>
        <v>55.633732319358728</v>
      </c>
      <c r="PA11" s="163"/>
      <c r="PB11" s="164">
        <v>1.6</v>
      </c>
      <c r="PC11" s="151">
        <f t="shared" si="224"/>
        <v>15.464280519900134</v>
      </c>
      <c r="PD11" s="151">
        <f t="shared" si="225"/>
        <v>17.395259483257551</v>
      </c>
      <c r="PE11" s="151">
        <f t="shared" si="226"/>
        <v>19.216131434376603</v>
      </c>
      <c r="PF11" s="151">
        <f t="shared" si="573"/>
        <v>21.513930021493707</v>
      </c>
      <c r="PG11" s="151">
        <f t="shared" si="574"/>
        <v>25.866216256799415</v>
      </c>
      <c r="PH11" s="134">
        <f t="shared" si="575"/>
        <v>31.576771962984161</v>
      </c>
      <c r="PI11" s="151">
        <f t="shared" si="576"/>
        <v>38.32384396347755</v>
      </c>
      <c r="PJ11" s="151">
        <f t="shared" si="227"/>
        <v>45.382285947840444</v>
      </c>
      <c r="PK11" s="151">
        <f t="shared" si="228"/>
        <v>50.120444835127834</v>
      </c>
      <c r="PL11" s="151">
        <f t="shared" si="229"/>
        <v>54.56394776144262</v>
      </c>
      <c r="PM11" s="151">
        <f t="shared" si="230"/>
        <v>60.14684344221525</v>
      </c>
      <c r="PN11" s="163"/>
      <c r="PO11" s="164">
        <v>1.5</v>
      </c>
      <c r="PP11" s="151">
        <f t="shared" si="231"/>
        <v>7.0075560520686668</v>
      </c>
      <c r="PQ11" s="151">
        <f t="shared" si="232"/>
        <v>7.7730328244427458</v>
      </c>
      <c r="PR11" s="151">
        <f t="shared" si="233"/>
        <v>8.4843809592743984</v>
      </c>
      <c r="PS11" s="151">
        <f t="shared" si="577"/>
        <v>9.3691197964514945</v>
      </c>
      <c r="PT11" s="151">
        <f t="shared" si="578"/>
        <v>11.010613796227952</v>
      </c>
      <c r="PU11" s="134">
        <f t="shared" si="579"/>
        <v>13.107426498026204</v>
      </c>
      <c r="PV11" s="151">
        <f t="shared" si="580"/>
        <v>15.517024637827625</v>
      </c>
      <c r="PW11" s="151">
        <f t="shared" si="234"/>
        <v>17.973481587859069</v>
      </c>
      <c r="PX11" s="151">
        <f t="shared" si="235"/>
        <v>19.591103082918977</v>
      </c>
      <c r="PY11" s="151">
        <f t="shared" si="236"/>
        <v>21.087955308462089</v>
      </c>
      <c r="PZ11" s="151">
        <f t="shared" si="237"/>
        <v>22.943627936719839</v>
      </c>
      <c r="QA11" s="163"/>
      <c r="QB11" s="164">
        <v>1.5</v>
      </c>
      <c r="QC11" s="151">
        <f t="shared" si="238"/>
        <v>7.2411805230970137</v>
      </c>
      <c r="QD11" s="151">
        <f t="shared" si="239"/>
        <v>7.9706617891321585</v>
      </c>
      <c r="QE11" s="151">
        <f t="shared" si="240"/>
        <v>8.652571823840697</v>
      </c>
      <c r="QF11" s="151">
        <f t="shared" si="581"/>
        <v>9.50650431466104</v>
      </c>
      <c r="QG11" s="151">
        <f t="shared" si="582"/>
        <v>11.108970677793424</v>
      </c>
      <c r="QH11" s="134">
        <f t="shared" si="583"/>
        <v>13.191827056441179</v>
      </c>
      <c r="QI11" s="151">
        <f t="shared" si="584"/>
        <v>15.63639928319963</v>
      </c>
      <c r="QJ11" s="151">
        <f t="shared" si="241"/>
        <v>18.184927603022139</v>
      </c>
      <c r="QK11" s="151">
        <f t="shared" si="242"/>
        <v>19.894080936710548</v>
      </c>
      <c r="QL11" s="151">
        <f t="shared" si="243"/>
        <v>21.497270845197729</v>
      </c>
      <c r="QM11" s="151">
        <f t="shared" si="244"/>
        <v>23.513335379317009</v>
      </c>
      <c r="QN11" s="163"/>
      <c r="QO11" s="164">
        <v>1.6</v>
      </c>
      <c r="QP11" s="151">
        <f t="shared" si="245"/>
        <v>7.3402801798981283</v>
      </c>
      <c r="QQ11" s="151">
        <f t="shared" si="246"/>
        <v>8.2036132339324244</v>
      </c>
      <c r="QR11" s="151">
        <f t="shared" si="247"/>
        <v>8.9986947110426758</v>
      </c>
      <c r="QS11" s="151">
        <f t="shared" si="585"/>
        <v>9.9778802812148637</v>
      </c>
      <c r="QT11" s="151">
        <f t="shared" si="586"/>
        <v>11.766705946845299</v>
      </c>
      <c r="QU11" s="134">
        <f t="shared" si="587"/>
        <v>14.001535485799714</v>
      </c>
      <c r="QV11" s="151">
        <f t="shared" si="588"/>
        <v>16.50563218801523</v>
      </c>
      <c r="QW11" s="151">
        <f t="shared" si="248"/>
        <v>18.994411745582497</v>
      </c>
      <c r="QX11" s="151">
        <f t="shared" si="249"/>
        <v>20.601067538234133</v>
      </c>
      <c r="QY11" s="151">
        <f t="shared" si="250"/>
        <v>22.066603270087192</v>
      </c>
      <c r="QZ11" s="151">
        <f t="shared" si="251"/>
        <v>23.856946312017065</v>
      </c>
      <c r="RA11" s="163"/>
      <c r="RB11" s="164">
        <v>1.5</v>
      </c>
      <c r="RC11" s="151">
        <f t="shared" si="252"/>
        <v>0.26293201671037847</v>
      </c>
      <c r="RD11" s="151">
        <f t="shared" si="253"/>
        <v>0.28727775767302605</v>
      </c>
      <c r="RE11" s="151">
        <f t="shared" si="254"/>
        <v>0.31031529354727505</v>
      </c>
      <c r="RF11" s="151">
        <f t="shared" si="589"/>
        <v>0.33956929794230051</v>
      </c>
      <c r="RG11" s="151">
        <f t="shared" si="590"/>
        <v>0.39575739288901857</v>
      </c>
      <c r="RH11" s="134">
        <f t="shared" si="591"/>
        <v>0.47146151724346719</v>
      </c>
      <c r="RI11" s="151">
        <f t="shared" si="592"/>
        <v>0.56437718390999103</v>
      </c>
      <c r="RJ11" s="151">
        <f t="shared" si="255"/>
        <v>0.66611864408569066</v>
      </c>
      <c r="RK11" s="151">
        <f t="shared" si="256"/>
        <v>0.73722389215752893</v>
      </c>
      <c r="RL11" s="151">
        <f t="shared" si="257"/>
        <v>0.80606392097058588</v>
      </c>
      <c r="RM11" s="151">
        <f t="shared" si="258"/>
        <v>0.89563010693731349</v>
      </c>
      <c r="RN11" s="163"/>
      <c r="RO11" s="164">
        <v>1.5</v>
      </c>
      <c r="RP11" s="151">
        <f t="shared" si="259"/>
        <v>0.27093885857967681</v>
      </c>
      <c r="RQ11" s="151">
        <f t="shared" si="260"/>
        <v>0.29580999185871143</v>
      </c>
      <c r="RR11" s="151">
        <f t="shared" si="261"/>
        <v>0.31944988514184719</v>
      </c>
      <c r="RS11" s="151">
        <f t="shared" si="593"/>
        <v>0.34962052279210254</v>
      </c>
      <c r="RT11" s="151">
        <f t="shared" si="594"/>
        <v>0.40805736195995135</v>
      </c>
      <c r="RU11" s="134">
        <f t="shared" si="595"/>
        <v>0.48782471103878999</v>
      </c>
      <c r="RV11" s="151">
        <f t="shared" si="596"/>
        <v>0.58735722221851827</v>
      </c>
      <c r="RW11" s="151">
        <f t="shared" si="262"/>
        <v>0.69838716556892622</v>
      </c>
      <c r="RX11" s="151">
        <f t="shared" si="263"/>
        <v>0.77723322978130405</v>
      </c>
      <c r="RY11" s="151">
        <f t="shared" si="264"/>
        <v>0.85453124682083093</v>
      </c>
      <c r="RZ11" s="151">
        <f t="shared" si="265"/>
        <v>0.95649896658819633</v>
      </c>
      <c r="SA11" s="163"/>
      <c r="SB11" s="164">
        <v>1.6</v>
      </c>
      <c r="SC11" s="151">
        <f t="shared" si="266"/>
        <v>0.24811942896811209</v>
      </c>
      <c r="SD11" s="151">
        <f t="shared" si="267"/>
        <v>0.27281818776521444</v>
      </c>
      <c r="SE11" s="151">
        <f t="shared" si="268"/>
        <v>0.29604589595421765</v>
      </c>
      <c r="SF11" s="151">
        <f t="shared" si="597"/>
        <v>0.32532593685132977</v>
      </c>
      <c r="SG11" s="151">
        <f t="shared" si="598"/>
        <v>0.3808540536841466</v>
      </c>
      <c r="SH11" s="134">
        <f t="shared" si="599"/>
        <v>0.45415767218936615</v>
      </c>
      <c r="SI11" s="151">
        <f t="shared" si="600"/>
        <v>0.54178885937865395</v>
      </c>
      <c r="SJ11" s="151">
        <f t="shared" si="269"/>
        <v>0.63492984465662727</v>
      </c>
      <c r="SK11" s="151">
        <f t="shared" si="270"/>
        <v>0.6983834496549437</v>
      </c>
      <c r="SL11" s="151">
        <f t="shared" si="271"/>
        <v>0.75860583203917775</v>
      </c>
      <c r="SM11" s="151">
        <f t="shared" si="272"/>
        <v>0.83528027562420937</v>
      </c>
      <c r="SN11" s="163"/>
      <c r="SO11" s="164">
        <v>1.5</v>
      </c>
      <c r="SP11" s="151">
        <f t="shared" si="273"/>
        <v>0.20397475445713131</v>
      </c>
      <c r="SQ11" s="151">
        <f t="shared" si="274"/>
        <v>0.22045175326203106</v>
      </c>
      <c r="SR11" s="151">
        <f t="shared" si="275"/>
        <v>0.23520173921231718</v>
      </c>
      <c r="SS11" s="151">
        <f t="shared" si="276"/>
        <v>0.25287795715908024</v>
      </c>
      <c r="ST11" s="151">
        <f t="shared" si="601"/>
        <v>0.28398019339446401</v>
      </c>
      <c r="SU11" s="134">
        <f t="shared" si="602"/>
        <v>0.32105802982652232</v>
      </c>
      <c r="SV11" s="151">
        <f t="shared" si="603"/>
        <v>0.36071633055426383</v>
      </c>
      <c r="SW11" s="151">
        <f t="shared" si="280"/>
        <v>0.3985249192527156</v>
      </c>
      <c r="SX11" s="151">
        <f t="shared" si="281"/>
        <v>0.42221116118349372</v>
      </c>
      <c r="SY11" s="151">
        <f t="shared" si="282"/>
        <v>0.4433809395765666</v>
      </c>
      <c r="SZ11" s="151">
        <f t="shared" si="283"/>
        <v>0.46873101446259841</v>
      </c>
      <c r="TA11" s="163"/>
      <c r="TB11" s="164">
        <v>1.5</v>
      </c>
      <c r="TC11" s="151">
        <f t="shared" si="284"/>
        <v>0.21235749785001273</v>
      </c>
      <c r="TD11" s="151">
        <f t="shared" si="285"/>
        <v>0.22789703763572886</v>
      </c>
      <c r="TE11" s="151">
        <f t="shared" si="286"/>
        <v>0.24200219905039075</v>
      </c>
      <c r="TF11" s="151">
        <f t="shared" si="604"/>
        <v>0.25915181792487185</v>
      </c>
      <c r="TG11" s="151">
        <f t="shared" si="605"/>
        <v>0.28998956568575546</v>
      </c>
      <c r="TH11" s="134">
        <f t="shared" si="606"/>
        <v>0.32787116677518097</v>
      </c>
      <c r="TI11" s="151">
        <f t="shared" si="607"/>
        <v>0.36975050236678292</v>
      </c>
      <c r="TJ11" s="151">
        <f t="shared" si="287"/>
        <v>0.41099401382258172</v>
      </c>
      <c r="TK11" s="151">
        <f t="shared" si="288"/>
        <v>0.43748869994320905</v>
      </c>
      <c r="TL11" s="151">
        <f t="shared" si="289"/>
        <v>0.46159672450591649</v>
      </c>
      <c r="TM11" s="151">
        <f t="shared" si="290"/>
        <v>0.49099680600454698</v>
      </c>
      <c r="TN11" s="163"/>
      <c r="TO11" s="164">
        <v>1.6</v>
      </c>
      <c r="TP11" s="151">
        <f t="shared" si="291"/>
        <v>0.19771552391492633</v>
      </c>
      <c r="TQ11" s="151">
        <f t="shared" si="292"/>
        <v>0.21382618041498788</v>
      </c>
      <c r="TR11" s="151">
        <f t="shared" si="293"/>
        <v>0.228252988751935</v>
      </c>
      <c r="TS11" s="151">
        <f t="shared" si="608"/>
        <v>0.2455472669139426</v>
      </c>
      <c r="TT11" s="151">
        <f t="shared" si="609"/>
        <v>0.27599000034004822</v>
      </c>
      <c r="TU11" s="134">
        <f t="shared" si="610"/>
        <v>0.31229961177549209</v>
      </c>
      <c r="TV11" s="151">
        <f t="shared" si="611"/>
        <v>0.35115448908615537</v>
      </c>
      <c r="TW11" s="151">
        <f t="shared" si="294"/>
        <v>0.3882120823910139</v>
      </c>
      <c r="TX11" s="151">
        <f t="shared" si="295"/>
        <v>0.41143437244712555</v>
      </c>
      <c r="TY11" s="151">
        <f t="shared" si="296"/>
        <v>0.43219334920185365</v>
      </c>
      <c r="TZ11" s="151">
        <f t="shared" si="297"/>
        <v>0.45705593801865835</v>
      </c>
      <c r="UA11" s="163"/>
      <c r="UB11" s="164">
        <v>1.5</v>
      </c>
      <c r="UC11" s="151">
        <f t="shared" si="298"/>
        <v>-27.163035670745494</v>
      </c>
      <c r="UD11" s="151">
        <f t="shared" si="299"/>
        <v>-23.375598402808826</v>
      </c>
      <c r="UE11" s="151">
        <f t="shared" si="300"/>
        <v>-20.233459995816922</v>
      </c>
      <c r="UF11" s="151">
        <f t="shared" si="612"/>
        <v>-16.724363375973155</v>
      </c>
      <c r="UG11" s="151">
        <f t="shared" si="613"/>
        <v>-11.100561162033792</v>
      </c>
      <c r="UH11" s="134">
        <f t="shared" si="614"/>
        <v>-5.1145296982473454</v>
      </c>
      <c r="UI11" s="151">
        <f t="shared" si="615"/>
        <v>0.62572410679919699</v>
      </c>
      <c r="UJ11" s="151">
        <f t="shared" si="301"/>
        <v>5.5988468693741851</v>
      </c>
      <c r="UK11" s="151">
        <f t="shared" si="302"/>
        <v>8.5092952548065881</v>
      </c>
      <c r="UL11" s="151">
        <f t="shared" si="303"/>
        <v>10.994457097142799</v>
      </c>
      <c r="UM11" s="151">
        <f t="shared" si="304"/>
        <v>13.841231625856963</v>
      </c>
      <c r="UN11" s="163"/>
      <c r="UO11" s="164">
        <v>1.5</v>
      </c>
      <c r="UP11" s="151">
        <f t="shared" si="305"/>
        <v>-26.001896974236477</v>
      </c>
      <c r="UQ11" s="151">
        <f t="shared" si="306"/>
        <v>-22.492776189296656</v>
      </c>
      <c r="UR11" s="151">
        <f t="shared" si="307"/>
        <v>-19.492263856576162</v>
      </c>
      <c r="US11" s="151">
        <f t="shared" si="616"/>
        <v>-16.048163183255852</v>
      </c>
      <c r="UT11" s="151">
        <f t="shared" si="617"/>
        <v>-10.331144410891994</v>
      </c>
      <c r="UU11" s="134">
        <f t="shared" si="618"/>
        <v>-3.9914476318090131</v>
      </c>
      <c r="UV11" s="151">
        <f t="shared" si="619"/>
        <v>2.3213694096899431</v>
      </c>
      <c r="UW11" s="151">
        <f t="shared" si="308"/>
        <v>7.9663518803710716</v>
      </c>
      <c r="UX11" s="151">
        <f t="shared" si="309"/>
        <v>11.342861004379962</v>
      </c>
      <c r="UY11" s="151">
        <f t="shared" si="310"/>
        <v>14.267392705963466</v>
      </c>
      <c r="UZ11" s="151">
        <f t="shared" si="311"/>
        <v>17.663359213557541</v>
      </c>
      <c r="VA11" s="163"/>
      <c r="VB11" s="164">
        <v>1.6</v>
      </c>
      <c r="VC11" s="151">
        <f t="shared" si="312"/>
        <v>-29.741557163664318</v>
      </c>
      <c r="VD11" s="151">
        <f t="shared" si="313"/>
        <v>-25.414124195823888</v>
      </c>
      <c r="VE11" s="151">
        <f t="shared" si="314"/>
        <v>-21.927488335679172</v>
      </c>
      <c r="VF11" s="151">
        <f t="shared" si="620"/>
        <v>-18.124168987387037</v>
      </c>
      <c r="VG11" s="151">
        <f t="shared" si="621"/>
        <v>-12.191453681874208</v>
      </c>
      <c r="VH11" s="134">
        <f t="shared" si="622"/>
        <v>-6.054141167307094</v>
      </c>
      <c r="VI11" s="151">
        <f t="shared" si="623"/>
        <v>-0.30782606340728336</v>
      </c>
      <c r="VJ11" s="151">
        <f t="shared" si="315"/>
        <v>4.5783368057995375</v>
      </c>
      <c r="VK11" s="151">
        <f t="shared" si="316"/>
        <v>7.402967123282437</v>
      </c>
      <c r="VL11" s="151">
        <f t="shared" si="317"/>
        <v>9.7961821007246357</v>
      </c>
      <c r="VM11" s="151">
        <f t="shared" si="318"/>
        <v>12.517845492859266</v>
      </c>
      <c r="VN11" s="163"/>
      <c r="VO11" s="164">
        <v>1.5</v>
      </c>
      <c r="VP11" s="151">
        <f t="shared" si="319"/>
        <v>-46.68746243596437</v>
      </c>
      <c r="VQ11" s="151">
        <f t="shared" si="320"/>
        <v>-42.925536323516603</v>
      </c>
      <c r="VR11" s="151">
        <f t="shared" si="321"/>
        <v>-39.237617181586863</v>
      </c>
      <c r="VS11" s="151">
        <f t="shared" si="624"/>
        <v>-34.491922759851334</v>
      </c>
      <c r="VT11" s="151">
        <f t="shared" si="625"/>
        <v>-25.457284455941881</v>
      </c>
      <c r="VU11" s="134">
        <f t="shared" si="626"/>
        <v>-13.827921140467517</v>
      </c>
      <c r="VV11" s="151">
        <f t="shared" si="627"/>
        <v>-0.64196625076327507</v>
      </c>
      <c r="VW11" s="151">
        <f t="shared" si="322"/>
        <v>12.453466538250133</v>
      </c>
      <c r="VX11" s="151">
        <f t="shared" si="323"/>
        <v>20.858130713508935</v>
      </c>
      <c r="VY11" s="151">
        <f t="shared" si="324"/>
        <v>28.476563970067112</v>
      </c>
      <c r="VZ11" s="151">
        <f t="shared" si="325"/>
        <v>37.711666851572708</v>
      </c>
      <c r="WA11" s="163"/>
      <c r="WB11" s="164">
        <v>1.5</v>
      </c>
      <c r="WC11" s="151">
        <f t="shared" si="326"/>
        <v>-45.093654034043681</v>
      </c>
      <c r="WD11" s="151">
        <f t="shared" si="327"/>
        <v>-41.73831002621224</v>
      </c>
      <c r="WE11" s="151">
        <f t="shared" si="328"/>
        <v>-38.192550107772675</v>
      </c>
      <c r="WF11" s="151">
        <f t="shared" si="628"/>
        <v>-33.401146127296322</v>
      </c>
      <c r="WG11" s="151">
        <f t="shared" si="629"/>
        <v>-23.84425633429294</v>
      </c>
      <c r="WH11" s="134">
        <f t="shared" si="630"/>
        <v>-11.043152742849479</v>
      </c>
      <c r="WI11" s="151">
        <f t="shared" si="631"/>
        <v>3.8782582040905851</v>
      </c>
      <c r="WJ11" s="151">
        <f t="shared" si="329"/>
        <v>18.975530478168459</v>
      </c>
      <c r="WK11" s="151">
        <f t="shared" si="330"/>
        <v>28.771609375507744</v>
      </c>
      <c r="WL11" s="151">
        <f t="shared" si="331"/>
        <v>37.709029064836507</v>
      </c>
      <c r="WM11" s="151">
        <f t="shared" si="332"/>
        <v>48.60538646840758</v>
      </c>
      <c r="WN11" s="163"/>
      <c r="WO11" s="164">
        <v>1.6</v>
      </c>
      <c r="WP11" s="151">
        <f t="shared" si="333"/>
        <v>-48.255165403649919</v>
      </c>
      <c r="WQ11" s="151">
        <f t="shared" si="334"/>
        <v>-44.344564679941918</v>
      </c>
      <c r="WR11" s="151">
        <f t="shared" si="335"/>
        <v>-40.532920992993255</v>
      </c>
      <c r="WS11" s="151">
        <f t="shared" si="632"/>
        <v>-35.678822778435872</v>
      </c>
      <c r="WT11" s="151">
        <f t="shared" si="633"/>
        <v>-26.599189550471692</v>
      </c>
      <c r="WU11" s="134">
        <f t="shared" si="634"/>
        <v>-15.185298069244908</v>
      </c>
      <c r="WV11" s="151">
        <f t="shared" si="635"/>
        <v>-2.5473423122047336</v>
      </c>
      <c r="WW11" s="151">
        <f t="shared" si="336"/>
        <v>9.74431563779671</v>
      </c>
      <c r="WX11" s="151">
        <f t="shared" si="337"/>
        <v>17.51776863954769</v>
      </c>
      <c r="WY11" s="151">
        <f t="shared" si="338"/>
        <v>24.495181220713924</v>
      </c>
      <c r="WZ11" s="151">
        <f t="shared" si="339"/>
        <v>32.873491774401877</v>
      </c>
      <c r="XA11" s="163"/>
      <c r="XB11" s="164">
        <v>1.5</v>
      </c>
      <c r="XC11" s="151">
        <f t="shared" si="340"/>
        <v>-51.085280521571661</v>
      </c>
      <c r="XD11" s="151">
        <f t="shared" si="341"/>
        <v>-46.496104705107768</v>
      </c>
      <c r="XE11" s="151">
        <f t="shared" si="342"/>
        <v>-42.052071898937179</v>
      </c>
      <c r="XF11" s="151">
        <f t="shared" si="636"/>
        <v>-36.475384088569172</v>
      </c>
      <c r="XG11" s="151">
        <f t="shared" si="637"/>
        <v>-26.289287786227263</v>
      </c>
      <c r="XH11" s="134">
        <f t="shared" si="638"/>
        <v>-13.864155881804429</v>
      </c>
      <c r="XI11" s="151">
        <f t="shared" si="639"/>
        <v>-0.49463464253348377</v>
      </c>
      <c r="XJ11" s="151">
        <f t="shared" si="343"/>
        <v>12.197273078914343</v>
      </c>
      <c r="XK11" s="151">
        <f t="shared" si="344"/>
        <v>20.091129046644433</v>
      </c>
      <c r="XL11" s="151">
        <f t="shared" si="345"/>
        <v>27.09958806394301</v>
      </c>
      <c r="XM11" s="151">
        <f t="shared" si="346"/>
        <v>35.427895724941841</v>
      </c>
      <c r="XN11" s="163"/>
      <c r="XO11" s="164">
        <v>1.5</v>
      </c>
      <c r="XP11" s="151">
        <f t="shared" si="347"/>
        <v>-51.255880150446302</v>
      </c>
      <c r="XQ11" s="151">
        <f t="shared" si="348"/>
        <v>-47.082339069855053</v>
      </c>
      <c r="XR11" s="151">
        <f t="shared" si="349"/>
        <v>-42.577067004411226</v>
      </c>
      <c r="XS11" s="151">
        <f t="shared" si="640"/>
        <v>-36.720724954603376</v>
      </c>
      <c r="XT11" s="151">
        <f t="shared" si="641"/>
        <v>-25.794746056855487</v>
      </c>
      <c r="XU11" s="134">
        <f t="shared" si="642"/>
        <v>-12.31365136858966</v>
      </c>
      <c r="XV11" s="151">
        <f t="shared" si="643"/>
        <v>2.2576629464738787</v>
      </c>
      <c r="XW11" s="151">
        <f t="shared" si="350"/>
        <v>16.109621528188633</v>
      </c>
      <c r="XX11" s="151">
        <f t="shared" si="351"/>
        <v>24.726179428155881</v>
      </c>
      <c r="XY11" s="151">
        <f t="shared" si="352"/>
        <v>32.374796487646286</v>
      </c>
      <c r="XZ11" s="151">
        <f t="shared" si="353"/>
        <v>41.460612874454434</v>
      </c>
      <c r="YA11" s="163"/>
      <c r="YB11" s="164">
        <v>1.6</v>
      </c>
      <c r="YC11" s="151">
        <f t="shared" si="354"/>
        <v>-51.382242496907381</v>
      </c>
      <c r="YD11" s="151">
        <f t="shared" si="355"/>
        <v>-47.111016482930729</v>
      </c>
      <c r="YE11" s="151">
        <f t="shared" si="356"/>
        <v>-43.074834115766656</v>
      </c>
      <c r="YF11" s="151">
        <f t="shared" si="644"/>
        <v>-38.102182200743691</v>
      </c>
      <c r="YG11" s="151">
        <f t="shared" si="645"/>
        <v>-29.201443917891925</v>
      </c>
      <c r="YH11" s="134">
        <f t="shared" si="646"/>
        <v>-18.56423086769292</v>
      </c>
      <c r="YI11" s="151">
        <f t="shared" si="647"/>
        <v>-7.3097026095402242</v>
      </c>
      <c r="YJ11" s="151">
        <f t="shared" si="357"/>
        <v>3.2354454999935953</v>
      </c>
      <c r="YK11" s="151">
        <f t="shared" si="358"/>
        <v>9.7380718002380107</v>
      </c>
      <c r="YL11" s="151">
        <f t="shared" si="359"/>
        <v>15.479925508778585</v>
      </c>
      <c r="YM11" s="151">
        <f t="shared" si="360"/>
        <v>22.268364601209193</v>
      </c>
      <c r="YN11" s="163"/>
      <c r="YO11" s="164">
        <v>1.5</v>
      </c>
      <c r="YP11" s="151">
        <f t="shared" si="361"/>
        <v>17.540681010096595</v>
      </c>
      <c r="YQ11" s="151">
        <f t="shared" si="362"/>
        <v>19.930839873480171</v>
      </c>
      <c r="YR11" s="151">
        <f t="shared" si="363"/>
        <v>22.222417973997761</v>
      </c>
      <c r="YS11" s="151">
        <f t="shared" si="648"/>
        <v>25.164007540837513</v>
      </c>
      <c r="YT11" s="151">
        <f t="shared" si="649"/>
        <v>30.87906669761789</v>
      </c>
      <c r="YU11" s="134">
        <f t="shared" si="650"/>
        <v>38.64101248694746</v>
      </c>
      <c r="YV11" s="151">
        <f t="shared" si="651"/>
        <v>48.163341233724083</v>
      </c>
      <c r="YW11" s="151">
        <f t="shared" si="364"/>
        <v>58.497512481630679</v>
      </c>
      <c r="YX11" s="151">
        <f t="shared" si="365"/>
        <v>65.63292174009699</v>
      </c>
      <c r="YY11" s="151">
        <f t="shared" si="366"/>
        <v>72.461288507630414</v>
      </c>
      <c r="YZ11" s="151">
        <f t="shared" si="367"/>
        <v>81.219530055109303</v>
      </c>
      <c r="ZA11" s="163"/>
      <c r="ZB11" s="164">
        <v>1.5</v>
      </c>
      <c r="ZC11" s="151">
        <f t="shared" si="368"/>
        <v>17.636716751610749</v>
      </c>
      <c r="ZD11" s="151">
        <f t="shared" si="369"/>
        <v>19.920667756479737</v>
      </c>
      <c r="ZE11" s="151">
        <f t="shared" si="370"/>
        <v>22.110262654924611</v>
      </c>
      <c r="ZF11" s="151">
        <f t="shared" si="652"/>
        <v>24.922330677592573</v>
      </c>
      <c r="ZG11" s="151">
        <f t="shared" si="653"/>
        <v>30.394996647647812</v>
      </c>
      <c r="ZH11" s="134">
        <f t="shared" si="654"/>
        <v>37.855987043404582</v>
      </c>
      <c r="ZI11" s="151">
        <f t="shared" si="655"/>
        <v>47.062870669814515</v>
      </c>
      <c r="ZJ11" s="151">
        <f t="shared" si="371"/>
        <v>57.127034844404051</v>
      </c>
      <c r="ZK11" s="151">
        <f t="shared" si="372"/>
        <v>64.120720457157361</v>
      </c>
      <c r="ZL11" s="151">
        <f t="shared" si="373"/>
        <v>70.847457690335233</v>
      </c>
      <c r="ZM11" s="151">
        <f t="shared" si="374"/>
        <v>79.523299929279702</v>
      </c>
      <c r="ZN11" s="163"/>
      <c r="ZO11" s="164">
        <v>1.6</v>
      </c>
      <c r="ZP11" s="151">
        <f t="shared" si="375"/>
        <v>19.849344920997606</v>
      </c>
      <c r="ZQ11" s="151">
        <f t="shared" si="376"/>
        <v>22.437602707720906</v>
      </c>
      <c r="ZR11" s="151">
        <f t="shared" si="377"/>
        <v>24.902108913740939</v>
      </c>
      <c r="ZS11" s="151">
        <f t="shared" si="656"/>
        <v>28.043564396407739</v>
      </c>
      <c r="ZT11" s="151">
        <f t="shared" si="657"/>
        <v>34.084100532165465</v>
      </c>
      <c r="ZU11" s="134">
        <f t="shared" si="658"/>
        <v>42.17471964687293</v>
      </c>
      <c r="ZV11" s="151">
        <f t="shared" si="659"/>
        <v>51.952271030470101</v>
      </c>
      <c r="ZW11" s="151">
        <f t="shared" si="378"/>
        <v>62.410181381304149</v>
      </c>
      <c r="ZX11" s="151">
        <f t="shared" si="379"/>
        <v>69.551238549300905</v>
      </c>
      <c r="ZY11" s="151">
        <f t="shared" si="380"/>
        <v>76.330902517969292</v>
      </c>
      <c r="ZZ11" s="151">
        <f t="shared" si="381"/>
        <v>84.956530516859488</v>
      </c>
      <c r="AAA11" s="163"/>
      <c r="AAB11" s="164">
        <v>1.5</v>
      </c>
      <c r="AAC11" s="151">
        <f t="shared" si="382"/>
        <v>7.4202384389065461</v>
      </c>
      <c r="AAD11" s="151">
        <f t="shared" si="383"/>
        <v>8.3527284844805312</v>
      </c>
      <c r="AAE11" s="151">
        <f t="shared" si="384"/>
        <v>9.2326323704888544</v>
      </c>
      <c r="AAF11" s="151">
        <f t="shared" si="660"/>
        <v>10.343730887365881</v>
      </c>
      <c r="AAG11" s="151">
        <f t="shared" si="661"/>
        <v>12.450227818029138</v>
      </c>
      <c r="AAH11" s="134">
        <f t="shared" si="662"/>
        <v>15.217411730281226</v>
      </c>
      <c r="AAI11" s="151">
        <f t="shared" si="663"/>
        <v>18.490843278570704</v>
      </c>
      <c r="AAJ11" s="151">
        <f t="shared" si="385"/>
        <v>21.91918135551132</v>
      </c>
      <c r="AAK11" s="151">
        <f t="shared" si="386"/>
        <v>24.222438987884079</v>
      </c>
      <c r="AAL11" s="151">
        <f t="shared" si="387"/>
        <v>26.383698200109876</v>
      </c>
      <c r="AAM11" s="151">
        <f t="shared" si="388"/>
        <v>29.100689130597221</v>
      </c>
      <c r="AAN11" s="163"/>
      <c r="AAO11" s="164">
        <v>1.5</v>
      </c>
      <c r="AAP11" s="151">
        <f t="shared" si="389"/>
        <v>7.3816631575696601</v>
      </c>
      <c r="AAQ11" s="151">
        <f t="shared" si="390"/>
        <v>8.2782698363836609</v>
      </c>
      <c r="AAR11" s="151">
        <f t="shared" si="391"/>
        <v>9.1316378172108763</v>
      </c>
      <c r="AAS11" s="151">
        <f t="shared" si="664"/>
        <v>10.219668434719425</v>
      </c>
      <c r="AAT11" s="151">
        <f t="shared" si="665"/>
        <v>12.314921443365675</v>
      </c>
      <c r="AAU11" s="134">
        <f t="shared" si="666"/>
        <v>15.132002202158075</v>
      </c>
      <c r="AAV11" s="151">
        <f t="shared" si="667"/>
        <v>18.557579465086423</v>
      </c>
      <c r="AAW11" s="151">
        <f t="shared" si="392"/>
        <v>22.250145610184635</v>
      </c>
      <c r="AAX11" s="151">
        <f t="shared" si="393"/>
        <v>24.789255777580784</v>
      </c>
      <c r="AAY11" s="151">
        <f t="shared" si="394"/>
        <v>27.213268419655886</v>
      </c>
      <c r="AAZ11" s="151">
        <f t="shared" si="395"/>
        <v>30.316091199976814</v>
      </c>
      <c r="ABA11" s="163"/>
      <c r="ABB11" s="164">
        <v>1.6</v>
      </c>
      <c r="ABC11" s="151">
        <f t="shared" si="396"/>
        <v>7.7796517633519429</v>
      </c>
      <c r="ABD11" s="151">
        <f t="shared" si="397"/>
        <v>8.8192879495475758</v>
      </c>
      <c r="ABE11" s="151">
        <f t="shared" si="398"/>
        <v>9.7948171919064304</v>
      </c>
      <c r="ABF11" s="151">
        <f t="shared" si="668"/>
        <v>11.01870827467245</v>
      </c>
      <c r="ABG11" s="151">
        <f t="shared" si="669"/>
        <v>13.314260520301914</v>
      </c>
      <c r="ABH11" s="134">
        <f t="shared" si="670"/>
        <v>16.281456927019352</v>
      </c>
      <c r="ABI11" s="151">
        <f t="shared" si="671"/>
        <v>19.724775401353252</v>
      </c>
      <c r="ABJ11" s="151">
        <f t="shared" si="399"/>
        <v>23.259949240677535</v>
      </c>
      <c r="ABK11" s="151">
        <f t="shared" si="400"/>
        <v>25.597490209996486</v>
      </c>
      <c r="ABL11" s="151">
        <f t="shared" si="401"/>
        <v>27.765462104376798</v>
      </c>
      <c r="ABM11" s="151">
        <f t="shared" si="402"/>
        <v>30.45809942461435</v>
      </c>
      <c r="ABN11" s="163"/>
      <c r="ABO11" s="164">
        <v>1.5</v>
      </c>
      <c r="ABP11" s="151">
        <f t="shared" si="403"/>
        <v>0.15881354263729613</v>
      </c>
      <c r="ABQ11" s="151">
        <f t="shared" si="404"/>
        <v>0.18626331591049083</v>
      </c>
      <c r="ABR11" s="151">
        <f t="shared" si="405"/>
        <v>0.21250756260263179</v>
      </c>
      <c r="ABS11" s="151">
        <f t="shared" si="672"/>
        <v>0.24599960783810593</v>
      </c>
      <c r="ABT11" s="151">
        <f t="shared" si="673"/>
        <v>0.31021021687493777</v>
      </c>
      <c r="ABU11" s="134">
        <f t="shared" si="674"/>
        <v>0.39530262307185604</v>
      </c>
      <c r="ABV11" s="151">
        <f t="shared" si="675"/>
        <v>0.49626313744738415</v>
      </c>
      <c r="ABW11" s="151">
        <f t="shared" si="406"/>
        <v>0.60177852197715975</v>
      </c>
      <c r="ABX11" s="151">
        <f t="shared" si="407"/>
        <v>0.67236677636499032</v>
      </c>
      <c r="ABY11" s="151">
        <f t="shared" si="408"/>
        <v>0.73832029292630641</v>
      </c>
      <c r="ABZ11" s="151">
        <f t="shared" si="409"/>
        <v>0.82079672904879564</v>
      </c>
      <c r="ACA11" s="163"/>
      <c r="ACB11" s="164">
        <v>1.5</v>
      </c>
      <c r="ACC11" s="151">
        <f t="shared" si="410"/>
        <v>0.17238333612147383</v>
      </c>
      <c r="ACD11" s="151">
        <f t="shared" si="411"/>
        <v>0.19946373940275802</v>
      </c>
      <c r="ACE11" s="151">
        <f t="shared" si="412"/>
        <v>0.22560083137125247</v>
      </c>
      <c r="ACF11" s="151">
        <f t="shared" si="676"/>
        <v>0.25933748269643725</v>
      </c>
      <c r="ACG11" s="151">
        <f t="shared" si="677"/>
        <v>0.3252797982143743</v>
      </c>
      <c r="ACH11" s="134">
        <f t="shared" si="678"/>
        <v>0.41528143728697986</v>
      </c>
      <c r="ACI11" s="151">
        <f t="shared" si="679"/>
        <v>0.52589066571300547</v>
      </c>
      <c r="ACJ11" s="151">
        <f t="shared" si="413"/>
        <v>0.64578235298435305</v>
      </c>
      <c r="ACK11" s="151">
        <f t="shared" si="414"/>
        <v>0.7283493003199365</v>
      </c>
      <c r="ACL11" s="151">
        <f t="shared" si="415"/>
        <v>0.80715110381737465</v>
      </c>
      <c r="ACM11" s="151">
        <f t="shared" si="416"/>
        <v>0.90788312376096081</v>
      </c>
      <c r="ACN11" s="163"/>
      <c r="ACO11" s="164">
        <v>1.6</v>
      </c>
      <c r="ACP11" s="151">
        <f t="shared" si="417"/>
        <v>0.1611686029249029</v>
      </c>
      <c r="ACQ11" s="151">
        <f t="shared" si="418"/>
        <v>0.19058374497961392</v>
      </c>
      <c r="ACR11" s="151">
        <f t="shared" si="419"/>
        <v>0.21792127036556377</v>
      </c>
      <c r="ACS11" s="151">
        <f t="shared" si="680"/>
        <v>0.25179095981279498</v>
      </c>
      <c r="ACT11" s="151">
        <f t="shared" si="681"/>
        <v>0.313926222170342</v>
      </c>
      <c r="ACU11" s="134">
        <f t="shared" si="682"/>
        <v>0.39153715397928252</v>
      </c>
      <c r="ACV11" s="151">
        <f t="shared" si="683"/>
        <v>0.4780166925683062</v>
      </c>
      <c r="ACW11" s="151">
        <f t="shared" si="420"/>
        <v>0.56319996696100172</v>
      </c>
      <c r="ACX11" s="151">
        <f t="shared" si="421"/>
        <v>0.61772383283022991</v>
      </c>
      <c r="ACY11" s="151">
        <f t="shared" si="422"/>
        <v>0.6671229161123805</v>
      </c>
      <c r="ACZ11" s="151">
        <f t="shared" si="423"/>
        <v>0.7270287357408598</v>
      </c>
      <c r="ADA11" s="163"/>
      <c r="ADB11" s="164">
        <v>1.5</v>
      </c>
      <c r="ADC11" s="151">
        <f t="shared" si="424"/>
        <v>0.13396251059692402</v>
      </c>
      <c r="ADD11" s="151">
        <f t="shared" si="425"/>
        <v>0.15574961325270745</v>
      </c>
      <c r="ADE11" s="151">
        <f t="shared" si="426"/>
        <v>0.17505737675237254</v>
      </c>
      <c r="ADF11" s="151">
        <f t="shared" si="684"/>
        <v>0.19792687164724085</v>
      </c>
      <c r="ADG11" s="151">
        <f t="shared" si="685"/>
        <v>0.23741955552308247</v>
      </c>
      <c r="ADH11" s="134">
        <f t="shared" si="686"/>
        <v>0.28324745241406657</v>
      </c>
      <c r="ADI11" s="151">
        <f t="shared" si="687"/>
        <v>0.33081232387722465</v>
      </c>
      <c r="ADJ11" s="151">
        <f t="shared" si="427"/>
        <v>0.37484748412212993</v>
      </c>
      <c r="ADK11" s="151">
        <f t="shared" si="428"/>
        <v>0.40182367327495377</v>
      </c>
      <c r="ADL11" s="151">
        <f t="shared" si="429"/>
        <v>0.42555724081169216</v>
      </c>
      <c r="ADM11" s="151">
        <f t="shared" si="430"/>
        <v>0.4535314078676399</v>
      </c>
      <c r="ADN11" s="163"/>
      <c r="ADO11" s="164">
        <v>1.5</v>
      </c>
      <c r="ADP11" s="151">
        <f t="shared" si="431"/>
        <v>0.14465660108405906</v>
      </c>
      <c r="ADQ11" s="151">
        <f t="shared" si="432"/>
        <v>0.16529107283554784</v>
      </c>
      <c r="ADR11" s="151">
        <f t="shared" si="433"/>
        <v>0.183889350246877</v>
      </c>
      <c r="ADS11" s="151">
        <f t="shared" si="688"/>
        <v>0.20628470469607649</v>
      </c>
      <c r="ADT11" s="151">
        <f t="shared" si="689"/>
        <v>0.24585040779011899</v>
      </c>
      <c r="ADU11" s="134">
        <f t="shared" si="690"/>
        <v>0.29309292877092491</v>
      </c>
      <c r="ADV11" s="151">
        <f t="shared" si="691"/>
        <v>0.34352952301545947</v>
      </c>
      <c r="ADW11" s="151">
        <f t="shared" si="434"/>
        <v>0.39141014662277729</v>
      </c>
      <c r="ADX11" s="151">
        <f t="shared" si="435"/>
        <v>0.42127435345610087</v>
      </c>
      <c r="ADY11" s="151">
        <f t="shared" si="436"/>
        <v>0.44786912068361173</v>
      </c>
      <c r="ADZ11" s="151">
        <f t="shared" si="437"/>
        <v>0.47958790951566577</v>
      </c>
      <c r="AEA11" s="163"/>
      <c r="AEB11" s="164">
        <v>1.6</v>
      </c>
      <c r="AEC11" s="151">
        <f t="shared" si="438"/>
        <v>0.1358096191961235</v>
      </c>
      <c r="AED11" s="151">
        <f t="shared" si="439"/>
        <v>0.15901262231208702</v>
      </c>
      <c r="AEE11" s="151">
        <f t="shared" si="440"/>
        <v>0.17885960757182429</v>
      </c>
      <c r="AEF11" s="151">
        <f t="shared" si="692"/>
        <v>0.2016334728389241</v>
      </c>
      <c r="AEG11" s="151">
        <f t="shared" si="693"/>
        <v>0.23940149616528503</v>
      </c>
      <c r="AEH11" s="134">
        <f t="shared" si="694"/>
        <v>0.28121873362501831</v>
      </c>
      <c r="AEI11" s="151">
        <f t="shared" si="695"/>
        <v>0.32278774861449167</v>
      </c>
      <c r="AEJ11" s="151">
        <f t="shared" si="441"/>
        <v>0.35990040804672563</v>
      </c>
      <c r="AEK11" s="151">
        <f t="shared" si="442"/>
        <v>0.38207356778032453</v>
      </c>
      <c r="AEL11" s="151">
        <f t="shared" si="443"/>
        <v>0.40126373516081881</v>
      </c>
      <c r="AEM11" s="151">
        <f t="shared" si="444"/>
        <v>0.42353052252107193</v>
      </c>
      <c r="AEN11" s="163"/>
    </row>
    <row r="12" spans="1:820">
      <c r="A12" s="163"/>
      <c r="B12" s="164">
        <v>1.7</v>
      </c>
      <c r="C12" s="151">
        <f t="shared" si="0"/>
        <v>1.5189783824758034</v>
      </c>
      <c r="D12" s="151">
        <f t="shared" si="1"/>
        <v>1.8253421829911192</v>
      </c>
      <c r="E12" s="151">
        <f t="shared" si="2"/>
        <v>2.1488017905642063</v>
      </c>
      <c r="F12" s="151">
        <f t="shared" si="445"/>
        <v>2.6098441247715618</v>
      </c>
      <c r="G12" s="151">
        <f t="shared" si="446"/>
        <v>3.668825272877033</v>
      </c>
      <c r="H12" s="134">
        <f t="shared" si="447"/>
        <v>5.5094442214891552</v>
      </c>
      <c r="I12" s="151">
        <f t="shared" si="448"/>
        <v>8.5501769549589604</v>
      </c>
      <c r="J12" s="151">
        <f t="shared" si="3"/>
        <v>13.104869070186748</v>
      </c>
      <c r="K12" s="151">
        <f t="shared" si="4"/>
        <v>17.219505710810274</v>
      </c>
      <c r="L12" s="151">
        <f t="shared" si="5"/>
        <v>22.076770192458479</v>
      </c>
      <c r="M12" s="151">
        <f t="shared" si="6"/>
        <v>29.918959353798716</v>
      </c>
      <c r="N12" s="163"/>
      <c r="O12" s="164">
        <v>1.7</v>
      </c>
      <c r="P12" s="151">
        <f t="shared" si="7"/>
        <v>2.287825019931466</v>
      </c>
      <c r="Q12" s="151">
        <f t="shared" si="8"/>
        <v>2.6055306640439144</v>
      </c>
      <c r="R12" s="151">
        <f t="shared" si="9"/>
        <v>2.9305697527772439</v>
      </c>
      <c r="S12" s="151">
        <f t="shared" si="449"/>
        <v>3.3805281992603757</v>
      </c>
      <c r="T12" s="151">
        <f t="shared" si="450"/>
        <v>4.3766423764430877</v>
      </c>
      <c r="U12" s="134">
        <f t="shared" si="451"/>
        <v>6.0487076340921284</v>
      </c>
      <c r="V12" s="151">
        <f t="shared" si="452"/>
        <v>8.7759600458590814</v>
      </c>
      <c r="W12" s="151">
        <f t="shared" si="10"/>
        <v>12.952120190549033</v>
      </c>
      <c r="X12" s="151">
        <f t="shared" si="11"/>
        <v>16.906470930100284</v>
      </c>
      <c r="Y12" s="151">
        <f t="shared" si="12"/>
        <v>21.85642116681289</v>
      </c>
      <c r="Z12" s="151">
        <f t="shared" si="13"/>
        <v>30.596341076813445</v>
      </c>
      <c r="AA12" s="163"/>
      <c r="AB12" s="164">
        <v>1.7</v>
      </c>
      <c r="AC12" s="151">
        <f t="shared" si="14"/>
        <v>1.3303680179059973</v>
      </c>
      <c r="AD12" s="151">
        <f t="shared" si="15"/>
        <v>1.5996700688570815</v>
      </c>
      <c r="AE12" s="151">
        <f t="shared" si="16"/>
        <v>1.8864500168625438</v>
      </c>
      <c r="AF12" s="151">
        <f t="shared" si="453"/>
        <v>2.2995963032938205</v>
      </c>
      <c r="AG12" s="151">
        <f t="shared" si="454"/>
        <v>3.2677265155142354</v>
      </c>
      <c r="AH12" s="134">
        <f t="shared" si="455"/>
        <v>5.0104432423194014</v>
      </c>
      <c r="AI12" s="151">
        <f t="shared" si="456"/>
        <v>8.0403919457608186</v>
      </c>
      <c r="AJ12" s="151">
        <f t="shared" si="17"/>
        <v>12.889306988306613</v>
      </c>
      <c r="AK12" s="151">
        <f t="shared" si="18"/>
        <v>17.555249020890109</v>
      </c>
      <c r="AL12" s="151">
        <f t="shared" si="19"/>
        <v>23.380461266446183</v>
      </c>
      <c r="AM12" s="151">
        <f t="shared" si="20"/>
        <v>33.451764792896576</v>
      </c>
      <c r="AN12" s="163"/>
      <c r="AO12" s="164">
        <v>1.7</v>
      </c>
      <c r="AP12" s="151">
        <f t="shared" si="21"/>
        <v>0.1654923586511865</v>
      </c>
      <c r="AQ12" s="151">
        <f t="shared" si="22"/>
        <v>1.963589197366356</v>
      </c>
      <c r="AR12" s="151">
        <f t="shared" si="23"/>
        <v>3.6797443846715785</v>
      </c>
      <c r="AS12" s="151">
        <f t="shared" si="457"/>
        <v>5.8550234212467318</v>
      </c>
      <c r="AT12" s="151">
        <f t="shared" si="458"/>
        <v>9.9576007110958571</v>
      </c>
      <c r="AU12" s="134">
        <f t="shared" si="459"/>
        <v>15.237186885022563</v>
      </c>
      <c r="AV12" s="151">
        <f t="shared" si="460"/>
        <v>21.271778367250086</v>
      </c>
      <c r="AW12" s="151">
        <f t="shared" si="24"/>
        <v>27.33604496335548</v>
      </c>
      <c r="AX12" s="151">
        <f t="shared" si="25"/>
        <v>31.268712534868374</v>
      </c>
      <c r="AY12" s="151">
        <f t="shared" si="26"/>
        <v>34.861411285100964</v>
      </c>
      <c r="AZ12" s="151">
        <f t="shared" si="27"/>
        <v>39.251986128531343</v>
      </c>
      <c r="BA12" s="163"/>
      <c r="BB12" s="164">
        <v>1.7</v>
      </c>
      <c r="BC12" s="151">
        <f t="shared" si="28"/>
        <v>2.0764639538085907</v>
      </c>
      <c r="BD12" s="151">
        <f t="shared" si="29"/>
        <v>4.2467214902992874</v>
      </c>
      <c r="BE12" s="151">
        <f t="shared" si="30"/>
        <v>6.2643283372502632</v>
      </c>
      <c r="BF12" s="151">
        <f t="shared" si="461"/>
        <v>8.7584564544047758</v>
      </c>
      <c r="BG12" s="151">
        <f t="shared" si="462"/>
        <v>13.305795376583006</v>
      </c>
      <c r="BH12" s="134">
        <f t="shared" si="463"/>
        <v>18.922116121064104</v>
      </c>
      <c r="BI12" s="151">
        <f t="shared" si="464"/>
        <v>25.092806257897312</v>
      </c>
      <c r="BJ12" s="151">
        <f t="shared" si="31"/>
        <v>31.084157657862118</v>
      </c>
      <c r="BK12" s="151">
        <f t="shared" si="32"/>
        <v>34.876479561699433</v>
      </c>
      <c r="BL12" s="151">
        <f t="shared" si="33"/>
        <v>38.285238797979758</v>
      </c>
      <c r="BM12" s="151">
        <f t="shared" si="34"/>
        <v>42.386141084703183</v>
      </c>
      <c r="BN12" s="163"/>
      <c r="BO12" s="164">
        <v>1.7</v>
      </c>
      <c r="BP12" s="151">
        <f t="shared" si="35"/>
        <v>2.7330683374866855</v>
      </c>
      <c r="BQ12" s="151">
        <f t="shared" si="36"/>
        <v>3.5334594756843343</v>
      </c>
      <c r="BR12" s="151">
        <f t="shared" si="37"/>
        <v>4.3738080012149894</v>
      </c>
      <c r="BS12" s="151">
        <f t="shared" si="465"/>
        <v>5.5485668641049308</v>
      </c>
      <c r="BT12" s="151">
        <f t="shared" si="466"/>
        <v>8.1064867560107903</v>
      </c>
      <c r="BU12" s="134">
        <f t="shared" si="467"/>
        <v>12.080416391787065</v>
      </c>
      <c r="BV12" s="151">
        <f t="shared" si="468"/>
        <v>17.606384291551368</v>
      </c>
      <c r="BW12" s="151">
        <f t="shared" si="38"/>
        <v>24.269465288901614</v>
      </c>
      <c r="BX12" s="151">
        <f t="shared" si="39"/>
        <v>29.211300953439789</v>
      </c>
      <c r="BY12" s="151">
        <f t="shared" si="40"/>
        <v>34.168040751069682</v>
      </c>
      <c r="BZ12" s="151">
        <f t="shared" si="41"/>
        <v>40.815929646277887</v>
      </c>
      <c r="CA12" s="163"/>
      <c r="CB12" s="164">
        <v>1.7</v>
      </c>
      <c r="CC12" s="151">
        <f t="shared" si="42"/>
        <v>-5.8399315044832063</v>
      </c>
      <c r="CD12" s="151">
        <f t="shared" si="43"/>
        <v>-4.0125851464843771</v>
      </c>
      <c r="CE12" s="151">
        <f t="shared" si="44"/>
        <v>-2.1001594400571362</v>
      </c>
      <c r="CF12" s="151">
        <f t="shared" si="469"/>
        <v>0.41256930389980973</v>
      </c>
      <c r="CG12" s="151">
        <f t="shared" si="470"/>
        <v>5.2071953528340797</v>
      </c>
      <c r="CH12" s="134">
        <f t="shared" si="471"/>
        <v>11.291019748150877</v>
      </c>
      <c r="CI12" s="151">
        <f t="shared" si="472"/>
        <v>18.035985024696938</v>
      </c>
      <c r="CJ12" s="151">
        <f t="shared" si="45"/>
        <v>24.581972511244238</v>
      </c>
      <c r="CK12" s="151">
        <f t="shared" si="46"/>
        <v>28.710775082498447</v>
      </c>
      <c r="CL12" s="151">
        <f t="shared" si="47"/>
        <v>32.408715601570286</v>
      </c>
      <c r="CM12" s="151">
        <f t="shared" si="48"/>
        <v>36.838746166392575</v>
      </c>
      <c r="CN12" s="163"/>
      <c r="CO12" s="164">
        <v>1.7</v>
      </c>
      <c r="CP12" s="151">
        <f t="shared" si="49"/>
        <v>-1.8358670078928965</v>
      </c>
      <c r="CQ12" s="151">
        <f t="shared" si="50"/>
        <v>0.33671852739935471</v>
      </c>
      <c r="CR12" s="151">
        <f t="shared" si="51"/>
        <v>2.4109630143979244</v>
      </c>
      <c r="CS12" s="151">
        <f t="shared" si="473"/>
        <v>5.0107825681225853</v>
      </c>
      <c r="CT12" s="151">
        <f t="shared" si="474"/>
        <v>9.7876652033853979</v>
      </c>
      <c r="CU12" s="134">
        <f t="shared" si="475"/>
        <v>15.683918682823084</v>
      </c>
      <c r="CV12" s="151">
        <f t="shared" si="476"/>
        <v>22.114240820162458</v>
      </c>
      <c r="CW12" s="151">
        <f t="shared" si="52"/>
        <v>28.294665527653944</v>
      </c>
      <c r="CX12" s="151">
        <f t="shared" si="53"/>
        <v>32.172942405114838</v>
      </c>
      <c r="CY12" s="151">
        <f t="shared" si="54"/>
        <v>35.63680192262229</v>
      </c>
      <c r="CZ12" s="151">
        <f t="shared" si="55"/>
        <v>39.776793923766824</v>
      </c>
      <c r="DA12" s="163"/>
      <c r="DB12" s="164">
        <v>1.7</v>
      </c>
      <c r="DC12" s="151">
        <f t="shared" si="56"/>
        <v>-6.0609163644669177</v>
      </c>
      <c r="DD12" s="151">
        <f t="shared" si="57"/>
        <v>-4.7813193873571818</v>
      </c>
      <c r="DE12" s="151">
        <f t="shared" si="58"/>
        <v>-3.3649985750429177</v>
      </c>
      <c r="DF12" s="151">
        <f t="shared" si="477"/>
        <v>-1.4110105989442685</v>
      </c>
      <c r="DG12" s="151">
        <f t="shared" si="478"/>
        <v>2.5371728889081426</v>
      </c>
      <c r="DH12" s="134">
        <f t="shared" si="479"/>
        <v>7.8545659014651266</v>
      </c>
      <c r="DI12" s="151">
        <f t="shared" si="480"/>
        <v>14.052483424623251</v>
      </c>
      <c r="DJ12" s="151">
        <f t="shared" si="59"/>
        <v>20.309199068634143</v>
      </c>
      <c r="DK12" s="151">
        <f t="shared" si="60"/>
        <v>24.359337706622338</v>
      </c>
      <c r="DL12" s="151">
        <f t="shared" si="61"/>
        <v>28.047610423391806</v>
      </c>
      <c r="DM12" s="151">
        <f t="shared" si="62"/>
        <v>32.535508085262165</v>
      </c>
      <c r="DN12" s="163"/>
      <c r="DO12" s="164">
        <v>1.7</v>
      </c>
      <c r="DP12" s="151">
        <f t="shared" si="63"/>
        <v>15.179625309777425</v>
      </c>
      <c r="DQ12" s="151">
        <f t="shared" si="64"/>
        <v>16.263971513613711</v>
      </c>
      <c r="DR12" s="151">
        <f t="shared" si="65"/>
        <v>17.303847115657007</v>
      </c>
      <c r="DS12" s="151">
        <f t="shared" si="481"/>
        <v>18.647183299175211</v>
      </c>
      <c r="DT12" s="151">
        <f t="shared" si="482"/>
        <v>21.312816374041578</v>
      </c>
      <c r="DU12" s="134">
        <f t="shared" si="483"/>
        <v>25.120063013253496</v>
      </c>
      <c r="DV12" s="151">
        <f t="shared" si="484"/>
        <v>30.20932156794624</v>
      </c>
      <c r="DW12" s="151">
        <f t="shared" si="66"/>
        <v>36.429126416763133</v>
      </c>
      <c r="DX12" s="151">
        <f t="shared" si="67"/>
        <v>41.258597188386958</v>
      </c>
      <c r="DY12" s="151">
        <f t="shared" si="68"/>
        <v>46.378649643857635</v>
      </c>
      <c r="DZ12" s="151">
        <f t="shared" si="69"/>
        <v>53.803780843477796</v>
      </c>
      <c r="EA12" s="163"/>
      <c r="EB12" s="164">
        <v>1.7</v>
      </c>
      <c r="EC12" s="151">
        <f t="shared" si="70"/>
        <v>15.179543809218869</v>
      </c>
      <c r="ED12" s="151">
        <f t="shared" si="71"/>
        <v>16.044200146817193</v>
      </c>
      <c r="EE12" s="151">
        <f t="shared" si="72"/>
        <v>16.853072090714257</v>
      </c>
      <c r="EF12" s="151">
        <f t="shared" si="485"/>
        <v>17.870096164326881</v>
      </c>
      <c r="EG12" s="151">
        <f t="shared" si="486"/>
        <v>19.801869373567367</v>
      </c>
      <c r="EH12" s="134">
        <f t="shared" si="487"/>
        <v>22.382586670036282</v>
      </c>
      <c r="EI12" s="151">
        <f t="shared" si="488"/>
        <v>25.550444512418515</v>
      </c>
      <c r="EJ12" s="151">
        <f t="shared" si="73"/>
        <v>29.055962499736513</v>
      </c>
      <c r="EK12" s="151">
        <f t="shared" si="74"/>
        <v>31.544748924329625</v>
      </c>
      <c r="EL12" s="151">
        <f t="shared" si="75"/>
        <v>33.99365110335129</v>
      </c>
      <c r="EM12" s="151">
        <f t="shared" si="76"/>
        <v>37.248343693991416</v>
      </c>
      <c r="EN12" s="163"/>
      <c r="EO12" s="164">
        <v>1.7</v>
      </c>
      <c r="EP12" s="151">
        <f t="shared" si="77"/>
        <v>15.311554475446313</v>
      </c>
      <c r="EQ12" s="151">
        <f t="shared" si="78"/>
        <v>16.618629574951772</v>
      </c>
      <c r="ER12" s="151">
        <f t="shared" si="79"/>
        <v>17.872923991104031</v>
      </c>
      <c r="ES12" s="151">
        <f t="shared" si="489"/>
        <v>19.492169143299371</v>
      </c>
      <c r="ET12" s="151">
        <f t="shared" si="490"/>
        <v>22.692949849505506</v>
      </c>
      <c r="EU12" s="134">
        <f t="shared" si="491"/>
        <v>27.213577751270623</v>
      </c>
      <c r="EV12" s="151">
        <f t="shared" si="492"/>
        <v>33.124573975960899</v>
      </c>
      <c r="EW12" s="151">
        <f t="shared" si="80"/>
        <v>40.10413456100197</v>
      </c>
      <c r="EX12" s="151">
        <f t="shared" si="81"/>
        <v>45.32512923950577</v>
      </c>
      <c r="EY12" s="151">
        <f t="shared" si="82"/>
        <v>50.669052409096345</v>
      </c>
      <c r="EZ12" s="151">
        <f t="shared" si="83"/>
        <v>58.07718743584703</v>
      </c>
      <c r="FA12" s="163"/>
      <c r="FB12" s="164">
        <v>1.7</v>
      </c>
      <c r="FC12" s="151">
        <f t="shared" si="84"/>
        <v>7.9841122504344844</v>
      </c>
      <c r="FD12" s="151">
        <f t="shared" si="85"/>
        <v>8.7650200242173231</v>
      </c>
      <c r="FE12" s="151">
        <f t="shared" si="86"/>
        <v>9.5144447299475488</v>
      </c>
      <c r="FF12" s="151">
        <f t="shared" si="493"/>
        <v>10.480814387229508</v>
      </c>
      <c r="FG12" s="151">
        <f t="shared" si="494"/>
        <v>12.38314122546279</v>
      </c>
      <c r="FH12" s="134">
        <f t="shared" si="495"/>
        <v>15.042156044201647</v>
      </c>
      <c r="FI12" s="151">
        <f t="shared" si="496"/>
        <v>18.455537710908573</v>
      </c>
      <c r="FJ12" s="151">
        <f t="shared" si="87"/>
        <v>22.38143007511707</v>
      </c>
      <c r="FK12" s="151">
        <f t="shared" si="88"/>
        <v>25.241465195768722</v>
      </c>
      <c r="FL12" s="151">
        <f t="shared" si="89"/>
        <v>28.101289222170088</v>
      </c>
      <c r="FM12" s="151">
        <f t="shared" si="90"/>
        <v>31.955822515633379</v>
      </c>
      <c r="FN12" s="163"/>
      <c r="FO12" s="164">
        <v>1.7</v>
      </c>
      <c r="FP12" s="151">
        <f t="shared" si="91"/>
        <v>8.0937443003275487</v>
      </c>
      <c r="FQ12" s="151">
        <f t="shared" si="92"/>
        <v>8.7759691727852083</v>
      </c>
      <c r="FR12" s="151">
        <f t="shared" si="93"/>
        <v>9.4142572131128688</v>
      </c>
      <c r="FS12" s="151">
        <f t="shared" si="497"/>
        <v>10.215238522107255</v>
      </c>
      <c r="FT12" s="151">
        <f t="shared" si="498"/>
        <v>11.726204628848583</v>
      </c>
      <c r="FU12" s="134">
        <f t="shared" si="499"/>
        <v>13.71105604019554</v>
      </c>
      <c r="FV12" s="151">
        <f t="shared" si="500"/>
        <v>16.077852889333307</v>
      </c>
      <c r="FW12" s="151">
        <f t="shared" si="94"/>
        <v>18.593953121801622</v>
      </c>
      <c r="FX12" s="151">
        <f t="shared" si="95"/>
        <v>20.311222741604073</v>
      </c>
      <c r="FY12" s="151">
        <f t="shared" si="96"/>
        <v>21.944715049138292</v>
      </c>
      <c r="FZ12" s="151">
        <f t="shared" si="97"/>
        <v>24.030877035750049</v>
      </c>
      <c r="GA12" s="163"/>
      <c r="GB12" s="164">
        <v>1.7</v>
      </c>
      <c r="GC12" s="151">
        <f t="shared" si="98"/>
        <v>7.9965811915850438</v>
      </c>
      <c r="GD12" s="151">
        <f t="shared" si="99"/>
        <v>8.8918771488729291</v>
      </c>
      <c r="GE12" s="151">
        <f t="shared" si="100"/>
        <v>9.7530307680554422</v>
      </c>
      <c r="GF12" s="151">
        <f t="shared" si="501"/>
        <v>10.864829495619091</v>
      </c>
      <c r="GG12" s="151">
        <f t="shared" si="502"/>
        <v>13.052802958029897</v>
      </c>
      <c r="GH12" s="134">
        <f t="shared" si="503"/>
        <v>16.098219988147697</v>
      </c>
      <c r="GI12" s="151">
        <f t="shared" si="504"/>
        <v>19.969360835649457</v>
      </c>
      <c r="GJ12" s="151">
        <f t="shared" si="101"/>
        <v>24.354760606893151</v>
      </c>
      <c r="GK12" s="151">
        <f t="shared" si="102"/>
        <v>27.500409950667326</v>
      </c>
      <c r="GL12" s="151">
        <f t="shared" si="103"/>
        <v>30.603445014533385</v>
      </c>
      <c r="GM12" s="151">
        <f t="shared" si="104"/>
        <v>34.719051870952029</v>
      </c>
      <c r="GN12" s="163"/>
      <c r="GO12" s="164">
        <v>1.7</v>
      </c>
      <c r="GP12" s="151">
        <f t="shared" si="105"/>
        <v>0.35890658955441229</v>
      </c>
      <c r="GQ12" s="151">
        <f t="shared" si="106"/>
        <v>0.40824943390113416</v>
      </c>
      <c r="GR12" s="151">
        <f t="shared" si="107"/>
        <v>0.44611086906734598</v>
      </c>
      <c r="GS12" s="151">
        <f t="shared" si="505"/>
        <v>0.48591684602338486</v>
      </c>
      <c r="GT12" s="151">
        <f t="shared" si="506"/>
        <v>0.54555356841751379</v>
      </c>
      <c r="GU12" s="134">
        <f t="shared" si="507"/>
        <v>0.6047680804418808</v>
      </c>
      <c r="GV12" s="151">
        <f t="shared" si="508"/>
        <v>0.65839153429796315</v>
      </c>
      <c r="GW12" s="151">
        <f t="shared" si="108"/>
        <v>0.70283641304560018</v>
      </c>
      <c r="GX12" s="151">
        <f t="shared" si="109"/>
        <v>0.72810555321974946</v>
      </c>
      <c r="GY12" s="151">
        <f t="shared" si="110"/>
        <v>0.74929292975048778</v>
      </c>
      <c r="GZ12" s="151">
        <f t="shared" si="111"/>
        <v>0.77315584894812517</v>
      </c>
      <c r="HA12" s="163"/>
      <c r="HB12" s="164">
        <v>1.7</v>
      </c>
      <c r="HC12" s="151">
        <f t="shared" si="112"/>
        <v>0.38395883860755226</v>
      </c>
      <c r="HD12" s="151">
        <f t="shared" si="113"/>
        <v>0.43015286973585787</v>
      </c>
      <c r="HE12" s="151">
        <f t="shared" si="114"/>
        <v>0.46610284104220323</v>
      </c>
      <c r="HF12" s="151">
        <f t="shared" si="509"/>
        <v>0.5042638827402578</v>
      </c>
      <c r="HG12" s="151">
        <f t="shared" si="510"/>
        <v>0.56198044825082538</v>
      </c>
      <c r="HH12" s="134">
        <f t="shared" si="511"/>
        <v>0.61978423896667845</v>
      </c>
      <c r="HI12" s="151">
        <f t="shared" si="512"/>
        <v>0.67245785476439801</v>
      </c>
      <c r="HJ12" s="151">
        <f t="shared" si="115"/>
        <v>0.71630527071564054</v>
      </c>
      <c r="HK12" s="151">
        <f t="shared" si="116"/>
        <v>0.74130018997512837</v>
      </c>
      <c r="HL12" s="151">
        <f t="shared" si="117"/>
        <v>0.76229042157258875</v>
      </c>
      <c r="HM12" s="151">
        <f t="shared" si="118"/>
        <v>0.78596433724472758</v>
      </c>
      <c r="HN12" s="163"/>
      <c r="HO12" s="164">
        <v>1.7</v>
      </c>
      <c r="HP12" s="151">
        <f t="shared" si="119"/>
        <v>0.35705422830105482</v>
      </c>
      <c r="HQ12" s="151">
        <f t="shared" si="120"/>
        <v>0.4061393727439449</v>
      </c>
      <c r="HR12" s="151">
        <f t="shared" si="121"/>
        <v>0.44372628067112274</v>
      </c>
      <c r="HS12" s="151">
        <f t="shared" si="513"/>
        <v>0.48318475645987552</v>
      </c>
      <c r="HT12" s="151">
        <f t="shared" si="514"/>
        <v>0.54220666617837676</v>
      </c>
      <c r="HU12" s="134">
        <f t="shared" si="515"/>
        <v>0.60071734844378311</v>
      </c>
      <c r="HV12" s="151">
        <f t="shared" si="516"/>
        <v>0.65363564060846902</v>
      </c>
      <c r="HW12" s="151">
        <f t="shared" si="122"/>
        <v>0.69745334194381536</v>
      </c>
      <c r="HX12" s="151">
        <f t="shared" si="123"/>
        <v>0.72235018626305803</v>
      </c>
      <c r="HY12" s="151">
        <f t="shared" si="124"/>
        <v>0.74321716733929588</v>
      </c>
      <c r="HZ12" s="151">
        <f t="shared" si="125"/>
        <v>0.76671064216250728</v>
      </c>
      <c r="IA12" s="163"/>
      <c r="IB12" s="164">
        <v>1.7</v>
      </c>
      <c r="IC12" s="151">
        <f t="shared" si="126"/>
        <v>0.26516996517252772</v>
      </c>
      <c r="ID12" s="151">
        <f t="shared" si="127"/>
        <v>0.29112598232756209</v>
      </c>
      <c r="IE12" s="151">
        <f t="shared" si="128"/>
        <v>0.30942299237552712</v>
      </c>
      <c r="IF12" s="151">
        <f t="shared" si="517"/>
        <v>0.32751708079538844</v>
      </c>
      <c r="IG12" s="151">
        <f t="shared" si="518"/>
        <v>0.3529113562188862</v>
      </c>
      <c r="IH12" s="134">
        <f t="shared" si="519"/>
        <v>0.37652290562479585</v>
      </c>
      <c r="II12" s="151">
        <f t="shared" si="520"/>
        <v>0.39680001163172718</v>
      </c>
      <c r="IJ12" s="151">
        <f t="shared" si="129"/>
        <v>0.41293701374813119</v>
      </c>
      <c r="IK12" s="151">
        <f t="shared" si="130"/>
        <v>0.42187216473576428</v>
      </c>
      <c r="IL12" s="151">
        <f t="shared" si="131"/>
        <v>0.42924075523920652</v>
      </c>
      <c r="IM12" s="151">
        <f t="shared" si="132"/>
        <v>0.43741304765655642</v>
      </c>
      <c r="IN12" s="163"/>
      <c r="IO12" s="164">
        <v>1.7</v>
      </c>
      <c r="IP12" s="151">
        <f t="shared" si="133"/>
        <v>0.27893704920650586</v>
      </c>
      <c r="IQ12" s="151">
        <f t="shared" si="134"/>
        <v>0.30199182668114327</v>
      </c>
      <c r="IR12" s="151">
        <f t="shared" si="135"/>
        <v>0.31872555899792548</v>
      </c>
      <c r="IS12" s="151">
        <f t="shared" si="521"/>
        <v>0.33557577091955304</v>
      </c>
      <c r="IT12" s="151">
        <f t="shared" si="522"/>
        <v>0.35962074629363328</v>
      </c>
      <c r="IU12" s="134">
        <f t="shared" si="523"/>
        <v>0.38229928177664008</v>
      </c>
      <c r="IV12" s="151">
        <f t="shared" si="524"/>
        <v>0.40196685627023365</v>
      </c>
      <c r="IW12" s="151">
        <f t="shared" si="136"/>
        <v>0.41772137147241761</v>
      </c>
      <c r="IX12" s="151">
        <f t="shared" si="137"/>
        <v>0.42647831244478263</v>
      </c>
      <c r="IY12" s="151">
        <f t="shared" si="138"/>
        <v>0.43371614168388001</v>
      </c>
      <c r="IZ12" s="151">
        <f t="shared" si="139"/>
        <v>0.44175927138914917</v>
      </c>
      <c r="JA12" s="163"/>
      <c r="JB12" s="164">
        <v>1.7</v>
      </c>
      <c r="JC12" s="151">
        <f t="shared" si="140"/>
        <v>0.26395525295383981</v>
      </c>
      <c r="JD12" s="151">
        <f t="shared" si="141"/>
        <v>0.28999698979043859</v>
      </c>
      <c r="JE12" s="151">
        <f t="shared" si="142"/>
        <v>0.30827851835517656</v>
      </c>
      <c r="JF12" s="151">
        <f t="shared" si="525"/>
        <v>0.32631040673460149</v>
      </c>
      <c r="JG12" s="151">
        <f t="shared" si="526"/>
        <v>0.35155534711546316</v>
      </c>
      <c r="JH12" s="134">
        <f t="shared" si="527"/>
        <v>0.37497637341537671</v>
      </c>
      <c r="JI12" s="151">
        <f t="shared" si="528"/>
        <v>0.3950577171918051</v>
      </c>
      <c r="JJ12" s="151">
        <f t="shared" si="143"/>
        <v>0.4110209057855555</v>
      </c>
      <c r="JK12" s="151">
        <f t="shared" si="144"/>
        <v>0.41985367730765111</v>
      </c>
      <c r="JL12" s="151">
        <f t="shared" si="145"/>
        <v>0.42713478438607777</v>
      </c>
      <c r="JM12" s="151">
        <f t="shared" si="146"/>
        <v>0.43520699100593607</v>
      </c>
      <c r="JN12" s="163"/>
      <c r="JO12" s="164">
        <v>1.6</v>
      </c>
      <c r="JP12" s="151">
        <f t="shared" si="147"/>
        <v>-8.6539806798868195</v>
      </c>
      <c r="JQ12" s="151">
        <f t="shared" si="148"/>
        <v>-7.0393305807332851</v>
      </c>
      <c r="JR12" s="151">
        <f t="shared" si="149"/>
        <v>-5.6236717217309451</v>
      </c>
      <c r="JS12" s="151">
        <f t="shared" si="529"/>
        <v>-3.9626231012502267</v>
      </c>
      <c r="JT12" s="151">
        <f t="shared" si="530"/>
        <v>-1.1279523192525716</v>
      </c>
      <c r="JU12" s="134">
        <f t="shared" si="531"/>
        <v>2.1175073444011616</v>
      </c>
      <c r="JV12" s="151">
        <f t="shared" si="532"/>
        <v>5.4454003683818399</v>
      </c>
      <c r="JW12" s="151">
        <f t="shared" si="150"/>
        <v>8.4956089430457418</v>
      </c>
      <c r="JX12" s="151">
        <f t="shared" si="151"/>
        <v>10.351461663863187</v>
      </c>
      <c r="JY12" s="151">
        <f t="shared" si="152"/>
        <v>11.976991351976732</v>
      </c>
      <c r="JZ12" s="151">
        <f t="shared" si="153"/>
        <v>13.884884393306155</v>
      </c>
      <c r="KA12" s="163"/>
      <c r="KB12" s="164">
        <v>1.6</v>
      </c>
      <c r="KC12" s="151">
        <f t="shared" si="154"/>
        <v>-7.8194194203600915</v>
      </c>
      <c r="KD12" s="151">
        <f t="shared" si="155"/>
        <v>-6.468087545505286</v>
      </c>
      <c r="KE12" s="151">
        <f t="shared" si="156"/>
        <v>-5.2138539157070198</v>
      </c>
      <c r="KF12" s="151">
        <f t="shared" si="533"/>
        <v>-3.6705812646322009</v>
      </c>
      <c r="KG12" s="151">
        <f t="shared" si="534"/>
        <v>-0.88342429171689218</v>
      </c>
      <c r="KH12" s="134">
        <f t="shared" si="535"/>
        <v>2.5087254690329264</v>
      </c>
      <c r="KI12" s="151">
        <f t="shared" si="536"/>
        <v>6.1749985585757319</v>
      </c>
      <c r="KJ12" s="151">
        <f t="shared" si="157"/>
        <v>9.679700261016249</v>
      </c>
      <c r="KK12" s="151">
        <f t="shared" si="158"/>
        <v>11.872640786739462</v>
      </c>
      <c r="KL12" s="151">
        <f t="shared" si="159"/>
        <v>13.82824745724046</v>
      </c>
      <c r="KM12" s="151">
        <f t="shared" si="160"/>
        <v>16.162671865839414</v>
      </c>
      <c r="KN12" s="163"/>
      <c r="KO12" s="164">
        <v>1.7</v>
      </c>
      <c r="KP12" s="151">
        <f t="shared" si="161"/>
        <v>-10.319230515316335</v>
      </c>
      <c r="KQ12" s="151">
        <f t="shared" si="162"/>
        <v>-8.4257240027638876</v>
      </c>
      <c r="KR12" s="151">
        <f t="shared" si="163"/>
        <v>-6.8109224990943478</v>
      </c>
      <c r="KS12" s="151">
        <f t="shared" si="537"/>
        <v>-4.9626983599033387</v>
      </c>
      <c r="KT12" s="151">
        <f t="shared" si="538"/>
        <v>-1.9071090239462407</v>
      </c>
      <c r="KU12" s="134">
        <f t="shared" si="539"/>
        <v>1.4644333873552497</v>
      </c>
      <c r="KV12" s="151">
        <f t="shared" si="540"/>
        <v>4.8057649924878767</v>
      </c>
      <c r="KW12" s="151">
        <f t="shared" si="164"/>
        <v>7.781485002713822</v>
      </c>
      <c r="KX12" s="151">
        <f t="shared" si="165"/>
        <v>9.5563573445852938</v>
      </c>
      <c r="KY12" s="151">
        <f t="shared" si="166"/>
        <v>11.09078419980769</v>
      </c>
      <c r="KZ12" s="151">
        <f t="shared" si="167"/>
        <v>12.8693839884541</v>
      </c>
      <c r="LA12" s="163"/>
      <c r="LB12" s="164">
        <v>1.6</v>
      </c>
      <c r="LC12" s="151">
        <f t="shared" si="168"/>
        <v>-23.255675898932282</v>
      </c>
      <c r="LD12" s="151">
        <f t="shared" si="169"/>
        <v>-19.093377362353436</v>
      </c>
      <c r="LE12" s="151">
        <f t="shared" si="170"/>
        <v>-15.334021892508172</v>
      </c>
      <c r="LF12" s="151">
        <f t="shared" si="541"/>
        <v>-10.819169692716848</v>
      </c>
      <c r="LG12" s="151">
        <f t="shared" si="542"/>
        <v>-2.9110182085427496</v>
      </c>
      <c r="LH12" s="134">
        <f t="shared" si="543"/>
        <v>6.3846492880177124</v>
      </c>
      <c r="LI12" s="151">
        <f t="shared" si="544"/>
        <v>16.120699487931013</v>
      </c>
      <c r="LJ12" s="151">
        <f t="shared" si="171"/>
        <v>25.188426883725967</v>
      </c>
      <c r="LK12" s="151">
        <f t="shared" si="172"/>
        <v>30.762291690203831</v>
      </c>
      <c r="LL12" s="151">
        <f t="shared" si="173"/>
        <v>35.675618651655775</v>
      </c>
      <c r="LM12" s="151">
        <f t="shared" si="174"/>
        <v>41.476340163994031</v>
      </c>
      <c r="LN12" s="163"/>
      <c r="LO12" s="164">
        <v>1.6</v>
      </c>
      <c r="LP12" s="151">
        <f t="shared" si="175"/>
        <v>-22.389063483507833</v>
      </c>
      <c r="LQ12" s="151">
        <f t="shared" si="176"/>
        <v>-18.2812316262726</v>
      </c>
      <c r="LR12" s="151">
        <f t="shared" si="177"/>
        <v>-14.480023534372371</v>
      </c>
      <c r="LS12" s="151">
        <f t="shared" si="545"/>
        <v>-9.8348795311804977</v>
      </c>
      <c r="LT12" s="151">
        <f t="shared" si="546"/>
        <v>-1.5489833970635765</v>
      </c>
      <c r="LU12" s="134">
        <f t="shared" si="547"/>
        <v>8.3621617382059732</v>
      </c>
      <c r="LV12" s="151">
        <f t="shared" si="548"/>
        <v>18.884766869794785</v>
      </c>
      <c r="LW12" s="151">
        <f t="shared" si="178"/>
        <v>28.784396795546481</v>
      </c>
      <c r="LX12" s="151">
        <f t="shared" si="179"/>
        <v>34.908713508877881</v>
      </c>
      <c r="LY12" s="151">
        <f t="shared" si="180"/>
        <v>40.328815755626394</v>
      </c>
      <c r="LZ12" s="151">
        <f t="shared" si="181"/>
        <v>46.751365930890046</v>
      </c>
      <c r="MA12" s="163"/>
      <c r="MB12" s="164">
        <v>1.7</v>
      </c>
      <c r="MC12" s="151">
        <f t="shared" si="182"/>
        <v>-24.547604318245497</v>
      </c>
      <c r="MD12" s="151">
        <f t="shared" si="183"/>
        <v>-20.253205491709849</v>
      </c>
      <c r="ME12" s="151">
        <f t="shared" si="184"/>
        <v>-16.438155809462302</v>
      </c>
      <c r="MF12" s="151">
        <f t="shared" si="549"/>
        <v>-11.923449563511426</v>
      </c>
      <c r="MG12" s="151">
        <f t="shared" si="550"/>
        <v>-4.1604835666780602</v>
      </c>
      <c r="MH12" s="134">
        <f t="shared" si="551"/>
        <v>4.7755282109595356</v>
      </c>
      <c r="MI12" s="151">
        <f t="shared" si="552"/>
        <v>13.960834090088362</v>
      </c>
      <c r="MJ12" s="151">
        <f t="shared" si="185"/>
        <v>22.384375100940971</v>
      </c>
      <c r="MK12" s="151">
        <f t="shared" si="186"/>
        <v>27.508136990132392</v>
      </c>
      <c r="ML12" s="151">
        <f t="shared" si="187"/>
        <v>31.993967469371718</v>
      </c>
      <c r="MM12" s="151">
        <f t="shared" si="188"/>
        <v>37.255771052521915</v>
      </c>
      <c r="MN12" s="163"/>
      <c r="MO12" s="164">
        <v>1.6</v>
      </c>
      <c r="MP12" s="151">
        <f t="shared" si="189"/>
        <v>-26.899675473877977</v>
      </c>
      <c r="MQ12" s="151">
        <f t="shared" si="190"/>
        <v>-21.74930090900051</v>
      </c>
      <c r="MR12" s="151">
        <f t="shared" si="191"/>
        <v>-17.273217691541838</v>
      </c>
      <c r="MS12" s="151">
        <f t="shared" si="553"/>
        <v>-12.072001553769624</v>
      </c>
      <c r="MT12" s="151">
        <f t="shared" si="554"/>
        <v>-3.3200565488121256</v>
      </c>
      <c r="MU12" s="134">
        <f t="shared" si="555"/>
        <v>6.5215039580129641</v>
      </c>
      <c r="MV12" s="151">
        <f t="shared" si="556"/>
        <v>16.435400123404257</v>
      </c>
      <c r="MW12" s="151">
        <f t="shared" si="192"/>
        <v>25.38100603971548</v>
      </c>
      <c r="MX12" s="151">
        <f t="shared" si="193"/>
        <v>30.763689430820371</v>
      </c>
      <c r="MY12" s="151">
        <f t="shared" si="194"/>
        <v>35.443514802105533</v>
      </c>
      <c r="MZ12" s="151">
        <f t="shared" si="195"/>
        <v>40.896988805446561</v>
      </c>
      <c r="NA12" s="163"/>
      <c r="NB12" s="164">
        <v>1.6</v>
      </c>
      <c r="NC12" s="151">
        <f t="shared" si="196"/>
        <v>-26.318557351992492</v>
      </c>
      <c r="ND12" s="151">
        <f t="shared" si="197"/>
        <v>-21.319495094716856</v>
      </c>
      <c r="NE12" s="151">
        <f t="shared" si="198"/>
        <v>-16.862906540697331</v>
      </c>
      <c r="NF12" s="151">
        <f t="shared" si="557"/>
        <v>-11.624494945354741</v>
      </c>
      <c r="NG12" s="151">
        <f t="shared" si="558"/>
        <v>-2.725667557909123</v>
      </c>
      <c r="NH12" s="134">
        <f t="shared" si="559"/>
        <v>7.3595582430447841</v>
      </c>
      <c r="NI12" s="151">
        <f t="shared" si="560"/>
        <v>17.574675490638487</v>
      </c>
      <c r="NJ12" s="151">
        <f t="shared" si="199"/>
        <v>26.827441530942448</v>
      </c>
      <c r="NK12" s="151">
        <f t="shared" si="200"/>
        <v>32.408069256622682</v>
      </c>
      <c r="NL12" s="151">
        <f t="shared" si="201"/>
        <v>37.266963099093815</v>
      </c>
      <c r="NM12" s="151">
        <f t="shared" si="202"/>
        <v>42.936508441520161</v>
      </c>
      <c r="NN12" s="163"/>
      <c r="NO12" s="164">
        <v>1.7</v>
      </c>
      <c r="NP12" s="151">
        <f t="shared" si="203"/>
        <v>-29.52022585880945</v>
      </c>
      <c r="NQ12" s="151">
        <f t="shared" si="204"/>
        <v>-24.662333141023296</v>
      </c>
      <c r="NR12" s="151">
        <f t="shared" si="205"/>
        <v>-20.476282830315913</v>
      </c>
      <c r="NS12" s="151">
        <f t="shared" si="561"/>
        <v>-15.643444793147822</v>
      </c>
      <c r="NT12" s="151">
        <f t="shared" si="562"/>
        <v>-7.5696502831077055</v>
      </c>
      <c r="NU12" s="134">
        <f t="shared" si="563"/>
        <v>1.4424428361109136</v>
      </c>
      <c r="NV12" s="151">
        <f t="shared" si="564"/>
        <v>10.465210174718393</v>
      </c>
      <c r="NW12" s="151">
        <f t="shared" si="206"/>
        <v>18.567742627880122</v>
      </c>
      <c r="NX12" s="151">
        <f t="shared" si="207"/>
        <v>23.427757676702235</v>
      </c>
      <c r="NY12" s="151">
        <f t="shared" si="208"/>
        <v>27.644682278725163</v>
      </c>
      <c r="NZ12" s="151">
        <f t="shared" si="209"/>
        <v>32.54950071448804</v>
      </c>
      <c r="OA12" s="163"/>
      <c r="OB12" s="164">
        <v>1.6</v>
      </c>
      <c r="OC12" s="151">
        <f t="shared" si="210"/>
        <v>14.639411713874193</v>
      </c>
      <c r="OD12" s="151">
        <f t="shared" si="211"/>
        <v>16.355183206130302</v>
      </c>
      <c r="OE12" s="151">
        <f t="shared" si="212"/>
        <v>17.984146262357271</v>
      </c>
      <c r="OF12" s="151">
        <f t="shared" si="565"/>
        <v>20.056105234758718</v>
      </c>
      <c r="OG12" s="151">
        <f t="shared" si="566"/>
        <v>24.033220252299053</v>
      </c>
      <c r="OH12" s="134">
        <f t="shared" si="567"/>
        <v>29.359483585209155</v>
      </c>
      <c r="OI12" s="151">
        <f t="shared" si="568"/>
        <v>35.811997092677693</v>
      </c>
      <c r="OJ12" s="151">
        <f t="shared" si="213"/>
        <v>42.745238505082924</v>
      </c>
      <c r="OK12" s="151">
        <f t="shared" si="214"/>
        <v>47.502332900648319</v>
      </c>
      <c r="OL12" s="151">
        <f t="shared" si="215"/>
        <v>52.037315924916477</v>
      </c>
      <c r="OM12" s="151">
        <f t="shared" si="216"/>
        <v>57.834447980789726</v>
      </c>
      <c r="ON12" s="163"/>
      <c r="OO12" s="164">
        <v>1.6</v>
      </c>
      <c r="OP12" s="151">
        <f t="shared" si="217"/>
        <v>14.453720015384672</v>
      </c>
      <c r="OQ12" s="151">
        <f t="shared" si="218"/>
        <v>16.018888562844779</v>
      </c>
      <c r="OR12" s="151">
        <f t="shared" si="219"/>
        <v>17.505418219869298</v>
      </c>
      <c r="OS12" s="151">
        <f t="shared" si="569"/>
        <v>19.398334244053615</v>
      </c>
      <c r="OT12" s="151">
        <f t="shared" si="570"/>
        <v>23.042563375404978</v>
      </c>
      <c r="OU12" s="134">
        <f t="shared" si="571"/>
        <v>27.953087834757387</v>
      </c>
      <c r="OV12" s="151">
        <f t="shared" si="572"/>
        <v>33.95727278590973</v>
      </c>
      <c r="OW12" s="151">
        <f t="shared" si="220"/>
        <v>40.482687680252255</v>
      </c>
      <c r="OX12" s="151">
        <f t="shared" si="221"/>
        <v>45.00584674886403</v>
      </c>
      <c r="OY12" s="151">
        <f t="shared" si="222"/>
        <v>49.352959600445018</v>
      </c>
      <c r="OZ12" s="151">
        <f t="shared" si="223"/>
        <v>54.959883094763512</v>
      </c>
      <c r="PA12" s="163"/>
      <c r="PB12" s="164">
        <v>1.7</v>
      </c>
      <c r="PC12" s="151">
        <f t="shared" si="224"/>
        <v>16.556037276008688</v>
      </c>
      <c r="PD12" s="151">
        <f t="shared" si="225"/>
        <v>18.526091703102317</v>
      </c>
      <c r="PE12" s="151">
        <f t="shared" si="226"/>
        <v>20.37628548232907</v>
      </c>
      <c r="PF12" s="151">
        <f t="shared" si="573"/>
        <v>22.701931243211369</v>
      </c>
      <c r="PG12" s="151">
        <f t="shared" si="574"/>
        <v>27.083062086221265</v>
      </c>
      <c r="PH12" s="134">
        <f t="shared" si="575"/>
        <v>32.792533613528036</v>
      </c>
      <c r="PI12" s="151">
        <f t="shared" si="576"/>
        <v>39.492961226241221</v>
      </c>
      <c r="PJ12" s="151">
        <f t="shared" si="227"/>
        <v>46.4603960903112</v>
      </c>
      <c r="PK12" s="151">
        <f t="shared" si="228"/>
        <v>51.117217766789132</v>
      </c>
      <c r="PL12" s="151">
        <f t="shared" si="229"/>
        <v>55.471554413612715</v>
      </c>
      <c r="PM12" s="151">
        <f t="shared" si="230"/>
        <v>60.926588275388482</v>
      </c>
      <c r="PN12" s="163"/>
      <c r="PO12" s="164">
        <v>1.6</v>
      </c>
      <c r="PP12" s="151">
        <f t="shared" si="231"/>
        <v>7.3846961652694452</v>
      </c>
      <c r="PQ12" s="151">
        <f t="shared" si="232"/>
        <v>8.1859558433993573</v>
      </c>
      <c r="PR12" s="151">
        <f t="shared" si="233"/>
        <v>8.93019263941272</v>
      </c>
      <c r="PS12" s="151">
        <f t="shared" si="577"/>
        <v>9.8554008329453797</v>
      </c>
      <c r="PT12" s="151">
        <f t="shared" si="578"/>
        <v>11.570866538840873</v>
      </c>
      <c r="PU12" s="134">
        <f t="shared" si="579"/>
        <v>13.760403218613478</v>
      </c>
      <c r="PV12" s="151">
        <f t="shared" si="580"/>
        <v>16.274555697688069</v>
      </c>
      <c r="PW12" s="151">
        <f t="shared" si="234"/>
        <v>18.835785520343062</v>
      </c>
      <c r="PX12" s="151">
        <f t="shared" si="235"/>
        <v>20.521547350931165</v>
      </c>
      <c r="PY12" s="151">
        <f t="shared" si="236"/>
        <v>22.080916851932759</v>
      </c>
      <c r="PZ12" s="151">
        <f t="shared" si="237"/>
        <v>24.013444274992541</v>
      </c>
      <c r="QA12" s="163"/>
      <c r="QB12" s="164">
        <v>1.6</v>
      </c>
      <c r="QC12" s="151">
        <f t="shared" si="238"/>
        <v>7.418188150026011</v>
      </c>
      <c r="QD12" s="151">
        <f t="shared" si="239"/>
        <v>8.1682407759444597</v>
      </c>
      <c r="QE12" s="151">
        <f t="shared" si="240"/>
        <v>8.8695840745940071</v>
      </c>
      <c r="QF12" s="151">
        <f t="shared" si="581"/>
        <v>9.7481039517271526</v>
      </c>
      <c r="QG12" s="151">
        <f t="shared" si="582"/>
        <v>11.397381427560173</v>
      </c>
      <c r="QH12" s="134">
        <f t="shared" si="583"/>
        <v>13.542207423586525</v>
      </c>
      <c r="QI12" s="151">
        <f t="shared" si="584"/>
        <v>16.060871579712956</v>
      </c>
      <c r="QJ12" s="151">
        <f t="shared" si="241"/>
        <v>18.687957575856299</v>
      </c>
      <c r="QK12" s="151">
        <f t="shared" si="242"/>
        <v>20.450446683243687</v>
      </c>
      <c r="QL12" s="151">
        <f t="shared" si="243"/>
        <v>22.104091147321238</v>
      </c>
      <c r="QM12" s="151">
        <f t="shared" si="244"/>
        <v>24.184137832770428</v>
      </c>
      <c r="QN12" s="163"/>
      <c r="QO12" s="164">
        <v>1.7</v>
      </c>
      <c r="QP12" s="151">
        <f t="shared" si="245"/>
        <v>7.8018064439290589</v>
      </c>
      <c r="QQ12" s="151">
        <f t="shared" si="246"/>
        <v>8.691969472327056</v>
      </c>
      <c r="QR12" s="151">
        <f t="shared" si="247"/>
        <v>9.5101977878998589</v>
      </c>
      <c r="QS12" s="151">
        <f t="shared" si="585"/>
        <v>10.516094591738817</v>
      </c>
      <c r="QT12" s="151">
        <f t="shared" si="586"/>
        <v>12.349367290759396</v>
      </c>
      <c r="QU12" s="134">
        <f t="shared" si="587"/>
        <v>14.633249316599873</v>
      </c>
      <c r="QV12" s="151">
        <f t="shared" si="588"/>
        <v>17.185477332187382</v>
      </c>
      <c r="QW12" s="151">
        <f t="shared" si="248"/>
        <v>19.716307525177772</v>
      </c>
      <c r="QX12" s="151">
        <f t="shared" si="249"/>
        <v>21.347524063187919</v>
      </c>
      <c r="QY12" s="151">
        <f t="shared" si="250"/>
        <v>22.833906473094547</v>
      </c>
      <c r="QZ12" s="151">
        <f t="shared" si="251"/>
        <v>24.647895130516268</v>
      </c>
      <c r="RA12" s="163"/>
      <c r="RB12" s="164">
        <v>1.6</v>
      </c>
      <c r="RC12" s="151">
        <f t="shared" si="252"/>
        <v>0.25226918970507783</v>
      </c>
      <c r="RD12" s="151">
        <f t="shared" si="253"/>
        <v>0.27679712526030897</v>
      </c>
      <c r="RE12" s="151">
        <f t="shared" si="254"/>
        <v>0.3001139057491477</v>
      </c>
      <c r="RF12" s="151">
        <f t="shared" si="589"/>
        <v>0.32986256273947967</v>
      </c>
      <c r="RG12" s="151">
        <f t="shared" si="590"/>
        <v>0.38740461029599982</v>
      </c>
      <c r="RH12" s="134">
        <f t="shared" si="591"/>
        <v>0.46568508224352018</v>
      </c>
      <c r="RI12" s="151">
        <f t="shared" si="592"/>
        <v>0.56279655196603806</v>
      </c>
      <c r="RJ12" s="151">
        <f t="shared" si="255"/>
        <v>0.67027452664179987</v>
      </c>
      <c r="RK12" s="151">
        <f t="shared" si="256"/>
        <v>0.74602147586157641</v>
      </c>
      <c r="RL12" s="151">
        <f t="shared" si="257"/>
        <v>0.81980822028621236</v>
      </c>
      <c r="RM12" s="151">
        <f t="shared" si="258"/>
        <v>0.9164284691892749</v>
      </c>
      <c r="RN12" s="163"/>
      <c r="RO12" s="164">
        <v>1.6</v>
      </c>
      <c r="RP12" s="151">
        <f t="shared" si="259"/>
        <v>0.2551084579636213</v>
      </c>
      <c r="RQ12" s="151">
        <f t="shared" si="260"/>
        <v>0.2802902058152188</v>
      </c>
      <c r="RR12" s="151">
        <f t="shared" si="261"/>
        <v>0.30439941090468314</v>
      </c>
      <c r="RS12" s="151">
        <f t="shared" si="593"/>
        <v>0.33540159760224003</v>
      </c>
      <c r="RT12" s="151">
        <f t="shared" si="594"/>
        <v>0.39613809769618102</v>
      </c>
      <c r="RU12" s="134">
        <f t="shared" si="595"/>
        <v>0.48037620209761639</v>
      </c>
      <c r="RV12" s="151">
        <f t="shared" si="596"/>
        <v>0.58740566527238147</v>
      </c>
      <c r="RW12" s="151">
        <f t="shared" si="262"/>
        <v>0.70902948305945113</v>
      </c>
      <c r="RX12" s="151">
        <f t="shared" si="263"/>
        <v>0.79668986501899663</v>
      </c>
      <c r="RY12" s="151">
        <f t="shared" si="264"/>
        <v>0.88358927054584324</v>
      </c>
      <c r="RZ12" s="151">
        <f t="shared" si="265"/>
        <v>0.99958038398792848</v>
      </c>
      <c r="SA12" s="163"/>
      <c r="SB12" s="164">
        <v>1.7</v>
      </c>
      <c r="SC12" s="151">
        <f t="shared" si="266"/>
        <v>0.23579008501006213</v>
      </c>
      <c r="SD12" s="151">
        <f t="shared" si="267"/>
        <v>0.26075707609212323</v>
      </c>
      <c r="SE12" s="151">
        <f t="shared" si="268"/>
        <v>0.28436447825120764</v>
      </c>
      <c r="SF12" s="151">
        <f t="shared" si="597"/>
        <v>0.31428504794408058</v>
      </c>
      <c r="SG12" s="151">
        <f t="shared" si="598"/>
        <v>0.3714747415253058</v>
      </c>
      <c r="SH12" s="134">
        <f t="shared" si="599"/>
        <v>0.44775576159956187</v>
      </c>
      <c r="SI12" s="151">
        <f t="shared" si="600"/>
        <v>0.53994620547982686</v>
      </c>
      <c r="SJ12" s="151">
        <f t="shared" si="269"/>
        <v>0.6389534502732952</v>
      </c>
      <c r="SK12" s="151">
        <f t="shared" si="270"/>
        <v>0.70693190549540086</v>
      </c>
      <c r="SL12" s="151">
        <f t="shared" si="271"/>
        <v>0.77180625535113934</v>
      </c>
      <c r="SM12" s="151">
        <f t="shared" si="272"/>
        <v>0.85486658231829649</v>
      </c>
      <c r="SN12" s="163"/>
      <c r="SO12" s="164">
        <v>1.6</v>
      </c>
      <c r="SP12" s="151">
        <f t="shared" si="273"/>
        <v>0.19664808833994254</v>
      </c>
      <c r="SQ12" s="151">
        <f t="shared" si="274"/>
        <v>0.21368199944889468</v>
      </c>
      <c r="SR12" s="151">
        <f t="shared" si="275"/>
        <v>0.22897223467065245</v>
      </c>
      <c r="SS12" s="151">
        <f t="shared" si="276"/>
        <v>0.24734273880128271</v>
      </c>
      <c r="ST12" s="151">
        <f t="shared" si="601"/>
        <v>0.27977645376777421</v>
      </c>
      <c r="SU12" s="134">
        <f t="shared" si="602"/>
        <v>0.31859924576664705</v>
      </c>
      <c r="SV12" s="151">
        <f t="shared" si="603"/>
        <v>0.36028418739009466</v>
      </c>
      <c r="SW12" s="151">
        <f t="shared" si="280"/>
        <v>0.40015617746216248</v>
      </c>
      <c r="SX12" s="151">
        <f t="shared" si="281"/>
        <v>0.42519244964732134</v>
      </c>
      <c r="SY12" s="151">
        <f t="shared" si="282"/>
        <v>0.44760273892923191</v>
      </c>
      <c r="SZ12" s="151">
        <f t="shared" si="283"/>
        <v>0.47447725975549709</v>
      </c>
      <c r="TA12" s="163"/>
      <c r="TB12" s="164">
        <v>1.6</v>
      </c>
      <c r="TC12" s="151">
        <f t="shared" si="284"/>
        <v>0.20211932423934068</v>
      </c>
      <c r="TD12" s="151">
        <f t="shared" si="285"/>
        <v>0.21834094214155392</v>
      </c>
      <c r="TE12" s="151">
        <f t="shared" si="286"/>
        <v>0.23313882305007247</v>
      </c>
      <c r="TF12" s="151">
        <f t="shared" si="604"/>
        <v>0.25121830174123333</v>
      </c>
      <c r="TG12" s="151">
        <f t="shared" si="605"/>
        <v>0.28394911538022388</v>
      </c>
      <c r="TH12" s="134">
        <f t="shared" si="606"/>
        <v>0.32450314534563868</v>
      </c>
      <c r="TI12" s="151">
        <f t="shared" si="607"/>
        <v>0.36972688961472411</v>
      </c>
      <c r="TJ12" s="151">
        <f t="shared" si="287"/>
        <v>0.41461558737023135</v>
      </c>
      <c r="TK12" s="151">
        <f t="shared" si="288"/>
        <v>0.44361734969125549</v>
      </c>
      <c r="TL12" s="151">
        <f t="shared" si="289"/>
        <v>0.47011018440413133</v>
      </c>
      <c r="TM12" s="151">
        <f t="shared" si="290"/>
        <v>0.50254355061446454</v>
      </c>
      <c r="TN12" s="163"/>
      <c r="TO12" s="164">
        <v>1.7</v>
      </c>
      <c r="TP12" s="151">
        <f t="shared" si="291"/>
        <v>0.18936866043118081</v>
      </c>
      <c r="TQ12" s="151">
        <f t="shared" si="292"/>
        <v>0.20608112811232299</v>
      </c>
      <c r="TR12" s="151">
        <f t="shared" si="293"/>
        <v>0.22109422370379564</v>
      </c>
      <c r="TS12" s="151">
        <f t="shared" si="608"/>
        <v>0.23914453884544784</v>
      </c>
      <c r="TT12" s="151">
        <f t="shared" si="609"/>
        <v>0.27104286233694269</v>
      </c>
      <c r="TU12" s="134">
        <f t="shared" si="610"/>
        <v>0.30926762931394808</v>
      </c>
      <c r="TV12" s="151">
        <f t="shared" si="611"/>
        <v>0.3503538629112618</v>
      </c>
      <c r="TW12" s="151">
        <f t="shared" si="294"/>
        <v>0.38968864454689334</v>
      </c>
      <c r="TX12" s="151">
        <f t="shared" si="295"/>
        <v>0.41440304769164038</v>
      </c>
      <c r="TY12" s="151">
        <f t="shared" si="296"/>
        <v>0.43653434828648568</v>
      </c>
      <c r="TZ12" s="151">
        <f t="shared" si="297"/>
        <v>0.46308477659237912</v>
      </c>
      <c r="UA12" s="163"/>
      <c r="UB12" s="164">
        <v>1.6</v>
      </c>
      <c r="UC12" s="151">
        <f t="shared" si="298"/>
        <v>-29.505057336226002</v>
      </c>
      <c r="UD12" s="151">
        <f t="shared" si="299"/>
        <v>-25.233245481914032</v>
      </c>
      <c r="UE12" s="151">
        <f t="shared" si="300"/>
        <v>-21.712186041217883</v>
      </c>
      <c r="UF12" s="151">
        <f t="shared" si="612"/>
        <v>-17.799499995263851</v>
      </c>
      <c r="UG12" s="151">
        <f t="shared" si="613"/>
        <v>-11.562900900519693</v>
      </c>
      <c r="UH12" s="134">
        <f t="shared" si="614"/>
        <v>-4.959997538476614</v>
      </c>
      <c r="UI12" s="151">
        <f t="shared" si="615"/>
        <v>1.3456994914130718</v>
      </c>
      <c r="UJ12" s="151">
        <f t="shared" si="301"/>
        <v>6.7923927715411878</v>
      </c>
      <c r="UK12" s="151">
        <f t="shared" si="302"/>
        <v>9.9741139695312029</v>
      </c>
      <c r="UL12" s="151">
        <f t="shared" si="303"/>
        <v>12.6878828494917</v>
      </c>
      <c r="UM12" s="151">
        <f t="shared" si="304"/>
        <v>15.79341353895839</v>
      </c>
      <c r="UN12" s="163"/>
      <c r="UO12" s="164">
        <v>1.6</v>
      </c>
      <c r="UP12" s="151">
        <f t="shared" si="305"/>
        <v>-28.649190459927915</v>
      </c>
      <c r="UQ12" s="151">
        <f t="shared" si="306"/>
        <v>-24.692372845030576</v>
      </c>
      <c r="UR12" s="151">
        <f t="shared" si="307"/>
        <v>-21.317345926931864</v>
      </c>
      <c r="US12" s="151">
        <f t="shared" si="616"/>
        <v>-17.448324632183215</v>
      </c>
      <c r="UT12" s="151">
        <f t="shared" si="617"/>
        <v>-11.032716428084207</v>
      </c>
      <c r="UU12" s="134">
        <f t="shared" si="618"/>
        <v>-3.9241035734364758</v>
      </c>
      <c r="UV12" s="151">
        <f t="shared" si="619"/>
        <v>3.1507400224986881</v>
      </c>
      <c r="UW12" s="151">
        <f t="shared" si="308"/>
        <v>9.475087845722534</v>
      </c>
      <c r="UX12" s="151">
        <f t="shared" si="309"/>
        <v>13.257262962622498</v>
      </c>
      <c r="UY12" s="151">
        <f t="shared" si="310"/>
        <v>16.532815104641443</v>
      </c>
      <c r="UZ12" s="151">
        <f t="shared" si="311"/>
        <v>20.336040662601626</v>
      </c>
      <c r="VA12" s="163"/>
      <c r="VB12" s="164">
        <v>1.7</v>
      </c>
      <c r="VC12" s="151">
        <f t="shared" si="312"/>
        <v>-31.880773821487402</v>
      </c>
      <c r="VD12" s="151">
        <f t="shared" si="313"/>
        <v>-27.019282816075631</v>
      </c>
      <c r="VE12" s="151">
        <f t="shared" si="314"/>
        <v>-23.145218930818025</v>
      </c>
      <c r="VF12" s="151">
        <f t="shared" si="620"/>
        <v>-18.951877819899224</v>
      </c>
      <c r="VG12" s="151">
        <f t="shared" si="621"/>
        <v>-12.461689336814402</v>
      </c>
      <c r="VH12" s="134">
        <f t="shared" si="622"/>
        <v>-5.7956822997620137</v>
      </c>
      <c r="VI12" s="151">
        <f t="shared" si="623"/>
        <v>0.4132096524944302</v>
      </c>
      <c r="VJ12" s="151">
        <f t="shared" si="315"/>
        <v>5.6737241541902534</v>
      </c>
      <c r="VK12" s="151">
        <f t="shared" si="316"/>
        <v>8.708205545996023</v>
      </c>
      <c r="VL12" s="151">
        <f t="shared" si="317"/>
        <v>11.275938592999154</v>
      </c>
      <c r="VM12" s="151">
        <f t="shared" si="318"/>
        <v>14.192763472666499</v>
      </c>
      <c r="VN12" s="163"/>
      <c r="VO12" s="164">
        <v>1.6</v>
      </c>
      <c r="VP12" s="151">
        <f t="shared" si="319"/>
        <v>-47.691500462210783</v>
      </c>
      <c r="VQ12" s="151">
        <f t="shared" si="320"/>
        <v>-43.831286600763697</v>
      </c>
      <c r="VR12" s="151">
        <f t="shared" si="321"/>
        <v>-39.98613570745313</v>
      </c>
      <c r="VS12" s="151">
        <f t="shared" si="624"/>
        <v>-34.983053189185753</v>
      </c>
      <c r="VT12" s="151">
        <f t="shared" si="625"/>
        <v>-25.35272641638397</v>
      </c>
      <c r="VU12" s="134">
        <f t="shared" si="626"/>
        <v>-12.834765351714424</v>
      </c>
      <c r="VV12" s="151">
        <f t="shared" si="627"/>
        <v>1.4580245762437443</v>
      </c>
      <c r="VW12" s="151">
        <f t="shared" si="322"/>
        <v>15.720454274993848</v>
      </c>
      <c r="VX12" s="151">
        <f t="shared" si="323"/>
        <v>24.899975993213353</v>
      </c>
      <c r="VY12" s="151">
        <f t="shared" si="324"/>
        <v>33.234748671003267</v>
      </c>
      <c r="VZ12" s="151">
        <f t="shared" si="325"/>
        <v>43.353249782695023</v>
      </c>
      <c r="WA12" s="163"/>
      <c r="WB12" s="164">
        <v>1.6</v>
      </c>
      <c r="WC12" s="151">
        <f t="shared" si="326"/>
        <v>-46.360458724044662</v>
      </c>
      <c r="WD12" s="151">
        <f t="shared" si="327"/>
        <v>-43.114441634059979</v>
      </c>
      <c r="WE12" s="151">
        <f t="shared" si="328"/>
        <v>-39.510173120003927</v>
      </c>
      <c r="WF12" s="151">
        <f t="shared" si="628"/>
        <v>-34.502143656051572</v>
      </c>
      <c r="WG12" s="151">
        <f t="shared" si="629"/>
        <v>-24.272088913723461</v>
      </c>
      <c r="WH12" s="134">
        <f t="shared" si="630"/>
        <v>-10.312962494610083</v>
      </c>
      <c r="WI12" s="151">
        <f t="shared" si="631"/>
        <v>6.1537811171476235</v>
      </c>
      <c r="WJ12" s="151">
        <f t="shared" si="329"/>
        <v>22.942115066523392</v>
      </c>
      <c r="WK12" s="151">
        <f t="shared" si="330"/>
        <v>33.882756634682799</v>
      </c>
      <c r="WL12" s="151">
        <f t="shared" si="331"/>
        <v>43.889500575037452</v>
      </c>
      <c r="WM12" s="151">
        <f t="shared" si="332"/>
        <v>56.116298771763731</v>
      </c>
      <c r="WN12" s="163"/>
      <c r="WO12" s="164">
        <v>1.7</v>
      </c>
      <c r="WP12" s="151">
        <f t="shared" si="333"/>
        <v>-49.030422199995677</v>
      </c>
      <c r="WQ12" s="151">
        <f t="shared" si="334"/>
        <v>-44.982421168082126</v>
      </c>
      <c r="WR12" s="151">
        <f t="shared" si="335"/>
        <v>-40.980101299533004</v>
      </c>
      <c r="WS12" s="151">
        <f t="shared" si="632"/>
        <v>-35.838002544639878</v>
      </c>
      <c r="WT12" s="151">
        <f t="shared" si="633"/>
        <v>-26.141844800232576</v>
      </c>
      <c r="WU12" s="134">
        <f t="shared" si="634"/>
        <v>-13.871714671463764</v>
      </c>
      <c r="WV12" s="151">
        <f t="shared" si="635"/>
        <v>-0.2249921646496631</v>
      </c>
      <c r="WW12" s="151">
        <f t="shared" si="336"/>
        <v>13.086632139563868</v>
      </c>
      <c r="WX12" s="151">
        <f t="shared" si="337"/>
        <v>21.519356324133234</v>
      </c>
      <c r="WY12" s="151">
        <f t="shared" si="338"/>
        <v>29.095993201421344</v>
      </c>
      <c r="WZ12" s="151">
        <f t="shared" si="339"/>
        <v>38.201709688451324</v>
      </c>
      <c r="XA12" s="163"/>
      <c r="XB12" s="164">
        <v>1.6</v>
      </c>
      <c r="XC12" s="151">
        <f t="shared" si="340"/>
        <v>-52.165309348155326</v>
      </c>
      <c r="XD12" s="151">
        <f t="shared" si="341"/>
        <v>-47.586183152713247</v>
      </c>
      <c r="XE12" s="151">
        <f t="shared" si="342"/>
        <v>-43.071716436204881</v>
      </c>
      <c r="XF12" s="151">
        <f t="shared" si="636"/>
        <v>-37.357297722362802</v>
      </c>
      <c r="XG12" s="151">
        <f t="shared" si="637"/>
        <v>-26.848512570936801</v>
      </c>
      <c r="XH12" s="134">
        <f t="shared" si="638"/>
        <v>-13.965656873370477</v>
      </c>
      <c r="XI12" s="151">
        <f t="shared" si="639"/>
        <v>-6.1038878001475894E-2</v>
      </c>
      <c r="XJ12" s="151">
        <f t="shared" si="343"/>
        <v>13.163949087341557</v>
      </c>
      <c r="XK12" s="151">
        <f t="shared" si="344"/>
        <v>21.398096758354249</v>
      </c>
      <c r="XL12" s="151">
        <f t="shared" si="345"/>
        <v>28.713113424995875</v>
      </c>
      <c r="XM12" s="151">
        <f t="shared" si="346"/>
        <v>37.410270139010912</v>
      </c>
      <c r="XN12" s="163"/>
      <c r="XO12" s="164">
        <v>1.6</v>
      </c>
      <c r="XP12" s="151">
        <f t="shared" si="347"/>
        <v>-51.516409629759259</v>
      </c>
      <c r="XQ12" s="151">
        <f t="shared" si="348"/>
        <v>-47.277152078089074</v>
      </c>
      <c r="XR12" s="151">
        <f t="shared" si="349"/>
        <v>-42.59018722551977</v>
      </c>
      <c r="XS12" s="151">
        <f t="shared" si="640"/>
        <v>-36.463134651413732</v>
      </c>
      <c r="XT12" s="151">
        <f t="shared" si="641"/>
        <v>-24.993547010370822</v>
      </c>
      <c r="XU12" s="134">
        <f t="shared" si="642"/>
        <v>-10.812319980924315</v>
      </c>
      <c r="XV12" s="151">
        <f t="shared" si="643"/>
        <v>4.5331652283719848</v>
      </c>
      <c r="XW12" s="151">
        <f t="shared" si="350"/>
        <v>19.130665581525399</v>
      </c>
      <c r="XX12" s="151">
        <f t="shared" si="351"/>
        <v>28.214192228634012</v>
      </c>
      <c r="XY12" s="151">
        <f t="shared" si="352"/>
        <v>36.278910810419269</v>
      </c>
      <c r="XZ12" s="151">
        <f t="shared" si="353"/>
        <v>45.86062505682316</v>
      </c>
      <c r="YA12" s="163"/>
      <c r="YB12" s="164">
        <v>1.7</v>
      </c>
      <c r="YC12" s="151">
        <f t="shared" si="354"/>
        <v>-52.708049827875861</v>
      </c>
      <c r="YD12" s="151">
        <f t="shared" si="355"/>
        <v>-48.174941177555198</v>
      </c>
      <c r="YE12" s="151">
        <f t="shared" si="356"/>
        <v>-43.790948537880098</v>
      </c>
      <c r="YF12" s="151">
        <f t="shared" si="644"/>
        <v>-38.332514394322672</v>
      </c>
      <c r="YG12" s="151">
        <f t="shared" si="645"/>
        <v>-28.483728116026846</v>
      </c>
      <c r="YH12" s="134">
        <f t="shared" si="646"/>
        <v>-16.645438297774781</v>
      </c>
      <c r="YI12" s="151">
        <f t="shared" si="647"/>
        <v>-4.0762996293448595</v>
      </c>
      <c r="YJ12" s="151">
        <f t="shared" si="357"/>
        <v>7.7258774846639042</v>
      </c>
      <c r="YK12" s="151">
        <f t="shared" si="358"/>
        <v>15.012326218064338</v>
      </c>
      <c r="YL12" s="151">
        <f t="shared" si="359"/>
        <v>21.450663940343752</v>
      </c>
      <c r="YM12" s="151">
        <f t="shared" si="360"/>
        <v>29.066992940568603</v>
      </c>
      <c r="YN12" s="163"/>
      <c r="YO12" s="164">
        <v>1.6</v>
      </c>
      <c r="YP12" s="151">
        <f t="shared" si="361"/>
        <v>18.247921357106872</v>
      </c>
      <c r="YQ12" s="151">
        <f t="shared" si="362"/>
        <v>20.720583240146485</v>
      </c>
      <c r="YR12" s="151">
        <f t="shared" si="363"/>
        <v>23.089921229503286</v>
      </c>
      <c r="YS12" s="151">
        <f t="shared" si="648"/>
        <v>26.129639358076549</v>
      </c>
      <c r="YT12" s="151">
        <f t="shared" si="649"/>
        <v>32.030727286034008</v>
      </c>
      <c r="YU12" s="134">
        <f t="shared" si="650"/>
        <v>40.037356212700736</v>
      </c>
      <c r="YV12" s="151">
        <f t="shared" si="651"/>
        <v>49.849945899333136</v>
      </c>
      <c r="YW12" s="151">
        <f t="shared" si="364"/>
        <v>60.489300386258513</v>
      </c>
      <c r="YX12" s="151">
        <f t="shared" si="365"/>
        <v>67.830484660741632</v>
      </c>
      <c r="YY12" s="151">
        <f t="shared" si="366"/>
        <v>74.852501540236176</v>
      </c>
      <c r="YZ12" s="151">
        <f t="shared" si="367"/>
        <v>83.854965259099842</v>
      </c>
      <c r="ZA12" s="163"/>
      <c r="ZB12" s="164">
        <v>1.6</v>
      </c>
      <c r="ZC12" s="151">
        <f t="shared" si="368"/>
        <v>17.325863768794381</v>
      </c>
      <c r="ZD12" s="151">
        <f t="shared" si="369"/>
        <v>19.665915192129123</v>
      </c>
      <c r="ZE12" s="151">
        <f t="shared" si="370"/>
        <v>21.919102045389703</v>
      </c>
      <c r="ZF12" s="151">
        <f t="shared" si="652"/>
        <v>24.825391201465191</v>
      </c>
      <c r="ZG12" s="151">
        <f t="shared" si="653"/>
        <v>30.516484283205028</v>
      </c>
      <c r="ZH12" s="134">
        <f t="shared" si="654"/>
        <v>38.337434938107798</v>
      </c>
      <c r="ZI12" s="151">
        <f t="shared" si="655"/>
        <v>48.068423607091489</v>
      </c>
      <c r="ZJ12" s="151">
        <f t="shared" si="371"/>
        <v>58.787374305952298</v>
      </c>
      <c r="ZK12" s="151">
        <f t="shared" si="372"/>
        <v>66.278439262777852</v>
      </c>
      <c r="ZL12" s="151">
        <f t="shared" si="373"/>
        <v>73.512218202074209</v>
      </c>
      <c r="ZM12" s="151">
        <f t="shared" si="374"/>
        <v>82.87915708526711</v>
      </c>
      <c r="ZN12" s="163"/>
      <c r="ZO12" s="164">
        <v>1.7</v>
      </c>
      <c r="ZP12" s="151">
        <f t="shared" si="375"/>
        <v>20.354643486301448</v>
      </c>
      <c r="ZQ12" s="151">
        <f t="shared" si="376"/>
        <v>22.965667500076968</v>
      </c>
      <c r="ZR12" s="151">
        <f t="shared" si="377"/>
        <v>25.448008797218353</v>
      </c>
      <c r="ZS12" s="151">
        <f t="shared" si="656"/>
        <v>28.607417558896344</v>
      </c>
      <c r="ZT12" s="151">
        <f t="shared" si="657"/>
        <v>34.669610289839909</v>
      </c>
      <c r="ZU12" s="134">
        <f t="shared" si="658"/>
        <v>42.767487553176878</v>
      </c>
      <c r="ZV12" s="151">
        <f t="shared" si="659"/>
        <v>52.527382016231385</v>
      </c>
      <c r="ZW12" s="151">
        <f t="shared" si="378"/>
        <v>62.940799025017689</v>
      </c>
      <c r="ZX12" s="151">
        <f t="shared" si="379"/>
        <v>70.038803867400361</v>
      </c>
      <c r="ZY12" s="151">
        <f t="shared" si="380"/>
        <v>76.76932704313333</v>
      </c>
      <c r="ZZ12" s="151">
        <f t="shared" si="381"/>
        <v>85.322051217190079</v>
      </c>
      <c r="AAA12" s="163"/>
      <c r="AAB12" s="164">
        <v>1.6</v>
      </c>
      <c r="AAC12" s="151">
        <f t="shared" si="382"/>
        <v>7.8785551367550415</v>
      </c>
      <c r="AAD12" s="151">
        <f t="shared" si="383"/>
        <v>8.8674832005551849</v>
      </c>
      <c r="AAE12" s="151">
        <f t="shared" si="384"/>
        <v>9.8005478454513195</v>
      </c>
      <c r="AAF12" s="151">
        <f t="shared" si="660"/>
        <v>10.978659643117828</v>
      </c>
      <c r="AAG12" s="151">
        <f t="shared" si="661"/>
        <v>13.211902033359419</v>
      </c>
      <c r="AAH12" s="134">
        <f t="shared" si="662"/>
        <v>16.145087826633624</v>
      </c>
      <c r="AAI12" s="151">
        <f t="shared" si="663"/>
        <v>19.614308590996817</v>
      </c>
      <c r="AAJ12" s="151">
        <f t="shared" si="385"/>
        <v>23.247155992791679</v>
      </c>
      <c r="AAK12" s="151">
        <f t="shared" si="386"/>
        <v>25.687546224441416</v>
      </c>
      <c r="AAL12" s="151">
        <f t="shared" si="387"/>
        <v>27.977315799333141</v>
      </c>
      <c r="AAM12" s="151">
        <f t="shared" si="388"/>
        <v>30.855654553760154</v>
      </c>
      <c r="AAN12" s="163"/>
      <c r="AAO12" s="164">
        <v>1.6</v>
      </c>
      <c r="AAP12" s="151">
        <f t="shared" si="389"/>
        <v>7.89404052989177</v>
      </c>
      <c r="AAQ12" s="151">
        <f t="shared" si="390"/>
        <v>8.8544141337256193</v>
      </c>
      <c r="AAR12" s="151">
        <f t="shared" si="391"/>
        <v>9.768613145878593</v>
      </c>
      <c r="AAS12" s="151">
        <f t="shared" si="664"/>
        <v>10.9343782424141</v>
      </c>
      <c r="AAT12" s="151">
        <f t="shared" si="665"/>
        <v>13.179809516465514</v>
      </c>
      <c r="AAU12" s="134">
        <f t="shared" si="666"/>
        <v>16.199643571171553</v>
      </c>
      <c r="AAV12" s="151">
        <f t="shared" si="667"/>
        <v>19.872820391148103</v>
      </c>
      <c r="AAW12" s="151">
        <f t="shared" si="392"/>
        <v>23.833336187389815</v>
      </c>
      <c r="AAX12" s="151">
        <f t="shared" si="393"/>
        <v>26.557230748598858</v>
      </c>
      <c r="AAY12" s="151">
        <f t="shared" si="394"/>
        <v>29.158008110289579</v>
      </c>
      <c r="AAZ12" s="151">
        <f t="shared" si="395"/>
        <v>32.48755241540654</v>
      </c>
      <c r="ABA12" s="163"/>
      <c r="ABB12" s="164">
        <v>1.7</v>
      </c>
      <c r="ABC12" s="151">
        <f t="shared" si="396"/>
        <v>8.2659406544088583</v>
      </c>
      <c r="ABD12" s="151">
        <f t="shared" si="397"/>
        <v>9.3504045103656672</v>
      </c>
      <c r="ABE12" s="151">
        <f t="shared" si="398"/>
        <v>10.366498719734174</v>
      </c>
      <c r="ABF12" s="151">
        <f t="shared" si="668"/>
        <v>11.639507243090458</v>
      </c>
      <c r="ABG12" s="151">
        <f t="shared" si="669"/>
        <v>14.022707456797967</v>
      </c>
      <c r="ABH12" s="134">
        <f t="shared" si="670"/>
        <v>17.096211318080719</v>
      </c>
      <c r="ABI12" s="151">
        <f t="shared" si="671"/>
        <v>20.655149243482192</v>
      </c>
      <c r="ABJ12" s="151">
        <f t="shared" si="399"/>
        <v>24.302155753752562</v>
      </c>
      <c r="ABK12" s="151">
        <f t="shared" si="400"/>
        <v>26.710467884206366</v>
      </c>
      <c r="ABL12" s="151">
        <f t="shared" si="401"/>
        <v>28.942114111522116</v>
      </c>
      <c r="ABM12" s="151">
        <f t="shared" si="402"/>
        <v>31.711484343813645</v>
      </c>
      <c r="ABN12" s="163"/>
      <c r="ABO12" s="164">
        <v>1.6</v>
      </c>
      <c r="ABP12" s="151">
        <f t="shared" si="403"/>
        <v>0.16210249092276274</v>
      </c>
      <c r="ABQ12" s="151">
        <f t="shared" si="404"/>
        <v>0.19041924513400091</v>
      </c>
      <c r="ABR12" s="151">
        <f t="shared" si="405"/>
        <v>0.21752001292362722</v>
      </c>
      <c r="ABS12" s="151">
        <f t="shared" si="672"/>
        <v>0.25213772740202994</v>
      </c>
      <c r="ABT12" s="151">
        <f t="shared" si="673"/>
        <v>0.31858862886940148</v>
      </c>
      <c r="ABU12" s="134">
        <f t="shared" si="674"/>
        <v>0.40677745693720885</v>
      </c>
      <c r="ABV12" s="151">
        <f t="shared" si="675"/>
        <v>0.51155206901570205</v>
      </c>
      <c r="ABW12" s="151">
        <f t="shared" si="406"/>
        <v>0.62117681924316193</v>
      </c>
      <c r="ABX12" s="151">
        <f t="shared" si="407"/>
        <v>0.6945705516233629</v>
      </c>
      <c r="ABY12" s="151">
        <f t="shared" si="408"/>
        <v>0.76317995142708495</v>
      </c>
      <c r="ABZ12" s="151">
        <f t="shared" si="409"/>
        <v>0.84901890036142236</v>
      </c>
      <c r="ACA12" s="163"/>
      <c r="ACB12" s="164">
        <v>1.6</v>
      </c>
      <c r="ACC12" s="151">
        <f t="shared" si="410"/>
        <v>0.17461462236150599</v>
      </c>
      <c r="ACD12" s="151">
        <f t="shared" si="411"/>
        <v>0.20286789148384604</v>
      </c>
      <c r="ACE12" s="151">
        <f t="shared" si="412"/>
        <v>0.23022367157239371</v>
      </c>
      <c r="ACF12" s="151">
        <f t="shared" si="676"/>
        <v>0.26564142244028455</v>
      </c>
      <c r="ACG12" s="151">
        <f t="shared" si="677"/>
        <v>0.33516167026284516</v>
      </c>
      <c r="ACH12" s="134">
        <f t="shared" si="678"/>
        <v>0.43054109750772823</v>
      </c>
      <c r="ACI12" s="151">
        <f t="shared" si="679"/>
        <v>0.54835917311181415</v>
      </c>
      <c r="ACJ12" s="151">
        <f t="shared" si="413"/>
        <v>0.67664331160154889</v>
      </c>
      <c r="ACK12" s="151">
        <f t="shared" si="414"/>
        <v>0.76527462135912416</v>
      </c>
      <c r="ACL12" s="151">
        <f t="shared" si="415"/>
        <v>0.85004913328364085</v>
      </c>
      <c r="ACM12" s="151">
        <f t="shared" si="416"/>
        <v>0.95864747388240479</v>
      </c>
      <c r="ACN12" s="163"/>
      <c r="ACO12" s="164">
        <v>1.7</v>
      </c>
      <c r="ACP12" s="151">
        <f t="shared" si="417"/>
        <v>0.16039484603174387</v>
      </c>
      <c r="ACQ12" s="151">
        <f t="shared" si="418"/>
        <v>0.19171555797929329</v>
      </c>
      <c r="ACR12" s="151">
        <f t="shared" si="419"/>
        <v>0.22096322927900339</v>
      </c>
      <c r="ACS12" s="151">
        <f t="shared" si="680"/>
        <v>0.25734875161835152</v>
      </c>
      <c r="ACT12" s="151">
        <f t="shared" si="681"/>
        <v>0.32443415959526117</v>
      </c>
      <c r="ACU12" s="134">
        <f t="shared" si="682"/>
        <v>0.40868249895588821</v>
      </c>
      <c r="ACV12" s="151">
        <f t="shared" si="683"/>
        <v>0.50299132670375324</v>
      </c>
      <c r="ACW12" s="151">
        <f t="shared" si="420"/>
        <v>0.59622180519576895</v>
      </c>
      <c r="ACX12" s="151">
        <f t="shared" si="421"/>
        <v>0.65603633807539841</v>
      </c>
      <c r="ACY12" s="151">
        <f t="shared" si="422"/>
        <v>0.71030888128452463</v>
      </c>
      <c r="ACZ12" s="151">
        <f t="shared" si="423"/>
        <v>0.7762147307529067</v>
      </c>
      <c r="ADA12" s="163"/>
      <c r="ADB12" s="164">
        <v>1.6</v>
      </c>
      <c r="ADC12" s="151">
        <f t="shared" si="424"/>
        <v>0.13659885012311637</v>
      </c>
      <c r="ADD12" s="151">
        <f t="shared" si="425"/>
        <v>0.15884624756542662</v>
      </c>
      <c r="ADE12" s="151">
        <f t="shared" si="426"/>
        <v>0.17856266410305971</v>
      </c>
      <c r="ADF12" s="151">
        <f t="shared" si="684"/>
        <v>0.2019169104793028</v>
      </c>
      <c r="ADG12" s="151">
        <f t="shared" si="685"/>
        <v>0.24224811536607396</v>
      </c>
      <c r="ADH12" s="134">
        <f t="shared" si="686"/>
        <v>0.28905073442469631</v>
      </c>
      <c r="ADI12" s="151">
        <f t="shared" si="687"/>
        <v>0.33762868991830669</v>
      </c>
      <c r="ADJ12" s="151">
        <f t="shared" si="427"/>
        <v>0.3826027388003328</v>
      </c>
      <c r="ADK12" s="151">
        <f t="shared" si="428"/>
        <v>0.41015447707301661</v>
      </c>
      <c r="ADL12" s="151">
        <f t="shared" si="429"/>
        <v>0.43439461716792505</v>
      </c>
      <c r="ADM12" s="151">
        <f t="shared" si="430"/>
        <v>0.46296609017043722</v>
      </c>
      <c r="ADN12" s="163"/>
      <c r="ADO12" s="164">
        <v>1.6</v>
      </c>
      <c r="ADP12" s="151">
        <f t="shared" si="431"/>
        <v>0.14653238429469798</v>
      </c>
      <c r="ADQ12" s="151">
        <f t="shared" si="432"/>
        <v>0.16791516464774217</v>
      </c>
      <c r="ADR12" s="151">
        <f t="shared" si="433"/>
        <v>0.18720662629963961</v>
      </c>
      <c r="ADS12" s="151">
        <f t="shared" si="688"/>
        <v>0.21045615708135901</v>
      </c>
      <c r="ADT12" s="151">
        <f t="shared" si="689"/>
        <v>0.25157285829232223</v>
      </c>
      <c r="ADU12" s="134">
        <f t="shared" si="690"/>
        <v>0.30072182228265099</v>
      </c>
      <c r="ADV12" s="151">
        <f t="shared" si="691"/>
        <v>0.35324357233328202</v>
      </c>
      <c r="ADW12" s="151">
        <f t="shared" si="434"/>
        <v>0.40314081394167589</v>
      </c>
      <c r="ADX12" s="151">
        <f t="shared" si="435"/>
        <v>0.43427793136891779</v>
      </c>
      <c r="ADY12" s="151">
        <f t="shared" si="436"/>
        <v>0.46201473453291247</v>
      </c>
      <c r="ADZ12" s="151">
        <f t="shared" si="437"/>
        <v>0.49510496254768988</v>
      </c>
      <c r="AEA12" s="163"/>
      <c r="AEB12" s="164">
        <v>1.7</v>
      </c>
      <c r="AEC12" s="151">
        <f t="shared" si="438"/>
        <v>0.13526410963258723</v>
      </c>
      <c r="AED12" s="151">
        <f t="shared" si="439"/>
        <v>0.15994709668183907</v>
      </c>
      <c r="AEE12" s="151">
        <f t="shared" si="440"/>
        <v>0.18105328018636174</v>
      </c>
      <c r="AEF12" s="151">
        <f t="shared" si="692"/>
        <v>0.20526624171213173</v>
      </c>
      <c r="AEG12" s="151">
        <f t="shared" si="693"/>
        <v>0.24541059286505729</v>
      </c>
      <c r="AEH12" s="134">
        <f t="shared" si="694"/>
        <v>0.28984803583459628</v>
      </c>
      <c r="AEI12" s="151">
        <f t="shared" si="695"/>
        <v>0.33401350351968395</v>
      </c>
      <c r="AEJ12" s="151">
        <f t="shared" si="441"/>
        <v>0.37343904751680651</v>
      </c>
      <c r="AEK12" s="151">
        <f t="shared" si="442"/>
        <v>0.39699214833063706</v>
      </c>
      <c r="AEL12" s="151">
        <f t="shared" si="443"/>
        <v>0.41737562039668646</v>
      </c>
      <c r="AEM12" s="151">
        <f t="shared" si="444"/>
        <v>0.44102599626762568</v>
      </c>
      <c r="AEN12" s="163"/>
    </row>
    <row r="13" spans="1:820">
      <c r="A13" s="163"/>
      <c r="B13" s="164">
        <v>1.8</v>
      </c>
      <c r="C13" s="151">
        <f t="shared" si="0"/>
        <v>1.3706180513924546</v>
      </c>
      <c r="D13" s="151">
        <f t="shared" si="1"/>
        <v>1.6812922445119007</v>
      </c>
      <c r="E13" s="151">
        <f t="shared" si="2"/>
        <v>2.0170435423832811</v>
      </c>
      <c r="F13" s="151">
        <f t="shared" si="445"/>
        <v>2.5078093682011002</v>
      </c>
      <c r="G13" s="151">
        <f t="shared" si="446"/>
        <v>3.6815091059761009</v>
      </c>
      <c r="H13" s="134">
        <f t="shared" si="447"/>
        <v>5.8464745568554068</v>
      </c>
      <c r="I13" s="151">
        <f t="shared" si="448"/>
        <v>9.6930469850453989</v>
      </c>
      <c r="J13" s="151">
        <f t="shared" si="3"/>
        <v>15.94037781976613</v>
      </c>
      <c r="K13" s="151">
        <f t="shared" si="4"/>
        <v>21.987114827923694</v>
      </c>
      <c r="L13" s="151">
        <f t="shared" si="5"/>
        <v>29.538413144714315</v>
      </c>
      <c r="M13" s="151">
        <f t="shared" si="6"/>
        <v>42.539435089957173</v>
      </c>
      <c r="N13" s="163"/>
      <c r="O13" s="165">
        <v>1.8</v>
      </c>
      <c r="P13" s="152">
        <f t="shared" si="7"/>
        <v>2.3975861106997796</v>
      </c>
      <c r="Q13" s="152">
        <f t="shared" si="8"/>
        <v>2.7479864467054829</v>
      </c>
      <c r="R13" s="152">
        <f t="shared" si="9"/>
        <v>3.1096143055516019</v>
      </c>
      <c r="S13" s="152">
        <f t="shared" si="449"/>
        <v>3.6151302920741673</v>
      </c>
      <c r="T13" s="152">
        <f t="shared" si="450"/>
        <v>4.7527913589675403</v>
      </c>
      <c r="U13" s="136">
        <f t="shared" si="451"/>
        <v>6.7133182415092509</v>
      </c>
      <c r="V13" s="152">
        <f t="shared" si="452"/>
        <v>10.028346581856637</v>
      </c>
      <c r="W13" s="152">
        <f t="shared" si="10"/>
        <v>15.34324785311718</v>
      </c>
      <c r="X13" s="152">
        <f t="shared" si="11"/>
        <v>20.606374624676654</v>
      </c>
      <c r="Y13" s="152">
        <f t="shared" si="12"/>
        <v>27.474967260266006</v>
      </c>
      <c r="Z13" s="152">
        <f t="shared" si="13"/>
        <v>40.284662933709612</v>
      </c>
      <c r="AA13" s="163"/>
      <c r="AB13" s="164">
        <v>1.8</v>
      </c>
      <c r="AC13" s="151">
        <f t="shared" si="14"/>
        <v>1.2421034330376779</v>
      </c>
      <c r="AD13" s="151">
        <f t="shared" si="15"/>
        <v>1.517676762699163</v>
      </c>
      <c r="AE13" s="151">
        <f t="shared" si="16"/>
        <v>1.8167485498141931</v>
      </c>
      <c r="AF13" s="151">
        <f t="shared" si="453"/>
        <v>2.2566522149881325</v>
      </c>
      <c r="AG13" s="151">
        <f t="shared" si="454"/>
        <v>3.3232539394734149</v>
      </c>
      <c r="AH13" s="134">
        <f t="shared" si="455"/>
        <v>5.345392874721381</v>
      </c>
      <c r="AI13" s="151">
        <f t="shared" si="456"/>
        <v>9.1021252848115228</v>
      </c>
      <c r="AJ13" s="151">
        <f t="shared" si="17"/>
        <v>15.598839272760163</v>
      </c>
      <c r="AK13" s="151">
        <f t="shared" si="18"/>
        <v>22.29775676961696</v>
      </c>
      <c r="AL13" s="151">
        <f t="shared" si="19"/>
        <v>31.171135519439517</v>
      </c>
      <c r="AM13" s="151">
        <f t="shared" si="20"/>
        <v>47.640365591508427</v>
      </c>
      <c r="AN13" s="163"/>
      <c r="AO13" s="164">
        <v>1.8</v>
      </c>
      <c r="AP13" s="151">
        <f t="shared" si="21"/>
        <v>-0.71845404668642754</v>
      </c>
      <c r="AQ13" s="151">
        <f t="shared" si="22"/>
        <v>1.0852136607284981</v>
      </c>
      <c r="AR13" s="151">
        <f t="shared" si="23"/>
        <v>2.8284334752278193</v>
      </c>
      <c r="AS13" s="151">
        <f t="shared" si="457"/>
        <v>5.0609770262920195</v>
      </c>
      <c r="AT13" s="151">
        <f t="shared" si="458"/>
        <v>9.3224644920830144</v>
      </c>
      <c r="AU13" s="134">
        <f t="shared" si="459"/>
        <v>14.87463229724753</v>
      </c>
      <c r="AV13" s="151">
        <f t="shared" si="460"/>
        <v>21.284665159405126</v>
      </c>
      <c r="AW13" s="151">
        <f t="shared" si="24"/>
        <v>27.774950345182329</v>
      </c>
      <c r="AX13" s="151">
        <f t="shared" si="25"/>
        <v>32.003986337194654</v>
      </c>
      <c r="AY13" s="151">
        <f t="shared" si="26"/>
        <v>35.87886142728906</v>
      </c>
      <c r="AZ13" s="151">
        <f t="shared" si="27"/>
        <v>40.62708207174996</v>
      </c>
      <c r="BA13" s="163"/>
      <c r="BB13" s="165">
        <v>1.8</v>
      </c>
      <c r="BC13" s="152">
        <f t="shared" si="28"/>
        <v>2.2601704497228559</v>
      </c>
      <c r="BD13" s="152">
        <f t="shared" si="29"/>
        <v>4.5456090761319805</v>
      </c>
      <c r="BE13" s="152">
        <f t="shared" si="30"/>
        <v>6.67480659611003</v>
      </c>
      <c r="BF13" s="152">
        <f t="shared" si="461"/>
        <v>9.3113710759798636</v>
      </c>
      <c r="BG13" s="152">
        <f t="shared" si="462"/>
        <v>14.127712053919158</v>
      </c>
      <c r="BH13" s="136">
        <f t="shared" si="463"/>
        <v>20.087871087621718</v>
      </c>
      <c r="BI13" s="152">
        <f t="shared" si="464"/>
        <v>26.646494854319098</v>
      </c>
      <c r="BJ13" s="152">
        <f t="shared" si="31"/>
        <v>33.021817378478111</v>
      </c>
      <c r="BK13" s="152">
        <f t="shared" si="32"/>
        <v>37.060077919842755</v>
      </c>
      <c r="BL13" s="152">
        <f t="shared" si="33"/>
        <v>40.691501841080715</v>
      </c>
      <c r="BM13" s="152">
        <f t="shared" si="34"/>
        <v>45.062030792216113</v>
      </c>
      <c r="BN13" s="163"/>
      <c r="BO13" s="170">
        <v>1.8</v>
      </c>
      <c r="BP13" s="171">
        <f t="shared" si="35"/>
        <v>2.2352764761522415</v>
      </c>
      <c r="BQ13" s="171">
        <f t="shared" si="36"/>
        <v>2.9940756795008818</v>
      </c>
      <c r="BR13" s="171">
        <f t="shared" si="37"/>
        <v>3.8124510894707857</v>
      </c>
      <c r="BS13" s="171">
        <f t="shared" si="465"/>
        <v>4.9855544775606893</v>
      </c>
      <c r="BT13" s="171">
        <f t="shared" si="466"/>
        <v>7.626621130320788</v>
      </c>
      <c r="BU13" s="150">
        <f t="shared" si="467"/>
        <v>11.892743144740797</v>
      </c>
      <c r="BV13" s="171">
        <f t="shared" si="468"/>
        <v>18.043620210097764</v>
      </c>
      <c r="BW13" s="171">
        <f t="shared" si="38"/>
        <v>25.689815414751067</v>
      </c>
      <c r="BX13" s="171">
        <f t="shared" si="39"/>
        <v>31.480055458003882</v>
      </c>
      <c r="BY13" s="171">
        <f t="shared" si="40"/>
        <v>37.368629943795824</v>
      </c>
      <c r="BZ13" s="171">
        <f t="shared" si="41"/>
        <v>45.371723613967525</v>
      </c>
      <c r="CA13" s="163"/>
      <c r="CB13" s="170">
        <v>1.8</v>
      </c>
      <c r="CC13" s="171">
        <f t="shared" si="42"/>
        <v>-6.5677555877211349</v>
      </c>
      <c r="CD13" s="171">
        <f t="shared" si="43"/>
        <v>-5.0966980190578086</v>
      </c>
      <c r="CE13" s="171">
        <f t="shared" si="44"/>
        <v>-3.4386610351729581</v>
      </c>
      <c r="CF13" s="171">
        <f t="shared" si="469"/>
        <v>-1.1976850145275044</v>
      </c>
      <c r="CG13" s="171">
        <f t="shared" si="470"/>
        <v>3.1635795484993272</v>
      </c>
      <c r="CH13" s="150">
        <f t="shared" si="471"/>
        <v>8.7718118867557493</v>
      </c>
      <c r="CI13" s="171">
        <f t="shared" si="472"/>
        <v>15.037969750487033</v>
      </c>
      <c r="CJ13" s="171">
        <f t="shared" si="45"/>
        <v>21.14765600535867</v>
      </c>
      <c r="CK13" s="171">
        <f t="shared" si="46"/>
        <v>25.011113568812068</v>
      </c>
      <c r="CL13" s="171">
        <f t="shared" si="47"/>
        <v>28.476396136210429</v>
      </c>
      <c r="CM13" s="171">
        <f t="shared" si="48"/>
        <v>32.63285768687696</v>
      </c>
      <c r="CN13" s="163"/>
      <c r="CO13" s="165">
        <v>1.8</v>
      </c>
      <c r="CP13" s="152">
        <f t="shared" si="49"/>
        <v>-2.4508344674949099</v>
      </c>
      <c r="CQ13" s="152">
        <f t="shared" si="50"/>
        <v>-0.45230529965915345</v>
      </c>
      <c r="CR13" s="152">
        <f t="shared" si="51"/>
        <v>1.4669498209456746</v>
      </c>
      <c r="CS13" s="152">
        <f t="shared" si="473"/>
        <v>3.881435391909883</v>
      </c>
      <c r="CT13" s="152">
        <f t="shared" si="474"/>
        <v>8.3330944692609101</v>
      </c>
      <c r="CU13" s="136">
        <f t="shared" si="475"/>
        <v>13.843806416252786</v>
      </c>
      <c r="CV13" s="152">
        <f t="shared" si="476"/>
        <v>19.865474995139014</v>
      </c>
      <c r="CW13" s="152">
        <f t="shared" si="52"/>
        <v>25.660641125562414</v>
      </c>
      <c r="CX13" s="152">
        <f t="shared" si="53"/>
        <v>29.299906449574184</v>
      </c>
      <c r="CY13" s="152">
        <f t="shared" si="54"/>
        <v>32.551728435787403</v>
      </c>
      <c r="CZ13" s="152">
        <f t="shared" si="55"/>
        <v>36.439801162194001</v>
      </c>
      <c r="DA13" s="163"/>
      <c r="DB13" s="170">
        <v>1.8</v>
      </c>
      <c r="DC13" s="171">
        <f t="shared" si="56"/>
        <v>-6.3698789193190049</v>
      </c>
      <c r="DD13" s="171">
        <f t="shared" si="57"/>
        <v>-5.2266902064572616</v>
      </c>
      <c r="DE13" s="171">
        <f t="shared" si="58"/>
        <v>-3.9104756849861477</v>
      </c>
      <c r="DF13" s="171">
        <f t="shared" si="477"/>
        <v>-2.0598529049998326</v>
      </c>
      <c r="DG13" s="171">
        <f t="shared" si="478"/>
        <v>1.7350096609590731</v>
      </c>
      <c r="DH13" s="150">
        <f t="shared" si="479"/>
        <v>6.9006925510678423</v>
      </c>
      <c r="DI13" s="171">
        <f t="shared" si="480"/>
        <v>12.961166207191749</v>
      </c>
      <c r="DJ13" s="171">
        <f t="shared" si="59"/>
        <v>19.103823967486949</v>
      </c>
      <c r="DK13" s="171">
        <f t="shared" si="60"/>
        <v>23.089062625674153</v>
      </c>
      <c r="DL13" s="171">
        <f t="shared" si="61"/>
        <v>26.722898628076042</v>
      </c>
      <c r="DM13" s="171">
        <f t="shared" si="62"/>
        <v>31.149474606855247</v>
      </c>
      <c r="DN13" s="163"/>
      <c r="DO13" s="170">
        <v>1.8</v>
      </c>
      <c r="DP13" s="171">
        <f t="shared" si="63"/>
        <v>16.09908307283213</v>
      </c>
      <c r="DQ13" s="171">
        <f t="shared" si="64"/>
        <v>17.281682473394639</v>
      </c>
      <c r="DR13" s="171">
        <f t="shared" si="65"/>
        <v>18.419235871014212</v>
      </c>
      <c r="DS13" s="171">
        <f t="shared" si="481"/>
        <v>19.893668597922979</v>
      </c>
      <c r="DT13" s="171">
        <f t="shared" si="482"/>
        <v>22.835449180406695</v>
      </c>
      <c r="DU13" s="150">
        <f t="shared" si="483"/>
        <v>27.072823766696999</v>
      </c>
      <c r="DV13" s="171">
        <f t="shared" si="484"/>
        <v>32.800017359491569</v>
      </c>
      <c r="DW13" s="171">
        <f t="shared" si="66"/>
        <v>39.89312802868028</v>
      </c>
      <c r="DX13" s="171">
        <f t="shared" si="67"/>
        <v>45.469113474125564</v>
      </c>
      <c r="DY13" s="171">
        <f t="shared" si="68"/>
        <v>51.443930460463932</v>
      </c>
      <c r="DZ13" s="171">
        <f t="shared" si="69"/>
        <v>60.221359006530562</v>
      </c>
      <c r="EA13" s="163"/>
      <c r="EB13" s="165">
        <v>1.8</v>
      </c>
      <c r="EC13" s="152">
        <f t="shared" si="70"/>
        <v>15.965596400571291</v>
      </c>
      <c r="ED13" s="152">
        <f t="shared" si="71"/>
        <v>16.794998522358782</v>
      </c>
      <c r="EE13" s="152">
        <f t="shared" si="72"/>
        <v>17.56523748883998</v>
      </c>
      <c r="EF13" s="152">
        <f t="shared" si="485"/>
        <v>18.526175976149702</v>
      </c>
      <c r="EG13" s="152">
        <f t="shared" si="486"/>
        <v>20.329330008410967</v>
      </c>
      <c r="EH13" s="136">
        <f t="shared" si="487"/>
        <v>22.695607150067605</v>
      </c>
      <c r="EI13" s="152">
        <f t="shared" si="488"/>
        <v>25.538354922863135</v>
      </c>
      <c r="EJ13" s="152">
        <f t="shared" si="73"/>
        <v>28.610800039885991</v>
      </c>
      <c r="EK13" s="152">
        <f t="shared" si="74"/>
        <v>30.748680755184012</v>
      </c>
      <c r="EL13" s="152">
        <f t="shared" si="75"/>
        <v>32.819223030719954</v>
      </c>
      <c r="EM13" s="152">
        <f t="shared" si="76"/>
        <v>35.523052051640221</v>
      </c>
      <c r="EN13" s="163"/>
      <c r="EO13" s="170">
        <v>1.8</v>
      </c>
      <c r="EP13" s="171">
        <f t="shared" si="77"/>
        <v>16.258814897403351</v>
      </c>
      <c r="EQ13" s="171">
        <f t="shared" si="78"/>
        <v>17.62293239558333</v>
      </c>
      <c r="ER13" s="171">
        <f t="shared" si="79"/>
        <v>18.929568426151441</v>
      </c>
      <c r="ES13" s="171">
        <f t="shared" si="489"/>
        <v>20.613080059033528</v>
      </c>
      <c r="ET13" s="171">
        <f t="shared" si="490"/>
        <v>23.930629161873743</v>
      </c>
      <c r="EU13" s="150">
        <f t="shared" si="491"/>
        <v>28.594903664450712</v>
      </c>
      <c r="EV13" s="171">
        <f t="shared" si="492"/>
        <v>34.660080071202806</v>
      </c>
      <c r="EW13" s="171">
        <f t="shared" si="80"/>
        <v>41.77807818318373</v>
      </c>
      <c r="EX13" s="171">
        <f t="shared" si="81"/>
        <v>47.07482130597203</v>
      </c>
      <c r="EY13" s="171">
        <f t="shared" si="82"/>
        <v>52.473695646820104</v>
      </c>
      <c r="EZ13" s="171">
        <f t="shared" si="83"/>
        <v>59.92306119270166</v>
      </c>
      <c r="FA13" s="163"/>
      <c r="FB13" s="170">
        <v>1.8</v>
      </c>
      <c r="FC13" s="171">
        <f t="shared" si="84"/>
        <v>9.0268115095685193</v>
      </c>
      <c r="FD13" s="171">
        <f t="shared" si="85"/>
        <v>9.901026673819894</v>
      </c>
      <c r="FE13" s="171">
        <f t="shared" si="86"/>
        <v>10.739125830096183</v>
      </c>
      <c r="FF13" s="171">
        <f t="shared" si="493"/>
        <v>11.818664419183436</v>
      </c>
      <c r="FG13" s="171">
        <f t="shared" si="494"/>
        <v>13.940230503605301</v>
      </c>
      <c r="FH13" s="150">
        <f t="shared" si="495"/>
        <v>16.898710780183414</v>
      </c>
      <c r="FI13" s="171">
        <f t="shared" si="496"/>
        <v>20.686200498790637</v>
      </c>
      <c r="FJ13" s="171">
        <f t="shared" si="87"/>
        <v>25.03004191249731</v>
      </c>
      <c r="FK13" s="171">
        <f t="shared" si="88"/>
        <v>28.187263586414229</v>
      </c>
      <c r="FL13" s="171">
        <f t="shared" si="89"/>
        <v>31.338723623702116</v>
      </c>
      <c r="FM13" s="171">
        <f t="shared" si="90"/>
        <v>35.578346293222772</v>
      </c>
      <c r="FN13" s="163"/>
      <c r="FO13" s="170">
        <v>1.8</v>
      </c>
      <c r="FP13" s="171">
        <f t="shared" si="91"/>
        <v>9.4082220699121812</v>
      </c>
      <c r="FQ13" s="171">
        <f t="shared" si="92"/>
        <v>10.08424254096016</v>
      </c>
      <c r="FR13" s="171">
        <f t="shared" si="93"/>
        <v>10.709159442616597</v>
      </c>
      <c r="FS13" s="171">
        <f t="shared" si="497"/>
        <v>11.483831119955301</v>
      </c>
      <c r="FT13" s="171">
        <f t="shared" si="498"/>
        <v>12.919136659115583</v>
      </c>
      <c r="FU13" s="150">
        <f t="shared" si="499"/>
        <v>14.759428521601063</v>
      </c>
      <c r="FV13" s="171">
        <f t="shared" si="500"/>
        <v>16.896826140514666</v>
      </c>
      <c r="FW13" s="171">
        <f t="shared" si="94"/>
        <v>19.11133583481811</v>
      </c>
      <c r="FX13" s="171">
        <f t="shared" si="95"/>
        <v>20.593041920159621</v>
      </c>
      <c r="FY13" s="171">
        <f t="shared" si="96"/>
        <v>21.982419697078896</v>
      </c>
      <c r="FZ13" s="171">
        <f t="shared" si="97"/>
        <v>23.730903714882377</v>
      </c>
      <c r="GA13" s="163"/>
      <c r="GB13" s="170">
        <v>1.8</v>
      </c>
      <c r="GC13" s="171">
        <f t="shared" si="98"/>
        <v>8.8826077963920298</v>
      </c>
      <c r="GD13" s="171">
        <f t="shared" si="99"/>
        <v>9.8526912347003321</v>
      </c>
      <c r="GE13" s="171">
        <f t="shared" si="100"/>
        <v>10.783337259297006</v>
      </c>
      <c r="GF13" s="171">
        <f t="shared" si="501"/>
        <v>11.981623694403037</v>
      </c>
      <c r="GG13" s="171">
        <f t="shared" si="502"/>
        <v>14.330343663328597</v>
      </c>
      <c r="GH13" s="150">
        <f t="shared" si="503"/>
        <v>17.581594265539248</v>
      </c>
      <c r="GI13" s="171">
        <f t="shared" si="504"/>
        <v>21.689357068974072</v>
      </c>
      <c r="GJ13" s="171">
        <f t="shared" si="101"/>
        <v>26.314765073536179</v>
      </c>
      <c r="GK13" s="171">
        <f t="shared" si="102"/>
        <v>29.61691737337857</v>
      </c>
      <c r="GL13" s="171">
        <f t="shared" si="103"/>
        <v>32.863048063448915</v>
      </c>
      <c r="GM13" s="171">
        <f t="shared" si="104"/>
        <v>37.152908721718248</v>
      </c>
      <c r="GN13" s="163"/>
      <c r="GO13" s="170">
        <v>1.8</v>
      </c>
      <c r="GP13" s="171">
        <f t="shared" si="105"/>
        <v>0.40377354230571205</v>
      </c>
      <c r="GQ13" s="171">
        <f t="shared" si="106"/>
        <v>0.44551908432408838</v>
      </c>
      <c r="GR13" s="171">
        <f t="shared" si="107"/>
        <v>0.47835814847280167</v>
      </c>
      <c r="GS13" s="171">
        <f t="shared" si="505"/>
        <v>0.51347554815625718</v>
      </c>
      <c r="GT13" s="171">
        <f t="shared" si="506"/>
        <v>0.56697659212869467</v>
      </c>
      <c r="GU13" s="150">
        <f t="shared" si="507"/>
        <v>0.62090787261462133</v>
      </c>
      <c r="GV13" s="171">
        <f t="shared" si="508"/>
        <v>0.67027710491479153</v>
      </c>
      <c r="GW13" s="171">
        <f t="shared" si="108"/>
        <v>0.7114989469067079</v>
      </c>
      <c r="GX13" s="171">
        <f t="shared" si="109"/>
        <v>0.7350387354328729</v>
      </c>
      <c r="GY13" s="171">
        <f t="shared" si="110"/>
        <v>0.75482714509637017</v>
      </c>
      <c r="GZ13" s="171">
        <f t="shared" si="111"/>
        <v>0.7771653874129032</v>
      </c>
      <c r="HA13" s="163"/>
      <c r="HB13" s="170">
        <v>1.8</v>
      </c>
      <c r="HC13" s="171">
        <f t="shared" si="112"/>
        <v>0.44060423020821904</v>
      </c>
      <c r="HD13" s="171">
        <f t="shared" si="113"/>
        <v>0.47923661782890525</v>
      </c>
      <c r="HE13" s="171">
        <f t="shared" si="114"/>
        <v>0.51004082234217152</v>
      </c>
      <c r="HF13" s="171">
        <f t="shared" si="509"/>
        <v>0.54331210050070622</v>
      </c>
      <c r="HG13" s="171">
        <f t="shared" si="510"/>
        <v>0.59453431559820891</v>
      </c>
      <c r="HH13" s="150">
        <f t="shared" si="511"/>
        <v>0.64668950099744071</v>
      </c>
      <c r="HI13" s="171">
        <f t="shared" si="512"/>
        <v>0.69479705377814782</v>
      </c>
      <c r="HJ13" s="171">
        <f t="shared" si="115"/>
        <v>0.73518440992879852</v>
      </c>
      <c r="HK13" s="171">
        <f t="shared" si="116"/>
        <v>0.75832489075910969</v>
      </c>
      <c r="HL13" s="171">
        <f t="shared" si="117"/>
        <v>0.77781681572614414</v>
      </c>
      <c r="HM13" s="171">
        <f t="shared" si="118"/>
        <v>0.79986021898702575</v>
      </c>
      <c r="HN13" s="163"/>
      <c r="HO13" s="170">
        <v>1.8</v>
      </c>
      <c r="HP13" s="171">
        <f t="shared" si="119"/>
        <v>0.3971005911165329</v>
      </c>
      <c r="HQ13" s="171">
        <f t="shared" si="120"/>
        <v>0.43920528311588181</v>
      </c>
      <c r="HR13" s="171">
        <f t="shared" si="121"/>
        <v>0.47220623895565284</v>
      </c>
      <c r="HS13" s="171">
        <f t="shared" si="513"/>
        <v>0.50740176131057158</v>
      </c>
      <c r="HT13" s="171">
        <f t="shared" si="514"/>
        <v>0.5608683954712812</v>
      </c>
      <c r="HU13" s="150">
        <f t="shared" si="515"/>
        <v>0.61461401352039191</v>
      </c>
      <c r="HV13" s="171">
        <f t="shared" si="516"/>
        <v>0.66370588893732896</v>
      </c>
      <c r="HW13" s="171">
        <f t="shared" si="122"/>
        <v>0.70463010165154027</v>
      </c>
      <c r="HX13" s="171">
        <f t="shared" si="123"/>
        <v>0.7279761482568784</v>
      </c>
      <c r="HY13" s="171">
        <f t="shared" si="124"/>
        <v>0.74758942225983838</v>
      </c>
      <c r="HZ13" s="171">
        <f t="shared" si="125"/>
        <v>0.76971731821199296</v>
      </c>
      <c r="IA13" s="163"/>
      <c r="IB13" s="170">
        <v>1.8</v>
      </c>
      <c r="IC13" s="171">
        <f t="shared" si="126"/>
        <v>0.28906095300911339</v>
      </c>
      <c r="ID13" s="171">
        <f t="shared" si="127"/>
        <v>0.30926591950609456</v>
      </c>
      <c r="IE13" s="171">
        <f t="shared" si="128"/>
        <v>0.32424197005851163</v>
      </c>
      <c r="IF13" s="171">
        <f t="shared" si="517"/>
        <v>0.33952878690966526</v>
      </c>
      <c r="IG13" s="171">
        <f t="shared" si="518"/>
        <v>0.36162477710890045</v>
      </c>
      <c r="IH13" s="150">
        <f t="shared" si="519"/>
        <v>0.38269942148124592</v>
      </c>
      <c r="II13" s="171">
        <f t="shared" si="520"/>
        <v>0.40111713162830281</v>
      </c>
      <c r="IJ13" s="171">
        <f t="shared" si="129"/>
        <v>0.41594575230937592</v>
      </c>
      <c r="IK13" s="171">
        <f t="shared" si="130"/>
        <v>0.4242124822234366</v>
      </c>
      <c r="IL13" s="171">
        <f t="shared" si="131"/>
        <v>0.43105682913705518</v>
      </c>
      <c r="IM13" s="171">
        <f t="shared" si="132"/>
        <v>0.43867404840021357</v>
      </c>
      <c r="IN13" s="163"/>
      <c r="IO13" s="165">
        <v>1.8</v>
      </c>
      <c r="IP13" s="152">
        <f t="shared" si="133"/>
        <v>0.30726339159570837</v>
      </c>
      <c r="IQ13" s="152">
        <f t="shared" si="134"/>
        <v>0.32485319637212595</v>
      </c>
      <c r="IR13" s="152">
        <f t="shared" si="135"/>
        <v>0.33823469983749394</v>
      </c>
      <c r="IS13" s="152">
        <f t="shared" si="521"/>
        <v>0.35214365846704565</v>
      </c>
      <c r="IT13" s="152">
        <f t="shared" si="522"/>
        <v>0.37261644666342697</v>
      </c>
      <c r="IU13" s="136">
        <f t="shared" si="523"/>
        <v>0.39247230651653714</v>
      </c>
      <c r="IV13" s="152">
        <f t="shared" si="524"/>
        <v>0.41003728971834236</v>
      </c>
      <c r="IW13" s="152">
        <f t="shared" si="136"/>
        <v>0.42429917663294303</v>
      </c>
      <c r="IX13" s="152">
        <f t="shared" si="137"/>
        <v>0.43229044349538803</v>
      </c>
      <c r="IY13" s="152">
        <f t="shared" si="138"/>
        <v>0.43892664865476272</v>
      </c>
      <c r="IZ13" s="152">
        <f t="shared" si="139"/>
        <v>0.44633199023080866</v>
      </c>
      <c r="JA13" s="163"/>
      <c r="JB13" s="170">
        <v>1.8</v>
      </c>
      <c r="JC13" s="171">
        <f t="shared" si="140"/>
        <v>0.28566114867816561</v>
      </c>
      <c r="JD13" s="171">
        <f t="shared" si="141"/>
        <v>0.3063115764597103</v>
      </c>
      <c r="JE13" s="171">
        <f t="shared" si="142"/>
        <v>0.32151621812652176</v>
      </c>
      <c r="JF13" s="171">
        <f t="shared" si="525"/>
        <v>0.33696621823562234</v>
      </c>
      <c r="JG13" s="171">
        <f t="shared" si="526"/>
        <v>0.35919818811749499</v>
      </c>
      <c r="JH13" s="150">
        <f t="shared" si="527"/>
        <v>0.38031542146961256</v>
      </c>
      <c r="JI13" s="171">
        <f t="shared" si="528"/>
        <v>0.39871495108389038</v>
      </c>
      <c r="JJ13" s="171">
        <f t="shared" si="143"/>
        <v>0.41349776609794003</v>
      </c>
      <c r="JK13" s="171">
        <f t="shared" si="144"/>
        <v>0.42172839893179359</v>
      </c>
      <c r="JL13" s="171">
        <f t="shared" si="145"/>
        <v>0.42853763823302438</v>
      </c>
      <c r="JM13" s="171">
        <f t="shared" si="146"/>
        <v>0.43611058126288355</v>
      </c>
      <c r="JN13" s="163"/>
      <c r="JO13" s="170">
        <v>1.7</v>
      </c>
      <c r="JP13" s="171">
        <f t="shared" si="147"/>
        <v>-9.6820663638400415</v>
      </c>
      <c r="JQ13" s="171">
        <f t="shared" si="148"/>
        <v>-7.9306364532798082</v>
      </c>
      <c r="JR13" s="171">
        <f t="shared" si="149"/>
        <v>-6.3902609644682631</v>
      </c>
      <c r="JS13" s="171">
        <f t="shared" si="529"/>
        <v>-4.5782306215798201</v>
      </c>
      <c r="JT13" s="171">
        <f t="shared" si="530"/>
        <v>-1.4766611042948199</v>
      </c>
      <c r="JU13" s="150">
        <f t="shared" si="531"/>
        <v>2.0854082071348437</v>
      </c>
      <c r="JV13" s="171">
        <f t="shared" si="532"/>
        <v>5.7472232001704882</v>
      </c>
      <c r="JW13" s="171">
        <f t="shared" si="150"/>
        <v>9.1099289943892074</v>
      </c>
      <c r="JX13" s="171">
        <f t="shared" si="151"/>
        <v>11.158408586883549</v>
      </c>
      <c r="JY13" s="171">
        <f t="shared" si="152"/>
        <v>12.954009580439692</v>
      </c>
      <c r="JZ13" s="171">
        <f t="shared" si="153"/>
        <v>15.062965259629845</v>
      </c>
      <c r="KA13" s="163"/>
      <c r="KB13" s="170">
        <v>1.7</v>
      </c>
      <c r="KC13" s="171">
        <f t="shared" si="154"/>
        <v>-8.7584407425418878</v>
      </c>
      <c r="KD13" s="171">
        <f t="shared" si="155"/>
        <v>-7.3492533349560052</v>
      </c>
      <c r="KE13" s="171">
        <f t="shared" si="156"/>
        <v>-6.0151717032974208</v>
      </c>
      <c r="KF13" s="171">
        <f t="shared" si="533"/>
        <v>-4.3505694146746663</v>
      </c>
      <c r="KG13" s="171">
        <f t="shared" si="534"/>
        <v>-1.3015253571175176</v>
      </c>
      <c r="KH13" s="150">
        <f t="shared" si="535"/>
        <v>2.4570141502810667</v>
      </c>
      <c r="KI13" s="171">
        <f t="shared" si="536"/>
        <v>6.5569128254659166</v>
      </c>
      <c r="KJ13" s="171">
        <f t="shared" si="157"/>
        <v>10.50112674134626</v>
      </c>
      <c r="KK13" s="171">
        <f t="shared" si="158"/>
        <v>12.978458677556878</v>
      </c>
      <c r="KL13" s="171">
        <f t="shared" si="159"/>
        <v>15.192673144674663</v>
      </c>
      <c r="KM13" s="171">
        <f t="shared" si="160"/>
        <v>17.841112158677262</v>
      </c>
      <c r="KN13" s="163"/>
      <c r="KO13" s="170">
        <v>1.8</v>
      </c>
      <c r="KP13" s="171">
        <f t="shared" si="161"/>
        <v>-10.63446437139746</v>
      </c>
      <c r="KQ13" s="171">
        <f t="shared" si="162"/>
        <v>-8.6152460568409186</v>
      </c>
      <c r="KR13" s="171">
        <f t="shared" si="163"/>
        <v>-6.8944543384290355</v>
      </c>
      <c r="KS13" s="171">
        <f t="shared" si="537"/>
        <v>-4.9259485360850448</v>
      </c>
      <c r="KT13" s="171">
        <f t="shared" si="538"/>
        <v>-1.6732915815779634</v>
      </c>
      <c r="KU13" s="150">
        <f t="shared" si="539"/>
        <v>1.9138284517187216</v>
      </c>
      <c r="KV13" s="171">
        <f t="shared" si="540"/>
        <v>5.4674223863230083</v>
      </c>
      <c r="KW13" s="171">
        <f t="shared" si="164"/>
        <v>8.631308409835956</v>
      </c>
      <c r="KX13" s="171">
        <f t="shared" si="165"/>
        <v>10.518097452711181</v>
      </c>
      <c r="KY13" s="171">
        <f t="shared" si="166"/>
        <v>12.149116317455178</v>
      </c>
      <c r="KZ13" s="171">
        <f t="shared" si="167"/>
        <v>14.039509808440666</v>
      </c>
      <c r="LA13" s="163"/>
      <c r="LB13" s="170">
        <v>1.7</v>
      </c>
      <c r="LC13" s="171">
        <f t="shared" si="168"/>
        <v>-23.868758493935744</v>
      </c>
      <c r="LD13" s="171">
        <f t="shared" si="169"/>
        <v>-19.654458827980868</v>
      </c>
      <c r="LE13" s="171">
        <f t="shared" si="170"/>
        <v>-15.838849898843932</v>
      </c>
      <c r="LF13" s="171">
        <f t="shared" si="541"/>
        <v>-11.248709480046937</v>
      </c>
      <c r="LG13" s="171">
        <f t="shared" si="542"/>
        <v>-3.1951881697907965</v>
      </c>
      <c r="LH13" s="150">
        <f t="shared" si="543"/>
        <v>6.2855555274938197</v>
      </c>
      <c r="LI13" s="171">
        <f t="shared" si="544"/>
        <v>16.226088230269887</v>
      </c>
      <c r="LJ13" s="171">
        <f t="shared" si="171"/>
        <v>25.49104225245685</v>
      </c>
      <c r="LK13" s="171">
        <f t="shared" si="172"/>
        <v>31.188617645120551</v>
      </c>
      <c r="LL13" s="171">
        <f t="shared" si="173"/>
        <v>36.212287986675129</v>
      </c>
      <c r="LM13" s="171">
        <f t="shared" si="174"/>
        <v>42.144635622496445</v>
      </c>
      <c r="LN13" s="163"/>
      <c r="LO13" s="170">
        <v>1.7</v>
      </c>
      <c r="LP13" s="171">
        <f t="shared" si="175"/>
        <v>-24.456154095108349</v>
      </c>
      <c r="LQ13" s="171">
        <f t="shared" si="176"/>
        <v>-20.293274169707729</v>
      </c>
      <c r="LR13" s="171">
        <f t="shared" si="177"/>
        <v>-16.377323523315894</v>
      </c>
      <c r="LS13" s="171">
        <f t="shared" si="545"/>
        <v>-11.544211011994221</v>
      </c>
      <c r="LT13" s="171">
        <f t="shared" si="546"/>
        <v>-2.8456509557787619</v>
      </c>
      <c r="LU13" s="150">
        <f t="shared" si="547"/>
        <v>7.6355013567178709</v>
      </c>
      <c r="LV13" s="171">
        <f t="shared" si="548"/>
        <v>18.817655840271076</v>
      </c>
      <c r="LW13" s="171">
        <f t="shared" si="178"/>
        <v>29.371281859653532</v>
      </c>
      <c r="LX13" s="171">
        <f t="shared" si="179"/>
        <v>35.912161071232447</v>
      </c>
      <c r="LY13" s="171">
        <f t="shared" si="180"/>
        <v>41.707099559294235</v>
      </c>
      <c r="LZ13" s="171">
        <f t="shared" si="181"/>
        <v>48.580222834584916</v>
      </c>
      <c r="MA13" s="163"/>
      <c r="MB13" s="170">
        <v>1.8</v>
      </c>
      <c r="MC13" s="171">
        <f t="shared" si="182"/>
        <v>-26.093741668407066</v>
      </c>
      <c r="MD13" s="171">
        <f t="shared" si="183"/>
        <v>-21.674916481509879</v>
      </c>
      <c r="ME13" s="171">
        <f t="shared" si="184"/>
        <v>-17.731642263246599</v>
      </c>
      <c r="MF13" s="171">
        <f t="shared" si="549"/>
        <v>-13.051941078431462</v>
      </c>
      <c r="MG13" s="171">
        <f t="shared" si="550"/>
        <v>-4.9840670377895329</v>
      </c>
      <c r="MH13" s="150">
        <f t="shared" si="551"/>
        <v>4.3235571493424416</v>
      </c>
      <c r="MI13" s="171">
        <f t="shared" si="552"/>
        <v>13.905297266105379</v>
      </c>
      <c r="MJ13" s="171">
        <f t="shared" si="185"/>
        <v>22.701169689046836</v>
      </c>
      <c r="MK13" s="171">
        <f t="shared" si="186"/>
        <v>28.054515104331806</v>
      </c>
      <c r="ML13" s="171">
        <f t="shared" si="187"/>
        <v>32.742933647103406</v>
      </c>
      <c r="MM13" s="171">
        <f t="shared" si="188"/>
        <v>38.244006671432679</v>
      </c>
      <c r="MN13" s="163"/>
      <c r="MO13" s="170">
        <v>1.7</v>
      </c>
      <c r="MP13" s="171">
        <f t="shared" si="189"/>
        <v>-28.437710805986612</v>
      </c>
      <c r="MQ13" s="171">
        <f t="shared" si="190"/>
        <v>-23.440166197794646</v>
      </c>
      <c r="MR13" s="171">
        <f t="shared" si="191"/>
        <v>-19.092491126310126</v>
      </c>
      <c r="MS13" s="171">
        <f t="shared" si="553"/>
        <v>-14.037679137689388</v>
      </c>
      <c r="MT13" s="171">
        <f t="shared" si="554"/>
        <v>-5.528104917306667</v>
      </c>
      <c r="MU13" s="150">
        <f t="shared" si="555"/>
        <v>4.044412953447619</v>
      </c>
      <c r="MV13" s="171">
        <f t="shared" si="556"/>
        <v>13.689551912626101</v>
      </c>
      <c r="MW13" s="171">
        <f t="shared" si="192"/>
        <v>22.39394831299402</v>
      </c>
      <c r="MX13" s="171">
        <f t="shared" si="193"/>
        <v>27.631936599906233</v>
      </c>
      <c r="MY13" s="171">
        <f t="shared" si="194"/>
        <v>32.186182567834216</v>
      </c>
      <c r="MZ13" s="171">
        <f t="shared" si="195"/>
        <v>37.493541590852395</v>
      </c>
      <c r="NA13" s="163"/>
      <c r="NB13" s="170">
        <v>1.7</v>
      </c>
      <c r="NC13" s="171">
        <f t="shared" si="196"/>
        <v>-25.280599553238154</v>
      </c>
      <c r="ND13" s="171">
        <f t="shared" si="197"/>
        <v>-20.305349761787692</v>
      </c>
      <c r="NE13" s="171">
        <f t="shared" si="198"/>
        <v>-15.89710540664197</v>
      </c>
      <c r="NF13" s="171">
        <f t="shared" si="557"/>
        <v>-10.724896476150022</v>
      </c>
      <c r="NG13" s="171">
        <f t="shared" si="558"/>
        <v>-1.948671074736712</v>
      </c>
      <c r="NH13" s="150">
        <f t="shared" si="559"/>
        <v>7.9901763645484074</v>
      </c>
      <c r="NI13" s="171">
        <f t="shared" si="560"/>
        <v>18.052804658348759</v>
      </c>
      <c r="NJ13" s="171">
        <f t="shared" si="199"/>
        <v>27.165201616463239</v>
      </c>
      <c r="NK13" s="171">
        <f t="shared" si="200"/>
        <v>32.660434125901105</v>
      </c>
      <c r="NL13" s="171">
        <f t="shared" si="201"/>
        <v>37.444619152113333</v>
      </c>
      <c r="NM13" s="171">
        <f t="shared" si="202"/>
        <v>43.026634973898112</v>
      </c>
      <c r="NN13" s="163"/>
      <c r="NO13" s="170">
        <v>1.8</v>
      </c>
      <c r="NP13" s="171">
        <f t="shared" si="203"/>
        <v>-28.449670173660586</v>
      </c>
      <c r="NQ13" s="171">
        <f t="shared" si="204"/>
        <v>-23.72988270522335</v>
      </c>
      <c r="NR13" s="171">
        <f t="shared" si="205"/>
        <v>-19.663636922406145</v>
      </c>
      <c r="NS13" s="171">
        <f t="shared" si="561"/>
        <v>-14.969594182978295</v>
      </c>
      <c r="NT13" s="171">
        <f t="shared" si="562"/>
        <v>-7.1283275428433086</v>
      </c>
      <c r="NU13" s="150">
        <f t="shared" si="563"/>
        <v>1.62365492394634</v>
      </c>
      <c r="NV13" s="171">
        <f t="shared" si="564"/>
        <v>10.385650497598888</v>
      </c>
      <c r="NW13" s="171">
        <f t="shared" si="206"/>
        <v>18.253808028832417</v>
      </c>
      <c r="NX13" s="171">
        <f t="shared" si="207"/>
        <v>22.973174162168945</v>
      </c>
      <c r="NY13" s="171">
        <f t="shared" si="208"/>
        <v>27.068027379589317</v>
      </c>
      <c r="NZ13" s="171">
        <f t="shared" si="209"/>
        <v>31.830827501763956</v>
      </c>
      <c r="OA13" s="163"/>
      <c r="OB13" s="170">
        <v>1.7</v>
      </c>
      <c r="OC13" s="171">
        <f t="shared" si="210"/>
        <v>15.654320106929006</v>
      </c>
      <c r="OD13" s="171">
        <f t="shared" si="211"/>
        <v>17.438127730048979</v>
      </c>
      <c r="OE13" s="171">
        <f t="shared" si="212"/>
        <v>19.127300704048743</v>
      </c>
      <c r="OF13" s="171">
        <f t="shared" si="565"/>
        <v>21.270324297285164</v>
      </c>
      <c r="OG13" s="171">
        <f t="shared" si="566"/>
        <v>25.368765739333295</v>
      </c>
      <c r="OH13" s="150">
        <f t="shared" si="567"/>
        <v>30.831463070925849</v>
      </c>
      <c r="OI13" s="171">
        <f t="shared" si="568"/>
        <v>37.416736140774262</v>
      </c>
      <c r="OJ13" s="171">
        <f t="shared" si="213"/>
        <v>44.460210141913144</v>
      </c>
      <c r="OK13" s="171">
        <f t="shared" si="214"/>
        <v>49.276511700050776</v>
      </c>
      <c r="OL13" s="171">
        <f t="shared" si="215"/>
        <v>53.857011940095518</v>
      </c>
      <c r="OM13" s="171">
        <f t="shared" si="216"/>
        <v>59.698375023146362</v>
      </c>
      <c r="ON13" s="163"/>
      <c r="OO13" s="170">
        <v>1.7</v>
      </c>
      <c r="OP13" s="171">
        <f t="shared" si="217"/>
        <v>14.378813574960903</v>
      </c>
      <c r="OQ13" s="171">
        <f t="shared" si="218"/>
        <v>15.884630077131803</v>
      </c>
      <c r="OR13" s="171">
        <f t="shared" si="219"/>
        <v>17.310349859568163</v>
      </c>
      <c r="OS13" s="171">
        <f t="shared" si="569"/>
        <v>19.120154126188428</v>
      </c>
      <c r="OT13" s="171">
        <f t="shared" si="570"/>
        <v>22.588532265164815</v>
      </c>
      <c r="OU13" s="150">
        <f t="shared" si="571"/>
        <v>27.233932885610063</v>
      </c>
      <c r="OV13" s="171">
        <f t="shared" si="572"/>
        <v>32.877491436323353</v>
      </c>
      <c r="OW13" s="171">
        <f t="shared" si="220"/>
        <v>38.97324277604141</v>
      </c>
      <c r="OX13" s="171">
        <f t="shared" si="221"/>
        <v>43.178846063983521</v>
      </c>
      <c r="OY13" s="171">
        <f t="shared" si="222"/>
        <v>47.207296254110865</v>
      </c>
      <c r="OZ13" s="171">
        <f t="shared" si="223"/>
        <v>52.385601582778655</v>
      </c>
      <c r="PA13" s="163"/>
      <c r="PB13" s="170">
        <v>1.8</v>
      </c>
      <c r="PC13" s="171">
        <f t="shared" si="224"/>
        <v>17.761020158332965</v>
      </c>
      <c r="PD13" s="171">
        <f t="shared" si="225"/>
        <v>19.720273249407306</v>
      </c>
      <c r="PE13" s="171">
        <f t="shared" si="226"/>
        <v>21.549234070738837</v>
      </c>
      <c r="PF13" s="171">
        <f t="shared" si="573"/>
        <v>23.83475929047021</v>
      </c>
      <c r="PG13" s="171">
        <f t="shared" si="574"/>
        <v>28.105453646836445</v>
      </c>
      <c r="PH13" s="150">
        <f t="shared" si="575"/>
        <v>33.614612895329728</v>
      </c>
      <c r="PI13" s="171">
        <f t="shared" si="576"/>
        <v>40.014709850774203</v>
      </c>
      <c r="PJ13" s="171">
        <f t="shared" si="227"/>
        <v>46.609512916397414</v>
      </c>
      <c r="PK13" s="171">
        <f t="shared" si="228"/>
        <v>50.98846736455971</v>
      </c>
      <c r="PL13" s="171">
        <f t="shared" si="229"/>
        <v>55.064711022063918</v>
      </c>
      <c r="PM13" s="171">
        <f t="shared" si="230"/>
        <v>60.148977633325693</v>
      </c>
      <c r="PN13" s="163"/>
      <c r="PO13" s="170">
        <v>1.7</v>
      </c>
      <c r="PP13" s="171">
        <f t="shared" si="231"/>
        <v>7.7838622343081383</v>
      </c>
      <c r="PQ13" s="171">
        <f t="shared" si="232"/>
        <v>8.6136167516591442</v>
      </c>
      <c r="PR13" s="171">
        <f t="shared" si="233"/>
        <v>9.3833415320330982</v>
      </c>
      <c r="PS13" s="171">
        <f t="shared" si="577"/>
        <v>10.339063985464341</v>
      </c>
      <c r="PT13" s="171">
        <f t="shared" si="578"/>
        <v>12.10812004147167</v>
      </c>
      <c r="PU13" s="150">
        <f t="shared" si="579"/>
        <v>14.361322088149112</v>
      </c>
      <c r="PV13" s="171">
        <f t="shared" si="580"/>
        <v>16.943220426811195</v>
      </c>
      <c r="PW13" s="171">
        <f t="shared" si="234"/>
        <v>19.568612362985906</v>
      </c>
      <c r="PX13" s="171">
        <f t="shared" si="235"/>
        <v>21.294322013380224</v>
      </c>
      <c r="PY13" s="171">
        <f t="shared" si="236"/>
        <v>22.889213900523909</v>
      </c>
      <c r="PZ13" s="171">
        <f t="shared" si="237"/>
        <v>24.86403307481897</v>
      </c>
      <c r="QA13" s="163"/>
      <c r="QB13" s="170">
        <v>1.7</v>
      </c>
      <c r="QC13" s="171">
        <f t="shared" si="238"/>
        <v>7.5540427976867921</v>
      </c>
      <c r="QD13" s="171">
        <f t="shared" si="239"/>
        <v>8.3111744423852638</v>
      </c>
      <c r="QE13" s="171">
        <f t="shared" si="240"/>
        <v>9.0186470128190326</v>
      </c>
      <c r="QF13" s="171">
        <f t="shared" si="581"/>
        <v>9.9042384317907182</v>
      </c>
      <c r="QG13" s="171">
        <f t="shared" si="582"/>
        <v>11.565177178427962</v>
      </c>
      <c r="QH13" s="150">
        <f t="shared" si="583"/>
        <v>13.722463675588459</v>
      </c>
      <c r="QI13" s="171">
        <f t="shared" si="584"/>
        <v>16.252494634734052</v>
      </c>
      <c r="QJ13" s="171">
        <f t="shared" si="241"/>
        <v>18.888284216689289</v>
      </c>
      <c r="QK13" s="171">
        <f t="shared" si="242"/>
        <v>20.655051970688746</v>
      </c>
      <c r="QL13" s="171">
        <f t="shared" si="243"/>
        <v>22.31169269018185</v>
      </c>
      <c r="QM13" s="171">
        <f t="shared" si="244"/>
        <v>24.39423143710026</v>
      </c>
      <c r="QN13" s="163"/>
      <c r="QO13" s="170">
        <v>1.8</v>
      </c>
      <c r="QP13" s="171">
        <f t="shared" si="245"/>
        <v>8.2838792176150555</v>
      </c>
      <c r="QQ13" s="171">
        <f t="shared" si="246"/>
        <v>9.1924132245017152</v>
      </c>
      <c r="QR13" s="171">
        <f t="shared" si="247"/>
        <v>10.02551929854943</v>
      </c>
      <c r="QS13" s="171">
        <f t="shared" si="585"/>
        <v>11.047398283128242</v>
      </c>
      <c r="QT13" s="171">
        <f t="shared" si="586"/>
        <v>12.904210435935616</v>
      </c>
      <c r="QU13" s="150">
        <f t="shared" si="587"/>
        <v>15.209102991652296</v>
      </c>
      <c r="QV13" s="171">
        <f t="shared" si="588"/>
        <v>17.776042843070332</v>
      </c>
      <c r="QW13" s="171">
        <f t="shared" si="248"/>
        <v>20.314037004698502</v>
      </c>
      <c r="QX13" s="171">
        <f t="shared" si="249"/>
        <v>21.946553327902052</v>
      </c>
      <c r="QY13" s="171">
        <f t="shared" si="250"/>
        <v>23.432122503666793</v>
      </c>
      <c r="QZ13" s="171">
        <f t="shared" si="251"/>
        <v>25.242782063378954</v>
      </c>
      <c r="RA13" s="163"/>
      <c r="RB13" s="170">
        <v>1.7</v>
      </c>
      <c r="RC13" s="171">
        <f t="shared" si="252"/>
        <v>0.24322126561082713</v>
      </c>
      <c r="RD13" s="171">
        <f t="shared" si="253"/>
        <v>0.26787658351389526</v>
      </c>
      <c r="RE13" s="171">
        <f t="shared" si="254"/>
        <v>0.29141045816994204</v>
      </c>
      <c r="RF13" s="171">
        <f t="shared" si="589"/>
        <v>0.32156265293779529</v>
      </c>
      <c r="RG13" s="171">
        <f t="shared" si="590"/>
        <v>0.38025328984639972</v>
      </c>
      <c r="RH13" s="150">
        <f t="shared" si="591"/>
        <v>0.46078891880956963</v>
      </c>
      <c r="RI13" s="171">
        <f t="shared" si="592"/>
        <v>0.56166150536594073</v>
      </c>
      <c r="RJ13" s="171">
        <f t="shared" si="255"/>
        <v>0.67437958107286666</v>
      </c>
      <c r="RK13" s="171">
        <f t="shared" si="256"/>
        <v>0.75442186159121771</v>
      </c>
      <c r="RL13" s="171">
        <f t="shared" si="257"/>
        <v>0.83282739729048039</v>
      </c>
      <c r="RM13" s="171">
        <f t="shared" si="258"/>
        <v>0.93609341630376719</v>
      </c>
      <c r="RN13" s="163"/>
      <c r="RO13" s="170">
        <v>1.7</v>
      </c>
      <c r="RP13" s="171">
        <f t="shared" si="259"/>
        <v>0.24038786277050136</v>
      </c>
      <c r="RQ13" s="171">
        <f t="shared" si="260"/>
        <v>0.26574866339355369</v>
      </c>
      <c r="RR13" s="171">
        <f t="shared" si="261"/>
        <v>0.29020180815727165</v>
      </c>
      <c r="RS13" s="171">
        <f t="shared" si="593"/>
        <v>0.32187917386296594</v>
      </c>
      <c r="RT13" s="171">
        <f t="shared" si="594"/>
        <v>0.38463920170198901</v>
      </c>
      <c r="RU13" s="150">
        <f t="shared" si="595"/>
        <v>0.47306542247179911</v>
      </c>
      <c r="RV13" s="171">
        <f t="shared" si="596"/>
        <v>0.58745411318074559</v>
      </c>
      <c r="RW13" s="171">
        <f t="shared" si="262"/>
        <v>0.71986948668950845</v>
      </c>
      <c r="RX13" s="171">
        <f t="shared" si="263"/>
        <v>0.81674147738186942</v>
      </c>
      <c r="RY13" s="171">
        <f t="shared" si="264"/>
        <v>0.91385666680654731</v>
      </c>
      <c r="RZ13" s="171">
        <f t="shared" si="265"/>
        <v>1.0450423946961436</v>
      </c>
      <c r="SA13" s="163"/>
      <c r="SB13" s="170">
        <v>1.8</v>
      </c>
      <c r="SC13" s="171">
        <f t="shared" si="266"/>
        <v>0.22408096282391896</v>
      </c>
      <c r="SD13" s="171">
        <f t="shared" si="267"/>
        <v>0.24923579858797235</v>
      </c>
      <c r="SE13" s="171">
        <f t="shared" si="268"/>
        <v>0.27314973934446229</v>
      </c>
      <c r="SF13" s="171">
        <f t="shared" si="597"/>
        <v>0.30362356725754647</v>
      </c>
      <c r="SG13" s="171">
        <f t="shared" si="598"/>
        <v>0.36232934192748384</v>
      </c>
      <c r="SH13" s="150">
        <f t="shared" si="599"/>
        <v>0.441445250196005</v>
      </c>
      <c r="SI13" s="171">
        <f t="shared" si="600"/>
        <v>0.53810989973872025</v>
      </c>
      <c r="SJ13" s="171">
        <f t="shared" si="269"/>
        <v>0.64300288742863365</v>
      </c>
      <c r="SK13" s="171">
        <f t="shared" si="270"/>
        <v>0.71558637452378826</v>
      </c>
      <c r="SL13" s="171">
        <f t="shared" si="271"/>
        <v>0.7852394165558928</v>
      </c>
      <c r="SM13" s="171">
        <f t="shared" si="272"/>
        <v>0.8749182762539981</v>
      </c>
      <c r="SN13" s="163"/>
      <c r="SO13" s="170">
        <v>1.7</v>
      </c>
      <c r="SP13" s="171">
        <f t="shared" si="273"/>
        <v>0.19029305720056133</v>
      </c>
      <c r="SQ13" s="171">
        <f t="shared" si="274"/>
        <v>0.20781361977586688</v>
      </c>
      <c r="SR13" s="171">
        <f t="shared" si="275"/>
        <v>0.22358052911079693</v>
      </c>
      <c r="SS13" s="171">
        <f t="shared" si="276"/>
        <v>0.24256842139719245</v>
      </c>
      <c r="ST13" s="171">
        <f t="shared" si="601"/>
        <v>0.2761967819527904</v>
      </c>
      <c r="SU13" s="150">
        <f t="shared" si="602"/>
        <v>0.31659944731528533</v>
      </c>
      <c r="SV13" s="171">
        <f t="shared" si="603"/>
        <v>0.36013272182482053</v>
      </c>
      <c r="SW13" s="171">
        <f t="shared" si="280"/>
        <v>0.4018968869796648</v>
      </c>
      <c r="SX13" s="171">
        <f t="shared" si="281"/>
        <v>0.42817544368078869</v>
      </c>
      <c r="SY13" s="171">
        <f t="shared" si="282"/>
        <v>0.45172969063881613</v>
      </c>
      <c r="SZ13" s="171">
        <f t="shared" si="283"/>
        <v>0.48001276936179071</v>
      </c>
      <c r="TA13" s="163"/>
      <c r="TB13" s="170">
        <v>1.7</v>
      </c>
      <c r="TC13" s="171">
        <f t="shared" si="284"/>
        <v>0.19229233207896426</v>
      </c>
      <c r="TD13" s="171">
        <f t="shared" si="285"/>
        <v>0.20911826982993084</v>
      </c>
      <c r="TE13" s="171">
        <f t="shared" si="286"/>
        <v>0.22454531148026435</v>
      </c>
      <c r="TF13" s="171">
        <f t="shared" si="604"/>
        <v>0.24348647527944661</v>
      </c>
      <c r="TG13" s="171">
        <f t="shared" si="605"/>
        <v>0.27801297279526532</v>
      </c>
      <c r="TH13" s="150">
        <f t="shared" si="606"/>
        <v>0.32116375278878101</v>
      </c>
      <c r="TI13" s="171">
        <f t="shared" si="607"/>
        <v>0.36970327810823889</v>
      </c>
      <c r="TJ13" s="171">
        <f t="shared" si="287"/>
        <v>0.41826348022021093</v>
      </c>
      <c r="TK13" s="171">
        <f t="shared" si="288"/>
        <v>0.44981674300477203</v>
      </c>
      <c r="TL13" s="171">
        <f t="shared" si="289"/>
        <v>0.47875292703524452</v>
      </c>
      <c r="TM13" s="171">
        <f t="shared" si="290"/>
        <v>0.51431367871424705</v>
      </c>
      <c r="TN13" s="163"/>
      <c r="TO13" s="170">
        <v>1.8</v>
      </c>
      <c r="TP13" s="171">
        <f t="shared" si="291"/>
        <v>0.18122393275619622</v>
      </c>
      <c r="TQ13" s="171">
        <f t="shared" si="292"/>
        <v>0.1984965688897157</v>
      </c>
      <c r="TR13" s="171">
        <f t="shared" si="293"/>
        <v>0.21406362813648575</v>
      </c>
      <c r="TS13" s="171">
        <f t="shared" si="608"/>
        <v>0.23283689235473512</v>
      </c>
      <c r="TT13" s="171">
        <f t="shared" si="609"/>
        <v>0.26614604493829885</v>
      </c>
      <c r="TU13" s="150">
        <f t="shared" si="610"/>
        <v>0.3062522901338568</v>
      </c>
      <c r="TV13" s="171">
        <f t="shared" si="611"/>
        <v>0.3495542654696332</v>
      </c>
      <c r="TW13" s="171">
        <f t="shared" si="294"/>
        <v>0.39116836331975091</v>
      </c>
      <c r="TX13" s="171">
        <f t="shared" si="295"/>
        <v>0.41738374467096639</v>
      </c>
      <c r="TY13" s="171">
        <f t="shared" si="296"/>
        <v>0.4408997878611331</v>
      </c>
      <c r="TZ13" s="171">
        <f t="shared" si="297"/>
        <v>0.46915813095231451</v>
      </c>
      <c r="UA13" s="163"/>
      <c r="UB13" s="170">
        <v>1.7</v>
      </c>
      <c r="UC13" s="171">
        <f t="shared" si="298"/>
        <v>-31.915918206978453</v>
      </c>
      <c r="UD13" s="171">
        <f t="shared" si="299"/>
        <v>-27.129072239708968</v>
      </c>
      <c r="UE13" s="171">
        <f t="shared" si="300"/>
        <v>-23.212960707337096</v>
      </c>
      <c r="UF13" s="171">
        <f t="shared" si="612"/>
        <v>-18.885250019817668</v>
      </c>
      <c r="UG13" s="171">
        <f t="shared" si="613"/>
        <v>-12.026959124026114</v>
      </c>
      <c r="UH13" s="150">
        <f t="shared" si="614"/>
        <v>-4.8056350690033867</v>
      </c>
      <c r="UI13" s="171">
        <f t="shared" si="615"/>
        <v>2.0623584459751498</v>
      </c>
      <c r="UJ13" s="171">
        <f t="shared" si="301"/>
        <v>7.9775459047778554</v>
      </c>
      <c r="UK13" s="171">
        <f t="shared" si="302"/>
        <v>11.426849470767479</v>
      </c>
      <c r="UL13" s="171">
        <f t="shared" si="303"/>
        <v>14.365745379788777</v>
      </c>
      <c r="UM13" s="171">
        <f t="shared" si="304"/>
        <v>17.725736763468817</v>
      </c>
      <c r="UN13" s="163"/>
      <c r="UO13" s="170">
        <v>1.7</v>
      </c>
      <c r="UP13" s="151">
        <f t="shared" si="305"/>
        <v>-31.324204318762138</v>
      </c>
      <c r="UQ13" s="171">
        <f t="shared" si="306"/>
        <v>-26.902517506120187</v>
      </c>
      <c r="UR13" s="171">
        <f t="shared" si="307"/>
        <v>-23.147714464440039</v>
      </c>
      <c r="US13" s="171">
        <f t="shared" si="616"/>
        <v>-18.850861772317341</v>
      </c>
      <c r="UT13" s="171">
        <f t="shared" si="617"/>
        <v>-11.734717369964855</v>
      </c>
      <c r="UU13" s="150">
        <f t="shared" si="618"/>
        <v>-3.856762530682925</v>
      </c>
      <c r="UV13" s="171">
        <f t="shared" si="619"/>
        <v>3.9797404736786675</v>
      </c>
      <c r="UW13" s="171">
        <f t="shared" si="308"/>
        <v>10.982777178090515</v>
      </c>
      <c r="UX13" s="171">
        <f t="shared" si="309"/>
        <v>15.170114716276942</v>
      </c>
      <c r="UY13" s="171">
        <f t="shared" si="310"/>
        <v>18.79620745316857</v>
      </c>
      <c r="UZ13" s="171">
        <f t="shared" si="311"/>
        <v>23.006094376532666</v>
      </c>
      <c r="VA13" s="163"/>
      <c r="VB13" s="170">
        <v>1.8</v>
      </c>
      <c r="VC13" s="151">
        <f t="shared" si="312"/>
        <v>-34.115399394144994</v>
      </c>
      <c r="VD13" s="171">
        <f t="shared" si="313"/>
        <v>-28.670337593902751</v>
      </c>
      <c r="VE13" s="171">
        <f t="shared" si="314"/>
        <v>-24.386638054921121</v>
      </c>
      <c r="VF13" s="171">
        <f t="shared" si="620"/>
        <v>-19.789436741018996</v>
      </c>
      <c r="VG13" s="171">
        <f t="shared" si="621"/>
        <v>-12.73283488579353</v>
      </c>
      <c r="VH13" s="150">
        <f t="shared" si="622"/>
        <v>-5.5379558700775036</v>
      </c>
      <c r="VI13" s="171">
        <f t="shared" si="623"/>
        <v>1.129116388305718</v>
      </c>
      <c r="VJ13" s="171">
        <f t="shared" si="315"/>
        <v>6.758198853004842</v>
      </c>
      <c r="VK13" s="171">
        <f t="shared" si="316"/>
        <v>9.998616790938712</v>
      </c>
      <c r="VL13" s="171">
        <f t="shared" si="317"/>
        <v>12.737307363995981</v>
      </c>
      <c r="VM13" s="171">
        <f t="shared" si="318"/>
        <v>15.845027098332139</v>
      </c>
      <c r="VN13" s="163"/>
      <c r="VO13" s="170">
        <v>1.7</v>
      </c>
      <c r="VP13" s="171">
        <f t="shared" si="319"/>
        <v>-48.641319445857846</v>
      </c>
      <c r="VQ13" s="171">
        <f t="shared" si="320"/>
        <v>-44.707534620934148</v>
      </c>
      <c r="VR13" s="171">
        <f t="shared" si="321"/>
        <v>-40.719479584750559</v>
      </c>
      <c r="VS13" s="171">
        <f t="shared" si="624"/>
        <v>-35.469233193360935</v>
      </c>
      <c r="VT13" s="171">
        <f t="shared" si="625"/>
        <v>-25.248015126980892</v>
      </c>
      <c r="VU13" s="150">
        <f t="shared" si="626"/>
        <v>-11.831805570391943</v>
      </c>
      <c r="VV13" s="171">
        <f t="shared" si="627"/>
        <v>3.5909424992209864</v>
      </c>
      <c r="VW13" s="171">
        <f t="shared" si="322"/>
        <v>19.051308505953251</v>
      </c>
      <c r="VX13" s="171">
        <f t="shared" si="323"/>
        <v>29.028509323089956</v>
      </c>
      <c r="VY13" s="171">
        <f t="shared" si="324"/>
        <v>38.101881013057273</v>
      </c>
      <c r="VZ13" s="171">
        <f t="shared" si="325"/>
        <v>49.13243826500301</v>
      </c>
      <c r="WA13" s="163"/>
      <c r="WB13" s="170">
        <v>1.7</v>
      </c>
      <c r="WC13" s="171">
        <f t="shared" si="326"/>
        <v>-47.413409487728252</v>
      </c>
      <c r="WD13" s="171">
        <f t="shared" si="327"/>
        <v>-44.367908167847183</v>
      </c>
      <c r="WE13" s="171">
        <f t="shared" si="328"/>
        <v>-40.755594119478864</v>
      </c>
      <c r="WF13" s="171">
        <f t="shared" si="628"/>
        <v>-35.569333369571581</v>
      </c>
      <c r="WG13" s="171">
        <f t="shared" si="629"/>
        <v>-24.696856943494673</v>
      </c>
      <c r="WH13" s="150">
        <f t="shared" si="630"/>
        <v>-9.5769796258051869</v>
      </c>
      <c r="WI13" s="171">
        <f t="shared" si="631"/>
        <v>8.4691432560582172</v>
      </c>
      <c r="WJ13" s="171">
        <f t="shared" si="329"/>
        <v>27.002065544196945</v>
      </c>
      <c r="WK13" s="171">
        <f t="shared" si="330"/>
        <v>39.128847165906713</v>
      </c>
      <c r="WL13" s="171">
        <f t="shared" si="331"/>
        <v>50.246406924707237</v>
      </c>
      <c r="WM13" s="171">
        <f t="shared" si="332"/>
        <v>63.857973645883142</v>
      </c>
      <c r="WN13" s="163"/>
      <c r="WO13" s="170">
        <v>1.8</v>
      </c>
      <c r="WP13" s="171">
        <f t="shared" si="333"/>
        <v>-49.773315913735694</v>
      </c>
      <c r="WQ13" s="171">
        <f t="shared" si="334"/>
        <v>-45.606952417937194</v>
      </c>
      <c r="WR13" s="171">
        <f t="shared" si="335"/>
        <v>-41.422553811180251</v>
      </c>
      <c r="WS13" s="171">
        <f t="shared" si="632"/>
        <v>-35.996740584806886</v>
      </c>
      <c r="WT13" s="171">
        <f t="shared" si="633"/>
        <v>-25.682059034525246</v>
      </c>
      <c r="WU13" s="150">
        <f t="shared" si="634"/>
        <v>-12.543923620220163</v>
      </c>
      <c r="WV13" s="171">
        <f t="shared" si="635"/>
        <v>2.1308234207318648</v>
      </c>
      <c r="WW13" s="171">
        <f t="shared" si="336"/>
        <v>16.484843616383706</v>
      </c>
      <c r="WX13" s="171">
        <f t="shared" si="337"/>
        <v>25.59231500458359</v>
      </c>
      <c r="WY13" s="171">
        <f t="shared" si="338"/>
        <v>33.782724559751721</v>
      </c>
      <c r="WZ13" s="171">
        <f t="shared" si="339"/>
        <v>43.633994931358153</v>
      </c>
      <c r="XA13" s="163"/>
      <c r="XB13" s="170">
        <v>1.7</v>
      </c>
      <c r="XC13" s="171">
        <f t="shared" si="340"/>
        <v>-52.636807208357226</v>
      </c>
      <c r="XD13" s="171">
        <f t="shared" si="341"/>
        <v>-48.053513341950051</v>
      </c>
      <c r="XE13" s="171">
        <f t="shared" si="342"/>
        <v>-43.489820340026277</v>
      </c>
      <c r="XF13" s="171">
        <f t="shared" si="636"/>
        <v>-37.687159422299175</v>
      </c>
      <c r="XG13" s="171">
        <f t="shared" si="637"/>
        <v>-26.980028635136705</v>
      </c>
      <c r="XH13" s="150">
        <f t="shared" si="638"/>
        <v>-13.822333342530165</v>
      </c>
      <c r="XI13" s="171">
        <f t="shared" si="639"/>
        <v>0.39958404343554577</v>
      </c>
      <c r="XJ13" s="171">
        <f t="shared" si="343"/>
        <v>13.93840571863597</v>
      </c>
      <c r="XK13" s="171">
        <f t="shared" si="344"/>
        <v>22.372115987534563</v>
      </c>
      <c r="XL13" s="171">
        <f t="shared" si="345"/>
        <v>29.866523718975706</v>
      </c>
      <c r="XM13" s="171">
        <f t="shared" si="346"/>
        <v>38.779125456379923</v>
      </c>
      <c r="XN13" s="163"/>
      <c r="XO13" s="170">
        <v>1.7</v>
      </c>
      <c r="XP13" s="171">
        <f t="shared" si="347"/>
        <v>-51.052868578278861</v>
      </c>
      <c r="XQ13" s="171">
        <f t="shared" si="348"/>
        <v>-46.431472312194188</v>
      </c>
      <c r="XR13" s="171">
        <f t="shared" si="349"/>
        <v>-41.483546934378715</v>
      </c>
      <c r="XS13" s="171">
        <f t="shared" si="640"/>
        <v>-35.06551805578907</v>
      </c>
      <c r="XT13" s="171">
        <f t="shared" si="641"/>
        <v>-23.107196079752296</v>
      </c>
      <c r="XU13" s="150">
        <f t="shared" si="642"/>
        <v>-8.3643312866053918</v>
      </c>
      <c r="XV13" s="171">
        <f t="shared" si="643"/>
        <v>7.5636430840764461</v>
      </c>
      <c r="XW13" s="171">
        <f t="shared" si="350"/>
        <v>22.701336584466382</v>
      </c>
      <c r="XX13" s="171">
        <f t="shared" si="351"/>
        <v>32.116357587026435</v>
      </c>
      <c r="XY13" s="171">
        <f t="shared" si="352"/>
        <v>40.473085780963906</v>
      </c>
      <c r="XZ13" s="171">
        <f t="shared" si="353"/>
        <v>50.399404336842714</v>
      </c>
      <c r="YA13" s="163"/>
      <c r="YB13" s="170">
        <v>1.8</v>
      </c>
      <c r="YC13" s="171">
        <f t="shared" si="354"/>
        <v>-53.642671695611483</v>
      </c>
      <c r="YD13" s="171">
        <f t="shared" si="355"/>
        <v>-48.816039835465155</v>
      </c>
      <c r="YE13" s="171">
        <f t="shared" si="356"/>
        <v>-44.03501443170606</v>
      </c>
      <c r="YF13" s="171">
        <f t="shared" si="644"/>
        <v>-38.026463066550775</v>
      </c>
      <c r="YG13" s="171">
        <f t="shared" si="645"/>
        <v>-27.113677298255126</v>
      </c>
      <c r="YH13" s="150">
        <f t="shared" si="646"/>
        <v>-13.937407857588731</v>
      </c>
      <c r="YI13" s="171">
        <f t="shared" si="647"/>
        <v>8.9100381630572656E-2</v>
      </c>
      <c r="YJ13" s="171">
        <f t="shared" si="357"/>
        <v>13.280521288915871</v>
      </c>
      <c r="YK13" s="171">
        <f t="shared" si="358"/>
        <v>21.431724359709925</v>
      </c>
      <c r="YL13" s="171">
        <f t="shared" si="359"/>
        <v>28.637689143182833</v>
      </c>
      <c r="YM13" s="171">
        <f t="shared" si="360"/>
        <v>37.165678658978543</v>
      </c>
      <c r="YN13" s="163"/>
      <c r="YO13" s="170">
        <v>1.7</v>
      </c>
      <c r="YP13" s="171">
        <f t="shared" si="361"/>
        <v>19.035035049437667</v>
      </c>
      <c r="YQ13" s="171">
        <f t="shared" si="362"/>
        <v>21.565286549069928</v>
      </c>
      <c r="YR13" s="171">
        <f t="shared" si="363"/>
        <v>23.985153902998388</v>
      </c>
      <c r="YS13" s="171">
        <f t="shared" si="648"/>
        <v>27.083847112997567</v>
      </c>
      <c r="YT13" s="171">
        <f t="shared" si="649"/>
        <v>33.083447328861759</v>
      </c>
      <c r="YU13" s="150">
        <f t="shared" si="650"/>
        <v>41.196238757292591</v>
      </c>
      <c r="YV13" s="171">
        <f t="shared" si="651"/>
        <v>51.104840086074248</v>
      </c>
      <c r="YW13" s="171">
        <f t="shared" si="364"/>
        <v>61.814608227727092</v>
      </c>
      <c r="YX13" s="171">
        <f t="shared" si="365"/>
        <v>69.187462419662666</v>
      </c>
      <c r="YY13" s="171">
        <f t="shared" si="366"/>
        <v>76.228602689116315</v>
      </c>
      <c r="YZ13" s="171">
        <f t="shared" si="367"/>
        <v>85.241400142387889</v>
      </c>
      <c r="ZA13" s="163"/>
      <c r="ZB13" s="170">
        <v>1.7</v>
      </c>
      <c r="ZC13" s="171">
        <f t="shared" si="368"/>
        <v>16.787559443487112</v>
      </c>
      <c r="ZD13" s="171">
        <f t="shared" si="369"/>
        <v>19.148207004165609</v>
      </c>
      <c r="ZE13" s="171">
        <f t="shared" si="370"/>
        <v>21.431106158461851</v>
      </c>
      <c r="ZF13" s="171">
        <f t="shared" si="652"/>
        <v>24.388414998277039</v>
      </c>
      <c r="ZG13" s="171">
        <f t="shared" si="653"/>
        <v>30.215095069036671</v>
      </c>
      <c r="ZH13" s="150">
        <f t="shared" si="654"/>
        <v>38.286095836692027</v>
      </c>
      <c r="ZI13" s="171">
        <f t="shared" si="655"/>
        <v>48.410711435299199</v>
      </c>
      <c r="ZJ13" s="171">
        <f t="shared" si="371"/>
        <v>59.648374656512473</v>
      </c>
      <c r="ZK13" s="171">
        <f t="shared" si="372"/>
        <v>67.546197031784544</v>
      </c>
      <c r="ZL13" s="171">
        <f t="shared" si="373"/>
        <v>75.20280419901087</v>
      </c>
      <c r="ZM13" s="171">
        <f t="shared" si="374"/>
        <v>85.156351295085031</v>
      </c>
      <c r="ZN13" s="163"/>
      <c r="ZO13" s="170">
        <v>1.8</v>
      </c>
      <c r="ZP13" s="171">
        <f t="shared" si="375"/>
        <v>20.757951721534386</v>
      </c>
      <c r="ZQ13" s="171">
        <f t="shared" si="376"/>
        <v>23.353777147604564</v>
      </c>
      <c r="ZR13" s="171">
        <f t="shared" si="377"/>
        <v>25.815850373885958</v>
      </c>
      <c r="ZS13" s="171">
        <f t="shared" si="656"/>
        <v>28.942238046287681</v>
      </c>
      <c r="ZT13" s="171">
        <f t="shared" si="657"/>
        <v>34.92168161052517</v>
      </c>
      <c r="ZU13" s="150">
        <f t="shared" si="658"/>
        <v>42.876346563023638</v>
      </c>
      <c r="ZV13" s="171">
        <f t="shared" si="659"/>
        <v>52.424059386101405</v>
      </c>
      <c r="ZW13" s="171">
        <f t="shared" si="378"/>
        <v>62.572856244220809</v>
      </c>
      <c r="ZX13" s="171">
        <f t="shared" si="379"/>
        <v>69.471615473701149</v>
      </c>
      <c r="ZY13" s="171">
        <f t="shared" si="380"/>
        <v>76.000914508704014</v>
      </c>
      <c r="ZZ13" s="171">
        <f t="shared" si="381"/>
        <v>84.282519923589362</v>
      </c>
      <c r="AAA13" s="163"/>
      <c r="AAB13" s="170">
        <v>1.7</v>
      </c>
      <c r="AAC13" s="171">
        <f t="shared" si="382"/>
        <v>8.3467118570980041</v>
      </c>
      <c r="AAD13" s="171">
        <f t="shared" si="383"/>
        <v>9.3893781014316637</v>
      </c>
      <c r="AAE13" s="171">
        <f t="shared" si="384"/>
        <v>10.372736944739364</v>
      </c>
      <c r="AAF13" s="171">
        <f t="shared" si="660"/>
        <v>11.613852907316092</v>
      </c>
      <c r="AAG13" s="171">
        <f t="shared" si="661"/>
        <v>13.965219115674593</v>
      </c>
      <c r="AAH13" s="150">
        <f t="shared" si="662"/>
        <v>17.0514096426325</v>
      </c>
      <c r="AAI13" s="171">
        <f t="shared" si="663"/>
        <v>20.699085973756421</v>
      </c>
      <c r="AAJ13" s="171">
        <f t="shared" si="385"/>
        <v>24.516456406657451</v>
      </c>
      <c r="AAK13" s="171">
        <f t="shared" si="386"/>
        <v>27.079669260228886</v>
      </c>
      <c r="AAL13" s="171">
        <f t="shared" si="387"/>
        <v>29.483957855734921</v>
      </c>
      <c r="AAM13" s="171">
        <f t="shared" si="388"/>
        <v>32.505361279613751</v>
      </c>
      <c r="AAN13" s="163"/>
      <c r="AAO13" s="170">
        <v>1.7</v>
      </c>
      <c r="AAP13" s="171">
        <f t="shared" si="389"/>
        <v>8.4702601551767351</v>
      </c>
      <c r="AAQ13" s="171">
        <f t="shared" si="390"/>
        <v>9.498365703213711</v>
      </c>
      <c r="AAR13" s="171">
        <f t="shared" si="391"/>
        <v>10.476825132780592</v>
      </c>
      <c r="AAS13" s="171">
        <f t="shared" si="664"/>
        <v>11.724262131626938</v>
      </c>
      <c r="AAT13" s="171">
        <f t="shared" si="665"/>
        <v>14.126260422484929</v>
      </c>
      <c r="AAU13" s="150">
        <f t="shared" si="666"/>
        <v>17.3553659647343</v>
      </c>
      <c r="AAV13" s="171">
        <f t="shared" si="667"/>
        <v>21.281469517784249</v>
      </c>
      <c r="AAW13" s="171">
        <f t="shared" si="392"/>
        <v>25.513075629115921</v>
      </c>
      <c r="AAX13" s="171">
        <f t="shared" si="393"/>
        <v>28.422591851523794</v>
      </c>
      <c r="AAY13" s="171">
        <f t="shared" si="394"/>
        <v>31.200051675092748</v>
      </c>
      <c r="AAZ13" s="171">
        <f t="shared" si="395"/>
        <v>34.755083967210027</v>
      </c>
      <c r="ABA13" s="163"/>
      <c r="ABB13" s="170">
        <v>1.8</v>
      </c>
      <c r="ABC13" s="171">
        <f t="shared" si="396"/>
        <v>8.7821939438491547</v>
      </c>
      <c r="ABD13" s="171">
        <f t="shared" si="397"/>
        <v>9.899313996457165</v>
      </c>
      <c r="ABE13" s="171">
        <f t="shared" si="398"/>
        <v>10.943473574941214</v>
      </c>
      <c r="ABF13" s="171">
        <f t="shared" si="668"/>
        <v>12.248647867593895</v>
      </c>
      <c r="ABG13" s="171">
        <f t="shared" si="669"/>
        <v>14.684521145844482</v>
      </c>
      <c r="ABH13" s="150">
        <f t="shared" si="670"/>
        <v>17.814206279830049</v>
      </c>
      <c r="ABI13" s="171">
        <f t="shared" si="671"/>
        <v>21.425191764856706</v>
      </c>
      <c r="ABJ13" s="171">
        <f t="shared" si="399"/>
        <v>25.114013230130475</v>
      </c>
      <c r="ABK13" s="171">
        <f t="shared" si="400"/>
        <v>27.544619205570328</v>
      </c>
      <c r="ABL13" s="171">
        <f t="shared" si="401"/>
        <v>29.793638253365543</v>
      </c>
      <c r="ABM13" s="171">
        <f t="shared" si="402"/>
        <v>32.580634957855892</v>
      </c>
      <c r="ABN13" s="163"/>
      <c r="ABO13" s="170">
        <v>1.7</v>
      </c>
      <c r="ABP13" s="171">
        <f t="shared" si="403"/>
        <v>0.16921218380572206</v>
      </c>
      <c r="ABQ13" s="171">
        <f t="shared" si="404"/>
        <v>0.19840335871620535</v>
      </c>
      <c r="ABR13" s="171">
        <f t="shared" si="405"/>
        <v>0.22630741632500254</v>
      </c>
      <c r="ABS13" s="171">
        <f t="shared" si="672"/>
        <v>0.26191162587103961</v>
      </c>
      <c r="ABT13" s="171">
        <f t="shared" si="673"/>
        <v>0.3301564662394057</v>
      </c>
      <c r="ABU13" s="150">
        <f t="shared" si="674"/>
        <v>0.4205715102886346</v>
      </c>
      <c r="ABV13" s="171">
        <f t="shared" si="675"/>
        <v>0.52782135972406763</v>
      </c>
      <c r="ABW13" s="171">
        <f t="shared" si="406"/>
        <v>0.63988711941501297</v>
      </c>
      <c r="ABX13" s="171">
        <f t="shared" si="407"/>
        <v>0.71484709663512958</v>
      </c>
      <c r="ABY13" s="171">
        <f t="shared" si="408"/>
        <v>0.7848789228418791</v>
      </c>
      <c r="ABZ13" s="171">
        <f t="shared" si="409"/>
        <v>0.87244778772152332</v>
      </c>
      <c r="ACA13" s="163"/>
      <c r="ACB13" s="170">
        <v>1.7</v>
      </c>
      <c r="ACC13" s="171">
        <f t="shared" si="410"/>
        <v>0.1802835559091665</v>
      </c>
      <c r="ACD13" s="171">
        <f t="shared" si="411"/>
        <v>0.20980943658860479</v>
      </c>
      <c r="ACE13" s="171">
        <f t="shared" si="412"/>
        <v>0.23843527420838748</v>
      </c>
      <c r="ACF13" s="171">
        <f t="shared" si="676"/>
        <v>0.27554462533170915</v>
      </c>
      <c r="ACG13" s="171">
        <f t="shared" si="677"/>
        <v>0.34851310271261987</v>
      </c>
      <c r="ACH13" s="150">
        <f t="shared" si="678"/>
        <v>0.44884010629825866</v>
      </c>
      <c r="ACI13" s="171">
        <f t="shared" si="679"/>
        <v>0.57303279882282876</v>
      </c>
      <c r="ACJ13" s="171">
        <f t="shared" si="413"/>
        <v>0.70851180689622129</v>
      </c>
      <c r="ACK13" s="171">
        <f t="shared" si="414"/>
        <v>0.80223897913069042</v>
      </c>
      <c r="ACL13" s="171">
        <f t="shared" si="415"/>
        <v>0.89196876594263796</v>
      </c>
      <c r="ACM13" s="171">
        <f t="shared" si="416"/>
        <v>1.0070165761608576</v>
      </c>
      <c r="ACN13" s="163"/>
      <c r="ACO13" s="170">
        <v>1.8</v>
      </c>
      <c r="ACP13" s="171">
        <f t="shared" si="417"/>
        <v>0.1597871087913878</v>
      </c>
      <c r="ACQ13" s="171">
        <f t="shared" si="418"/>
        <v>0.19324725361768452</v>
      </c>
      <c r="ACR13" s="171">
        <f t="shared" si="419"/>
        <v>0.22465556931416825</v>
      </c>
      <c r="ACS13" s="171">
        <f t="shared" si="680"/>
        <v>0.26390294029514966</v>
      </c>
      <c r="ACT13" s="171">
        <f t="shared" si="681"/>
        <v>0.33665348426317487</v>
      </c>
      <c r="ACU13" s="150">
        <f t="shared" si="682"/>
        <v>0.42854150791703988</v>
      </c>
      <c r="ACV13" s="171">
        <f t="shared" si="683"/>
        <v>0.5319009244346985</v>
      </c>
      <c r="ACW13" s="171">
        <f t="shared" si="420"/>
        <v>0.63446262896100047</v>
      </c>
      <c r="ACX13" s="171">
        <f t="shared" si="421"/>
        <v>0.70042355693452607</v>
      </c>
      <c r="ACY13" s="171">
        <f t="shared" si="422"/>
        <v>0.76036426564792603</v>
      </c>
      <c r="ACZ13" s="171">
        <f t="shared" si="423"/>
        <v>0.83325571854280311</v>
      </c>
      <c r="ADA13" s="163"/>
      <c r="ADB13" s="170">
        <v>1.7</v>
      </c>
      <c r="ADC13" s="171">
        <f t="shared" si="424"/>
        <v>0.14220602719022754</v>
      </c>
      <c r="ADD13" s="171">
        <f t="shared" si="425"/>
        <v>0.16467800262958474</v>
      </c>
      <c r="ADE13" s="171">
        <f t="shared" si="426"/>
        <v>0.1845777403836972</v>
      </c>
      <c r="ADF13" s="171">
        <f t="shared" si="684"/>
        <v>0.20813394050155692</v>
      </c>
      <c r="ADG13" s="171">
        <f t="shared" si="685"/>
        <v>0.2487836830545781</v>
      </c>
      <c r="ADH13" s="150">
        <f t="shared" si="686"/>
        <v>0.29591985726667636</v>
      </c>
      <c r="ADI13" s="171">
        <f t="shared" si="687"/>
        <v>0.34481369059474831</v>
      </c>
      <c r="ADJ13" s="171">
        <f t="shared" si="427"/>
        <v>0.39005910914826608</v>
      </c>
      <c r="ADK13" s="171">
        <f t="shared" si="428"/>
        <v>0.41776893329664638</v>
      </c>
      <c r="ADL13" s="171">
        <f t="shared" si="429"/>
        <v>0.44214373468172707</v>
      </c>
      <c r="ADM13" s="171">
        <f t="shared" si="430"/>
        <v>0.47086917918317878</v>
      </c>
      <c r="ADN13" s="163"/>
      <c r="ADO13" s="170">
        <v>1.7</v>
      </c>
      <c r="ADP13" s="171">
        <f t="shared" si="431"/>
        <v>0.15106169096863156</v>
      </c>
      <c r="ADQ13" s="171">
        <f t="shared" si="432"/>
        <v>0.17306821839079667</v>
      </c>
      <c r="ADR13" s="171">
        <f t="shared" si="433"/>
        <v>0.19292097880384829</v>
      </c>
      <c r="ADS13" s="171">
        <f t="shared" si="688"/>
        <v>0.21684547196518913</v>
      </c>
      <c r="ADT13" s="171">
        <f t="shared" si="689"/>
        <v>0.25915261687959684</v>
      </c>
      <c r="ADU13" s="150">
        <f t="shared" si="690"/>
        <v>0.30972039576381871</v>
      </c>
      <c r="ADV13" s="171">
        <f t="shared" si="691"/>
        <v>0.3637545062240492</v>
      </c>
      <c r="ADW13" s="171">
        <f t="shared" si="434"/>
        <v>0.41508569324153077</v>
      </c>
      <c r="ADX13" s="171">
        <f t="shared" si="435"/>
        <v>0.44711647340496163</v>
      </c>
      <c r="ADY13" s="171">
        <f t="shared" si="436"/>
        <v>0.47564869930033987</v>
      </c>
      <c r="ADZ13" s="171">
        <f t="shared" si="437"/>
        <v>0.5096871575374653</v>
      </c>
      <c r="AEA13" s="163"/>
      <c r="AEB13" s="170">
        <v>1.8</v>
      </c>
      <c r="AEC13" s="171">
        <f t="shared" si="438"/>
        <v>0.13486949047807656</v>
      </c>
      <c r="AED13" s="171">
        <f t="shared" si="439"/>
        <v>0.16119249487690071</v>
      </c>
      <c r="AEE13" s="171">
        <f t="shared" si="440"/>
        <v>0.18369336200996314</v>
      </c>
      <c r="AEF13" s="171">
        <f t="shared" si="692"/>
        <v>0.20949978305905165</v>
      </c>
      <c r="AEG13" s="171">
        <f t="shared" si="693"/>
        <v>0.25227466721142305</v>
      </c>
      <c r="AEH13" s="150">
        <f t="shared" si="694"/>
        <v>0.29961203322211227</v>
      </c>
      <c r="AEI13" s="171">
        <f t="shared" si="695"/>
        <v>0.34665080499422812</v>
      </c>
      <c r="AEJ13" s="171">
        <f t="shared" si="441"/>
        <v>0.38863568686030397</v>
      </c>
      <c r="AEK13" s="171">
        <f t="shared" si="442"/>
        <v>0.41371572310298244</v>
      </c>
      <c r="AEL13" s="171">
        <f t="shared" si="443"/>
        <v>0.43541959238589939</v>
      </c>
      <c r="AEM13" s="171">
        <f t="shared" si="444"/>
        <v>0.4606008964538239</v>
      </c>
      <c r="AEN13" s="163"/>
    </row>
    <row r="14" spans="1:820">
      <c r="A14" s="163"/>
      <c r="B14" s="165">
        <v>1.9</v>
      </c>
      <c r="C14" s="152">
        <f t="shared" si="0"/>
        <v>1.2215327208104787</v>
      </c>
      <c r="D14" s="152">
        <f t="shared" si="1"/>
        <v>1.5318872377269808</v>
      </c>
      <c r="E14" s="152">
        <f t="shared" si="2"/>
        <v>1.8758314563607861</v>
      </c>
      <c r="F14" s="152">
        <f t="shared" si="445"/>
        <v>2.3925341645594473</v>
      </c>
      <c r="G14" s="152">
        <f t="shared" si="446"/>
        <v>3.6845648836032199</v>
      </c>
      <c r="H14" s="136">
        <f t="shared" si="447"/>
        <v>6.2318686896384348</v>
      </c>
      <c r="I14" s="152">
        <f t="shared" si="448"/>
        <v>11.150783711899114</v>
      </c>
      <c r="J14" s="152">
        <f t="shared" si="3"/>
        <v>19.93477789410883</v>
      </c>
      <c r="K14" s="152">
        <f t="shared" si="4"/>
        <v>29.167005675696778</v>
      </c>
      <c r="L14" s="152">
        <f t="shared" si="5"/>
        <v>41.520556631464686</v>
      </c>
      <c r="M14" s="152">
        <f t="shared" si="6"/>
        <v>64.580462352571843</v>
      </c>
      <c r="N14" s="163"/>
      <c r="O14" s="164"/>
      <c r="P14" s="75"/>
      <c r="Q14" s="75"/>
      <c r="R14" s="75"/>
      <c r="S14" s="75"/>
      <c r="T14" s="75"/>
      <c r="U14" s="75"/>
      <c r="V14" s="75"/>
      <c r="W14" s="75"/>
      <c r="X14" s="75"/>
      <c r="Y14" s="75"/>
      <c r="Z14" s="75"/>
      <c r="AA14" s="163"/>
      <c r="AB14" s="166">
        <v>1.9</v>
      </c>
      <c r="AC14" s="167">
        <f t="shared" si="14"/>
        <v>1.1483494931642122</v>
      </c>
      <c r="AD14" s="167">
        <f t="shared" si="15"/>
        <v>1.4275109839137854</v>
      </c>
      <c r="AE14" s="167">
        <f t="shared" si="16"/>
        <v>1.7367321906420794</v>
      </c>
      <c r="AF14" s="167">
        <f t="shared" si="453"/>
        <v>2.2019687698710904</v>
      </c>
      <c r="AG14" s="167">
        <f t="shared" si="454"/>
        <v>3.373254206926855</v>
      </c>
      <c r="AH14" s="136">
        <f t="shared" si="455"/>
        <v>5.7266908678280712</v>
      </c>
      <c r="AI14" s="167">
        <f t="shared" si="456"/>
        <v>10.444263845223963</v>
      </c>
      <c r="AJ14" s="167">
        <f t="shared" si="17"/>
        <v>19.383564620835372</v>
      </c>
      <c r="AK14" s="167">
        <f t="shared" si="18"/>
        <v>29.402295697432407</v>
      </c>
      <c r="AL14" s="167">
        <f t="shared" si="19"/>
        <v>43.68744850955062</v>
      </c>
      <c r="AM14" s="167">
        <f t="shared" si="20"/>
        <v>72.730292465473383</v>
      </c>
      <c r="AN14" s="163"/>
      <c r="AO14" s="166">
        <v>1.9</v>
      </c>
      <c r="AP14" s="167">
        <f t="shared" si="21"/>
        <v>-1.5556871092137383</v>
      </c>
      <c r="AQ14" s="167">
        <f t="shared" si="22"/>
        <v>0.24476573561510229</v>
      </c>
      <c r="AR14" s="167">
        <f t="shared" si="23"/>
        <v>2.0102160390540904</v>
      </c>
      <c r="AS14" s="167">
        <f t="shared" si="457"/>
        <v>4.2977093234372807</v>
      </c>
      <c r="AT14" s="167">
        <f t="shared" si="458"/>
        <v>8.7223296819796623</v>
      </c>
      <c r="AU14" s="136">
        <f t="shared" si="459"/>
        <v>14.564178633563028</v>
      </c>
      <c r="AV14" s="167">
        <f t="shared" si="460"/>
        <v>21.380300054349703</v>
      </c>
      <c r="AW14" s="167">
        <f t="shared" si="24"/>
        <v>28.335964089638669</v>
      </c>
      <c r="AX14" s="167">
        <f t="shared" si="25"/>
        <v>32.890450785434389</v>
      </c>
      <c r="AY14" s="167">
        <f t="shared" si="26"/>
        <v>37.076103179548113</v>
      </c>
      <c r="AZ14" s="167">
        <f t="shared" si="27"/>
        <v>42.219207502322945</v>
      </c>
      <c r="BA14" s="163"/>
      <c r="BB14" s="172"/>
      <c r="BC14" s="173"/>
      <c r="BD14" s="173"/>
      <c r="BE14" s="173"/>
      <c r="BF14" s="173"/>
      <c r="BG14" s="173"/>
      <c r="BH14" s="150"/>
      <c r="BI14" s="173"/>
      <c r="BJ14" s="173"/>
      <c r="BK14" s="173"/>
      <c r="BL14" s="173"/>
      <c r="BM14" s="173"/>
      <c r="BN14" s="163"/>
      <c r="BO14" s="166">
        <v>1.9</v>
      </c>
      <c r="BP14" s="167">
        <f t="shared" si="35"/>
        <v>1.7942780968128942</v>
      </c>
      <c r="BQ14" s="167">
        <f t="shared" si="36"/>
        <v>2.5046035355327985</v>
      </c>
      <c r="BR14" s="167">
        <f t="shared" si="37"/>
        <v>3.2949001550385786</v>
      </c>
      <c r="BS14" s="167">
        <f t="shared" si="465"/>
        <v>4.4608436903548068</v>
      </c>
      <c r="BT14" s="167">
        <f t="shared" si="466"/>
        <v>7.1873987620412301</v>
      </c>
      <c r="BU14" s="136">
        <f t="shared" si="467"/>
        <v>11.788016242495889</v>
      </c>
      <c r="BV14" s="167">
        <f t="shared" si="468"/>
        <v>18.691493333755385</v>
      </c>
      <c r="BW14" s="167">
        <f t="shared" si="38"/>
        <v>27.563302070352165</v>
      </c>
      <c r="BX14" s="167">
        <f t="shared" si="39"/>
        <v>34.434261025444641</v>
      </c>
      <c r="BY14" s="167">
        <f t="shared" si="40"/>
        <v>41.526466150762417</v>
      </c>
      <c r="BZ14" s="167">
        <f t="shared" si="41"/>
        <v>51.303090247530228</v>
      </c>
      <c r="CA14" s="163"/>
      <c r="CB14" s="166">
        <v>1.9</v>
      </c>
      <c r="CC14" s="167">
        <f t="shared" si="42"/>
        <v>-6.9620386610347742</v>
      </c>
      <c r="CD14" s="167">
        <f t="shared" si="43"/>
        <v>-5.8927453819037767</v>
      </c>
      <c r="CE14" s="167">
        <f t="shared" si="44"/>
        <v>-4.5016608473579147</v>
      </c>
      <c r="CF14" s="167">
        <f t="shared" si="469"/>
        <v>-2.551494448520871</v>
      </c>
      <c r="CG14" s="167">
        <f t="shared" si="470"/>
        <v>1.3293598280325503</v>
      </c>
      <c r="CH14" s="136">
        <f t="shared" si="471"/>
        <v>6.3894956224394948</v>
      </c>
      <c r="CI14" s="167">
        <f t="shared" si="472"/>
        <v>12.086712746796021</v>
      </c>
      <c r="CJ14" s="167">
        <f t="shared" si="45"/>
        <v>17.666461690834868</v>
      </c>
      <c r="CK14" s="167">
        <f t="shared" si="46"/>
        <v>21.203289624526381</v>
      </c>
      <c r="CL14" s="167">
        <f t="shared" si="47"/>
        <v>24.37987063381005</v>
      </c>
      <c r="CM14" s="167">
        <f t="shared" si="48"/>
        <v>28.194418320472021</v>
      </c>
      <c r="CN14" s="163"/>
      <c r="CO14" s="172"/>
      <c r="CP14" s="173"/>
      <c r="CQ14" s="173"/>
      <c r="CR14" s="173"/>
      <c r="CS14" s="173"/>
      <c r="CT14" s="173"/>
      <c r="CU14" s="150"/>
      <c r="CV14" s="173"/>
      <c r="CW14" s="173"/>
      <c r="CX14" s="173"/>
      <c r="CY14" s="173"/>
      <c r="CZ14" s="173"/>
      <c r="DA14" s="163"/>
      <c r="DB14" s="166">
        <v>1.9</v>
      </c>
      <c r="DC14" s="167">
        <f t="shared" si="56"/>
        <v>-6.5023860775948146</v>
      </c>
      <c r="DD14" s="167">
        <f t="shared" si="57"/>
        <v>-5.4410710183144868</v>
      </c>
      <c r="DE14" s="167">
        <f t="shared" si="58"/>
        <v>-4.19121598488762</v>
      </c>
      <c r="DF14" s="167">
        <f t="shared" si="477"/>
        <v>-2.4160838418440216</v>
      </c>
      <c r="DG14" s="167">
        <f t="shared" si="478"/>
        <v>1.251508913490361</v>
      </c>
      <c r="DH14" s="136">
        <f t="shared" si="479"/>
        <v>6.2704338066674721</v>
      </c>
      <c r="DI14" s="167">
        <f t="shared" si="480"/>
        <v>12.177433890073328</v>
      </c>
      <c r="DJ14" s="167">
        <f t="shared" si="59"/>
        <v>18.176134688602108</v>
      </c>
      <c r="DK14" s="167">
        <f t="shared" si="60"/>
        <v>22.072145263307391</v>
      </c>
      <c r="DL14" s="167">
        <f t="shared" si="61"/>
        <v>25.626789529641659</v>
      </c>
      <c r="DM14" s="167">
        <f t="shared" si="62"/>
        <v>29.959178351674371</v>
      </c>
      <c r="DN14" s="163"/>
      <c r="DO14" s="166">
        <v>1.9</v>
      </c>
      <c r="DP14" s="167">
        <f t="shared" si="63"/>
        <v>17.125936256939262</v>
      </c>
      <c r="DQ14" s="167">
        <f t="shared" si="64"/>
        <v>18.415456255348946</v>
      </c>
      <c r="DR14" s="167">
        <f t="shared" si="65"/>
        <v>19.659288154745962</v>
      </c>
      <c r="DS14" s="167">
        <f t="shared" si="481"/>
        <v>21.276381528502661</v>
      </c>
      <c r="DT14" s="167">
        <f t="shared" si="482"/>
        <v>24.518932118874492</v>
      </c>
      <c r="DU14" s="136">
        <f t="shared" si="483"/>
        <v>29.226008122336044</v>
      </c>
      <c r="DV14" s="167">
        <f t="shared" si="484"/>
        <v>35.653500135118961</v>
      </c>
      <c r="DW14" s="167">
        <f t="shared" si="66"/>
        <v>43.713413095892193</v>
      </c>
      <c r="DX14" s="167">
        <f t="shared" si="67"/>
        <v>50.12357602731101</v>
      </c>
      <c r="DY14" s="167">
        <f t="shared" si="68"/>
        <v>57.062259610303563</v>
      </c>
      <c r="DZ14" s="167">
        <f t="shared" si="69"/>
        <v>67.383135194827219</v>
      </c>
      <c r="EA14" s="163"/>
      <c r="EB14" s="172"/>
      <c r="EC14" s="173"/>
      <c r="ED14" s="173"/>
      <c r="EE14" s="173"/>
      <c r="EF14" s="173"/>
      <c r="EG14" s="173"/>
      <c r="EH14" s="150"/>
      <c r="EI14" s="173"/>
      <c r="EJ14" s="173"/>
      <c r="EK14" s="173"/>
      <c r="EL14" s="173"/>
      <c r="EM14" s="173"/>
      <c r="EN14" s="163"/>
      <c r="EO14" s="166">
        <v>1.9</v>
      </c>
      <c r="EP14" s="167">
        <f t="shared" si="77"/>
        <v>17.306070796704919</v>
      </c>
      <c r="EQ14" s="167">
        <f t="shared" si="78"/>
        <v>18.707847763530189</v>
      </c>
      <c r="ER14" s="167">
        <f t="shared" si="79"/>
        <v>20.0456854896021</v>
      </c>
      <c r="ES14" s="167">
        <f t="shared" si="489"/>
        <v>21.762722380200639</v>
      </c>
      <c r="ET14" s="167">
        <f t="shared" si="490"/>
        <v>25.125762465026252</v>
      </c>
      <c r="EU14" s="136">
        <f t="shared" si="491"/>
        <v>29.811853659723486</v>
      </c>
      <c r="EV14" s="167">
        <f t="shared" si="492"/>
        <v>35.839714804048675</v>
      </c>
      <c r="EW14" s="167">
        <f t="shared" si="80"/>
        <v>42.830173132021621</v>
      </c>
      <c r="EX14" s="167">
        <f t="shared" si="81"/>
        <v>47.979396682883973</v>
      </c>
      <c r="EY14" s="167">
        <f t="shared" si="82"/>
        <v>53.185746117030412</v>
      </c>
      <c r="EZ14" s="167">
        <f t="shared" si="83"/>
        <v>60.305061033521923</v>
      </c>
      <c r="FA14" s="163"/>
      <c r="FB14" s="166">
        <v>1.9</v>
      </c>
      <c r="FC14" s="167">
        <f t="shared" si="84"/>
        <v>10.345178718291534</v>
      </c>
      <c r="FD14" s="167">
        <f t="shared" si="85"/>
        <v>11.326450497168631</v>
      </c>
      <c r="FE14" s="167">
        <f t="shared" si="86"/>
        <v>12.265156633906985</v>
      </c>
      <c r="FF14" s="167">
        <f t="shared" si="493"/>
        <v>13.471559004227075</v>
      </c>
      <c r="FG14" s="167">
        <f t="shared" si="494"/>
        <v>15.83427401021442</v>
      </c>
      <c r="FH14" s="136">
        <f t="shared" si="495"/>
        <v>19.112997138398192</v>
      </c>
      <c r="FI14" s="167">
        <f t="shared" si="496"/>
        <v>23.286933626412157</v>
      </c>
      <c r="FJ14" s="167">
        <f t="shared" si="87"/>
        <v>28.04606802961386</v>
      </c>
      <c r="FK14" s="167">
        <f t="shared" si="88"/>
        <v>31.488729264030717</v>
      </c>
      <c r="FL14" s="167">
        <f t="shared" si="89"/>
        <v>34.912735526033458</v>
      </c>
      <c r="FM14" s="167">
        <f t="shared" si="90"/>
        <v>39.501234656678449</v>
      </c>
      <c r="FN14" s="163"/>
      <c r="FO14" s="174"/>
      <c r="FP14" s="175"/>
      <c r="FQ14" s="175"/>
      <c r="FR14" s="175"/>
      <c r="FS14" s="175"/>
      <c r="FT14" s="175"/>
      <c r="FU14" s="176"/>
      <c r="FV14" s="175"/>
      <c r="FW14" s="175"/>
      <c r="FX14" s="175"/>
      <c r="FY14" s="175"/>
      <c r="FZ14" s="175"/>
      <c r="GA14" s="163"/>
      <c r="GB14" s="166">
        <v>1.9</v>
      </c>
      <c r="GC14" s="167">
        <f t="shared" si="98"/>
        <v>9.9433441305809076</v>
      </c>
      <c r="GD14" s="167">
        <f t="shared" si="99"/>
        <v>10.985199826732067</v>
      </c>
      <c r="GE14" s="167">
        <f t="shared" si="100"/>
        <v>11.980470883055771</v>
      </c>
      <c r="GF14" s="167">
        <f t="shared" si="501"/>
        <v>13.256403682622679</v>
      </c>
      <c r="GG14" s="167">
        <f t="shared" si="502"/>
        <v>15.741150324623773</v>
      </c>
      <c r="GH14" s="136">
        <f t="shared" si="503"/>
        <v>19.15037929661958</v>
      </c>
      <c r="GI14" s="167">
        <f t="shared" si="504"/>
        <v>23.415848755145333</v>
      </c>
      <c r="GJ14" s="167">
        <f t="shared" si="101"/>
        <v>28.172410080746292</v>
      </c>
      <c r="GK14" s="167">
        <f t="shared" si="102"/>
        <v>31.542516677838716</v>
      </c>
      <c r="GL14" s="167">
        <f t="shared" si="103"/>
        <v>34.837075302467994</v>
      </c>
      <c r="GM14" s="167">
        <f t="shared" si="104"/>
        <v>39.165822094077932</v>
      </c>
      <c r="GN14" s="163"/>
      <c r="GO14" s="166">
        <v>1.9</v>
      </c>
      <c r="GP14" s="167">
        <f t="shared" si="105"/>
        <v>0.45017492497285938</v>
      </c>
      <c r="GQ14" s="167">
        <f t="shared" si="106"/>
        <v>0.48489286708776136</v>
      </c>
      <c r="GR14" s="167">
        <f t="shared" si="107"/>
        <v>0.51277032136168277</v>
      </c>
      <c r="GS14" s="167">
        <f t="shared" si="505"/>
        <v>0.54303814957059682</v>
      </c>
      <c r="GT14" s="167">
        <f t="shared" si="506"/>
        <v>0.58989395447035553</v>
      </c>
      <c r="GU14" s="136">
        <f t="shared" si="507"/>
        <v>0.63785405032229059</v>
      </c>
      <c r="GV14" s="167">
        <f t="shared" si="508"/>
        <v>0.68226477333958357</v>
      </c>
      <c r="GW14" s="167">
        <f t="shared" si="108"/>
        <v>0.71964993249591269</v>
      </c>
      <c r="GX14" s="167">
        <f t="shared" si="109"/>
        <v>0.74110511738502383</v>
      </c>
      <c r="GY14" s="167">
        <f t="shared" si="110"/>
        <v>0.7591947714063817</v>
      </c>
      <c r="GZ14" s="167">
        <f t="shared" si="111"/>
        <v>0.7796696255978135</v>
      </c>
      <c r="HA14" s="163"/>
      <c r="HB14" s="174"/>
      <c r="HC14" s="175"/>
      <c r="HD14" s="175"/>
      <c r="HE14" s="175"/>
      <c r="HF14" s="175"/>
      <c r="HG14" s="175"/>
      <c r="HH14" s="176"/>
      <c r="HI14" s="175"/>
      <c r="HJ14" s="175"/>
      <c r="HK14" s="175"/>
      <c r="HL14" s="175"/>
      <c r="HM14" s="175"/>
      <c r="HN14" s="163"/>
      <c r="HO14" s="166">
        <v>1.9</v>
      </c>
      <c r="HP14" s="167">
        <f t="shared" si="119"/>
        <v>0.43834268080426803</v>
      </c>
      <c r="HQ14" s="167">
        <f t="shared" si="120"/>
        <v>0.47395551326339153</v>
      </c>
      <c r="HR14" s="167">
        <f t="shared" si="121"/>
        <v>0.50241965636372843</v>
      </c>
      <c r="HS14" s="167">
        <f t="shared" si="513"/>
        <v>0.53321372294160652</v>
      </c>
      <c r="HT14" s="167">
        <f t="shared" si="514"/>
        <v>0.58069561326521557</v>
      </c>
      <c r="HU14" s="136">
        <f t="shared" si="515"/>
        <v>0.62910309410917475</v>
      </c>
      <c r="HV14" s="167">
        <f t="shared" si="516"/>
        <v>0.67378638210330832</v>
      </c>
      <c r="HW14" s="167">
        <f t="shared" si="122"/>
        <v>0.71131247704478284</v>
      </c>
      <c r="HX14" s="167">
        <f t="shared" si="123"/>
        <v>0.7328164773043454</v>
      </c>
      <c r="HY14" s="167">
        <f t="shared" si="124"/>
        <v>0.750930706625482</v>
      </c>
      <c r="HZ14" s="167">
        <f t="shared" si="125"/>
        <v>0.77141627104733668</v>
      </c>
      <c r="IA14" s="163"/>
      <c r="IB14" s="166">
        <v>1.9</v>
      </c>
      <c r="IC14" s="167">
        <f t="shared" si="126"/>
        <v>0.31160436075116976</v>
      </c>
      <c r="ID14" s="167">
        <f t="shared" si="127"/>
        <v>0.32726105648149323</v>
      </c>
      <c r="IE14" s="167">
        <f t="shared" si="128"/>
        <v>0.33931633981427917</v>
      </c>
      <c r="IF14" s="167">
        <f t="shared" si="517"/>
        <v>0.35195630777784237</v>
      </c>
      <c r="IG14" s="167">
        <f t="shared" si="518"/>
        <v>0.37072840920681355</v>
      </c>
      <c r="IH14" s="136">
        <f t="shared" si="519"/>
        <v>0.38908799651443876</v>
      </c>
      <c r="II14" s="167">
        <f t="shared" si="520"/>
        <v>0.40542947774665</v>
      </c>
      <c r="IJ14" s="167">
        <f t="shared" si="129"/>
        <v>0.41875462070507508</v>
      </c>
      <c r="IK14" s="167">
        <f t="shared" si="130"/>
        <v>0.42624010181345973</v>
      </c>
      <c r="IL14" s="167">
        <f t="shared" si="131"/>
        <v>0.43246564322559949</v>
      </c>
      <c r="IM14" s="167">
        <f t="shared" si="132"/>
        <v>0.43942196949324941</v>
      </c>
      <c r="IN14" s="163"/>
      <c r="IO14" s="172"/>
      <c r="IP14" s="173"/>
      <c r="IQ14" s="173"/>
      <c r="IR14" s="173"/>
      <c r="IS14" s="173"/>
      <c r="IT14" s="173"/>
      <c r="IU14" s="150"/>
      <c r="IV14" s="173"/>
      <c r="IW14" s="173"/>
      <c r="IX14" s="173"/>
      <c r="IY14" s="173"/>
      <c r="IZ14" s="173"/>
      <c r="JA14" s="163"/>
      <c r="JB14" s="166">
        <v>1.9</v>
      </c>
      <c r="JC14" s="167">
        <f t="shared" si="140"/>
        <v>0.30615462851361913</v>
      </c>
      <c r="JD14" s="167">
        <f t="shared" si="141"/>
        <v>0.32248102249045291</v>
      </c>
      <c r="JE14" s="167">
        <f t="shared" si="142"/>
        <v>0.33495380017055276</v>
      </c>
      <c r="JF14" s="167">
        <f t="shared" si="525"/>
        <v>0.34795594121369855</v>
      </c>
      <c r="JG14" s="167">
        <f t="shared" si="526"/>
        <v>0.36714827520876103</v>
      </c>
      <c r="JH14" s="136">
        <f t="shared" si="527"/>
        <v>0.38580842287067663</v>
      </c>
      <c r="JI14" s="167">
        <f t="shared" si="528"/>
        <v>0.40234307002496844</v>
      </c>
      <c r="JJ14" s="167">
        <f t="shared" si="143"/>
        <v>0.41578236047964123</v>
      </c>
      <c r="JK14" s="167">
        <f t="shared" si="144"/>
        <v>0.4233169808338843</v>
      </c>
      <c r="JL14" s="167">
        <f t="shared" si="145"/>
        <v>0.42957589948808061</v>
      </c>
      <c r="JM14" s="167">
        <f t="shared" si="146"/>
        <v>0.43656199967415116</v>
      </c>
      <c r="JN14" s="163"/>
      <c r="JO14" s="172">
        <v>1.8</v>
      </c>
      <c r="JP14" s="173">
        <f t="shared" si="147"/>
        <v>-10.693959556248462</v>
      </c>
      <c r="JQ14" s="173">
        <f t="shared" si="148"/>
        <v>-8.8113657657326065</v>
      </c>
      <c r="JR14" s="173">
        <f t="shared" si="149"/>
        <v>-7.149833699003425</v>
      </c>
      <c r="JS14" s="173">
        <f t="shared" si="529"/>
        <v>-5.1898026751233175</v>
      </c>
      <c r="JT14" s="173">
        <f t="shared" si="530"/>
        <v>-1.824277150614833</v>
      </c>
      <c r="JU14" s="150">
        <f t="shared" si="531"/>
        <v>2.0533169228913408</v>
      </c>
      <c r="JV14" s="173">
        <f t="shared" si="532"/>
        <v>6.0496466414760839</v>
      </c>
      <c r="JW14" s="173">
        <f t="shared" si="150"/>
        <v>9.7264629709341648</v>
      </c>
      <c r="JX14" s="173">
        <f t="shared" si="151"/>
        <v>11.968935248333192</v>
      </c>
      <c r="JY14" s="173">
        <f t="shared" si="152"/>
        <v>13.936001337193456</v>
      </c>
      <c r="JZ14" s="173">
        <f t="shared" si="153"/>
        <v>16.247859342931076</v>
      </c>
      <c r="KA14" s="163"/>
      <c r="KB14" s="166">
        <v>1.8</v>
      </c>
      <c r="KC14" s="167">
        <f t="shared" si="154"/>
        <v>-9.6177382476820625</v>
      </c>
      <c r="KD14" s="167">
        <f t="shared" si="155"/>
        <v>-8.1802015359119125</v>
      </c>
      <c r="KE14" s="167">
        <f t="shared" si="156"/>
        <v>-6.7837182012245441</v>
      </c>
      <c r="KF14" s="167">
        <f t="shared" si="533"/>
        <v>-5.0118529116821238</v>
      </c>
      <c r="KG14" s="167">
        <f t="shared" si="534"/>
        <v>-1.714493962087678</v>
      </c>
      <c r="KH14" s="136">
        <f t="shared" si="535"/>
        <v>2.4053615799985391</v>
      </c>
      <c r="KI14" s="167">
        <f t="shared" si="536"/>
        <v>6.941343025343075</v>
      </c>
      <c r="KJ14" s="167">
        <f t="shared" si="157"/>
        <v>11.332201916000786</v>
      </c>
      <c r="KK14" s="167">
        <f t="shared" si="158"/>
        <v>14.100069119981351</v>
      </c>
      <c r="KL14" s="167">
        <f t="shared" si="159"/>
        <v>16.579227345682753</v>
      </c>
      <c r="KM14" s="167">
        <f t="shared" si="160"/>
        <v>19.550128651554139</v>
      </c>
      <c r="KN14" s="163"/>
      <c r="KO14" s="166">
        <v>1.9</v>
      </c>
      <c r="KP14" s="167">
        <f t="shared" si="161"/>
        <v>-10.789826956339162</v>
      </c>
      <c r="KQ14" s="167">
        <f t="shared" si="162"/>
        <v>-8.6551454089354607</v>
      </c>
      <c r="KR14" s="167">
        <f t="shared" si="163"/>
        <v>-6.8369782659882929</v>
      </c>
      <c r="KS14" s="167">
        <f t="shared" si="537"/>
        <v>-4.7579267232402458</v>
      </c>
      <c r="KT14" s="167">
        <f t="shared" si="538"/>
        <v>-1.3240558764254793</v>
      </c>
      <c r="KU14" s="136">
        <f t="shared" si="539"/>
        <v>2.4614269672726934</v>
      </c>
      <c r="KV14" s="167">
        <f t="shared" si="540"/>
        <v>6.2104450994059199</v>
      </c>
      <c r="KW14" s="167">
        <f t="shared" si="164"/>
        <v>9.5476487403310841</v>
      </c>
      <c r="KX14" s="167">
        <f t="shared" si="165"/>
        <v>11.537553212054323</v>
      </c>
      <c r="KY14" s="167">
        <f t="shared" si="166"/>
        <v>13.257584213193031</v>
      </c>
      <c r="KZ14" s="167">
        <f t="shared" si="167"/>
        <v>15.251015872115719</v>
      </c>
      <c r="LA14" s="163"/>
      <c r="LB14" s="172">
        <v>1.8</v>
      </c>
      <c r="LC14" s="173">
        <f t="shared" si="168"/>
        <v>-24.142532001541333</v>
      </c>
      <c r="LD14" s="173">
        <f t="shared" si="169"/>
        <v>-19.889094733553513</v>
      </c>
      <c r="LE14" s="173">
        <f t="shared" si="170"/>
        <v>-16.033036578213718</v>
      </c>
      <c r="LF14" s="173">
        <f t="shared" si="541"/>
        <v>-11.390111867149184</v>
      </c>
      <c r="LG14" s="173">
        <f t="shared" si="542"/>
        <v>-3.2368445919177375</v>
      </c>
      <c r="LH14" s="150">
        <f t="shared" si="543"/>
        <v>6.368766195506339</v>
      </c>
      <c r="LI14" s="173">
        <f t="shared" si="544"/>
        <v>16.445758973539448</v>
      </c>
      <c r="LJ14" s="173">
        <f t="shared" si="171"/>
        <v>25.841410616475116</v>
      </c>
      <c r="LK14" s="173">
        <f t="shared" si="172"/>
        <v>31.620638364142742</v>
      </c>
      <c r="LL14" s="173">
        <f t="shared" si="173"/>
        <v>36.716969522417635</v>
      </c>
      <c r="LM14" s="173">
        <f t="shared" si="174"/>
        <v>42.735817220546345</v>
      </c>
      <c r="LN14" s="163"/>
      <c r="LO14" s="166">
        <v>1.8</v>
      </c>
      <c r="LP14" s="167">
        <f t="shared" si="175"/>
        <v>-26.382413546525132</v>
      </c>
      <c r="LQ14" s="167">
        <f t="shared" si="176"/>
        <v>-22.222000244052118</v>
      </c>
      <c r="LR14" s="167">
        <f t="shared" si="177"/>
        <v>-18.219780302256819</v>
      </c>
      <c r="LS14" s="167">
        <f t="shared" si="545"/>
        <v>-13.219803394747011</v>
      </c>
      <c r="LT14" s="167">
        <f t="shared" si="546"/>
        <v>-4.128782890217515</v>
      </c>
      <c r="LU14" s="136">
        <f t="shared" si="547"/>
        <v>6.9119573632120854</v>
      </c>
      <c r="LV14" s="167">
        <f t="shared" si="548"/>
        <v>18.750565507271542</v>
      </c>
      <c r="LW14" s="167">
        <f t="shared" si="178"/>
        <v>29.959476336527633</v>
      </c>
      <c r="LX14" s="167">
        <f t="shared" si="179"/>
        <v>36.919066581819663</v>
      </c>
      <c r="LY14" s="167">
        <f t="shared" si="180"/>
        <v>43.091392848466313</v>
      </c>
      <c r="LZ14" s="167">
        <f t="shared" si="181"/>
        <v>50.418755881329147</v>
      </c>
      <c r="MA14" s="163"/>
      <c r="MB14" s="166">
        <v>1.9</v>
      </c>
      <c r="MC14" s="167">
        <f t="shared" si="182"/>
        <v>-27.610664697736222</v>
      </c>
      <c r="MD14" s="167">
        <f t="shared" si="183"/>
        <v>-23.07946004108706</v>
      </c>
      <c r="ME14" s="167">
        <f t="shared" si="184"/>
        <v>-19.013954070325699</v>
      </c>
      <c r="MF14" s="167">
        <f t="shared" si="549"/>
        <v>-14.173645866304337</v>
      </c>
      <c r="MG14" s="167">
        <f t="shared" si="550"/>
        <v>-5.8049691981164706</v>
      </c>
      <c r="MH14" s="136">
        <f t="shared" si="551"/>
        <v>3.872208339165006</v>
      </c>
      <c r="MI14" s="167">
        <f t="shared" si="552"/>
        <v>13.849768042802893</v>
      </c>
      <c r="MJ14" s="167">
        <f t="shared" si="185"/>
        <v>23.018174701785298</v>
      </c>
      <c r="MK14" s="167">
        <f t="shared" si="186"/>
        <v>28.601467064586636</v>
      </c>
      <c r="ML14" s="167">
        <f t="shared" si="187"/>
        <v>33.492904867775557</v>
      </c>
      <c r="MM14" s="167">
        <f t="shared" si="188"/>
        <v>39.233862909846628</v>
      </c>
      <c r="MN14" s="163"/>
      <c r="MO14" s="172">
        <v>1.8</v>
      </c>
      <c r="MP14" s="173">
        <f t="shared" si="189"/>
        <v>-29.327246393820523</v>
      </c>
      <c r="MQ14" s="173">
        <f t="shared" si="190"/>
        <v>-24.593173194966376</v>
      </c>
      <c r="MR14" s="173">
        <f t="shared" si="191"/>
        <v>-20.472923864335442</v>
      </c>
      <c r="MS14" s="173">
        <f t="shared" si="553"/>
        <v>-15.681433417556363</v>
      </c>
      <c r="MT14" s="173">
        <f t="shared" si="554"/>
        <v>-7.6136328469501393</v>
      </c>
      <c r="MU14" s="150">
        <f t="shared" si="555"/>
        <v>1.4632422718552078</v>
      </c>
      <c r="MV14" s="173">
        <f t="shared" si="556"/>
        <v>10.609815973110159</v>
      </c>
      <c r="MW14" s="173">
        <f t="shared" si="192"/>
        <v>18.864751510476339</v>
      </c>
      <c r="MX14" s="173">
        <f t="shared" si="193"/>
        <v>23.83243274627236</v>
      </c>
      <c r="MY14" s="173">
        <f t="shared" si="194"/>
        <v>28.151737053254656</v>
      </c>
      <c r="MZ14" s="173">
        <f t="shared" si="195"/>
        <v>33.185384962178766</v>
      </c>
      <c r="NA14" s="163"/>
      <c r="NB14" s="166">
        <v>1.8</v>
      </c>
      <c r="NC14" s="167">
        <f t="shared" si="196"/>
        <v>-22.736924667145523</v>
      </c>
      <c r="ND14" s="167">
        <f t="shared" si="197"/>
        <v>-17.862227147863067</v>
      </c>
      <c r="NE14" s="167">
        <f t="shared" si="198"/>
        <v>-13.580388868372467</v>
      </c>
      <c r="NF14" s="167">
        <f t="shared" si="557"/>
        <v>-8.573190988953364</v>
      </c>
      <c r="NG14" s="167">
        <f t="shared" si="558"/>
        <v>-9.6828423299360367E-2</v>
      </c>
      <c r="NH14" s="136">
        <f t="shared" si="559"/>
        <v>9.4869576631502817</v>
      </c>
      <c r="NI14" s="167">
        <f t="shared" si="560"/>
        <v>19.180939491720135</v>
      </c>
      <c r="NJ14" s="167">
        <f t="shared" si="199"/>
        <v>27.954515204059238</v>
      </c>
      <c r="NK14" s="167">
        <f t="shared" si="200"/>
        <v>33.243768988054569</v>
      </c>
      <c r="NL14" s="167">
        <f t="shared" si="201"/>
        <v>37.847816451498886</v>
      </c>
      <c r="NM14" s="167">
        <f t="shared" si="202"/>
        <v>43.218841810335348</v>
      </c>
      <c r="NN14" s="163"/>
      <c r="NO14" s="166">
        <v>1.9</v>
      </c>
      <c r="NP14" s="167">
        <f t="shared" si="203"/>
        <v>-26.177949916657916</v>
      </c>
      <c r="NQ14" s="167">
        <f t="shared" si="204"/>
        <v>-21.692440445056135</v>
      </c>
      <c r="NR14" s="167">
        <f t="shared" si="205"/>
        <v>-17.829253554622053</v>
      </c>
      <c r="NS14" s="167">
        <f t="shared" si="561"/>
        <v>-13.370418301688403</v>
      </c>
      <c r="NT14" s="167">
        <f t="shared" si="562"/>
        <v>-5.9232076134064719</v>
      </c>
      <c r="NU14" s="136">
        <f t="shared" si="563"/>
        <v>2.3879296165545085</v>
      </c>
      <c r="NV14" s="167">
        <f t="shared" si="564"/>
        <v>10.707910390801437</v>
      </c>
      <c r="NW14" s="167">
        <f t="shared" si="206"/>
        <v>18.178761245029314</v>
      </c>
      <c r="NX14" s="167">
        <f t="shared" si="207"/>
        <v>22.659689285995213</v>
      </c>
      <c r="NY14" s="167">
        <f t="shared" si="208"/>
        <v>26.547591211459554</v>
      </c>
      <c r="NZ14" s="167">
        <f t="shared" si="209"/>
        <v>31.06961587973786</v>
      </c>
      <c r="OA14" s="163"/>
      <c r="OB14" s="172">
        <v>1.8</v>
      </c>
      <c r="OC14" s="173">
        <f t="shared" si="210"/>
        <v>16.75844651893409</v>
      </c>
      <c r="OD14" s="173">
        <f t="shared" si="211"/>
        <v>18.58629497796468</v>
      </c>
      <c r="OE14" s="173">
        <f t="shared" si="212"/>
        <v>20.310428407529852</v>
      </c>
      <c r="OF14" s="173">
        <f t="shared" si="565"/>
        <v>22.489347177135556</v>
      </c>
      <c r="OG14" s="173">
        <f t="shared" si="566"/>
        <v>26.63344404105915</v>
      </c>
      <c r="OH14" s="150">
        <f t="shared" si="567"/>
        <v>32.117526622757545</v>
      </c>
      <c r="OI14" s="173">
        <f t="shared" si="568"/>
        <v>38.67963741345325</v>
      </c>
      <c r="OJ14" s="173">
        <f t="shared" si="213"/>
        <v>45.649867879000496</v>
      </c>
      <c r="OK14" s="173">
        <f t="shared" si="214"/>
        <v>50.39164325503674</v>
      </c>
      <c r="OL14" s="173">
        <f t="shared" si="215"/>
        <v>54.885071561832802</v>
      </c>
      <c r="OM14" s="173">
        <f t="shared" si="216"/>
        <v>60.594783178594156</v>
      </c>
      <c r="ON14" s="163"/>
      <c r="OO14" s="166">
        <v>1.8</v>
      </c>
      <c r="OP14" s="167">
        <f t="shared" si="217"/>
        <v>14.03258907622811</v>
      </c>
      <c r="OQ14" s="167">
        <f t="shared" si="218"/>
        <v>15.437845251283374</v>
      </c>
      <c r="OR14" s="167">
        <f t="shared" si="219"/>
        <v>16.763025389256683</v>
      </c>
      <c r="OS14" s="167">
        <f t="shared" si="569"/>
        <v>18.438421516043135</v>
      </c>
      <c r="OT14" s="167">
        <f t="shared" si="570"/>
        <v>21.630403952915561</v>
      </c>
      <c r="OU14" s="136">
        <f t="shared" si="571"/>
        <v>25.872427365891493</v>
      </c>
      <c r="OV14" s="167">
        <f t="shared" si="572"/>
        <v>30.983357172916346</v>
      </c>
      <c r="OW14" s="167">
        <f t="shared" si="220"/>
        <v>36.460101795895959</v>
      </c>
      <c r="OX14" s="167">
        <f t="shared" si="221"/>
        <v>40.215930211236511</v>
      </c>
      <c r="OY14" s="167">
        <f t="shared" si="222"/>
        <v>43.798132983200603</v>
      </c>
      <c r="OZ14" s="167">
        <f t="shared" si="223"/>
        <v>48.382756202012764</v>
      </c>
      <c r="PA14" s="163"/>
      <c r="PB14" s="166">
        <v>1.9</v>
      </c>
      <c r="PC14" s="167">
        <f t="shared" si="224"/>
        <v>19.085615264761575</v>
      </c>
      <c r="PD14" s="167">
        <f t="shared" si="225"/>
        <v>20.980628683032553</v>
      </c>
      <c r="PE14" s="167">
        <f t="shared" si="226"/>
        <v>22.735958334785771</v>
      </c>
      <c r="PF14" s="167">
        <f t="shared" si="573"/>
        <v>24.913011170209931</v>
      </c>
      <c r="PG14" s="167">
        <f t="shared" si="574"/>
        <v>28.938628502443791</v>
      </c>
      <c r="PH14" s="136">
        <f t="shared" si="575"/>
        <v>34.063653739673853</v>
      </c>
      <c r="PI14" s="167">
        <f t="shared" si="576"/>
        <v>39.939518715173108</v>
      </c>
      <c r="PJ14" s="167">
        <f t="shared" si="227"/>
        <v>45.922612384571451</v>
      </c>
      <c r="PK14" s="167">
        <f t="shared" si="228"/>
        <v>49.861417654489316</v>
      </c>
      <c r="PL14" s="167">
        <f t="shared" si="229"/>
        <v>53.506483950907885</v>
      </c>
      <c r="PM14" s="167">
        <f t="shared" si="230"/>
        <v>58.026783778840262</v>
      </c>
      <c r="PN14" s="163"/>
      <c r="PO14" s="172">
        <v>1.8</v>
      </c>
      <c r="PP14" s="173">
        <f t="shared" si="231"/>
        <v>8.2056469486570212</v>
      </c>
      <c r="PQ14" s="173">
        <f t="shared" si="232"/>
        <v>9.0565684806800757</v>
      </c>
      <c r="PR14" s="173">
        <f t="shared" si="233"/>
        <v>9.8443978916796624</v>
      </c>
      <c r="PS14" s="173">
        <f t="shared" si="577"/>
        <v>10.82076994041965</v>
      </c>
      <c r="PT14" s="173">
        <f t="shared" si="578"/>
        <v>12.623390296294694</v>
      </c>
      <c r="PU14" s="150">
        <f t="shared" si="579"/>
        <v>14.911973028805919</v>
      </c>
      <c r="PV14" s="173">
        <f t="shared" si="580"/>
        <v>17.526089348371968</v>
      </c>
      <c r="PW14" s="173">
        <f t="shared" si="234"/>
        <v>20.176717046732115</v>
      </c>
      <c r="PX14" s="173">
        <f t="shared" si="235"/>
        <v>21.915478659988</v>
      </c>
      <c r="PY14" s="173">
        <f t="shared" si="236"/>
        <v>23.520219645106312</v>
      </c>
      <c r="PZ14" s="173">
        <f t="shared" si="237"/>
        <v>25.504557382056309</v>
      </c>
      <c r="QA14" s="163"/>
      <c r="QB14" s="166">
        <v>1.8</v>
      </c>
      <c r="QC14" s="167">
        <f t="shared" si="238"/>
        <v>7.6517235179352303</v>
      </c>
      <c r="QD14" s="167">
        <f t="shared" si="239"/>
        <v>8.4034712392753832</v>
      </c>
      <c r="QE14" s="167">
        <f t="shared" si="240"/>
        <v>9.1048178467877516</v>
      </c>
      <c r="QF14" s="167">
        <f t="shared" si="581"/>
        <v>9.9813882891219912</v>
      </c>
      <c r="QG14" s="167">
        <f t="shared" si="582"/>
        <v>11.621812197439359</v>
      </c>
      <c r="QH14" s="136">
        <f t="shared" si="583"/>
        <v>13.746443124085555</v>
      </c>
      <c r="QI14" s="167">
        <f t="shared" si="584"/>
        <v>16.230938020792671</v>
      </c>
      <c r="QJ14" s="167">
        <f t="shared" si="241"/>
        <v>18.812317530329281</v>
      </c>
      <c r="QK14" s="167">
        <f t="shared" si="242"/>
        <v>20.539170298515774</v>
      </c>
      <c r="QL14" s="167">
        <f t="shared" si="243"/>
        <v>22.156140355307819</v>
      </c>
      <c r="QM14" s="167">
        <f t="shared" si="244"/>
        <v>24.185999707220585</v>
      </c>
      <c r="QN14" s="163"/>
      <c r="QO14" s="166">
        <v>1.9</v>
      </c>
      <c r="QP14" s="167">
        <f t="shared" si="245"/>
        <v>8.7869105361036492</v>
      </c>
      <c r="QQ14" s="167">
        <f t="shared" si="246"/>
        <v>9.7053189392369053</v>
      </c>
      <c r="QR14" s="167">
        <f t="shared" si="247"/>
        <v>10.545105433153278</v>
      </c>
      <c r="QS14" s="167">
        <f t="shared" si="585"/>
        <v>11.57245132766837</v>
      </c>
      <c r="QT14" s="167">
        <f t="shared" si="586"/>
        <v>13.432598605308453</v>
      </c>
      <c r="QU14" s="136">
        <f t="shared" si="587"/>
        <v>15.731819186816182</v>
      </c>
      <c r="QV14" s="167">
        <f t="shared" si="588"/>
        <v>18.282099390240123</v>
      </c>
      <c r="QW14" s="167">
        <f t="shared" si="248"/>
        <v>20.794864201825334</v>
      </c>
      <c r="QX14" s="167">
        <f t="shared" si="249"/>
        <v>22.407238165452014</v>
      </c>
      <c r="QY14" s="167">
        <f t="shared" si="250"/>
        <v>23.872121244266584</v>
      </c>
      <c r="QZ14" s="167">
        <f t="shared" si="251"/>
        <v>25.654811646956741</v>
      </c>
      <c r="RA14" s="163"/>
      <c r="RB14" s="172">
        <v>1.8</v>
      </c>
      <c r="RC14" s="173">
        <f t="shared" si="252"/>
        <v>0.23550086289705552</v>
      </c>
      <c r="RD14" s="173">
        <f t="shared" si="253"/>
        <v>0.26024692492932477</v>
      </c>
      <c r="RE14" s="173">
        <f t="shared" si="254"/>
        <v>0.28395377836101116</v>
      </c>
      <c r="RF14" s="173">
        <f t="shared" si="589"/>
        <v>0.31444202273465383</v>
      </c>
      <c r="RG14" s="173">
        <f t="shared" si="590"/>
        <v>0.37412204057422138</v>
      </c>
      <c r="RH14" s="150">
        <f t="shared" si="591"/>
        <v>0.45665220922634697</v>
      </c>
      <c r="RI14" s="173">
        <f t="shared" si="592"/>
        <v>0.56091861928070053</v>
      </c>
      <c r="RJ14" s="173">
        <f t="shared" si="255"/>
        <v>0.67844164044555133</v>
      </c>
      <c r="RK14" s="173">
        <f t="shared" si="256"/>
        <v>0.76246670226587576</v>
      </c>
      <c r="RL14" s="173">
        <f t="shared" si="257"/>
        <v>0.84518837268919467</v>
      </c>
      <c r="RM14" s="173">
        <f t="shared" si="258"/>
        <v>0.95471350497819352</v>
      </c>
      <c r="RN14" s="163"/>
      <c r="RO14" s="166">
        <v>1.8</v>
      </c>
      <c r="RP14" s="167">
        <f t="shared" si="259"/>
        <v>0.22668662745381396</v>
      </c>
      <c r="RQ14" s="167">
        <f t="shared" si="260"/>
        <v>0.25211359594178034</v>
      </c>
      <c r="RR14" s="167">
        <f t="shared" si="261"/>
        <v>0.27680076106499191</v>
      </c>
      <c r="RS14" s="167">
        <f t="shared" si="593"/>
        <v>0.30901344277700193</v>
      </c>
      <c r="RT14" s="167">
        <f t="shared" si="594"/>
        <v>0.37354333341629686</v>
      </c>
      <c r="RU14" s="136">
        <f t="shared" si="595"/>
        <v>0.46588938455703238</v>
      </c>
      <c r="RV14" s="167">
        <f t="shared" si="596"/>
        <v>0.58750256594418548</v>
      </c>
      <c r="RW14" s="167">
        <f t="shared" si="262"/>
        <v>0.73091151261050324</v>
      </c>
      <c r="RX14" s="167">
        <f t="shared" si="263"/>
        <v>0.83740959692254813</v>
      </c>
      <c r="RY14" s="167">
        <f t="shared" si="264"/>
        <v>0.94539311396714665</v>
      </c>
      <c r="RZ14" s="167">
        <f t="shared" si="265"/>
        <v>1.0930413476082526</v>
      </c>
      <c r="SA14" s="163"/>
      <c r="SB14" s="166">
        <v>1.9</v>
      </c>
      <c r="SC14" s="167">
        <f t="shared" si="266"/>
        <v>0.21296048252476507</v>
      </c>
      <c r="SD14" s="167">
        <f t="shared" si="267"/>
        <v>0.23822989724781146</v>
      </c>
      <c r="SE14" s="167">
        <f t="shared" si="268"/>
        <v>0.26238280561532318</v>
      </c>
      <c r="SF14" s="167">
        <f t="shared" si="597"/>
        <v>0.29332829535695709</v>
      </c>
      <c r="SG14" s="167">
        <f t="shared" si="598"/>
        <v>0.35341194832880213</v>
      </c>
      <c r="SH14" s="136">
        <f t="shared" si="599"/>
        <v>0.43522481658171086</v>
      </c>
      <c r="SI14" s="167">
        <f t="shared" si="600"/>
        <v>0.53627992000551539</v>
      </c>
      <c r="SJ14" s="167">
        <f t="shared" si="269"/>
        <v>0.64707832410315858</v>
      </c>
      <c r="SK14" s="167">
        <f t="shared" si="270"/>
        <v>0.72434818854032323</v>
      </c>
      <c r="SL14" s="167">
        <f t="shared" si="271"/>
        <v>0.79890947267610057</v>
      </c>
      <c r="SM14" s="167">
        <f t="shared" si="272"/>
        <v>0.89544656074524043</v>
      </c>
      <c r="SN14" s="163"/>
      <c r="SO14" s="172">
        <v>1.8</v>
      </c>
      <c r="SP14" s="173">
        <f t="shared" si="273"/>
        <v>0.18477062249369949</v>
      </c>
      <c r="SQ14" s="173">
        <f t="shared" si="274"/>
        <v>0.20272074259693065</v>
      </c>
      <c r="SR14" s="173">
        <f t="shared" si="275"/>
        <v>0.2189120680464843</v>
      </c>
      <c r="SS14" s="173">
        <f t="shared" si="276"/>
        <v>0.23845347743326709</v>
      </c>
      <c r="ST14" s="173">
        <f t="shared" si="601"/>
        <v>0.27316129594102007</v>
      </c>
      <c r="SU14" s="150">
        <f t="shared" si="602"/>
        <v>0.31500268856802222</v>
      </c>
      <c r="SV14" s="173">
        <f t="shared" si="603"/>
        <v>0.3602296500008727</v>
      </c>
      <c r="SW14" s="173">
        <f t="shared" si="280"/>
        <v>0.40373570170152734</v>
      </c>
      <c r="SX14" s="173">
        <f t="shared" si="281"/>
        <v>0.43116119542600539</v>
      </c>
      <c r="SY14" s="173">
        <f t="shared" si="282"/>
        <v>0.45577349822408691</v>
      </c>
      <c r="SZ14" s="173">
        <f t="shared" si="283"/>
        <v>0.48536150342761558</v>
      </c>
      <c r="TA14" s="163"/>
      <c r="TB14" s="166">
        <v>1.8</v>
      </c>
      <c r="TC14" s="167">
        <f t="shared" si="284"/>
        <v>0.18286337457942564</v>
      </c>
      <c r="TD14" s="167">
        <f t="shared" si="285"/>
        <v>0.20021976954769302</v>
      </c>
      <c r="TE14" s="167">
        <f t="shared" si="286"/>
        <v>0.21621513657925004</v>
      </c>
      <c r="TF14" s="167">
        <f t="shared" si="604"/>
        <v>0.23595226934458019</v>
      </c>
      <c r="TG14" s="167">
        <f t="shared" si="605"/>
        <v>0.27217971095355431</v>
      </c>
      <c r="TH14" s="136">
        <f t="shared" si="606"/>
        <v>0.31785279667126343</v>
      </c>
      <c r="TI14" s="167">
        <f t="shared" si="607"/>
        <v>0.3696796678472753</v>
      </c>
      <c r="TJ14" s="167">
        <f t="shared" si="287"/>
        <v>0.42193784312178489</v>
      </c>
      <c r="TK14" s="167">
        <f t="shared" si="288"/>
        <v>0.45608752290204613</v>
      </c>
      <c r="TL14" s="167">
        <f t="shared" si="289"/>
        <v>0.48752649714827356</v>
      </c>
      <c r="TM14" s="167">
        <f t="shared" si="290"/>
        <v>0.52631058771314965</v>
      </c>
      <c r="TN14" s="163"/>
      <c r="TO14" s="166">
        <v>1.9</v>
      </c>
      <c r="TP14" s="167">
        <f t="shared" si="291"/>
        <v>0.17328022425749404</v>
      </c>
      <c r="TQ14" s="167">
        <f t="shared" si="292"/>
        <v>0.19107174622025244</v>
      </c>
      <c r="TR14" s="167">
        <f t="shared" si="293"/>
        <v>0.20716068122163958</v>
      </c>
      <c r="TS14" s="167">
        <f t="shared" si="608"/>
        <v>0.22662400774294544</v>
      </c>
      <c r="TT14" s="167">
        <f t="shared" si="609"/>
        <v>0.2612994326792592</v>
      </c>
      <c r="TU14" s="136">
        <f t="shared" si="610"/>
        <v>0.3032535737013895</v>
      </c>
      <c r="TV14" s="167">
        <f t="shared" si="611"/>
        <v>0.34875569646514715</v>
      </c>
      <c r="TW14" s="167">
        <f t="shared" si="294"/>
        <v>0.39265124021735415</v>
      </c>
      <c r="TX14" s="167">
        <f t="shared" si="295"/>
        <v>0.42037647424615743</v>
      </c>
      <c r="TY14" s="167">
        <f t="shared" si="296"/>
        <v>0.44528969858781425</v>
      </c>
      <c r="TZ14" s="167">
        <f t="shared" si="297"/>
        <v>0.47527607424242713</v>
      </c>
      <c r="UA14" s="163"/>
      <c r="UB14" s="172">
        <v>1.8</v>
      </c>
      <c r="UC14" s="173">
        <f t="shared" si="298"/>
        <v>-34.40547786639344</v>
      </c>
      <c r="UD14" s="173">
        <f t="shared" si="299"/>
        <v>-29.066776038675705</v>
      </c>
      <c r="UE14" s="173">
        <f t="shared" si="300"/>
        <v>-24.737301332035486</v>
      </c>
      <c r="UF14" s="173">
        <f t="shared" si="612"/>
        <v>-19.982088380290101</v>
      </c>
      <c r="UG14" s="173">
        <f t="shared" si="613"/>
        <v>-12.492764172632363</v>
      </c>
      <c r="UH14" s="150">
        <f t="shared" si="614"/>
        <v>-4.6514414765192953</v>
      </c>
      <c r="UI14" s="173">
        <f t="shared" si="615"/>
        <v>2.7757668720342394</v>
      </c>
      <c r="UJ14" s="173">
        <f t="shared" si="301"/>
        <v>9.1545588316834596</v>
      </c>
      <c r="UK14" s="173">
        <f t="shared" si="302"/>
        <v>12.867926621226388</v>
      </c>
      <c r="UL14" s="173">
        <f t="shared" si="303"/>
        <v>16.028652498722494</v>
      </c>
      <c r="UM14" s="173">
        <f t="shared" si="304"/>
        <v>19.639057020070098</v>
      </c>
      <c r="UN14" s="163"/>
      <c r="UO14" s="166">
        <v>1.8</v>
      </c>
      <c r="UP14" s="152">
        <f>-34.21</f>
        <v>-34.21</v>
      </c>
      <c r="UQ14" s="167">
        <f t="shared" si="306"/>
        <v>-29.12675454750287</v>
      </c>
      <c r="UR14" s="167">
        <f t="shared" si="307"/>
        <v>-24.984308420847853</v>
      </c>
      <c r="US14" s="167">
        <f t="shared" si="616"/>
        <v>-20.256004407422665</v>
      </c>
      <c r="UT14" s="167">
        <f t="shared" si="617"/>
        <v>-12.43716131399805</v>
      </c>
      <c r="UU14" s="136">
        <f t="shared" si="618"/>
        <v>-3.7894244965424271</v>
      </c>
      <c r="UV14" s="167">
        <f t="shared" si="619"/>
        <v>4.8083791635988788</v>
      </c>
      <c r="UW14" s="167">
        <f t="shared" si="308"/>
        <v>12.489456349770506</v>
      </c>
      <c r="UX14" s="167">
        <f t="shared" si="309"/>
        <v>17.081478968025195</v>
      </c>
      <c r="UY14" s="167">
        <f t="shared" si="310"/>
        <v>21.057660240806548</v>
      </c>
      <c r="UZ14" s="167">
        <f t="shared" si="311"/>
        <v>25.673648333155171</v>
      </c>
      <c r="VA14" s="163"/>
      <c r="VB14" s="166">
        <v>1.9</v>
      </c>
      <c r="VC14" s="152">
        <f t="shared" si="312"/>
        <v>-36.462587559806991</v>
      </c>
      <c r="VD14" s="167">
        <f t="shared" si="313"/>
        <v>-30.372337472581073</v>
      </c>
      <c r="VE14" s="167">
        <f t="shared" si="314"/>
        <v>-25.653474120170742</v>
      </c>
      <c r="VF14" s="167">
        <f t="shared" si="620"/>
        <v>-20.637276540218082</v>
      </c>
      <c r="VG14" s="167">
        <f t="shared" si="621"/>
        <v>-13.004901338160629</v>
      </c>
      <c r="VH14" s="136">
        <f t="shared" si="622"/>
        <v>-5.2809545370768802</v>
      </c>
      <c r="VI14" s="167">
        <f t="shared" si="623"/>
        <v>1.8400217978342113</v>
      </c>
      <c r="VJ14" s="167">
        <f t="shared" si="315"/>
        <v>7.8321385926154221</v>
      </c>
      <c r="VK14" s="167">
        <f t="shared" si="316"/>
        <v>11.274783990420104</v>
      </c>
      <c r="VL14" s="167">
        <f t="shared" si="317"/>
        <v>14.181077387714396</v>
      </c>
      <c r="VM14" s="167">
        <f t="shared" si="318"/>
        <v>17.475691564655136</v>
      </c>
      <c r="VN14" s="163"/>
      <c r="VO14" s="172">
        <v>1.8</v>
      </c>
      <c r="VP14" s="173">
        <f t="shared" si="319"/>
        <v>-49.53561919480439</v>
      </c>
      <c r="VQ14" s="173">
        <f t="shared" si="320"/>
        <v>-45.553867580771445</v>
      </c>
      <c r="VR14" s="173">
        <f t="shared" si="321"/>
        <v>-41.437519062010637</v>
      </c>
      <c r="VS14" s="173">
        <f t="shared" si="624"/>
        <v>-35.950442036406749</v>
      </c>
      <c r="VT14" s="173">
        <f t="shared" si="625"/>
        <v>-25.143150679554843</v>
      </c>
      <c r="VU14" s="150">
        <f t="shared" si="626"/>
        <v>-10.819080899148815</v>
      </c>
      <c r="VV14" s="173">
        <f t="shared" si="627"/>
        <v>5.756580579501211</v>
      </c>
      <c r="VW14" s="173">
        <f t="shared" si="322"/>
        <v>22.445531420616781</v>
      </c>
      <c r="VX14" s="173">
        <f t="shared" si="323"/>
        <v>33.242991287800116</v>
      </c>
      <c r="VY14" s="173">
        <f t="shared" si="324"/>
        <v>43.076970859601907</v>
      </c>
      <c r="VZ14" s="173">
        <f t="shared" si="325"/>
        <v>55.047902766429509</v>
      </c>
      <c r="WA14" s="163"/>
      <c r="WB14" s="166">
        <v>1.8</v>
      </c>
      <c r="WC14" s="167">
        <f t="shared" si="326"/>
        <v>-48.233264403057056</v>
      </c>
      <c r="WD14" s="167">
        <f t="shared" si="327"/>
        <v>-45.493714238070808</v>
      </c>
      <c r="WE14" s="167">
        <f t="shared" si="328"/>
        <v>-41.927104769707356</v>
      </c>
      <c r="WF14" s="167">
        <f t="shared" si="628"/>
        <v>-36.602283277334308</v>
      </c>
      <c r="WG14" s="167">
        <f t="shared" si="629"/>
        <v>-25.11855159661549</v>
      </c>
      <c r="WH14" s="136">
        <f t="shared" si="630"/>
        <v>-8.8352222293162939</v>
      </c>
      <c r="WI14" s="167">
        <f t="shared" si="631"/>
        <v>10.824073560216057</v>
      </c>
      <c r="WJ14" s="167">
        <f t="shared" si="329"/>
        <v>31.154534742562667</v>
      </c>
      <c r="WK14" s="167">
        <f t="shared" si="330"/>
        <v>44.508512802861254</v>
      </c>
      <c r="WL14" s="167">
        <f t="shared" si="331"/>
        <v>56.777819400452778</v>
      </c>
      <c r="WM14" s="167">
        <f t="shared" si="332"/>
        <v>71.827703944742552</v>
      </c>
      <c r="WN14" s="163"/>
      <c r="WO14" s="166">
        <v>1.9</v>
      </c>
      <c r="WP14" s="167">
        <f t="shared" si="333"/>
        <v>-50.482392983589115</v>
      </c>
      <c r="WQ14" s="167">
        <f t="shared" si="334"/>
        <v>-46.217872235896728</v>
      </c>
      <c r="WR14" s="167">
        <f t="shared" si="335"/>
        <v>-41.860228229211785</v>
      </c>
      <c r="WS14" s="167">
        <f t="shared" si="632"/>
        <v>-36.155035684740263</v>
      </c>
      <c r="WT14" s="167">
        <f t="shared" si="633"/>
        <v>-25.219844953219948</v>
      </c>
      <c r="WU14" s="136">
        <f t="shared" si="634"/>
        <v>-11.20207312309531</v>
      </c>
      <c r="WV14" s="167">
        <f t="shared" si="635"/>
        <v>4.5196425355779581</v>
      </c>
      <c r="WW14" s="167">
        <f t="shared" si="336"/>
        <v>19.938058658374267</v>
      </c>
      <c r="WX14" s="167">
        <f t="shared" si="337"/>
        <v>29.73543331316926</v>
      </c>
      <c r="WY14" s="167">
        <f t="shared" si="338"/>
        <v>38.553850806757261</v>
      </c>
      <c r="WZ14" s="167">
        <f t="shared" si="339"/>
        <v>49.168419434978041</v>
      </c>
      <c r="XA14" s="163"/>
      <c r="XB14" s="172">
        <v>1.8</v>
      </c>
      <c r="XC14" s="173">
        <f t="shared" si="340"/>
        <v>-52.612487260628342</v>
      </c>
      <c r="XD14" s="173">
        <f t="shared" si="341"/>
        <v>-47.990148989483231</v>
      </c>
      <c r="XE14" s="173">
        <f t="shared" si="342"/>
        <v>-43.387131795524112</v>
      </c>
      <c r="XF14" s="173">
        <f t="shared" si="636"/>
        <v>-37.534221153542468</v>
      </c>
      <c r="XG14" s="173">
        <f t="shared" si="637"/>
        <v>-26.734026491579662</v>
      </c>
      <c r="XH14" s="150">
        <f t="shared" si="638"/>
        <v>-13.461669568804531</v>
      </c>
      <c r="XI14" s="173">
        <f t="shared" si="639"/>
        <v>0.88437653517555503</v>
      </c>
      <c r="XJ14" s="173">
        <f t="shared" si="343"/>
        <v>14.541476916462223</v>
      </c>
      <c r="XK14" s="173">
        <f t="shared" si="344"/>
        <v>23.048904932425351</v>
      </c>
      <c r="XL14" s="173">
        <f t="shared" si="345"/>
        <v>30.608839616472842</v>
      </c>
      <c r="XM14" s="173">
        <f t="shared" si="346"/>
        <v>39.599388198067494</v>
      </c>
      <c r="XN14" s="163"/>
      <c r="XO14" s="166">
        <v>1.8</v>
      </c>
      <c r="XP14" s="167">
        <f t="shared" si="347"/>
        <v>-49.73168308341571</v>
      </c>
      <c r="XQ14" s="167">
        <f t="shared" si="348"/>
        <v>-44.571102531162865</v>
      </c>
      <c r="XR14" s="167">
        <f t="shared" si="349"/>
        <v>-39.315187582947132</v>
      </c>
      <c r="XS14" s="167">
        <f t="shared" si="640"/>
        <v>-32.601814641558207</v>
      </c>
      <c r="XT14" s="167">
        <f t="shared" si="641"/>
        <v>-20.216578617761577</v>
      </c>
      <c r="XU14" s="136">
        <f t="shared" si="642"/>
        <v>-5.0447924042805283</v>
      </c>
      <c r="XV14" s="167">
        <f t="shared" si="643"/>
        <v>11.287579878032034</v>
      </c>
      <c r="XW14" s="167">
        <f t="shared" si="350"/>
        <v>26.776715405087565</v>
      </c>
      <c r="XX14" s="167">
        <f t="shared" si="351"/>
        <v>36.399241582656238</v>
      </c>
      <c r="XY14" s="167">
        <f t="shared" si="352"/>
        <v>44.934637927442019</v>
      </c>
      <c r="XZ14" s="167">
        <f t="shared" si="353"/>
        <v>55.067587110616266</v>
      </c>
      <c r="YA14" s="163"/>
      <c r="YB14" s="166">
        <v>1.9</v>
      </c>
      <c r="YC14" s="167">
        <f t="shared" si="354"/>
        <v>-54.262802345579424</v>
      </c>
      <c r="YD14" s="167">
        <f t="shared" si="355"/>
        <v>-49.095888666106575</v>
      </c>
      <c r="YE14" s="167">
        <f t="shared" si="356"/>
        <v>-43.862917433567951</v>
      </c>
      <c r="YF14" s="167">
        <f t="shared" si="644"/>
        <v>-37.237441611742291</v>
      </c>
      <c r="YG14" s="167">
        <f t="shared" si="645"/>
        <v>-25.145017910245222</v>
      </c>
      <c r="YH14" s="136">
        <f t="shared" si="646"/>
        <v>-10.497280996108508</v>
      </c>
      <c r="YI14" s="167">
        <f t="shared" si="647"/>
        <v>5.1243050976851308</v>
      </c>
      <c r="YJ14" s="167">
        <f t="shared" si="357"/>
        <v>19.831811800972154</v>
      </c>
      <c r="YK14" s="167">
        <f t="shared" si="358"/>
        <v>28.925206660652286</v>
      </c>
      <c r="YL14" s="167">
        <f t="shared" si="359"/>
        <v>36.966776295350378</v>
      </c>
      <c r="YM14" s="167">
        <f t="shared" si="360"/>
        <v>46.486381168477187</v>
      </c>
      <c r="YN14" s="163"/>
      <c r="YO14" s="172">
        <v>1.8</v>
      </c>
      <c r="YP14" s="173">
        <f t="shared" si="361"/>
        <v>19.90285452262011</v>
      </c>
      <c r="YQ14" s="173">
        <f t="shared" si="362"/>
        <v>22.46571863062217</v>
      </c>
      <c r="YR14" s="173">
        <f t="shared" si="363"/>
        <v>24.909167818662155</v>
      </c>
      <c r="YS14" s="173">
        <f t="shared" si="648"/>
        <v>28.028518943541151</v>
      </c>
      <c r="YT14" s="173">
        <f t="shared" si="649"/>
        <v>34.04216502402484</v>
      </c>
      <c r="YU14" s="150">
        <f t="shared" si="650"/>
        <v>42.129478926274736</v>
      </c>
      <c r="YV14" s="173">
        <f t="shared" si="651"/>
        <v>51.952082610722769</v>
      </c>
      <c r="YW14" s="173">
        <f t="shared" si="364"/>
        <v>62.514914369212725</v>
      </c>
      <c r="YX14" s="173">
        <f t="shared" si="365"/>
        <v>69.759593013706208</v>
      </c>
      <c r="YY14" s="173">
        <f t="shared" si="366"/>
        <v>76.660527574669189</v>
      </c>
      <c r="YZ14" s="173">
        <f t="shared" si="367"/>
        <v>85.471312308269972</v>
      </c>
      <c r="ZA14" s="163"/>
      <c r="ZB14" s="166">
        <v>1.8</v>
      </c>
      <c r="ZC14" s="167">
        <f t="shared" si="368"/>
        <v>16.067912752467247</v>
      </c>
      <c r="ZD14" s="167">
        <f t="shared" si="369"/>
        <v>18.416804700846612</v>
      </c>
      <c r="ZE14" s="167">
        <f t="shared" si="370"/>
        <v>20.698174102704062</v>
      </c>
      <c r="ZF14" s="167">
        <f t="shared" si="652"/>
        <v>23.666194879911899</v>
      </c>
      <c r="ZG14" s="167">
        <f t="shared" si="653"/>
        <v>29.549874236116445</v>
      </c>
      <c r="ZH14" s="136">
        <f t="shared" si="654"/>
        <v>37.764381070514432</v>
      </c>
      <c r="ZI14" s="167">
        <f t="shared" si="655"/>
        <v>48.153221052484234</v>
      </c>
      <c r="ZJ14" s="167">
        <f t="shared" si="371"/>
        <v>59.771619466290055</v>
      </c>
      <c r="ZK14" s="167">
        <f t="shared" si="372"/>
        <v>67.98270444195397</v>
      </c>
      <c r="ZL14" s="167">
        <f t="shared" si="373"/>
        <v>75.974141825948479</v>
      </c>
      <c r="ZM14" s="167">
        <f t="shared" si="374"/>
        <v>86.403636294633742</v>
      </c>
      <c r="ZN14" s="163"/>
      <c r="ZO14" s="166">
        <v>1.9</v>
      </c>
      <c r="ZP14" s="167">
        <f t="shared" si="375"/>
        <v>21.0658658357539</v>
      </c>
      <c r="ZQ14" s="167">
        <f t="shared" si="376"/>
        <v>23.611725527778468</v>
      </c>
      <c r="ZR14" s="167">
        <f t="shared" si="377"/>
        <v>26.018967904838412</v>
      </c>
      <c r="ZS14" s="167">
        <f t="shared" si="656"/>
        <v>29.066515986620061</v>
      </c>
      <c r="ZT14" s="167">
        <f t="shared" si="657"/>
        <v>34.870533128872509</v>
      </c>
      <c r="ZU14" s="136">
        <f t="shared" si="658"/>
        <v>42.550466004904557</v>
      </c>
      <c r="ZV14" s="167">
        <f t="shared" si="659"/>
        <v>51.718551325108322</v>
      </c>
      <c r="ZW14" s="167">
        <f t="shared" si="378"/>
        <v>61.415828166316295</v>
      </c>
      <c r="ZX14" s="167">
        <f t="shared" si="379"/>
        <v>67.984032109783016</v>
      </c>
      <c r="ZY14" s="167">
        <f t="shared" si="380"/>
        <v>74.185121764364368</v>
      </c>
      <c r="ZZ14" s="167">
        <f t="shared" si="381"/>
        <v>82.03121742748489</v>
      </c>
      <c r="AAA14" s="163"/>
      <c r="AAB14" s="172">
        <v>1.8</v>
      </c>
      <c r="AAC14" s="173">
        <f t="shared" si="382"/>
        <v>8.8253052253713786</v>
      </c>
      <c r="AAD14" s="173">
        <f t="shared" si="383"/>
        <v>9.9189893476824924</v>
      </c>
      <c r="AAE14" s="173">
        <f t="shared" si="384"/>
        <v>10.949757159295855</v>
      </c>
      <c r="AAF14" s="173">
        <f t="shared" si="660"/>
        <v>12.249846120613936</v>
      </c>
      <c r="AAG14" s="173">
        <f t="shared" si="661"/>
        <v>14.710679003933308</v>
      </c>
      <c r="AAH14" s="150">
        <f t="shared" si="662"/>
        <v>17.936845419899985</v>
      </c>
      <c r="AAI14" s="173">
        <f t="shared" si="663"/>
        <v>21.745629784799629</v>
      </c>
      <c r="AAJ14" s="173">
        <f t="shared" si="385"/>
        <v>25.727549898625028</v>
      </c>
      <c r="AAK14" s="173">
        <f t="shared" si="386"/>
        <v>28.399299406313233</v>
      </c>
      <c r="AAL14" s="173">
        <f t="shared" si="387"/>
        <v>30.904148981634705</v>
      </c>
      <c r="AAM14" s="173">
        <f t="shared" si="388"/>
        <v>34.050390015942959</v>
      </c>
      <c r="AAN14" s="163"/>
      <c r="AAO14" s="166">
        <v>1.8</v>
      </c>
      <c r="AAP14" s="167">
        <f t="shared" si="389"/>
        <v>9.1149917283686008</v>
      </c>
      <c r="AAQ14" s="167">
        <f t="shared" si="390"/>
        <v>10.215021492314264</v>
      </c>
      <c r="AAR14" s="167">
        <f t="shared" si="391"/>
        <v>11.261360786647316</v>
      </c>
      <c r="AAS14" s="167">
        <f t="shared" si="664"/>
        <v>12.594616853377486</v>
      </c>
      <c r="AAT14" s="167">
        <f t="shared" si="665"/>
        <v>15.159887241802537</v>
      </c>
      <c r="AAU14" s="136">
        <f t="shared" si="666"/>
        <v>18.605059800824041</v>
      </c>
      <c r="AAV14" s="167">
        <f t="shared" si="667"/>
        <v>22.789574724905517</v>
      </c>
      <c r="AAW14" s="167">
        <f t="shared" si="392"/>
        <v>27.29540732065011</v>
      </c>
      <c r="AAX14" s="167">
        <f t="shared" si="393"/>
        <v>30.391293228028768</v>
      </c>
      <c r="AAY14" s="167">
        <f t="shared" si="394"/>
        <v>33.345211853676204</v>
      </c>
      <c r="AAZ14" s="167">
        <f t="shared" si="395"/>
        <v>37.124246939844404</v>
      </c>
      <c r="ABA14" s="163"/>
      <c r="ABB14" s="166">
        <v>1.9</v>
      </c>
      <c r="ABC14" s="167">
        <f t="shared" si="396"/>
        <v>9.3293084366160723</v>
      </c>
      <c r="ABD14" s="167">
        <f t="shared" si="397"/>
        <v>10.466628947783393</v>
      </c>
      <c r="ABE14" s="167">
        <f t="shared" si="398"/>
        <v>11.526244493661881</v>
      </c>
      <c r="ABF14" s="167">
        <f t="shared" si="668"/>
        <v>12.846691587405875</v>
      </c>
      <c r="ABG14" s="167">
        <f t="shared" si="669"/>
        <v>15.300899235379159</v>
      </c>
      <c r="ABH14" s="136">
        <f t="shared" si="670"/>
        <v>18.438338877913363</v>
      </c>
      <c r="ABI14" s="167">
        <f t="shared" si="671"/>
        <v>22.040812838936613</v>
      </c>
      <c r="ABJ14" s="167">
        <f t="shared" si="399"/>
        <v>25.705502720434747</v>
      </c>
      <c r="ABK14" s="167">
        <f t="shared" si="400"/>
        <v>28.113088767701704</v>
      </c>
      <c r="ABL14" s="167">
        <f t="shared" si="401"/>
        <v>30.33641356666055</v>
      </c>
      <c r="ABM14" s="167">
        <f t="shared" si="402"/>
        <v>33.086315434988684</v>
      </c>
      <c r="ABN14" s="163"/>
      <c r="ABO14" s="172">
        <v>1.8</v>
      </c>
      <c r="ABP14" s="173">
        <f t="shared" si="403"/>
        <v>0.18004477896850207</v>
      </c>
      <c r="ABQ14" s="173">
        <f t="shared" si="404"/>
        <v>0.21010476624370583</v>
      </c>
      <c r="ABR14" s="173">
        <f t="shared" si="405"/>
        <v>0.23875072473558087</v>
      </c>
      <c r="ABS14" s="173">
        <f t="shared" si="672"/>
        <v>0.27519722307009664</v>
      </c>
      <c r="ABT14" s="173">
        <f t="shared" si="673"/>
        <v>0.34479434653090046</v>
      </c>
      <c r="ABU14" s="150">
        <f t="shared" si="674"/>
        <v>0.43659531313498989</v>
      </c>
      <c r="ABV14" s="173">
        <f t="shared" si="675"/>
        <v>0.54504472397212067</v>
      </c>
      <c r="ABW14" s="173">
        <f t="shared" si="406"/>
        <v>0.65797478130330123</v>
      </c>
      <c r="ABX14" s="173">
        <f t="shared" si="407"/>
        <v>0.73333524249486104</v>
      </c>
      <c r="ABY14" s="173">
        <f t="shared" si="408"/>
        <v>0.80363234980523024</v>
      </c>
      <c r="ABZ14" s="173">
        <f t="shared" si="409"/>
        <v>0.89140327742596148</v>
      </c>
      <c r="ACA14" s="163"/>
      <c r="ACB14" s="166">
        <v>1.8</v>
      </c>
      <c r="ACC14" s="167">
        <f t="shared" si="410"/>
        <v>0.18926436616603248</v>
      </c>
      <c r="ACD14" s="167">
        <f t="shared" si="411"/>
        <v>0.22017614298650304</v>
      </c>
      <c r="ACE14" s="167">
        <f t="shared" si="412"/>
        <v>0.25013660563059903</v>
      </c>
      <c r="ACF14" s="167">
        <f t="shared" si="676"/>
        <v>0.28896485606309263</v>
      </c>
      <c r="ACG14" s="167">
        <f t="shared" si="677"/>
        <v>0.36528277867358522</v>
      </c>
      <c r="ACH14" s="136">
        <f t="shared" si="678"/>
        <v>0.47016347686701876</v>
      </c>
      <c r="ACI14" s="167">
        <f t="shared" si="679"/>
        <v>0.59993052753646647</v>
      </c>
      <c r="ACJ14" s="167">
        <f t="shared" si="413"/>
        <v>0.74143012947378595</v>
      </c>
      <c r="ACK14" s="167">
        <f t="shared" si="414"/>
        <v>0.83929281193557503</v>
      </c>
      <c r="ACL14" s="167">
        <f t="shared" si="415"/>
        <v>0.9329624766036575</v>
      </c>
      <c r="ACM14" s="167">
        <f t="shared" si="416"/>
        <v>1.0530377279211025</v>
      </c>
      <c r="ACN14" s="163"/>
      <c r="ACO14" s="166">
        <v>1.9</v>
      </c>
      <c r="ACP14" s="167">
        <f t="shared" si="417"/>
        <v>0.15932669261630536</v>
      </c>
      <c r="ACQ14" s="167">
        <f t="shared" si="418"/>
        <v>0.19514057808072935</v>
      </c>
      <c r="ACR14" s="167">
        <f t="shared" si="419"/>
        <v>0.22894564378092441</v>
      </c>
      <c r="ACS14" s="167">
        <f t="shared" si="680"/>
        <v>0.27138714911300227</v>
      </c>
      <c r="ACT14" s="167">
        <f t="shared" si="681"/>
        <v>0.35050193233368654</v>
      </c>
      <c r="ACU14" s="136">
        <f t="shared" si="682"/>
        <v>0.45102483910171293</v>
      </c>
      <c r="ACV14" s="167">
        <f t="shared" si="683"/>
        <v>0.56466056283652233</v>
      </c>
      <c r="ACW14" s="167">
        <f t="shared" si="420"/>
        <v>0.67785146444353872</v>
      </c>
      <c r="ACX14" s="167">
        <f t="shared" si="421"/>
        <v>0.75082746905558029</v>
      </c>
      <c r="ACY14" s="167">
        <f t="shared" si="422"/>
        <v>0.81724509805926582</v>
      </c>
      <c r="ACZ14" s="167">
        <f t="shared" si="423"/>
        <v>0.89812737313115543</v>
      </c>
      <c r="ADA14" s="163"/>
      <c r="ADB14" s="172">
        <v>1.8</v>
      </c>
      <c r="ADC14" s="173">
        <f t="shared" si="424"/>
        <v>0.15051891450371005</v>
      </c>
      <c r="ADD14" s="173">
        <f t="shared" si="425"/>
        <v>0.17299432670691373</v>
      </c>
      <c r="ADE14" s="173">
        <f t="shared" si="426"/>
        <v>0.19286862497065907</v>
      </c>
      <c r="ADF14" s="173">
        <f t="shared" si="684"/>
        <v>0.21636700155358909</v>
      </c>
      <c r="ADG14" s="173">
        <f t="shared" si="685"/>
        <v>0.2568615256604887</v>
      </c>
      <c r="ADH14" s="150">
        <f t="shared" si="686"/>
        <v>0.303751123539653</v>
      </c>
      <c r="ADI14" s="173">
        <f t="shared" si="687"/>
        <v>0.35233291676827172</v>
      </c>
      <c r="ADJ14" s="173">
        <f t="shared" si="427"/>
        <v>0.39725030872596068</v>
      </c>
      <c r="ADK14" s="173">
        <f t="shared" si="428"/>
        <v>0.42474398664714352</v>
      </c>
      <c r="ADL14" s="173">
        <f t="shared" si="429"/>
        <v>0.44892037050618472</v>
      </c>
      <c r="ADM14" s="173">
        <f t="shared" si="430"/>
        <v>0.47740306867307453</v>
      </c>
      <c r="ADN14" s="163"/>
      <c r="ADO14" s="166">
        <v>1.8</v>
      </c>
      <c r="ADP14" s="167">
        <f t="shared" si="431"/>
        <v>0.15802939247106315</v>
      </c>
      <c r="ADQ14" s="167">
        <f t="shared" si="432"/>
        <v>0.18054558745329249</v>
      </c>
      <c r="ADR14" s="167">
        <f t="shared" si="433"/>
        <v>0.2008389171999391</v>
      </c>
      <c r="ADS14" s="167">
        <f t="shared" si="688"/>
        <v>0.22527436678166313</v>
      </c>
      <c r="ADT14" s="167">
        <f t="shared" si="689"/>
        <v>0.26844208414386866</v>
      </c>
      <c r="ADU14" s="136">
        <f t="shared" si="690"/>
        <v>0.31998263781648717</v>
      </c>
      <c r="ADV14" s="167">
        <f t="shared" si="691"/>
        <v>0.37500523087969878</v>
      </c>
      <c r="ADW14" s="167">
        <f t="shared" si="434"/>
        <v>0.42723749199571087</v>
      </c>
      <c r="ADX14" s="167">
        <f t="shared" si="435"/>
        <v>0.45981511544009829</v>
      </c>
      <c r="ADY14" s="167">
        <f t="shared" si="436"/>
        <v>0.4888257957518935</v>
      </c>
      <c r="ADZ14" s="167">
        <f t="shared" si="437"/>
        <v>0.52342547827822383</v>
      </c>
      <c r="AEA14" s="163"/>
      <c r="AEB14" s="166">
        <v>1.9</v>
      </c>
      <c r="AEC14" s="167">
        <f t="shared" si="438"/>
        <v>0.13460947899585915</v>
      </c>
      <c r="AED14" s="167">
        <f t="shared" si="439"/>
        <v>0.16271488185028762</v>
      </c>
      <c r="AEE14" s="167">
        <f t="shared" si="440"/>
        <v>0.18673072187897102</v>
      </c>
      <c r="AEF14" s="167">
        <f t="shared" si="692"/>
        <v>0.2142674825532169</v>
      </c>
      <c r="AEG14" s="167">
        <f t="shared" si="693"/>
        <v>0.25989807762400913</v>
      </c>
      <c r="AEH14" s="136">
        <f t="shared" si="694"/>
        <v>0.31038294997722155</v>
      </c>
      <c r="AEI14" s="167">
        <f t="shared" si="695"/>
        <v>0.36053996022826607</v>
      </c>
      <c r="AEJ14" s="167">
        <f t="shared" si="441"/>
        <v>0.40530216368246075</v>
      </c>
      <c r="AEK14" s="167">
        <f t="shared" si="442"/>
        <v>0.43203913168544622</v>
      </c>
      <c r="AEL14" s="167">
        <f t="shared" si="443"/>
        <v>0.45517578591118057</v>
      </c>
      <c r="AEM14" s="167">
        <f t="shared" si="444"/>
        <v>0.48201830261637285</v>
      </c>
      <c r="AEN14" s="163"/>
    </row>
    <row r="15" spans="1:820">
      <c r="A15" s="163"/>
      <c r="B15" s="75"/>
      <c r="C15" s="75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163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5"/>
      <c r="Z15" s="75"/>
      <c r="AA15" s="163"/>
      <c r="AB15" s="75"/>
      <c r="AC15" s="75"/>
      <c r="AD15" s="75"/>
      <c r="AE15" s="75"/>
      <c r="AF15" s="75"/>
      <c r="AG15" s="75"/>
      <c r="AH15" s="75"/>
      <c r="AI15" s="75"/>
      <c r="AJ15" s="75"/>
      <c r="AK15" s="75"/>
      <c r="AL15" s="75"/>
      <c r="AM15" s="75"/>
      <c r="AN15" s="163"/>
      <c r="AO15" s="163"/>
      <c r="AP15" s="163"/>
      <c r="AQ15" s="163"/>
      <c r="AR15" s="163"/>
      <c r="AS15" s="163"/>
      <c r="AT15" s="163"/>
      <c r="AU15" s="163"/>
      <c r="AV15" s="163"/>
      <c r="AW15" s="163"/>
      <c r="AX15" s="163"/>
      <c r="AY15" s="163"/>
      <c r="AZ15" s="163"/>
      <c r="BA15" s="163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163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163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163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163"/>
      <c r="DB15" s="21"/>
      <c r="DC15" s="21"/>
      <c r="DD15" s="21"/>
      <c r="DE15" s="21"/>
      <c r="DF15" s="21"/>
      <c r="DG15" s="21"/>
      <c r="DH15" s="21"/>
      <c r="DI15" s="21"/>
      <c r="DJ15" s="21"/>
      <c r="DK15" s="21"/>
      <c r="DL15" s="21"/>
      <c r="DM15" s="21"/>
      <c r="DN15" s="163"/>
      <c r="DO15" s="21"/>
      <c r="DP15" s="21"/>
      <c r="DQ15" s="21"/>
      <c r="DR15" s="21"/>
      <c r="DS15" s="21"/>
      <c r="DT15" s="21"/>
      <c r="DU15" s="21"/>
      <c r="DV15" s="21"/>
      <c r="DW15" s="21"/>
      <c r="DX15" s="21"/>
      <c r="DY15" s="21"/>
      <c r="DZ15" s="21"/>
      <c r="EA15" s="163"/>
      <c r="EB15" s="21"/>
      <c r="EC15" s="21"/>
      <c r="ED15" s="21"/>
      <c r="EE15" s="21"/>
      <c r="EF15" s="21"/>
      <c r="EG15" s="21"/>
      <c r="EH15" s="21"/>
      <c r="EI15" s="21"/>
      <c r="EJ15" s="21"/>
      <c r="EK15" s="21"/>
      <c r="EL15" s="21"/>
      <c r="EM15" s="21"/>
      <c r="EN15" s="163"/>
      <c r="EO15" s="21"/>
      <c r="EP15" s="21"/>
      <c r="EQ15" s="21"/>
      <c r="ER15" s="21"/>
      <c r="ES15" s="21"/>
      <c r="ET15" s="21"/>
      <c r="EU15" s="21"/>
      <c r="EV15" s="21"/>
      <c r="EW15" s="21"/>
      <c r="EX15" s="21"/>
      <c r="EY15" s="21"/>
      <c r="EZ15" s="21"/>
      <c r="FA15" s="163"/>
      <c r="FB15" s="21"/>
      <c r="FC15" s="21"/>
      <c r="FD15" s="21"/>
      <c r="FE15" s="21"/>
      <c r="FF15" s="21"/>
      <c r="FG15" s="21"/>
      <c r="FH15" s="21"/>
      <c r="FI15" s="21"/>
      <c r="FJ15" s="21"/>
      <c r="FK15" s="21"/>
      <c r="FL15" s="21"/>
      <c r="FM15" s="21"/>
      <c r="FN15" s="163"/>
      <c r="FO15" s="21"/>
      <c r="FP15" s="21"/>
      <c r="FQ15" s="21"/>
      <c r="FR15" s="21"/>
      <c r="FS15" s="21"/>
      <c r="FT15" s="21"/>
      <c r="FU15" s="21"/>
      <c r="FV15" s="21"/>
      <c r="FW15" s="21"/>
      <c r="FX15" s="21"/>
      <c r="FY15" s="21"/>
      <c r="FZ15" s="21"/>
      <c r="GA15" s="163"/>
      <c r="GB15" s="21"/>
      <c r="GC15" s="21"/>
      <c r="GD15" s="21"/>
      <c r="GE15" s="21"/>
      <c r="GF15" s="21"/>
      <c r="GG15" s="21"/>
      <c r="GH15" s="21"/>
      <c r="GI15" s="21"/>
      <c r="GJ15" s="21"/>
      <c r="GK15" s="21"/>
      <c r="GL15" s="21"/>
      <c r="GM15" s="21"/>
      <c r="GN15" s="163"/>
      <c r="GO15" s="21"/>
      <c r="GP15" s="21"/>
      <c r="GQ15" s="21"/>
      <c r="GR15" s="21"/>
      <c r="GS15" s="21"/>
      <c r="GT15" s="21"/>
      <c r="GU15" s="21"/>
      <c r="GV15" s="21"/>
      <c r="GW15" s="21"/>
      <c r="GX15" s="21"/>
      <c r="GY15" s="21"/>
      <c r="GZ15" s="21"/>
      <c r="HA15" s="163"/>
      <c r="HB15" s="21"/>
      <c r="HC15" s="21"/>
      <c r="HD15" s="21"/>
      <c r="HE15" s="21"/>
      <c r="HF15" s="21"/>
      <c r="HG15" s="21"/>
      <c r="HH15" s="21"/>
      <c r="HI15" s="21"/>
      <c r="HJ15" s="21"/>
      <c r="HK15" s="21"/>
      <c r="HL15" s="21"/>
      <c r="HM15" s="21"/>
      <c r="HN15" s="163"/>
      <c r="HO15" s="21"/>
      <c r="HP15" s="21"/>
      <c r="HQ15" s="21"/>
      <c r="HR15" s="21"/>
      <c r="HS15" s="21"/>
      <c r="HT15" s="21"/>
      <c r="HU15" s="21"/>
      <c r="HV15" s="21"/>
      <c r="HW15" s="21"/>
      <c r="HX15" s="21"/>
      <c r="HY15" s="21"/>
      <c r="HZ15" s="21"/>
      <c r="IA15" s="163"/>
      <c r="IB15" s="21"/>
      <c r="IC15" s="21"/>
      <c r="ID15" s="21"/>
      <c r="IE15" s="21"/>
      <c r="IF15" s="21"/>
      <c r="IG15" s="21"/>
      <c r="IH15" s="21"/>
      <c r="II15" s="21"/>
      <c r="IJ15" s="21"/>
      <c r="IK15" s="21"/>
      <c r="IL15" s="21"/>
      <c r="IM15" s="21"/>
      <c r="IN15" s="163"/>
      <c r="IO15" s="21"/>
      <c r="IP15" s="21"/>
      <c r="IQ15" s="21"/>
      <c r="IR15" s="21"/>
      <c r="IS15" s="21"/>
      <c r="IT15" s="21"/>
      <c r="IU15" s="21"/>
      <c r="IV15" s="21"/>
      <c r="IW15" s="21"/>
      <c r="IX15" s="21"/>
      <c r="IY15" s="21"/>
      <c r="IZ15" s="21"/>
      <c r="JA15" s="163"/>
      <c r="JB15" s="21"/>
      <c r="JC15" s="21"/>
      <c r="JD15" s="21"/>
      <c r="JE15" s="21"/>
      <c r="JF15" s="21"/>
      <c r="JG15" s="21"/>
      <c r="JH15" s="21"/>
      <c r="JI15" s="21"/>
      <c r="JJ15" s="21"/>
      <c r="JK15" s="21"/>
      <c r="JL15" s="21"/>
      <c r="JM15" s="21"/>
      <c r="JN15" s="163"/>
      <c r="JO15" s="166">
        <v>1.9</v>
      </c>
      <c r="JP15" s="167">
        <f t="shared" si="147"/>
        <v>-11.68864532730645</v>
      </c>
      <c r="JQ15" s="167">
        <f t="shared" si="148"/>
        <v>-9.6810289356128987</v>
      </c>
      <c r="JR15" s="167">
        <f t="shared" si="149"/>
        <v>-7.902142796532214</v>
      </c>
      <c r="JS15" s="167">
        <f t="shared" si="529"/>
        <v>-5.7972387623897266</v>
      </c>
      <c r="JT15" s="167">
        <f t="shared" si="530"/>
        <v>-2.1707876623745115</v>
      </c>
      <c r="JU15" s="136">
        <f t="shared" si="531"/>
        <v>2.0212334987524088</v>
      </c>
      <c r="JV15" s="167">
        <f t="shared" si="532"/>
        <v>6.3526663324229737</v>
      </c>
      <c r="JW15" s="167">
        <f t="shared" si="150"/>
        <v>10.345181982581245</v>
      </c>
      <c r="JX15" s="167">
        <f t="shared" si="151"/>
        <v>12.782984365239518</v>
      </c>
      <c r="JY15" s="167">
        <f t="shared" si="152"/>
        <v>14.922875567362571</v>
      </c>
      <c r="JZ15" s="167">
        <f t="shared" si="153"/>
        <v>17.439425374949518</v>
      </c>
      <c r="KA15" s="163"/>
      <c r="KB15" s="21"/>
      <c r="KC15" s="21"/>
      <c r="KD15" s="21"/>
      <c r="KE15" s="21"/>
      <c r="KF15" s="21"/>
      <c r="KG15" s="21"/>
      <c r="KH15" s="21"/>
      <c r="KI15" s="21"/>
      <c r="KJ15" s="21"/>
      <c r="KK15" s="21"/>
      <c r="KL15" s="21"/>
      <c r="KM15" s="21"/>
      <c r="KN15" s="163"/>
      <c r="KO15" s="21"/>
      <c r="KP15" s="21"/>
      <c r="KQ15" s="21"/>
      <c r="KR15" s="21"/>
      <c r="KS15" s="21"/>
      <c r="KT15" s="21"/>
      <c r="KU15" s="21"/>
      <c r="KV15" s="21"/>
      <c r="KW15" s="21"/>
      <c r="KX15" s="21"/>
      <c r="KY15" s="21"/>
      <c r="KZ15" s="21"/>
      <c r="LA15" s="163"/>
      <c r="LB15" s="166">
        <v>1.9</v>
      </c>
      <c r="LC15" s="167">
        <f t="shared" si="168"/>
        <v>-24.11780258679595</v>
      </c>
      <c r="LD15" s="167">
        <f t="shared" si="169"/>
        <v>-19.835138918496742</v>
      </c>
      <c r="LE15" s="167">
        <f t="shared" si="170"/>
        <v>-15.951826244720451</v>
      </c>
      <c r="LF15" s="167">
        <f t="shared" si="541"/>
        <v>-11.275464662495633</v>
      </c>
      <c r="LG15" s="167">
        <f t="shared" si="542"/>
        <v>-3.0624103825670019</v>
      </c>
      <c r="LH15" s="136">
        <f t="shared" si="543"/>
        <v>6.6147495994728018</v>
      </c>
      <c r="LI15" s="167">
        <f t="shared" si="544"/>
        <v>16.767627649274196</v>
      </c>
      <c r="LJ15" s="167">
        <f t="shared" si="171"/>
        <v>26.23455573686465</v>
      </c>
      <c r="LK15" s="167">
        <f t="shared" si="172"/>
        <v>32.05781515439417</v>
      </c>
      <c r="LL15" s="167">
        <f t="shared" si="173"/>
        <v>37.193073852231926</v>
      </c>
      <c r="LM15" s="167">
        <f t="shared" si="174"/>
        <v>43.25799883700315</v>
      </c>
      <c r="LN15" s="163"/>
      <c r="LO15" s="172"/>
      <c r="LP15" s="173"/>
      <c r="LQ15" s="173"/>
      <c r="LR15" s="173"/>
      <c r="LS15" s="173"/>
      <c r="LT15" s="173"/>
      <c r="LU15" s="150"/>
      <c r="LV15" s="173"/>
      <c r="LW15" s="173"/>
      <c r="LX15" s="173"/>
      <c r="LY15" s="173"/>
      <c r="LZ15" s="173"/>
      <c r="MA15" s="163"/>
      <c r="MB15" s="172"/>
      <c r="MC15" s="173"/>
      <c r="MD15" s="173"/>
      <c r="ME15" s="173"/>
      <c r="MF15" s="173"/>
      <c r="MG15" s="173"/>
      <c r="MH15" s="150"/>
      <c r="MI15" s="173"/>
      <c r="MJ15" s="173"/>
      <c r="MK15" s="173"/>
      <c r="ML15" s="173"/>
      <c r="MM15" s="173"/>
      <c r="MN15" s="163"/>
      <c r="MO15" s="166">
        <v>1.9</v>
      </c>
      <c r="MP15" s="167">
        <f t="shared" si="189"/>
        <v>-29.627159224154422</v>
      </c>
      <c r="MQ15" s="167">
        <f t="shared" si="190"/>
        <v>-25.25617653684693</v>
      </c>
      <c r="MR15" s="167">
        <f t="shared" si="191"/>
        <v>-21.453127603362621</v>
      </c>
      <c r="MS15" s="167">
        <f t="shared" si="553"/>
        <v>-17.031239972606009</v>
      </c>
      <c r="MT15" s="167">
        <f t="shared" si="554"/>
        <v>-9.5867734753597844</v>
      </c>
      <c r="MU15" s="136">
        <f t="shared" si="555"/>
        <v>-1.2120643541346254</v>
      </c>
      <c r="MV15" s="167">
        <f t="shared" si="556"/>
        <v>7.2263981812969647</v>
      </c>
      <c r="MW15" s="167">
        <f t="shared" si="192"/>
        <v>14.841936874111198</v>
      </c>
      <c r="MX15" s="167">
        <f t="shared" si="193"/>
        <v>19.424732872321798</v>
      </c>
      <c r="MY15" s="167">
        <f t="shared" si="194"/>
        <v>23.409333491245818</v>
      </c>
      <c r="MZ15" s="167">
        <f t="shared" si="195"/>
        <v>28.052869210378411</v>
      </c>
      <c r="NA15" s="163"/>
      <c r="NB15" s="172"/>
      <c r="NC15" s="173"/>
      <c r="ND15" s="173"/>
      <c r="NE15" s="173"/>
      <c r="NF15" s="173"/>
      <c r="NG15" s="173"/>
      <c r="NH15" s="150"/>
      <c r="NI15" s="173"/>
      <c r="NJ15" s="173"/>
      <c r="NK15" s="173"/>
      <c r="NL15" s="173"/>
      <c r="NM15" s="173"/>
      <c r="NN15" s="163"/>
      <c r="NO15" s="172"/>
      <c r="NP15" s="173"/>
      <c r="NQ15" s="173"/>
      <c r="NR15" s="173"/>
      <c r="NS15" s="173"/>
      <c r="NT15" s="173"/>
      <c r="NU15" s="150"/>
      <c r="NV15" s="173"/>
      <c r="NW15" s="173"/>
      <c r="NX15" s="173"/>
      <c r="NY15" s="173"/>
      <c r="NZ15" s="173"/>
      <c r="OA15" s="163"/>
      <c r="OB15" s="166">
        <v>1.9</v>
      </c>
      <c r="OC15" s="167">
        <f t="shared" si="210"/>
        <v>17.957982470159603</v>
      </c>
      <c r="OD15" s="167">
        <f t="shared" si="211"/>
        <v>19.803607295208359</v>
      </c>
      <c r="OE15" s="167">
        <f t="shared" si="212"/>
        <v>21.535715282863475</v>
      </c>
      <c r="OF15" s="167">
        <f t="shared" si="565"/>
        <v>23.713737113140379</v>
      </c>
      <c r="OG15" s="167">
        <f t="shared" si="566"/>
        <v>27.826500091443602</v>
      </c>
      <c r="OH15" s="136">
        <f t="shared" si="567"/>
        <v>33.218670992892243</v>
      </c>
      <c r="OI15" s="167">
        <f t="shared" si="568"/>
        <v>39.608795091942653</v>
      </c>
      <c r="OJ15" s="167">
        <f t="shared" si="213"/>
        <v>46.33544087807239</v>
      </c>
      <c r="OK15" s="167">
        <f t="shared" si="214"/>
        <v>50.880982317374809</v>
      </c>
      <c r="OL15" s="167">
        <f t="shared" si="215"/>
        <v>55.168328456550761</v>
      </c>
      <c r="OM15" s="167">
        <f t="shared" si="216"/>
        <v>60.590676857382661</v>
      </c>
      <c r="ON15" s="163"/>
      <c r="OO15" s="172"/>
      <c r="OP15" s="173"/>
      <c r="OQ15" s="173"/>
      <c r="OR15" s="173"/>
      <c r="OS15" s="173"/>
      <c r="OT15" s="173"/>
      <c r="OU15" s="150"/>
      <c r="OV15" s="173"/>
      <c r="OW15" s="173"/>
      <c r="OX15" s="173"/>
      <c r="OY15" s="173"/>
      <c r="OZ15" s="173"/>
      <c r="PA15" s="163"/>
      <c r="PB15" s="172"/>
      <c r="PC15" s="173"/>
      <c r="PD15" s="173"/>
      <c r="PE15" s="173"/>
      <c r="PF15" s="173"/>
      <c r="PG15" s="173"/>
      <c r="PH15" s="150"/>
      <c r="PI15" s="173"/>
      <c r="PJ15" s="173"/>
      <c r="PK15" s="173"/>
      <c r="PL15" s="173"/>
      <c r="PM15" s="173"/>
      <c r="PN15" s="163"/>
      <c r="PO15" s="166">
        <v>1.9</v>
      </c>
      <c r="PP15" s="167">
        <f t="shared" si="231"/>
        <v>8.6507106174079311</v>
      </c>
      <c r="PQ15" s="167">
        <f t="shared" si="232"/>
        <v>9.5153544288130814</v>
      </c>
      <c r="PR15" s="167">
        <f t="shared" si="233"/>
        <v>10.313874691265109</v>
      </c>
      <c r="PS15" s="167">
        <f t="shared" si="577"/>
        <v>11.301092636926763</v>
      </c>
      <c r="PT15" s="167">
        <f t="shared" si="578"/>
        <v>13.117631898887893</v>
      </c>
      <c r="PU15" s="136">
        <f t="shared" si="579"/>
        <v>15.414250754354647</v>
      </c>
      <c r="PV15" s="167">
        <f t="shared" si="580"/>
        <v>18.026688776143803</v>
      </c>
      <c r="PW15" s="167">
        <f t="shared" si="234"/>
        <v>20.665820086267246</v>
      </c>
      <c r="PX15" s="167">
        <f t="shared" si="235"/>
        <v>22.392444223296103</v>
      </c>
      <c r="PY15" s="167">
        <f t="shared" si="236"/>
        <v>23.983109353916817</v>
      </c>
      <c r="PZ15" s="167">
        <f t="shared" si="237"/>
        <v>25.946570012767094</v>
      </c>
      <c r="QA15" s="163"/>
      <c r="QB15" s="172"/>
      <c r="QC15" s="173"/>
      <c r="QD15" s="173"/>
      <c r="QE15" s="173"/>
      <c r="QF15" s="173"/>
      <c r="QG15" s="173"/>
      <c r="QH15" s="150"/>
      <c r="QI15" s="173"/>
      <c r="QJ15" s="173"/>
      <c r="QK15" s="173"/>
      <c r="QL15" s="173"/>
      <c r="QM15" s="173"/>
      <c r="QN15" s="163"/>
      <c r="QO15" s="172"/>
      <c r="QP15" s="173"/>
      <c r="QQ15" s="173"/>
      <c r="QR15" s="173"/>
      <c r="QS15" s="173"/>
      <c r="QT15" s="173"/>
      <c r="QU15" s="150"/>
      <c r="QV15" s="173"/>
      <c r="QW15" s="173"/>
      <c r="QX15" s="173"/>
      <c r="QY15" s="173"/>
      <c r="QZ15" s="173"/>
      <c r="RA15" s="163"/>
      <c r="RB15" s="166">
        <v>1.9</v>
      </c>
      <c r="RC15" s="167">
        <f t="shared" si="252"/>
        <v>0.22888631429496753</v>
      </c>
      <c r="RD15" s="167">
        <f t="shared" si="253"/>
        <v>0.25369912821573548</v>
      </c>
      <c r="RE15" s="167">
        <f t="shared" si="254"/>
        <v>0.27754769809940416</v>
      </c>
      <c r="RF15" s="167">
        <f t="shared" si="589"/>
        <v>0.3083217002008013</v>
      </c>
      <c r="RG15" s="167">
        <f t="shared" si="590"/>
        <v>0.36886640416168925</v>
      </c>
      <c r="RH15" s="136">
        <f t="shared" si="591"/>
        <v>0.45317727131785734</v>
      </c>
      <c r="RI15" s="167">
        <f t="shared" si="592"/>
        <v>0.56052397670570553</v>
      </c>
      <c r="RJ15" s="167">
        <f t="shared" si="255"/>
        <v>0.68246728006691149</v>
      </c>
      <c r="RK15" s="167">
        <f t="shared" si="256"/>
        <v>0.77019127418766831</v>
      </c>
      <c r="RL15" s="167">
        <f t="shared" si="257"/>
        <v>0.85694844763517275</v>
      </c>
      <c r="RM15" s="167">
        <f t="shared" si="258"/>
        <v>0.97236571169667085</v>
      </c>
      <c r="RN15" s="163"/>
      <c r="RO15" s="172"/>
      <c r="RP15" s="173"/>
      <c r="RQ15" s="173"/>
      <c r="RR15" s="173"/>
      <c r="RS15" s="173"/>
      <c r="RT15" s="173"/>
      <c r="RU15" s="150"/>
      <c r="RV15" s="173"/>
      <c r="RW15" s="173"/>
      <c r="RX15" s="173"/>
      <c r="RY15" s="173"/>
      <c r="RZ15" s="173"/>
      <c r="SA15" s="163"/>
      <c r="SB15" s="172"/>
      <c r="SC15" s="173"/>
      <c r="SD15" s="173"/>
      <c r="SE15" s="173"/>
      <c r="SF15" s="173"/>
      <c r="SG15" s="173"/>
      <c r="SH15" s="150"/>
      <c r="SI15" s="173"/>
      <c r="SJ15" s="173"/>
      <c r="SK15" s="173"/>
      <c r="SL15" s="173"/>
      <c r="SM15" s="173"/>
      <c r="SN15" s="163"/>
      <c r="SO15" s="166">
        <v>1.9</v>
      </c>
      <c r="SP15" s="167">
        <f t="shared" si="273"/>
        <v>0.17996817618556932</v>
      </c>
      <c r="SQ15" s="167">
        <f t="shared" si="274"/>
        <v>0.19830112897300331</v>
      </c>
      <c r="SR15" s="167">
        <f t="shared" si="275"/>
        <v>0.21487357381391711</v>
      </c>
      <c r="SS15" s="167">
        <f t="shared" si="276"/>
        <v>0.23491499989791162</v>
      </c>
      <c r="ST15" s="167">
        <f t="shared" si="601"/>
        <v>0.27060445164494096</v>
      </c>
      <c r="SU15" s="136">
        <f t="shared" si="602"/>
        <v>0.31376281824794644</v>
      </c>
      <c r="SV15" s="167">
        <f t="shared" si="603"/>
        <v>0.36054819536770949</v>
      </c>
      <c r="SW15" s="167">
        <f t="shared" si="280"/>
        <v>0.40566316525144747</v>
      </c>
      <c r="SX15" s="167">
        <f t="shared" si="281"/>
        <v>0.43415058609099244</v>
      </c>
      <c r="SY15" s="167">
        <f t="shared" si="282"/>
        <v>0.45974397435820891</v>
      </c>
      <c r="SZ15" s="167">
        <f t="shared" si="283"/>
        <v>0.49054361196449786</v>
      </c>
      <c r="TA15" s="163"/>
      <c r="TB15" s="172"/>
      <c r="TC15" s="173"/>
      <c r="TD15" s="173"/>
      <c r="TE15" s="173"/>
      <c r="TF15" s="173"/>
      <c r="TG15" s="173"/>
      <c r="TH15" s="150"/>
      <c r="TI15" s="173"/>
      <c r="TJ15" s="173"/>
      <c r="TK15" s="173"/>
      <c r="TL15" s="173"/>
      <c r="TM15" s="173"/>
      <c r="TN15" s="163"/>
      <c r="TO15" s="172"/>
      <c r="TP15" s="173"/>
      <c r="TQ15" s="173"/>
      <c r="TR15" s="173"/>
      <c r="TS15" s="173"/>
      <c r="TT15" s="173"/>
      <c r="TU15" s="150"/>
      <c r="TV15" s="173"/>
      <c r="TW15" s="173"/>
      <c r="TX15" s="173"/>
      <c r="TY15" s="173"/>
      <c r="TZ15" s="173"/>
      <c r="UA15" s="163"/>
      <c r="UB15" s="166">
        <v>1.9</v>
      </c>
      <c r="UC15" s="167">
        <f t="shared" si="298"/>
        <v>-36.986414957460497</v>
      </c>
      <c r="UD15" s="167">
        <f t="shared" si="299"/>
        <v>-31.050740500793992</v>
      </c>
      <c r="UE15" s="167">
        <f t="shared" si="300"/>
        <v>-26.286920721847594</v>
      </c>
      <c r="UF15" s="167">
        <f t="shared" si="612"/>
        <v>-21.090529014765949</v>
      </c>
      <c r="UG15" s="167">
        <f t="shared" si="613"/>
        <v>-12.960345225161227</v>
      </c>
      <c r="UH15" s="136">
        <f t="shared" si="614"/>
        <v>-4.4974159545971943</v>
      </c>
      <c r="UI15" s="167">
        <f t="shared" si="615"/>
        <v>3.4859883859362384</v>
      </c>
      <c r="UJ15" s="167">
        <f t="shared" si="301"/>
        <v>10.32367095371157</v>
      </c>
      <c r="UK15" s="167">
        <f t="shared" si="302"/>
        <v>14.297744512700419</v>
      </c>
      <c r="UL15" s="167">
        <f t="shared" si="303"/>
        <v>17.677171185645477</v>
      </c>
      <c r="UM15" s="167">
        <f t="shared" si="304"/>
        <v>21.534166792657032</v>
      </c>
      <c r="UN15" s="163"/>
      <c r="UO15" s="172"/>
      <c r="UP15" s="173"/>
      <c r="UQ15" s="173"/>
      <c r="UR15" s="173"/>
      <c r="US15" s="173"/>
      <c r="UT15" s="173"/>
      <c r="UU15" s="150"/>
      <c r="UV15" s="173"/>
      <c r="UW15" s="173"/>
      <c r="UX15" s="173"/>
      <c r="UY15" s="173"/>
      <c r="UZ15" s="173"/>
      <c r="VA15" s="163"/>
      <c r="VB15" s="172"/>
      <c r="VC15" s="173"/>
      <c r="VD15" s="173"/>
      <c r="VE15" s="173"/>
      <c r="VF15" s="173"/>
      <c r="VG15" s="173"/>
      <c r="VH15" s="150"/>
      <c r="VI15" s="173"/>
      <c r="VJ15" s="173"/>
      <c r="VK15" s="173"/>
      <c r="VL15" s="173"/>
      <c r="VM15" s="173"/>
      <c r="VN15" s="163"/>
      <c r="VO15" s="166">
        <v>1.9</v>
      </c>
      <c r="VP15" s="167">
        <f t="shared" si="319"/>
        <v>-50.372948313679174</v>
      </c>
      <c r="VQ15" s="167">
        <f t="shared" si="320"/>
        <v>-46.369845711322206</v>
      </c>
      <c r="VR15" s="167">
        <f t="shared" si="321"/>
        <v>-42.140119310094136</v>
      </c>
      <c r="VS15" s="167">
        <f t="shared" si="624"/>
        <v>-36.426658590944051</v>
      </c>
      <c r="VT15" s="167">
        <f t="shared" si="625"/>
        <v>-25.038133165684126</v>
      </c>
      <c r="VU15" s="136">
        <f t="shared" si="626"/>
        <v>-9.7966297573435313</v>
      </c>
      <c r="VV15" s="167">
        <f t="shared" si="627"/>
        <v>7.9547375327259431</v>
      </c>
      <c r="VW15" s="167">
        <f t="shared" si="322"/>
        <v>25.902641993601044</v>
      </c>
      <c r="VX15" s="167">
        <f t="shared" si="323"/>
        <v>37.542709688463027</v>
      </c>
      <c r="VY15" s="167">
        <f t="shared" si="324"/>
        <v>48.159066834260493</v>
      </c>
      <c r="VZ15" s="167">
        <f t="shared" si="325"/>
        <v>61.098368982559428</v>
      </c>
      <c r="WA15" s="163"/>
      <c r="WB15" s="172"/>
      <c r="WC15" s="173"/>
      <c r="WD15" s="173"/>
      <c r="WE15" s="173"/>
      <c r="WF15" s="173"/>
      <c r="WG15" s="173"/>
      <c r="WH15" s="150"/>
      <c r="WI15" s="173"/>
      <c r="WJ15" s="173"/>
      <c r="WK15" s="173"/>
      <c r="WL15" s="173"/>
      <c r="WM15" s="173"/>
      <c r="WN15" s="163"/>
      <c r="WO15" s="172"/>
      <c r="WP15" s="173"/>
      <c r="WQ15" s="173"/>
      <c r="WR15" s="173"/>
      <c r="WS15" s="173"/>
      <c r="WT15" s="173"/>
      <c r="WU15" s="150"/>
      <c r="WV15" s="173"/>
      <c r="WW15" s="173"/>
      <c r="WX15" s="173"/>
      <c r="WY15" s="173"/>
      <c r="WZ15" s="173"/>
      <c r="XA15" s="163"/>
      <c r="XB15" s="166">
        <v>1.9</v>
      </c>
      <c r="XC15" s="167">
        <f t="shared" si="340"/>
        <v>-52.144604722302716</v>
      </c>
      <c r="XD15" s="167">
        <f t="shared" si="341"/>
        <v>-47.451269549818939</v>
      </c>
      <c r="XE15" s="167">
        <f t="shared" si="342"/>
        <v>-42.817552243487931</v>
      </c>
      <c r="XF15" s="167">
        <f t="shared" si="636"/>
        <v>-36.948302507356566</v>
      </c>
      <c r="XG15" s="167">
        <f t="shared" si="637"/>
        <v>-26.149340607668659</v>
      </c>
      <c r="XH15" s="136">
        <f t="shared" si="638"/>
        <v>-12.905946221952526</v>
      </c>
      <c r="XI15" s="167">
        <f t="shared" si="639"/>
        <v>1.3909519292691428</v>
      </c>
      <c r="XJ15" s="167">
        <f t="shared" si="343"/>
        <v>14.990884339910686</v>
      </c>
      <c r="XK15" s="167">
        <f t="shared" si="344"/>
        <v>23.459116362648352</v>
      </c>
      <c r="XL15" s="167">
        <f t="shared" si="345"/>
        <v>30.982409759012974</v>
      </c>
      <c r="XM15" s="167">
        <f t="shared" si="346"/>
        <v>39.927526523730954</v>
      </c>
      <c r="XN15" s="163"/>
      <c r="XO15" s="172"/>
      <c r="XP15" s="173"/>
      <c r="XQ15" s="173"/>
      <c r="XR15" s="173"/>
      <c r="XS15" s="173"/>
      <c r="XT15" s="173"/>
      <c r="XU15" s="150"/>
      <c r="XV15" s="173"/>
      <c r="XW15" s="173"/>
      <c r="XX15" s="173"/>
      <c r="XY15" s="173"/>
      <c r="XZ15" s="173"/>
      <c r="YA15" s="163"/>
      <c r="YB15" s="172"/>
      <c r="YC15" s="173"/>
      <c r="YD15" s="173"/>
      <c r="YE15" s="173"/>
      <c r="YF15" s="173"/>
      <c r="YG15" s="173"/>
      <c r="YH15" s="150"/>
      <c r="YI15" s="173"/>
      <c r="YJ15" s="173"/>
      <c r="YK15" s="173"/>
      <c r="YL15" s="173"/>
      <c r="YM15" s="173"/>
      <c r="YN15" s="163"/>
      <c r="YO15" s="166">
        <v>1.9</v>
      </c>
      <c r="YP15" s="167">
        <f t="shared" si="361"/>
        <v>20.853099229582327</v>
      </c>
      <c r="YQ15" s="167">
        <f t="shared" si="362"/>
        <v>23.423006663470925</v>
      </c>
      <c r="YR15" s="167">
        <f t="shared" si="363"/>
        <v>25.863012174109755</v>
      </c>
      <c r="YS15" s="167">
        <f t="shared" si="648"/>
        <v>28.96527573489313</v>
      </c>
      <c r="YT15" s="167">
        <f t="shared" si="649"/>
        <v>34.911627828484249</v>
      </c>
      <c r="YU15" s="136">
        <f t="shared" si="650"/>
        <v>42.849921603552907</v>
      </c>
      <c r="YV15" s="167">
        <f t="shared" si="651"/>
        <v>52.419757598177824</v>
      </c>
      <c r="YW15" s="167">
        <f t="shared" si="364"/>
        <v>62.640575654539063</v>
      </c>
      <c r="YX15" s="167">
        <f t="shared" si="365"/>
        <v>69.615687378391385</v>
      </c>
      <c r="YY15" s="167">
        <f t="shared" si="366"/>
        <v>76.236874768126668</v>
      </c>
      <c r="YZ15" s="167">
        <f t="shared" si="367"/>
        <v>84.661479185893427</v>
      </c>
      <c r="ZA15" s="163"/>
      <c r="ZB15" s="172"/>
      <c r="ZC15" s="173"/>
      <c r="ZD15" s="173"/>
      <c r="ZE15" s="173"/>
      <c r="ZF15" s="173"/>
      <c r="ZG15" s="173"/>
      <c r="ZH15" s="150"/>
      <c r="ZI15" s="173"/>
      <c r="ZJ15" s="173"/>
      <c r="ZK15" s="173"/>
      <c r="ZL15" s="173"/>
      <c r="ZM15" s="173"/>
      <c r="ZN15" s="163"/>
      <c r="ZO15" s="172"/>
      <c r="ZP15" s="173"/>
      <c r="ZQ15" s="173"/>
      <c r="ZR15" s="173"/>
      <c r="ZS15" s="173"/>
      <c r="ZT15" s="173"/>
      <c r="ZU15" s="150"/>
      <c r="ZV15" s="173"/>
      <c r="ZW15" s="173"/>
      <c r="ZX15" s="173"/>
      <c r="ZY15" s="173"/>
      <c r="ZZ15" s="173"/>
      <c r="AAA15" s="163"/>
      <c r="AAB15" s="166">
        <v>1.9</v>
      </c>
      <c r="AAC15" s="167">
        <f t="shared" si="382"/>
        <v>9.3148881239428309</v>
      </c>
      <c r="AAD15" s="167">
        <f t="shared" si="383"/>
        <v>10.456838711272031</v>
      </c>
      <c r="AAE15" s="167">
        <f t="shared" si="384"/>
        <v>11.532106399648852</v>
      </c>
      <c r="AAF15" s="167">
        <f t="shared" si="660"/>
        <v>12.887114942734149</v>
      </c>
      <c r="AAG15" s="167">
        <f t="shared" si="661"/>
        <v>15.448739470517584</v>
      </c>
      <c r="AAH15" s="136">
        <f t="shared" si="662"/>
        <v>18.801876484504142</v>
      </c>
      <c r="AAI15" s="167">
        <f t="shared" si="663"/>
        <v>22.754513936210181</v>
      </c>
      <c r="AAJ15" s="167">
        <f t="shared" si="385"/>
        <v>26.881176341475076</v>
      </c>
      <c r="AAK15" s="167">
        <f t="shared" si="386"/>
        <v>29.647324505664564</v>
      </c>
      <c r="AAL15" s="167">
        <f t="shared" si="387"/>
        <v>32.238940705801859</v>
      </c>
      <c r="AAM15" s="167">
        <f t="shared" si="388"/>
        <v>35.492030158959615</v>
      </c>
      <c r="AAN15" s="163"/>
      <c r="AAO15" s="172"/>
      <c r="AAP15" s="173"/>
      <c r="AAQ15" s="173"/>
      <c r="AAR15" s="173"/>
      <c r="AAS15" s="173"/>
      <c r="AAT15" s="173"/>
      <c r="AAU15" s="150"/>
      <c r="AAV15" s="173"/>
      <c r="AAW15" s="173"/>
      <c r="AAX15" s="173"/>
      <c r="AAY15" s="173"/>
      <c r="AAZ15" s="173"/>
      <c r="ABA15" s="163"/>
      <c r="ABB15" s="172"/>
      <c r="ABC15" s="173"/>
      <c r="ABD15" s="173"/>
      <c r="ABE15" s="173"/>
      <c r="ABF15" s="173"/>
      <c r="ABG15" s="173"/>
      <c r="ABH15" s="150"/>
      <c r="ABI15" s="173"/>
      <c r="ABJ15" s="173"/>
      <c r="ABK15" s="173"/>
      <c r="ABL15" s="173"/>
      <c r="ABM15" s="173"/>
      <c r="ABN15" s="163"/>
      <c r="ABO15" s="166">
        <v>1.9</v>
      </c>
      <c r="ABP15" s="167">
        <f t="shared" si="403"/>
        <v>0.19468000910759276</v>
      </c>
      <c r="ABQ15" s="167">
        <f t="shared" si="404"/>
        <v>0.22556851160740241</v>
      </c>
      <c r="ABR15" s="167">
        <f t="shared" si="405"/>
        <v>0.25486752507361105</v>
      </c>
      <c r="ABS15" s="167">
        <f t="shared" si="672"/>
        <v>0.29198445733626011</v>
      </c>
      <c r="ABT15" s="167">
        <f t="shared" si="673"/>
        <v>0.36245965451733364</v>
      </c>
      <c r="ABU15" s="136">
        <f t="shared" si="674"/>
        <v>0.45479812693657218</v>
      </c>
      <c r="ABV15" s="167">
        <f t="shared" si="675"/>
        <v>0.56320407490743418</v>
      </c>
      <c r="ABW15" s="167">
        <f t="shared" si="406"/>
        <v>0.67549592582486118</v>
      </c>
      <c r="ABX15" s="167">
        <f t="shared" si="407"/>
        <v>0.75016011021394047</v>
      </c>
      <c r="ABY15" s="167">
        <f t="shared" si="408"/>
        <v>0.81964215173378308</v>
      </c>
      <c r="ABZ15" s="167">
        <f t="shared" si="409"/>
        <v>0.9061984289005971</v>
      </c>
      <c r="ACA15" s="163"/>
      <c r="ACB15" s="172"/>
      <c r="ACC15" s="173"/>
      <c r="ACD15" s="173"/>
      <c r="ACE15" s="173"/>
      <c r="ACF15" s="173"/>
      <c r="ACG15" s="173"/>
      <c r="ACH15" s="150"/>
      <c r="ACI15" s="173"/>
      <c r="ACJ15" s="173"/>
      <c r="ACK15" s="173"/>
      <c r="ACL15" s="173"/>
      <c r="ACM15" s="173"/>
      <c r="ACN15" s="163"/>
      <c r="ACO15" s="172"/>
      <c r="ACP15" s="173"/>
      <c r="ACQ15" s="173"/>
      <c r="ACR15" s="173"/>
      <c r="ACS15" s="173"/>
      <c r="ACT15" s="173"/>
      <c r="ACU15" s="150"/>
      <c r="ACV15" s="173"/>
      <c r="ACW15" s="173"/>
      <c r="ACX15" s="173"/>
      <c r="ACY15" s="173"/>
      <c r="ACZ15" s="173"/>
      <c r="ADA15" s="163"/>
      <c r="ADB15" s="166">
        <v>1.9</v>
      </c>
      <c r="ADC15" s="167">
        <f t="shared" si="424"/>
        <v>0.16134268327034412</v>
      </c>
      <c r="ADD15" s="167">
        <f t="shared" si="425"/>
        <v>0.18360542916845793</v>
      </c>
      <c r="ADE15" s="167">
        <f t="shared" si="426"/>
        <v>0.20325445866252317</v>
      </c>
      <c r="ADF15" s="167">
        <f t="shared" si="684"/>
        <v>0.22644995417802535</v>
      </c>
      <c r="ADG15" s="167">
        <f t="shared" si="685"/>
        <v>0.26634879974147463</v>
      </c>
      <c r="ADH15" s="136">
        <f t="shared" si="686"/>
        <v>0.31245927481193631</v>
      </c>
      <c r="ADI15" s="167">
        <f t="shared" si="687"/>
        <v>0.360157635522737</v>
      </c>
      <c r="ADJ15" s="167">
        <f t="shared" si="427"/>
        <v>0.40420467735454202</v>
      </c>
      <c r="ADK15" s="167">
        <f t="shared" si="428"/>
        <v>0.43114471606602384</v>
      </c>
      <c r="ADL15" s="167">
        <f t="shared" si="429"/>
        <v>0.45482286739856886</v>
      </c>
      <c r="ADM15" s="167">
        <f t="shared" si="430"/>
        <v>0.48270630227999561</v>
      </c>
      <c r="ADN15" s="163"/>
      <c r="ADO15" s="172"/>
      <c r="ADP15" s="173"/>
      <c r="ADQ15" s="173"/>
      <c r="ADR15" s="173"/>
      <c r="ADS15" s="173"/>
      <c r="ADT15" s="173"/>
      <c r="ADU15" s="150"/>
      <c r="ADV15" s="173"/>
      <c r="ADW15" s="173"/>
      <c r="ADX15" s="173"/>
      <c r="ADY15" s="173"/>
      <c r="ADZ15" s="173"/>
      <c r="AEA15" s="163"/>
      <c r="AEB15" s="172"/>
      <c r="AEC15" s="173"/>
      <c r="AED15" s="173"/>
      <c r="AEE15" s="173"/>
      <c r="AEF15" s="173"/>
      <c r="AEG15" s="173"/>
      <c r="AEH15" s="150"/>
      <c r="AEI15" s="173"/>
      <c r="AEJ15" s="173"/>
      <c r="AEK15" s="173"/>
      <c r="AEL15" s="173"/>
      <c r="AEM15" s="173"/>
      <c r="AEN15" s="163"/>
    </row>
    <row r="16" spans="1:820">
      <c r="A16" s="163"/>
      <c r="B16" s="75"/>
      <c r="C16" s="75"/>
      <c r="D16" s="75"/>
      <c r="E16" s="75"/>
      <c r="F16" s="75"/>
      <c r="G16" s="75"/>
      <c r="H16" s="75"/>
      <c r="I16" s="75"/>
      <c r="J16" s="75"/>
      <c r="K16" s="75"/>
      <c r="L16" s="75"/>
      <c r="M16" s="75"/>
      <c r="N16" s="163"/>
      <c r="O16" s="75"/>
      <c r="P16" s="75"/>
      <c r="Q16" s="75"/>
      <c r="R16" s="75"/>
      <c r="S16" s="75"/>
      <c r="T16" s="75"/>
      <c r="U16" s="75"/>
      <c r="V16" s="75"/>
      <c r="W16" s="75"/>
      <c r="X16" s="75"/>
      <c r="Y16" s="75"/>
      <c r="Z16" s="75"/>
      <c r="AA16" s="163"/>
      <c r="AB16" s="75"/>
      <c r="AC16" s="75"/>
      <c r="AD16" s="75"/>
      <c r="AE16" s="75"/>
      <c r="AF16" s="75"/>
      <c r="AG16" s="75"/>
      <c r="AH16" s="75"/>
      <c r="AI16" s="75"/>
      <c r="AJ16" s="75"/>
      <c r="AK16" s="75"/>
      <c r="AL16" s="75"/>
      <c r="AM16" s="75"/>
      <c r="AN16" s="163"/>
      <c r="AO16" s="163"/>
      <c r="AP16" s="163"/>
      <c r="AQ16" s="163"/>
      <c r="AR16" s="163"/>
      <c r="AS16" s="163"/>
      <c r="AT16" s="163"/>
      <c r="AU16" s="163"/>
      <c r="AV16" s="163"/>
      <c r="AW16" s="163"/>
      <c r="AX16" s="163"/>
      <c r="AY16" s="163"/>
      <c r="AZ16" s="163"/>
      <c r="BA16" s="163"/>
      <c r="BB16" s="163"/>
      <c r="BC16" s="163"/>
      <c r="BD16" s="163"/>
      <c r="BE16" s="163"/>
      <c r="BF16" s="163"/>
      <c r="BG16" s="163"/>
      <c r="BH16" s="163"/>
      <c r="BI16" s="163"/>
      <c r="BJ16" s="163"/>
      <c r="BK16" s="163"/>
      <c r="BL16" s="163"/>
      <c r="BM16" s="163"/>
      <c r="BN16" s="163"/>
      <c r="BO16" s="163"/>
      <c r="BP16" s="163"/>
      <c r="BQ16" s="163"/>
      <c r="BR16" s="163"/>
      <c r="BS16" s="163"/>
      <c r="BT16" s="163"/>
      <c r="BU16" s="163"/>
      <c r="BV16" s="163"/>
      <c r="BW16" s="163"/>
      <c r="BX16" s="163"/>
      <c r="BY16" s="163"/>
      <c r="BZ16" s="163"/>
      <c r="CA16" s="163"/>
      <c r="CB16" s="163"/>
      <c r="CC16" s="163"/>
      <c r="CD16" s="163"/>
      <c r="CE16" s="163"/>
      <c r="CF16" s="163"/>
      <c r="CG16" s="163"/>
      <c r="CH16" s="163"/>
      <c r="CI16" s="163"/>
      <c r="CJ16" s="163"/>
      <c r="CK16" s="163"/>
      <c r="CL16" s="163"/>
      <c r="CM16" s="163"/>
      <c r="CN16" s="163"/>
      <c r="CO16" s="163"/>
      <c r="CP16" s="163"/>
      <c r="CQ16" s="163"/>
      <c r="CR16" s="163"/>
      <c r="CS16" s="163"/>
      <c r="CT16" s="163"/>
      <c r="CU16" s="163"/>
      <c r="CV16" s="163"/>
      <c r="CW16" s="163"/>
      <c r="CX16" s="163"/>
      <c r="CY16" s="163"/>
      <c r="CZ16" s="163"/>
      <c r="DA16" s="163"/>
      <c r="DB16" s="163"/>
      <c r="DC16" s="163"/>
      <c r="DD16" s="163"/>
      <c r="DE16" s="163"/>
      <c r="DF16" s="163"/>
      <c r="DG16" s="163"/>
      <c r="DH16" s="163"/>
      <c r="DI16" s="163"/>
      <c r="DJ16" s="163"/>
      <c r="DK16" s="163"/>
      <c r="DL16" s="163"/>
      <c r="DM16" s="163"/>
      <c r="DN16" s="163"/>
      <c r="DO16" s="163"/>
      <c r="DP16" s="163"/>
      <c r="DQ16" s="163"/>
      <c r="DR16" s="163"/>
      <c r="DS16" s="163"/>
      <c r="DT16" s="163"/>
      <c r="DU16" s="163"/>
      <c r="DV16" s="163"/>
      <c r="DW16" s="163"/>
      <c r="DX16" s="163"/>
      <c r="DY16" s="163"/>
      <c r="DZ16" s="163"/>
      <c r="EA16" s="163"/>
      <c r="EB16" s="163"/>
      <c r="EC16" s="163"/>
      <c r="ED16" s="163"/>
      <c r="EE16" s="163"/>
      <c r="EF16" s="163"/>
      <c r="EG16" s="163"/>
      <c r="EH16" s="163"/>
      <c r="EI16" s="163"/>
      <c r="EJ16" s="163"/>
      <c r="EK16" s="163"/>
      <c r="EL16" s="163"/>
      <c r="EM16" s="163"/>
      <c r="EN16" s="163"/>
      <c r="EO16" s="163"/>
      <c r="EP16" s="163"/>
      <c r="EQ16" s="163"/>
      <c r="ER16" s="163"/>
      <c r="ES16" s="163"/>
      <c r="ET16" s="163"/>
      <c r="EU16" s="163"/>
      <c r="EV16" s="163"/>
      <c r="EW16" s="163"/>
      <c r="EX16" s="163"/>
      <c r="EY16" s="163"/>
      <c r="EZ16" s="163"/>
      <c r="FA16" s="163"/>
      <c r="FB16" s="163"/>
      <c r="FC16" s="163"/>
      <c r="FD16" s="163"/>
      <c r="FE16" s="163"/>
      <c r="FF16" s="163"/>
      <c r="FG16" s="163"/>
      <c r="FH16" s="163"/>
      <c r="FI16" s="163"/>
      <c r="FJ16" s="163"/>
      <c r="FK16" s="163"/>
      <c r="FL16" s="163"/>
      <c r="FM16" s="163"/>
      <c r="FN16" s="163"/>
      <c r="FO16" s="163"/>
      <c r="FP16" s="163"/>
      <c r="FQ16" s="163"/>
      <c r="FR16" s="163"/>
      <c r="FS16" s="163"/>
      <c r="FT16" s="163"/>
      <c r="FU16" s="163"/>
      <c r="FV16" s="163"/>
      <c r="FW16" s="163"/>
      <c r="FX16" s="163"/>
      <c r="FY16" s="163"/>
      <c r="FZ16" s="163"/>
      <c r="GA16" s="163"/>
      <c r="GB16" s="163"/>
      <c r="GC16" s="163"/>
      <c r="GD16" s="163"/>
      <c r="GE16" s="163"/>
      <c r="GF16" s="163"/>
      <c r="GG16" s="163"/>
      <c r="GH16" s="163"/>
      <c r="GI16" s="163"/>
      <c r="GJ16" s="163"/>
      <c r="GK16" s="163"/>
      <c r="GL16" s="163"/>
      <c r="GM16" s="163"/>
      <c r="GN16" s="163"/>
      <c r="GO16" s="163"/>
      <c r="GP16" s="163"/>
      <c r="GQ16" s="163"/>
      <c r="GR16" s="163"/>
      <c r="GS16" s="163"/>
      <c r="GT16" s="163"/>
      <c r="GU16" s="163"/>
      <c r="GV16" s="163"/>
      <c r="GW16" s="163"/>
      <c r="GX16" s="163"/>
      <c r="GY16" s="163"/>
      <c r="GZ16" s="163"/>
      <c r="HA16" s="163"/>
      <c r="HB16" s="163"/>
      <c r="HC16" s="163"/>
      <c r="HD16" s="163"/>
      <c r="HE16" s="163"/>
      <c r="HF16" s="163"/>
      <c r="HG16" s="163"/>
      <c r="HH16" s="163"/>
      <c r="HI16" s="163"/>
      <c r="HJ16" s="163"/>
      <c r="HK16" s="163"/>
      <c r="HL16" s="163"/>
      <c r="HM16" s="163"/>
      <c r="HN16" s="163"/>
      <c r="HO16" s="163"/>
      <c r="HP16" s="163"/>
      <c r="HQ16" s="163"/>
      <c r="HR16" s="163"/>
      <c r="HS16" s="163"/>
      <c r="HT16" s="163"/>
      <c r="HU16" s="163"/>
      <c r="HV16" s="163"/>
      <c r="HW16" s="163"/>
      <c r="HX16" s="163"/>
      <c r="HY16" s="163"/>
      <c r="HZ16" s="163"/>
      <c r="IA16" s="163"/>
      <c r="IB16" s="163"/>
      <c r="IC16" s="163"/>
      <c r="ID16" s="163"/>
      <c r="IE16" s="163"/>
      <c r="IF16" s="163"/>
      <c r="IG16" s="163"/>
      <c r="IH16" s="163"/>
      <c r="II16" s="163"/>
      <c r="IJ16" s="163"/>
      <c r="IK16" s="163"/>
      <c r="IL16" s="163"/>
      <c r="IM16" s="163"/>
      <c r="IN16" s="163"/>
      <c r="IO16" s="163"/>
      <c r="IP16" s="163"/>
      <c r="IQ16" s="163"/>
      <c r="IR16" s="163"/>
      <c r="IS16" s="163"/>
      <c r="IT16" s="163"/>
      <c r="IU16" s="163"/>
      <c r="IV16" s="163"/>
      <c r="IW16" s="163"/>
      <c r="IX16" s="163"/>
      <c r="IY16" s="163"/>
      <c r="IZ16" s="163"/>
      <c r="JA16" s="163"/>
      <c r="JB16" s="163"/>
      <c r="JC16" s="163"/>
      <c r="JD16" s="163"/>
      <c r="JE16" s="163"/>
      <c r="JF16" s="163"/>
      <c r="JG16" s="163"/>
      <c r="JH16" s="163"/>
      <c r="JI16" s="163"/>
      <c r="JJ16" s="163"/>
      <c r="JK16" s="163"/>
      <c r="JL16" s="163"/>
      <c r="JM16" s="163"/>
      <c r="JN16" s="163"/>
      <c r="JO16" s="163"/>
      <c r="JP16" s="163"/>
      <c r="JQ16" s="163"/>
      <c r="JR16" s="163"/>
      <c r="JS16" s="163"/>
      <c r="JT16" s="163"/>
      <c r="JU16" s="163"/>
      <c r="JV16" s="163"/>
      <c r="JW16" s="163"/>
      <c r="JX16" s="163"/>
      <c r="JY16" s="163"/>
      <c r="JZ16" s="163"/>
      <c r="KA16" s="163"/>
      <c r="KB16" s="163"/>
      <c r="KC16" s="163"/>
      <c r="KD16" s="163"/>
      <c r="KE16" s="163"/>
      <c r="KF16" s="163"/>
      <c r="KG16" s="163"/>
      <c r="KH16" s="163"/>
      <c r="KI16" s="163"/>
      <c r="KJ16" s="163"/>
      <c r="KK16" s="163"/>
      <c r="KL16" s="163"/>
      <c r="KM16" s="163"/>
      <c r="KN16" s="163"/>
      <c r="KO16" s="163"/>
      <c r="KP16" s="163"/>
      <c r="KQ16" s="163"/>
      <c r="KR16" s="163"/>
      <c r="KS16" s="163"/>
      <c r="KT16" s="163"/>
      <c r="KU16" s="163"/>
      <c r="KV16" s="163"/>
      <c r="KW16" s="163"/>
      <c r="KX16" s="163"/>
      <c r="KY16" s="163"/>
      <c r="KZ16" s="163"/>
      <c r="LA16" s="163"/>
      <c r="LB16" s="163"/>
      <c r="LC16" s="163"/>
      <c r="LD16" s="163"/>
      <c r="LE16" s="163"/>
      <c r="LF16" s="163"/>
      <c r="LG16" s="163"/>
      <c r="LH16" s="163"/>
      <c r="LI16" s="163"/>
      <c r="LJ16" s="163"/>
      <c r="LK16" s="163"/>
      <c r="LL16" s="163"/>
      <c r="LM16" s="163"/>
      <c r="LN16" s="163"/>
      <c r="LO16" s="21"/>
      <c r="LP16" s="21"/>
      <c r="LQ16" s="21"/>
      <c r="LR16" s="21"/>
      <c r="LS16" s="21"/>
      <c r="LT16" s="21"/>
      <c r="LU16" s="21"/>
      <c r="LV16" s="21"/>
      <c r="LW16" s="21"/>
      <c r="LX16" s="21"/>
      <c r="LY16" s="21"/>
      <c r="LZ16" s="21"/>
      <c r="MA16" s="163"/>
      <c r="MB16" s="21"/>
      <c r="MC16" s="21"/>
      <c r="MD16" s="21"/>
      <c r="ME16" s="21"/>
      <c r="MF16" s="21"/>
      <c r="MG16" s="21"/>
      <c r="MH16" s="21"/>
      <c r="MI16" s="21"/>
      <c r="MJ16" s="21"/>
      <c r="MK16" s="21"/>
      <c r="ML16" s="21"/>
      <c r="MM16" s="21"/>
      <c r="MN16" s="163"/>
      <c r="MO16" s="21"/>
      <c r="MP16" s="21"/>
      <c r="MQ16" s="21"/>
      <c r="MR16" s="21"/>
      <c r="MS16" s="21"/>
      <c r="MT16" s="21"/>
      <c r="MU16" s="21"/>
      <c r="MV16" s="21"/>
      <c r="MW16" s="21"/>
      <c r="MX16" s="21"/>
      <c r="MY16" s="21"/>
      <c r="MZ16" s="21"/>
      <c r="NA16" s="163"/>
      <c r="NB16" s="21"/>
      <c r="NC16" s="21"/>
      <c r="ND16" s="21"/>
      <c r="NE16" s="21"/>
      <c r="NF16" s="21"/>
      <c r="NG16" s="21"/>
      <c r="NH16" s="21"/>
      <c r="NI16" s="21"/>
      <c r="NJ16" s="21"/>
      <c r="NK16" s="21"/>
      <c r="NL16" s="21"/>
      <c r="NM16" s="21"/>
      <c r="NN16" s="163"/>
      <c r="NO16" s="21"/>
      <c r="NP16" s="21"/>
      <c r="NQ16" s="21"/>
      <c r="NR16" s="21"/>
      <c r="NS16" s="21"/>
      <c r="NT16" s="21"/>
      <c r="NU16" s="21"/>
      <c r="NV16" s="21"/>
      <c r="NW16" s="21"/>
      <c r="NX16" s="21"/>
      <c r="NY16" s="21"/>
      <c r="NZ16" s="21"/>
      <c r="OA16" s="163"/>
      <c r="OB16" s="21"/>
      <c r="OC16" s="21"/>
      <c r="OD16" s="21"/>
      <c r="OE16" s="21"/>
      <c r="OF16" s="21"/>
      <c r="OG16" s="21"/>
      <c r="OH16" s="21"/>
      <c r="OI16" s="21"/>
      <c r="OJ16" s="21"/>
      <c r="OK16" s="21"/>
      <c r="OL16" s="21"/>
      <c r="OM16" s="21"/>
      <c r="ON16" s="163"/>
      <c r="OO16" s="21"/>
      <c r="OP16" s="21"/>
      <c r="OQ16" s="21"/>
      <c r="OR16" s="21"/>
      <c r="OS16" s="21"/>
      <c r="OT16" s="21"/>
      <c r="OU16" s="21"/>
      <c r="OV16" s="21"/>
      <c r="OW16" s="21"/>
      <c r="OX16" s="21"/>
      <c r="OY16" s="21"/>
      <c r="OZ16" s="21"/>
      <c r="PA16" s="163"/>
      <c r="PB16" s="21"/>
      <c r="PC16" s="21"/>
      <c r="PD16" s="21"/>
      <c r="PE16" s="21"/>
      <c r="PF16" s="21"/>
      <c r="PG16" s="21"/>
      <c r="PH16" s="21"/>
      <c r="PI16" s="21"/>
      <c r="PJ16" s="21"/>
      <c r="PK16" s="21"/>
      <c r="PL16" s="21"/>
      <c r="PM16" s="21"/>
      <c r="PN16" s="163"/>
      <c r="PO16" s="21"/>
      <c r="PP16" s="21"/>
      <c r="PQ16" s="21"/>
      <c r="PR16" s="21"/>
      <c r="PS16" s="21"/>
      <c r="PT16" s="21"/>
      <c r="PU16" s="21"/>
      <c r="PV16" s="21"/>
      <c r="PW16" s="21"/>
      <c r="PX16" s="21"/>
      <c r="PY16" s="21"/>
      <c r="PZ16" s="21"/>
      <c r="QA16" s="163"/>
      <c r="QB16" s="21"/>
      <c r="QC16" s="21"/>
      <c r="QD16" s="21"/>
      <c r="QE16" s="21"/>
      <c r="QF16" s="21"/>
      <c r="QG16" s="21"/>
      <c r="QH16" s="21"/>
      <c r="QI16" s="21"/>
      <c r="QJ16" s="21"/>
      <c r="QK16" s="21"/>
      <c r="QL16" s="21"/>
      <c r="QM16" s="21"/>
      <c r="QN16" s="163"/>
      <c r="QO16" s="21"/>
      <c r="QP16" s="21"/>
      <c r="QQ16" s="21"/>
      <c r="QR16" s="21"/>
      <c r="QS16" s="21"/>
      <c r="QT16" s="21"/>
      <c r="QU16" s="21"/>
      <c r="QV16" s="21"/>
      <c r="QW16" s="21"/>
      <c r="QX16" s="21"/>
      <c r="QY16" s="21"/>
      <c r="QZ16" s="21"/>
      <c r="RA16" s="163"/>
      <c r="RB16" s="21"/>
      <c r="RC16" s="21"/>
      <c r="RD16" s="21"/>
      <c r="RE16" s="21"/>
      <c r="RF16" s="21"/>
      <c r="RG16" s="21"/>
      <c r="RH16" s="21"/>
      <c r="RI16" s="21"/>
      <c r="RJ16" s="21"/>
      <c r="RK16" s="21"/>
      <c r="RL16" s="21"/>
      <c r="RM16" s="21"/>
      <c r="RN16" s="163"/>
      <c r="RO16" s="21"/>
      <c r="RP16" s="21"/>
      <c r="RQ16" s="21"/>
      <c r="RR16" s="21"/>
      <c r="RS16" s="21"/>
      <c r="RT16" s="21"/>
      <c r="RU16" s="21"/>
      <c r="RV16" s="21"/>
      <c r="RW16" s="21"/>
      <c r="RX16" s="21"/>
      <c r="RY16" s="21"/>
      <c r="RZ16" s="21"/>
      <c r="SA16" s="163"/>
      <c r="SB16" s="21"/>
      <c r="SC16" s="21"/>
      <c r="SD16" s="21"/>
      <c r="SE16" s="21"/>
      <c r="SF16" s="21"/>
      <c r="SG16" s="21"/>
      <c r="SH16" s="21"/>
      <c r="SI16" s="21"/>
      <c r="SJ16" s="21"/>
      <c r="SK16" s="21"/>
      <c r="SL16" s="21"/>
      <c r="SM16" s="21"/>
      <c r="SN16" s="163"/>
      <c r="SO16" s="21"/>
      <c r="SP16" s="21"/>
      <c r="SQ16" s="21"/>
      <c r="SR16" s="21"/>
      <c r="SS16" s="21"/>
      <c r="ST16" s="21"/>
      <c r="SU16" s="21"/>
      <c r="SV16" s="21"/>
      <c r="SW16" s="21"/>
      <c r="SX16" s="21"/>
      <c r="SY16" s="21"/>
      <c r="SZ16" s="21"/>
      <c r="TA16" s="163"/>
      <c r="TB16" s="21"/>
      <c r="TC16" s="21"/>
      <c r="TD16" s="21"/>
      <c r="TE16" s="21"/>
      <c r="TF16" s="21"/>
      <c r="TG16" s="21"/>
      <c r="TH16" s="21"/>
      <c r="TI16" s="21"/>
      <c r="TJ16" s="21"/>
      <c r="TK16" s="21"/>
      <c r="TL16" s="21"/>
      <c r="TM16" s="21"/>
      <c r="TN16" s="163"/>
      <c r="TO16" s="21"/>
      <c r="TP16" s="21"/>
      <c r="TQ16" s="21"/>
      <c r="TR16" s="21"/>
      <c r="TS16" s="21"/>
      <c r="TT16" s="21"/>
      <c r="TU16" s="21"/>
      <c r="TV16" s="21"/>
      <c r="TW16" s="21"/>
      <c r="TX16" s="21"/>
      <c r="TY16" s="21"/>
      <c r="TZ16" s="21"/>
      <c r="UA16" s="163"/>
      <c r="UB16" s="21"/>
      <c r="UC16" s="21"/>
      <c r="UD16" s="21"/>
      <c r="UE16" s="21"/>
      <c r="UF16" s="21"/>
      <c r="UG16" s="21"/>
      <c r="UH16" s="21"/>
      <c r="UI16" s="21"/>
      <c r="UJ16" s="21"/>
      <c r="UK16" s="21"/>
      <c r="UL16" s="21"/>
      <c r="UM16" s="21"/>
      <c r="UN16" s="163"/>
      <c r="UO16" s="21"/>
      <c r="UP16" s="21"/>
      <c r="UQ16" s="21"/>
      <c r="UR16" s="21"/>
      <c r="US16" s="21"/>
      <c r="UT16" s="21"/>
      <c r="UU16" s="21"/>
      <c r="UV16" s="21"/>
      <c r="UW16" s="21"/>
      <c r="UX16" s="21"/>
      <c r="UY16" s="21"/>
      <c r="UZ16" s="21"/>
      <c r="VA16" s="163"/>
      <c r="VB16" s="21"/>
      <c r="VC16" s="21"/>
      <c r="VD16" s="21"/>
      <c r="VE16" s="21"/>
      <c r="VF16" s="21"/>
      <c r="VG16" s="21"/>
      <c r="VH16" s="21"/>
      <c r="VI16" s="21"/>
      <c r="VJ16" s="21"/>
      <c r="VK16" s="21"/>
      <c r="VL16" s="21"/>
      <c r="VM16" s="21"/>
      <c r="VN16" s="163"/>
      <c r="VO16" s="21"/>
      <c r="VP16" s="21"/>
      <c r="VQ16" s="21"/>
      <c r="VR16" s="21"/>
      <c r="VS16" s="21"/>
      <c r="VT16" s="21"/>
      <c r="VU16" s="21"/>
      <c r="VV16" s="21"/>
      <c r="VW16" s="21"/>
      <c r="VX16" s="21"/>
      <c r="VY16" s="21"/>
      <c r="VZ16" s="21"/>
      <c r="WA16" s="163"/>
      <c r="WB16" s="20"/>
      <c r="WC16" s="20"/>
      <c r="WD16" s="20"/>
      <c r="WE16" s="20"/>
      <c r="WF16" s="20"/>
      <c r="WG16" s="20"/>
      <c r="WH16" s="20"/>
      <c r="WI16" s="20"/>
      <c r="WJ16" s="20"/>
      <c r="WK16" s="20"/>
      <c r="WL16" s="20"/>
      <c r="WM16" s="20"/>
      <c r="WN16" s="163"/>
      <c r="WO16" s="21"/>
      <c r="WP16" s="21"/>
      <c r="WQ16" s="21"/>
      <c r="WR16" s="21"/>
      <c r="WS16" s="21"/>
      <c r="WT16" s="21"/>
      <c r="WU16" s="21"/>
      <c r="WV16" s="21"/>
      <c r="WW16" s="21"/>
      <c r="WX16" s="21"/>
      <c r="WY16" s="21"/>
      <c r="WZ16" s="21"/>
      <c r="XA16" s="163"/>
      <c r="XB16" s="21"/>
      <c r="XC16" s="21"/>
      <c r="XD16" s="21"/>
      <c r="XE16" s="21"/>
      <c r="XF16" s="21"/>
      <c r="XG16" s="21"/>
      <c r="XH16" s="21"/>
      <c r="XI16" s="21"/>
      <c r="XJ16" s="21"/>
      <c r="XK16" s="21"/>
      <c r="XL16" s="21"/>
      <c r="XM16" s="21"/>
      <c r="XN16" s="163"/>
      <c r="XO16" s="21"/>
      <c r="XP16" s="21"/>
      <c r="XQ16" s="21"/>
      <c r="XR16" s="21"/>
      <c r="XS16" s="21"/>
      <c r="XT16" s="21"/>
      <c r="XU16" s="21"/>
      <c r="XV16" s="21"/>
      <c r="XW16" s="21"/>
      <c r="XX16" s="21"/>
      <c r="XY16" s="21"/>
      <c r="XZ16" s="21"/>
      <c r="YA16" s="163"/>
      <c r="YB16" s="21"/>
      <c r="YC16" s="21"/>
      <c r="YD16" s="21"/>
      <c r="YE16" s="21"/>
      <c r="YF16" s="21"/>
      <c r="YG16" s="21"/>
      <c r="YH16" s="21"/>
      <c r="YI16" s="21"/>
      <c r="YJ16" s="21"/>
      <c r="YK16" s="21"/>
      <c r="YL16" s="21"/>
      <c r="YM16" s="21"/>
      <c r="YN16" s="163"/>
      <c r="YO16" s="21"/>
      <c r="YP16" s="21"/>
      <c r="YQ16" s="21"/>
      <c r="YR16" s="21"/>
      <c r="YS16" s="21"/>
      <c r="YT16" s="21"/>
      <c r="YU16" s="21"/>
      <c r="YV16" s="21"/>
      <c r="YW16" s="21"/>
      <c r="YX16" s="21"/>
      <c r="YY16" s="21"/>
      <c r="YZ16" s="21"/>
      <c r="ZA16" s="163"/>
      <c r="ZB16" s="21"/>
      <c r="ZC16" s="21"/>
      <c r="ZD16" s="21"/>
      <c r="ZE16" s="21"/>
      <c r="ZF16" s="21"/>
      <c r="ZG16" s="21"/>
      <c r="ZH16" s="21"/>
      <c r="ZI16" s="21"/>
      <c r="ZJ16" s="21"/>
      <c r="ZK16" s="21"/>
      <c r="ZL16" s="21"/>
      <c r="ZM16" s="21"/>
      <c r="ZN16" s="163"/>
      <c r="ZO16" s="21"/>
      <c r="ZP16" s="21"/>
      <c r="ZQ16" s="21"/>
      <c r="ZR16" s="21"/>
      <c r="ZS16" s="21"/>
      <c r="ZT16" s="21"/>
      <c r="ZU16" s="21"/>
      <c r="ZV16" s="21"/>
      <c r="ZW16" s="21"/>
      <c r="ZX16" s="21"/>
      <c r="ZY16" s="21"/>
      <c r="ZZ16" s="21"/>
      <c r="AAA16" s="163"/>
      <c r="AAB16" s="21"/>
      <c r="AAC16" s="21"/>
      <c r="AAD16" s="21"/>
      <c r="AAE16" s="21"/>
      <c r="AAF16" s="21"/>
      <c r="AAG16" s="21"/>
      <c r="AAH16" s="21"/>
      <c r="AAI16" s="21"/>
      <c r="AAJ16" s="21"/>
      <c r="AAK16" s="21"/>
      <c r="AAL16" s="21"/>
      <c r="AAM16" s="21"/>
      <c r="AAN16" s="163"/>
      <c r="AAO16" s="21"/>
      <c r="AAP16" s="21"/>
      <c r="AAQ16" s="21"/>
      <c r="AAR16" s="21"/>
      <c r="AAS16" s="21"/>
      <c r="AAT16" s="21"/>
      <c r="AAU16" s="21"/>
      <c r="AAV16" s="21"/>
      <c r="AAW16" s="21"/>
      <c r="AAX16" s="21"/>
      <c r="AAY16" s="21"/>
      <c r="AAZ16" s="21"/>
      <c r="ABA16" s="163"/>
      <c r="ABB16" s="21"/>
      <c r="ABC16" s="21"/>
      <c r="ABD16" s="21"/>
      <c r="ABE16" s="21"/>
      <c r="ABF16" s="21"/>
      <c r="ABG16" s="21"/>
      <c r="ABH16" s="21"/>
      <c r="ABI16" s="21"/>
      <c r="ABJ16" s="21"/>
      <c r="ABK16" s="21"/>
      <c r="ABL16" s="21"/>
      <c r="ABM16" s="21"/>
      <c r="ABN16" s="163"/>
      <c r="ABO16" s="21"/>
      <c r="ABP16" s="21"/>
      <c r="ABQ16" s="21"/>
      <c r="ABR16" s="21"/>
      <c r="ABS16" s="21"/>
      <c r="ABT16" s="21"/>
      <c r="ABU16" s="21"/>
      <c r="ABV16" s="21"/>
      <c r="ABW16" s="21"/>
      <c r="ABX16" s="21"/>
      <c r="ABY16" s="21"/>
      <c r="ABZ16" s="21"/>
      <c r="ACA16" s="163"/>
      <c r="ACB16" s="21"/>
      <c r="ACC16" s="21"/>
      <c r="ACD16" s="21"/>
      <c r="ACE16" s="21"/>
      <c r="ACF16" s="21"/>
      <c r="ACG16" s="21"/>
      <c r="ACH16" s="21"/>
      <c r="ACI16" s="21"/>
      <c r="ACJ16" s="21"/>
      <c r="ACK16" s="21"/>
      <c r="ACL16" s="21"/>
      <c r="ACM16" s="21"/>
      <c r="ACN16" s="163"/>
      <c r="ACO16" s="21"/>
      <c r="ACP16" s="21"/>
      <c r="ACQ16" s="21"/>
      <c r="ACR16" s="21"/>
      <c r="ACS16" s="21"/>
      <c r="ACT16" s="21"/>
      <c r="ACU16" s="21"/>
      <c r="ACV16" s="21"/>
      <c r="ACW16" s="21"/>
      <c r="ACX16" s="21"/>
      <c r="ACY16" s="21"/>
      <c r="ACZ16" s="21"/>
      <c r="ADA16" s="163"/>
      <c r="ADB16" s="21"/>
      <c r="ADC16" s="21"/>
      <c r="ADD16" s="21"/>
      <c r="ADE16" s="21"/>
      <c r="ADF16" s="21"/>
      <c r="ADG16" s="21"/>
      <c r="ADH16" s="21"/>
      <c r="ADI16" s="21"/>
      <c r="ADJ16" s="21"/>
      <c r="ADK16" s="21"/>
      <c r="ADL16" s="21"/>
      <c r="ADM16" s="21"/>
      <c r="ADN16" s="163"/>
      <c r="ADO16" s="21"/>
      <c r="ADP16" s="21"/>
      <c r="ADQ16" s="21"/>
      <c r="ADR16" s="21"/>
      <c r="ADS16" s="21"/>
      <c r="ADT16" s="21"/>
      <c r="ADU16" s="21"/>
      <c r="ADV16" s="21"/>
      <c r="ADW16" s="21"/>
      <c r="ADX16" s="21"/>
      <c r="ADY16" s="21"/>
      <c r="ADZ16" s="21"/>
      <c r="AEA16" s="163"/>
      <c r="AEB16" s="21"/>
      <c r="AEC16" s="21"/>
      <c r="AED16" s="21"/>
      <c r="AEE16" s="21"/>
      <c r="AEF16" s="21"/>
      <c r="AEG16" s="21"/>
      <c r="AEH16" s="21"/>
      <c r="AEI16" s="21"/>
      <c r="AEJ16" s="21"/>
      <c r="AEK16" s="21"/>
      <c r="AEL16" s="21"/>
      <c r="AEM16" s="21"/>
      <c r="AEN16" s="163"/>
    </row>
    <row r="17" spans="1:820">
      <c r="A17" s="163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163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  <c r="AA17" s="163"/>
      <c r="AB17" s="75"/>
      <c r="AC17" s="75"/>
      <c r="AD17" s="75"/>
      <c r="AE17" s="75"/>
      <c r="AF17" s="75"/>
      <c r="AG17" s="75"/>
      <c r="AH17" s="75"/>
      <c r="AI17" s="75"/>
      <c r="AJ17" s="75"/>
      <c r="AK17" s="75"/>
      <c r="AL17" s="75"/>
      <c r="AM17" s="75"/>
      <c r="AN17" s="163"/>
      <c r="AO17" s="163"/>
      <c r="AP17" s="163"/>
      <c r="AQ17" s="163"/>
      <c r="AR17" s="163"/>
      <c r="AS17" s="163"/>
      <c r="AT17" s="163"/>
      <c r="AU17" s="163"/>
      <c r="AV17" s="163"/>
      <c r="AW17" s="163"/>
      <c r="AX17" s="163"/>
      <c r="AY17" s="163"/>
      <c r="AZ17" s="163"/>
      <c r="BA17" s="163"/>
      <c r="BB17" s="163"/>
      <c r="BC17" s="163"/>
      <c r="BD17" s="163"/>
      <c r="BE17" s="163"/>
      <c r="BF17" s="163"/>
      <c r="BG17" s="163"/>
      <c r="BH17" s="163"/>
      <c r="BI17" s="163"/>
      <c r="BJ17" s="163"/>
      <c r="BK17" s="163"/>
      <c r="BL17" s="163"/>
      <c r="BM17" s="163"/>
      <c r="BN17" s="163"/>
      <c r="BO17" s="163"/>
      <c r="BP17" s="163"/>
      <c r="BQ17" s="163"/>
      <c r="BR17" s="163"/>
      <c r="BS17" s="163"/>
      <c r="BT17" s="163"/>
      <c r="BU17" s="163"/>
      <c r="BV17" s="163"/>
      <c r="BW17" s="163"/>
      <c r="BX17" s="163"/>
      <c r="BY17" s="163"/>
      <c r="BZ17" s="163"/>
      <c r="CA17" s="163"/>
      <c r="CB17" s="163"/>
      <c r="CC17" s="163"/>
      <c r="CD17" s="163"/>
      <c r="CE17" s="163"/>
      <c r="CF17" s="163"/>
      <c r="CG17" s="163"/>
      <c r="CH17" s="163"/>
      <c r="CI17" s="163"/>
      <c r="CJ17" s="163"/>
      <c r="CK17" s="163"/>
      <c r="CL17" s="163"/>
      <c r="CM17" s="163"/>
      <c r="CN17" s="163"/>
      <c r="CO17" s="163"/>
      <c r="CP17" s="163"/>
      <c r="CQ17" s="163"/>
      <c r="CR17" s="163"/>
      <c r="CS17" s="163"/>
      <c r="CT17" s="163"/>
      <c r="CU17" s="163"/>
      <c r="CV17" s="163"/>
      <c r="CW17" s="163"/>
      <c r="CX17" s="163"/>
      <c r="CY17" s="163"/>
      <c r="CZ17" s="163"/>
      <c r="DA17" s="163"/>
      <c r="DB17" s="163"/>
      <c r="DC17" s="163"/>
      <c r="DD17" s="163"/>
      <c r="DE17" s="163"/>
      <c r="DF17" s="163"/>
      <c r="DG17" s="163"/>
      <c r="DH17" s="163"/>
      <c r="DI17" s="163"/>
      <c r="DJ17" s="163"/>
      <c r="DK17" s="163"/>
      <c r="DL17" s="163"/>
      <c r="DM17" s="163"/>
      <c r="DN17" s="163"/>
      <c r="DO17" s="163"/>
      <c r="DP17" s="163"/>
      <c r="DQ17" s="163"/>
      <c r="DR17" s="163"/>
      <c r="DS17" s="163"/>
      <c r="DT17" s="163"/>
      <c r="DU17" s="163"/>
      <c r="DV17" s="163"/>
      <c r="DW17" s="163"/>
      <c r="DX17" s="163"/>
      <c r="DY17" s="163"/>
      <c r="DZ17" s="163"/>
      <c r="EA17" s="163"/>
      <c r="EB17" s="163"/>
      <c r="EC17" s="163"/>
      <c r="ED17" s="163"/>
      <c r="EE17" s="163"/>
      <c r="EF17" s="163"/>
      <c r="EG17" s="163"/>
      <c r="EH17" s="163"/>
      <c r="EI17" s="163"/>
      <c r="EJ17" s="163"/>
      <c r="EK17" s="163"/>
      <c r="EL17" s="163"/>
      <c r="EM17" s="163"/>
      <c r="EN17" s="163"/>
      <c r="EO17" s="163"/>
      <c r="EP17" s="163"/>
      <c r="EQ17" s="163"/>
      <c r="ER17" s="163"/>
      <c r="ES17" s="163"/>
      <c r="ET17" s="163"/>
      <c r="EU17" s="163"/>
      <c r="EV17" s="163"/>
      <c r="EW17" s="163"/>
      <c r="EX17" s="163"/>
      <c r="EY17" s="163"/>
      <c r="EZ17" s="163"/>
      <c r="FA17" s="163"/>
      <c r="FB17" s="163"/>
      <c r="FC17" s="163"/>
      <c r="FD17" s="163"/>
      <c r="FE17" s="163"/>
      <c r="FF17" s="163"/>
      <c r="FG17" s="163"/>
      <c r="FH17" s="163"/>
      <c r="FI17" s="163"/>
      <c r="FJ17" s="163"/>
      <c r="FK17" s="163"/>
      <c r="FL17" s="163"/>
      <c r="FM17" s="163"/>
      <c r="FN17" s="163"/>
      <c r="FO17" s="163"/>
      <c r="FP17" s="163"/>
      <c r="FQ17" s="163"/>
      <c r="FR17" s="163"/>
      <c r="FS17" s="163"/>
      <c r="FT17" s="163"/>
      <c r="FU17" s="163"/>
      <c r="FV17" s="163"/>
      <c r="FW17" s="163"/>
      <c r="FX17" s="163"/>
      <c r="FY17" s="163"/>
      <c r="FZ17" s="163"/>
      <c r="GA17" s="163"/>
      <c r="GB17" s="163"/>
      <c r="GC17" s="163"/>
      <c r="GD17" s="163"/>
      <c r="GE17" s="163"/>
      <c r="GF17" s="163"/>
      <c r="GG17" s="163"/>
      <c r="GH17" s="163"/>
      <c r="GI17" s="163"/>
      <c r="GJ17" s="163"/>
      <c r="GK17" s="163"/>
      <c r="GL17" s="163"/>
      <c r="GM17" s="163"/>
      <c r="GN17" s="163"/>
      <c r="GO17" s="163"/>
      <c r="GP17" s="163"/>
      <c r="GQ17" s="163"/>
      <c r="GR17" s="163"/>
      <c r="GS17" s="163"/>
      <c r="GT17" s="163"/>
      <c r="GU17" s="163"/>
      <c r="GV17" s="163"/>
      <c r="GW17" s="163"/>
      <c r="GX17" s="163"/>
      <c r="GY17" s="163"/>
      <c r="GZ17" s="163"/>
      <c r="HA17" s="163"/>
      <c r="HB17" s="163"/>
      <c r="HC17" s="163"/>
      <c r="HD17" s="163"/>
      <c r="HE17" s="163"/>
      <c r="HF17" s="163"/>
      <c r="HG17" s="163"/>
      <c r="HH17" s="163"/>
      <c r="HI17" s="163"/>
      <c r="HJ17" s="163"/>
      <c r="HK17" s="163"/>
      <c r="HL17" s="163"/>
      <c r="HM17" s="163"/>
      <c r="HN17" s="163"/>
      <c r="HO17" s="163"/>
      <c r="HP17" s="163"/>
      <c r="HQ17" s="163"/>
      <c r="HR17" s="163"/>
      <c r="HS17" s="163"/>
      <c r="HT17" s="163"/>
      <c r="HU17" s="163"/>
      <c r="HV17" s="163"/>
      <c r="HW17" s="163"/>
      <c r="HX17" s="163"/>
      <c r="HY17" s="163"/>
      <c r="HZ17" s="163"/>
      <c r="IA17" s="163"/>
      <c r="IB17" s="163"/>
      <c r="IC17" s="163"/>
      <c r="ID17" s="163"/>
      <c r="IE17" s="163"/>
      <c r="IF17" s="163"/>
      <c r="IG17" s="163"/>
      <c r="IH17" s="163"/>
      <c r="II17" s="163"/>
      <c r="IJ17" s="163"/>
      <c r="IK17" s="163"/>
      <c r="IL17" s="163"/>
      <c r="IM17" s="163"/>
      <c r="IN17" s="163"/>
      <c r="IO17" s="163"/>
      <c r="IP17" s="163"/>
      <c r="IQ17" s="163"/>
      <c r="IR17" s="163"/>
      <c r="IS17" s="163"/>
      <c r="IT17" s="163"/>
      <c r="IU17" s="163"/>
      <c r="IV17" s="163"/>
      <c r="IW17" s="163"/>
      <c r="IX17" s="163"/>
      <c r="IY17" s="163"/>
      <c r="IZ17" s="163"/>
      <c r="JA17" s="163"/>
      <c r="JB17" s="163"/>
      <c r="JC17" s="163"/>
      <c r="JD17" s="163"/>
      <c r="JE17" s="163"/>
      <c r="JF17" s="163"/>
      <c r="JG17" s="163"/>
      <c r="JH17" s="163"/>
      <c r="JI17" s="163"/>
      <c r="JJ17" s="163"/>
      <c r="JK17" s="163"/>
      <c r="JL17" s="163"/>
      <c r="JM17" s="163"/>
      <c r="JN17" s="163"/>
      <c r="JO17" s="163"/>
      <c r="JP17" s="163"/>
      <c r="JQ17" s="163"/>
      <c r="JR17" s="163"/>
      <c r="JS17" s="163"/>
      <c r="JT17" s="163"/>
      <c r="JU17" s="163"/>
      <c r="JV17" s="163"/>
      <c r="JW17" s="163"/>
      <c r="JX17" s="163"/>
      <c r="JY17" s="163"/>
      <c r="JZ17" s="163"/>
      <c r="KA17" s="163"/>
      <c r="KB17" s="163"/>
      <c r="KC17" s="163"/>
      <c r="KD17" s="163"/>
      <c r="KE17" s="163"/>
      <c r="KF17" s="163"/>
      <c r="KG17" s="163"/>
      <c r="KH17" s="163"/>
      <c r="KI17" s="163"/>
      <c r="KJ17" s="163"/>
      <c r="KK17" s="163"/>
      <c r="KL17" s="163"/>
      <c r="KM17" s="163"/>
      <c r="KN17" s="163"/>
      <c r="KO17" s="163"/>
      <c r="KP17" s="163"/>
      <c r="KQ17" s="163"/>
      <c r="KR17" s="163"/>
      <c r="KS17" s="163"/>
      <c r="KT17" s="163"/>
      <c r="KU17" s="163"/>
      <c r="KV17" s="163"/>
      <c r="KW17" s="163"/>
      <c r="KX17" s="163"/>
      <c r="KY17" s="163"/>
      <c r="KZ17" s="163"/>
      <c r="LA17" s="163"/>
      <c r="LB17" s="163"/>
      <c r="LC17" s="163"/>
      <c r="LD17" s="163"/>
      <c r="LE17" s="163"/>
      <c r="LF17" s="163"/>
      <c r="LG17" s="163"/>
      <c r="LH17" s="163"/>
      <c r="LI17" s="163"/>
      <c r="LJ17" s="163"/>
      <c r="LK17" s="163"/>
      <c r="LL17" s="163"/>
      <c r="LM17" s="163"/>
      <c r="LN17" s="163"/>
      <c r="LO17" s="163"/>
      <c r="LP17" s="163"/>
      <c r="LQ17" s="163"/>
      <c r="LR17" s="163"/>
      <c r="LS17" s="163"/>
      <c r="LT17" s="163"/>
      <c r="LU17" s="163"/>
      <c r="LV17" s="163"/>
      <c r="LW17" s="163"/>
      <c r="LX17" s="163"/>
      <c r="LY17" s="163"/>
      <c r="LZ17" s="163"/>
      <c r="MA17" s="163"/>
      <c r="MB17" s="163"/>
      <c r="MC17" s="163"/>
      <c r="MD17" s="163"/>
      <c r="ME17" s="163"/>
      <c r="MF17" s="163"/>
      <c r="MG17" s="163"/>
      <c r="MH17" s="163"/>
      <c r="MI17" s="163"/>
      <c r="MJ17" s="163"/>
      <c r="MK17" s="163"/>
      <c r="ML17" s="163"/>
      <c r="MM17" s="163"/>
      <c r="MN17" s="163"/>
      <c r="MO17" s="163"/>
      <c r="MP17" s="163"/>
      <c r="MQ17" s="163"/>
      <c r="MR17" s="163"/>
      <c r="MS17" s="163"/>
      <c r="MT17" s="163"/>
      <c r="MU17" s="163"/>
      <c r="MV17" s="163"/>
      <c r="MW17" s="163"/>
      <c r="MX17" s="163"/>
      <c r="MY17" s="163"/>
      <c r="MZ17" s="163"/>
      <c r="NA17" s="163"/>
      <c r="NB17" s="163"/>
      <c r="NC17" s="163"/>
      <c r="ND17" s="163"/>
      <c r="NE17" s="163"/>
      <c r="NF17" s="163"/>
      <c r="NG17" s="163"/>
      <c r="NH17" s="163"/>
      <c r="NI17" s="163"/>
      <c r="NJ17" s="163"/>
      <c r="NK17" s="163"/>
      <c r="NL17" s="163"/>
      <c r="NM17" s="163"/>
      <c r="NN17" s="163"/>
      <c r="NO17" s="163"/>
      <c r="NP17" s="163"/>
      <c r="NQ17" s="163"/>
      <c r="NR17" s="163"/>
      <c r="NS17" s="163"/>
      <c r="NT17" s="163"/>
      <c r="NU17" s="163"/>
      <c r="NV17" s="163"/>
      <c r="NW17" s="163"/>
      <c r="NX17" s="163"/>
      <c r="NY17" s="163"/>
      <c r="NZ17" s="163"/>
      <c r="OA17" s="163"/>
      <c r="OB17" s="163"/>
      <c r="OC17" s="163"/>
      <c r="OD17" s="163"/>
      <c r="OE17" s="163"/>
      <c r="OF17" s="163"/>
      <c r="OG17" s="163"/>
      <c r="OH17" s="163"/>
      <c r="OI17" s="163"/>
      <c r="OJ17" s="163"/>
      <c r="OK17" s="163"/>
      <c r="OL17" s="163"/>
      <c r="OM17" s="163"/>
      <c r="ON17" s="163"/>
      <c r="OO17" s="163"/>
      <c r="OP17" s="163"/>
      <c r="OQ17" s="163"/>
      <c r="OR17" s="163"/>
      <c r="OS17" s="163"/>
      <c r="OT17" s="163"/>
      <c r="OU17" s="163"/>
      <c r="OV17" s="163"/>
      <c r="OW17" s="163"/>
      <c r="OX17" s="163"/>
      <c r="OY17" s="163"/>
      <c r="OZ17" s="163"/>
      <c r="PA17" s="163"/>
      <c r="PB17" s="163"/>
      <c r="PC17" s="163"/>
      <c r="PD17" s="163"/>
      <c r="PE17" s="163"/>
      <c r="PF17" s="163"/>
      <c r="PG17" s="163"/>
      <c r="PH17" s="163"/>
      <c r="PI17" s="163"/>
      <c r="PJ17" s="163"/>
      <c r="PK17" s="163"/>
      <c r="PL17" s="163"/>
      <c r="PM17" s="163"/>
      <c r="PN17" s="163"/>
      <c r="PO17" s="163"/>
      <c r="PP17" s="163"/>
      <c r="PQ17" s="163"/>
      <c r="PR17" s="163"/>
      <c r="PS17" s="163"/>
      <c r="PT17" s="163"/>
      <c r="PU17" s="163"/>
      <c r="PV17" s="163"/>
      <c r="PW17" s="163"/>
      <c r="PX17" s="163"/>
      <c r="PY17" s="163"/>
      <c r="PZ17" s="163"/>
      <c r="QA17" s="163"/>
      <c r="QB17" s="163"/>
      <c r="QC17" s="163"/>
      <c r="QD17" s="163"/>
      <c r="QE17" s="163"/>
      <c r="QF17" s="163"/>
      <c r="QG17" s="163"/>
      <c r="QH17" s="163"/>
      <c r="QI17" s="163"/>
      <c r="QJ17" s="163"/>
      <c r="QK17" s="163"/>
      <c r="QL17" s="163"/>
      <c r="QM17" s="163"/>
      <c r="QN17" s="163"/>
      <c r="QO17" s="163"/>
      <c r="QP17" s="163"/>
      <c r="QQ17" s="163"/>
      <c r="QR17" s="163"/>
      <c r="QS17" s="163"/>
      <c r="QT17" s="163"/>
      <c r="QU17" s="163"/>
      <c r="QV17" s="163"/>
      <c r="QW17" s="163"/>
      <c r="QX17" s="163"/>
      <c r="QY17" s="163"/>
      <c r="QZ17" s="163"/>
      <c r="RA17" s="163"/>
      <c r="RB17" s="163"/>
      <c r="RC17" s="163"/>
      <c r="RD17" s="163"/>
      <c r="RE17" s="163"/>
      <c r="RF17" s="163"/>
      <c r="RG17" s="163"/>
      <c r="RH17" s="163"/>
      <c r="RI17" s="163"/>
      <c r="RJ17" s="163"/>
      <c r="RK17" s="163"/>
      <c r="RL17" s="163"/>
      <c r="RM17" s="163"/>
      <c r="RN17" s="163"/>
      <c r="RO17" s="163"/>
      <c r="RP17" s="163"/>
      <c r="RQ17" s="163"/>
      <c r="RR17" s="163"/>
      <c r="RS17" s="163"/>
      <c r="RT17" s="163"/>
      <c r="RU17" s="163"/>
      <c r="RV17" s="163"/>
      <c r="RW17" s="163"/>
      <c r="RX17" s="163"/>
      <c r="RY17" s="163"/>
      <c r="RZ17" s="163"/>
      <c r="SA17" s="163"/>
      <c r="SB17" s="163"/>
      <c r="SC17" s="163"/>
      <c r="SD17" s="163"/>
      <c r="SE17" s="163"/>
      <c r="SF17" s="163"/>
      <c r="SG17" s="163"/>
      <c r="SH17" s="163"/>
      <c r="SI17" s="163"/>
      <c r="SJ17" s="163"/>
      <c r="SK17" s="163"/>
      <c r="SL17" s="163"/>
      <c r="SM17" s="163"/>
      <c r="SN17" s="163"/>
      <c r="SO17" s="163"/>
      <c r="SP17" s="163"/>
      <c r="SQ17" s="163"/>
      <c r="SR17" s="163"/>
      <c r="SS17" s="163"/>
      <c r="ST17" s="163"/>
      <c r="SU17" s="163"/>
      <c r="SV17" s="163"/>
      <c r="SW17" s="163"/>
      <c r="SX17" s="163"/>
      <c r="SY17" s="163"/>
      <c r="SZ17" s="163"/>
      <c r="TA17" s="163"/>
      <c r="TB17" s="163"/>
      <c r="TC17" s="163"/>
      <c r="TD17" s="163"/>
      <c r="TE17" s="163"/>
      <c r="TF17" s="163"/>
      <c r="TG17" s="163"/>
      <c r="TH17" s="163"/>
      <c r="TI17" s="163"/>
      <c r="TJ17" s="163"/>
      <c r="TK17" s="163"/>
      <c r="TL17" s="163"/>
      <c r="TM17" s="163"/>
      <c r="TN17" s="163"/>
      <c r="TO17" s="163"/>
      <c r="TP17" s="163"/>
      <c r="TQ17" s="163"/>
      <c r="TR17" s="163"/>
      <c r="TS17" s="163"/>
      <c r="TT17" s="163"/>
      <c r="TU17" s="163"/>
      <c r="TV17" s="163"/>
      <c r="TW17" s="163"/>
      <c r="TX17" s="163"/>
      <c r="TY17" s="163"/>
      <c r="TZ17" s="163"/>
      <c r="UA17" s="163"/>
      <c r="UB17" s="163"/>
      <c r="UC17" s="163"/>
      <c r="UD17" s="163"/>
      <c r="UE17" s="163"/>
      <c r="UF17" s="163"/>
      <c r="UG17" s="163"/>
      <c r="UH17" s="163"/>
      <c r="UI17" s="163"/>
      <c r="UJ17" s="163"/>
      <c r="UK17" s="163"/>
      <c r="UL17" s="163"/>
      <c r="UM17" s="163"/>
      <c r="UN17" s="163"/>
      <c r="UO17" s="163"/>
      <c r="UP17" s="163"/>
      <c r="UQ17" s="163"/>
      <c r="UR17" s="163"/>
      <c r="US17" s="163"/>
      <c r="UT17" s="163"/>
      <c r="UU17" s="163"/>
      <c r="UV17" s="163"/>
      <c r="UW17" s="163"/>
      <c r="UX17" s="163"/>
      <c r="UY17" s="163"/>
      <c r="UZ17" s="163"/>
      <c r="VA17" s="163"/>
      <c r="VB17" s="163"/>
      <c r="VC17" s="163"/>
      <c r="VD17" s="163"/>
      <c r="VE17" s="163"/>
      <c r="VF17" s="163"/>
      <c r="VG17" s="163"/>
      <c r="VH17" s="163"/>
      <c r="VI17" s="163"/>
      <c r="VJ17" s="163"/>
      <c r="VK17" s="163"/>
      <c r="VL17" s="163"/>
      <c r="VM17" s="163"/>
      <c r="VN17" s="163"/>
      <c r="VO17" s="163"/>
      <c r="VP17" s="163"/>
      <c r="VQ17" s="163"/>
      <c r="VR17" s="163"/>
      <c r="VS17" s="163"/>
      <c r="VT17" s="163"/>
      <c r="VU17" s="163"/>
      <c r="VV17" s="163"/>
      <c r="VW17" s="163"/>
      <c r="VX17" s="163"/>
      <c r="VY17" s="163"/>
      <c r="VZ17" s="163"/>
      <c r="WA17" s="163"/>
      <c r="WB17" s="163"/>
      <c r="WC17" s="163"/>
      <c r="WD17" s="163"/>
      <c r="WE17" s="163"/>
      <c r="WF17" s="163"/>
      <c r="WG17" s="163"/>
      <c r="WH17" s="163"/>
      <c r="WI17" s="163"/>
      <c r="WJ17" s="163"/>
      <c r="WK17" s="163"/>
      <c r="WL17" s="163"/>
      <c r="WM17" s="163"/>
      <c r="WN17" s="163"/>
      <c r="WO17" s="163"/>
      <c r="WP17" s="163"/>
      <c r="WQ17" s="163"/>
      <c r="WR17" s="163"/>
      <c r="WS17" s="163"/>
      <c r="WT17" s="163"/>
      <c r="WU17" s="163"/>
      <c r="WV17" s="163"/>
      <c r="WW17" s="163"/>
      <c r="WX17" s="163"/>
      <c r="WY17" s="163"/>
      <c r="WZ17" s="163"/>
      <c r="XA17" s="163"/>
      <c r="XB17" s="163"/>
      <c r="XC17" s="163"/>
      <c r="XD17" s="163"/>
      <c r="XE17" s="163"/>
      <c r="XF17" s="163"/>
      <c r="XG17" s="163"/>
      <c r="XH17" s="163"/>
      <c r="XI17" s="163"/>
      <c r="XJ17" s="163"/>
      <c r="XK17" s="163"/>
      <c r="XL17" s="163"/>
      <c r="XM17" s="163"/>
      <c r="XN17" s="163"/>
      <c r="XO17" s="163"/>
      <c r="XP17" s="163"/>
      <c r="XQ17" s="163"/>
      <c r="XR17" s="163"/>
      <c r="XS17" s="163"/>
      <c r="XT17" s="163"/>
      <c r="XU17" s="163"/>
      <c r="XV17" s="163"/>
      <c r="XW17" s="163"/>
      <c r="XX17" s="163"/>
      <c r="XY17" s="163"/>
      <c r="XZ17" s="163"/>
      <c r="YA17" s="163"/>
      <c r="YB17" s="163"/>
      <c r="YC17" s="163"/>
      <c r="YD17" s="163"/>
      <c r="YE17" s="163"/>
      <c r="YF17" s="163"/>
      <c r="YG17" s="163"/>
      <c r="YH17" s="163"/>
      <c r="YI17" s="163"/>
      <c r="YJ17" s="163"/>
      <c r="YK17" s="163"/>
      <c r="YL17" s="163"/>
      <c r="YM17" s="163"/>
      <c r="YN17" s="163"/>
      <c r="YO17" s="163"/>
      <c r="YP17" s="163"/>
      <c r="YQ17" s="163"/>
      <c r="YR17" s="163"/>
      <c r="YS17" s="163"/>
      <c r="YT17" s="163"/>
      <c r="YU17" s="163"/>
      <c r="YV17" s="163"/>
      <c r="YW17" s="163"/>
      <c r="YX17" s="163"/>
      <c r="YY17" s="163"/>
      <c r="YZ17" s="163"/>
      <c r="ZA17" s="163"/>
      <c r="ZB17" s="163"/>
      <c r="ZC17" s="163"/>
      <c r="ZD17" s="163"/>
      <c r="ZE17" s="163"/>
      <c r="ZF17" s="163"/>
      <c r="ZG17" s="163"/>
      <c r="ZH17" s="163"/>
      <c r="ZI17" s="163"/>
      <c r="ZJ17" s="163"/>
      <c r="ZK17" s="163"/>
      <c r="ZL17" s="163"/>
      <c r="ZM17" s="163"/>
      <c r="ZN17" s="163"/>
      <c r="ZO17" s="163"/>
      <c r="ZP17" s="163"/>
      <c r="ZQ17" s="163"/>
      <c r="ZR17" s="163"/>
      <c r="ZS17" s="163"/>
      <c r="ZT17" s="163"/>
      <c r="ZU17" s="163"/>
      <c r="ZV17" s="163"/>
      <c r="ZW17" s="163"/>
      <c r="ZX17" s="163"/>
      <c r="ZY17" s="163"/>
      <c r="ZZ17" s="163"/>
      <c r="AAA17" s="163"/>
      <c r="AAB17" s="163"/>
      <c r="AAC17" s="163"/>
      <c r="AAD17" s="163"/>
      <c r="AAE17" s="163"/>
      <c r="AAF17" s="163"/>
      <c r="AAG17" s="163"/>
      <c r="AAH17" s="163"/>
      <c r="AAI17" s="163"/>
      <c r="AAJ17" s="163"/>
      <c r="AAK17" s="163"/>
      <c r="AAL17" s="163"/>
      <c r="AAM17" s="163"/>
      <c r="AAN17" s="163"/>
      <c r="AAO17" s="163"/>
      <c r="AAP17" s="163"/>
      <c r="AAQ17" s="163"/>
      <c r="AAR17" s="163"/>
      <c r="AAS17" s="163"/>
      <c r="AAT17" s="163"/>
      <c r="AAU17" s="163"/>
      <c r="AAV17" s="163"/>
      <c r="AAW17" s="163"/>
      <c r="AAX17" s="163"/>
      <c r="AAY17" s="163"/>
      <c r="AAZ17" s="163"/>
      <c r="ABA17" s="163"/>
      <c r="ABB17" s="163"/>
      <c r="ABC17" s="163"/>
      <c r="ABD17" s="163"/>
      <c r="ABE17" s="163"/>
      <c r="ABF17" s="163"/>
      <c r="ABG17" s="163"/>
      <c r="ABH17" s="163"/>
      <c r="ABI17" s="163"/>
      <c r="ABJ17" s="163"/>
      <c r="ABK17" s="163"/>
      <c r="ABL17" s="163"/>
      <c r="ABM17" s="163"/>
      <c r="ABN17" s="163"/>
      <c r="ABO17" s="163"/>
      <c r="ABP17" s="163"/>
      <c r="ABQ17" s="163"/>
      <c r="ABR17" s="163"/>
      <c r="ABS17" s="163"/>
      <c r="ABT17" s="163"/>
      <c r="ABU17" s="163"/>
      <c r="ABV17" s="163"/>
      <c r="ABW17" s="163"/>
      <c r="ABX17" s="163"/>
      <c r="ABY17" s="163"/>
      <c r="ABZ17" s="163"/>
      <c r="ACA17" s="163"/>
      <c r="ACB17" s="163"/>
      <c r="ACC17" s="163"/>
      <c r="ACD17" s="163"/>
      <c r="ACE17" s="163"/>
      <c r="ACF17" s="163"/>
      <c r="ACG17" s="163"/>
      <c r="ACH17" s="163"/>
      <c r="ACI17" s="163"/>
      <c r="ACJ17" s="163"/>
      <c r="ACK17" s="163"/>
      <c r="ACL17" s="163"/>
      <c r="ACM17" s="163"/>
      <c r="ACN17" s="163"/>
      <c r="ACO17" s="163"/>
      <c r="ACP17" s="163"/>
      <c r="ACQ17" s="163"/>
      <c r="ACR17" s="163"/>
      <c r="ACS17" s="163"/>
      <c r="ACT17" s="163"/>
      <c r="ACU17" s="163"/>
      <c r="ACV17" s="163"/>
      <c r="ACW17" s="163"/>
      <c r="ACX17" s="163"/>
      <c r="ACY17" s="163"/>
      <c r="ACZ17" s="163"/>
      <c r="ADA17" s="163"/>
      <c r="ADB17" s="163"/>
      <c r="ADC17" s="163"/>
      <c r="ADD17" s="163"/>
      <c r="ADE17" s="163"/>
      <c r="ADF17" s="163"/>
      <c r="ADG17" s="163"/>
      <c r="ADH17" s="163"/>
      <c r="ADI17" s="163"/>
      <c r="ADJ17" s="163"/>
      <c r="ADK17" s="163"/>
      <c r="ADL17" s="163"/>
      <c r="ADM17" s="163"/>
      <c r="ADN17" s="163"/>
      <c r="ADO17" s="163"/>
      <c r="ADP17" s="163"/>
      <c r="ADQ17" s="163"/>
      <c r="ADR17" s="163"/>
      <c r="ADS17" s="163"/>
      <c r="ADT17" s="163"/>
      <c r="ADU17" s="163"/>
      <c r="ADV17" s="163"/>
      <c r="ADW17" s="163"/>
      <c r="ADX17" s="163"/>
      <c r="ADY17" s="163"/>
      <c r="ADZ17" s="163"/>
      <c r="AEA17" s="163"/>
      <c r="AEB17" s="163"/>
      <c r="AEC17" s="163"/>
      <c r="AED17" s="163"/>
      <c r="AEE17" s="163"/>
      <c r="AEF17" s="163"/>
      <c r="AEG17" s="163"/>
      <c r="AEH17" s="163"/>
      <c r="AEI17" s="163"/>
      <c r="AEJ17" s="163"/>
      <c r="AEK17" s="163"/>
      <c r="AEL17" s="163"/>
      <c r="AEM17" s="163"/>
      <c r="AEN17" s="163"/>
    </row>
    <row r="18" spans="1:820">
      <c r="A18" s="163"/>
      <c r="B18" s="75"/>
      <c r="C18" s="75"/>
      <c r="D18" s="75"/>
      <c r="E18" s="75"/>
      <c r="F18" s="75"/>
      <c r="G18" s="75"/>
      <c r="H18" s="75"/>
      <c r="I18" s="75"/>
      <c r="J18" s="75"/>
      <c r="K18" s="75"/>
      <c r="L18" s="75"/>
      <c r="M18" s="75"/>
      <c r="N18" s="163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  <c r="AA18" s="163"/>
      <c r="AB18" s="75"/>
      <c r="AC18" s="75"/>
      <c r="AD18" s="75"/>
      <c r="AE18" s="75"/>
      <c r="AF18" s="75"/>
      <c r="AG18" s="75"/>
      <c r="AH18" s="75"/>
      <c r="AI18" s="75"/>
      <c r="AJ18" s="75"/>
      <c r="AK18" s="75"/>
      <c r="AL18" s="75"/>
      <c r="AM18" s="75"/>
      <c r="AN18" s="163"/>
      <c r="AO18" s="163"/>
      <c r="AP18" s="163"/>
      <c r="AQ18" s="163"/>
      <c r="AR18" s="163"/>
      <c r="AS18" s="163"/>
      <c r="AT18" s="163"/>
      <c r="AU18" s="163"/>
      <c r="AV18" s="163"/>
      <c r="AW18" s="163"/>
      <c r="AX18" s="163"/>
      <c r="AY18" s="163"/>
      <c r="AZ18" s="163"/>
      <c r="BA18" s="163"/>
      <c r="BB18" s="163"/>
      <c r="BC18" s="163"/>
      <c r="BD18" s="163"/>
      <c r="BE18" s="163"/>
      <c r="BF18" s="163"/>
      <c r="BG18" s="163"/>
      <c r="BH18" s="163"/>
      <c r="BI18" s="163"/>
      <c r="BJ18" s="163"/>
      <c r="BK18" s="163"/>
      <c r="BL18" s="163"/>
      <c r="BM18" s="163"/>
      <c r="BN18" s="163"/>
      <c r="BO18" s="163"/>
      <c r="BP18" s="163"/>
      <c r="BQ18" s="163"/>
      <c r="BR18" s="163"/>
      <c r="BS18" s="163"/>
      <c r="BT18" s="163"/>
      <c r="BU18" s="163"/>
      <c r="BV18" s="163"/>
      <c r="BW18" s="163"/>
      <c r="BX18" s="163"/>
      <c r="BY18" s="163"/>
      <c r="BZ18" s="163"/>
      <c r="CA18" s="163"/>
      <c r="CB18" s="163"/>
      <c r="CC18" s="163"/>
      <c r="CD18" s="163"/>
      <c r="CE18" s="163"/>
      <c r="CF18" s="163"/>
      <c r="CG18" s="163"/>
      <c r="CH18" s="163"/>
      <c r="CI18" s="163"/>
      <c r="CJ18" s="163"/>
      <c r="CK18" s="163"/>
      <c r="CL18" s="163"/>
      <c r="CM18" s="163"/>
      <c r="CN18" s="163"/>
      <c r="CO18" s="163"/>
      <c r="CP18" s="163"/>
      <c r="CQ18" s="163"/>
      <c r="CR18" s="163"/>
      <c r="CS18" s="163"/>
      <c r="CT18" s="163"/>
      <c r="CU18" s="163"/>
      <c r="CV18" s="163"/>
      <c r="CW18" s="163"/>
      <c r="CX18" s="163"/>
      <c r="CY18" s="163"/>
      <c r="CZ18" s="163"/>
      <c r="DA18" s="163"/>
      <c r="DB18" s="163"/>
      <c r="DC18" s="163"/>
      <c r="DD18" s="163"/>
      <c r="DE18" s="163"/>
      <c r="DF18" s="163"/>
      <c r="DG18" s="163"/>
      <c r="DH18" s="163"/>
      <c r="DI18" s="163"/>
      <c r="DJ18" s="163"/>
      <c r="DK18" s="163"/>
      <c r="DL18" s="163"/>
      <c r="DM18" s="163"/>
      <c r="DN18" s="163"/>
      <c r="DO18" s="163"/>
      <c r="DP18" s="163"/>
      <c r="DQ18" s="163"/>
      <c r="DR18" s="163"/>
      <c r="DS18" s="163"/>
      <c r="DT18" s="163"/>
      <c r="DU18" s="163"/>
      <c r="DV18" s="163"/>
      <c r="DW18" s="163"/>
      <c r="DX18" s="163"/>
      <c r="DY18" s="163"/>
      <c r="DZ18" s="163"/>
      <c r="EA18" s="163"/>
      <c r="EB18" s="163"/>
      <c r="EC18" s="163"/>
      <c r="ED18" s="163"/>
      <c r="EE18" s="163"/>
      <c r="EF18" s="163"/>
      <c r="EG18" s="163"/>
      <c r="EH18" s="163"/>
      <c r="EI18" s="163"/>
      <c r="EJ18" s="163"/>
      <c r="EK18" s="163"/>
      <c r="EL18" s="163"/>
      <c r="EM18" s="163"/>
      <c r="EN18" s="163"/>
      <c r="EO18" s="163"/>
      <c r="EP18" s="163"/>
      <c r="EQ18" s="163"/>
      <c r="ER18" s="163"/>
      <c r="ES18" s="163"/>
      <c r="ET18" s="163"/>
      <c r="EU18" s="163"/>
      <c r="EV18" s="163"/>
      <c r="EW18" s="163"/>
      <c r="EX18" s="163"/>
      <c r="EY18" s="163"/>
      <c r="EZ18" s="163"/>
      <c r="FA18" s="163"/>
      <c r="FB18" s="163"/>
      <c r="FC18" s="163"/>
      <c r="FD18" s="163"/>
      <c r="FE18" s="163"/>
      <c r="FF18" s="163"/>
      <c r="FG18" s="163"/>
      <c r="FH18" s="163"/>
      <c r="FI18" s="163"/>
      <c r="FJ18" s="163"/>
      <c r="FK18" s="163"/>
      <c r="FL18" s="163"/>
      <c r="FM18" s="163"/>
      <c r="FN18" s="163"/>
      <c r="FO18" s="163"/>
      <c r="FP18" s="163"/>
      <c r="FQ18" s="163"/>
      <c r="FR18" s="163"/>
      <c r="FS18" s="163"/>
      <c r="FT18" s="163"/>
      <c r="FU18" s="163"/>
      <c r="FV18" s="163"/>
      <c r="FW18" s="163"/>
      <c r="FX18" s="163"/>
      <c r="FY18" s="163"/>
      <c r="FZ18" s="163"/>
      <c r="GA18" s="163"/>
      <c r="GB18" s="163"/>
      <c r="GC18" s="163"/>
      <c r="GD18" s="163"/>
      <c r="GE18" s="163"/>
      <c r="GF18" s="163"/>
      <c r="GG18" s="163"/>
      <c r="GH18" s="163"/>
      <c r="GI18" s="163"/>
      <c r="GJ18" s="163"/>
      <c r="GK18" s="163"/>
      <c r="GL18" s="163"/>
      <c r="GM18" s="163"/>
      <c r="GN18" s="163"/>
      <c r="GO18" s="163"/>
      <c r="GP18" s="163"/>
      <c r="GQ18" s="163"/>
      <c r="GR18" s="163"/>
      <c r="GS18" s="163"/>
      <c r="GT18" s="163"/>
      <c r="GU18" s="163"/>
      <c r="GV18" s="163"/>
      <c r="GW18" s="163"/>
      <c r="GX18" s="163"/>
      <c r="GY18" s="163"/>
      <c r="GZ18" s="163"/>
      <c r="HA18" s="163"/>
      <c r="HB18" s="163"/>
      <c r="HC18" s="163"/>
      <c r="HD18" s="163"/>
      <c r="HE18" s="163"/>
      <c r="HF18" s="163"/>
      <c r="HG18" s="163"/>
      <c r="HH18" s="163"/>
      <c r="HI18" s="163"/>
      <c r="HJ18" s="163"/>
      <c r="HK18" s="163"/>
      <c r="HL18" s="163"/>
      <c r="HM18" s="163"/>
      <c r="HN18" s="163"/>
      <c r="HO18" s="163"/>
      <c r="HP18" s="163"/>
      <c r="HQ18" s="163"/>
      <c r="HR18" s="163"/>
      <c r="HS18" s="163"/>
      <c r="HT18" s="163"/>
      <c r="HU18" s="163"/>
      <c r="HV18" s="163"/>
      <c r="HW18" s="163"/>
      <c r="HX18" s="163"/>
      <c r="HY18" s="163"/>
      <c r="HZ18" s="163"/>
      <c r="IA18" s="163"/>
      <c r="IB18" s="163"/>
      <c r="IC18" s="163"/>
      <c r="ID18" s="163"/>
      <c r="IE18" s="163"/>
      <c r="IF18" s="163"/>
      <c r="IG18" s="163"/>
      <c r="IH18" s="163"/>
      <c r="II18" s="163"/>
      <c r="IJ18" s="163"/>
      <c r="IK18" s="163"/>
      <c r="IL18" s="163"/>
      <c r="IM18" s="163"/>
      <c r="IN18" s="163"/>
      <c r="IO18" s="163"/>
      <c r="IP18" s="163"/>
      <c r="IQ18" s="163"/>
      <c r="IR18" s="163"/>
      <c r="IS18" s="163"/>
      <c r="IT18" s="163"/>
      <c r="IU18" s="163"/>
      <c r="IV18" s="163"/>
      <c r="IW18" s="163"/>
      <c r="IX18" s="163"/>
      <c r="IY18" s="163"/>
      <c r="IZ18" s="163"/>
      <c r="JA18" s="163"/>
      <c r="JB18" s="163"/>
      <c r="JC18" s="163"/>
      <c r="JD18" s="163"/>
      <c r="JE18" s="163"/>
      <c r="JF18" s="163"/>
      <c r="JG18" s="163"/>
      <c r="JH18" s="163"/>
      <c r="JI18" s="163"/>
      <c r="JJ18" s="163"/>
      <c r="JK18" s="163"/>
      <c r="JL18" s="163"/>
      <c r="JM18" s="163"/>
      <c r="JN18" s="163"/>
      <c r="JO18" s="163"/>
      <c r="JP18" s="163"/>
      <c r="JQ18" s="163"/>
      <c r="JR18" s="163"/>
      <c r="JS18" s="163"/>
      <c r="JT18" s="163"/>
      <c r="JU18" s="163"/>
      <c r="JV18" s="163"/>
      <c r="JW18" s="163"/>
      <c r="JX18" s="163"/>
      <c r="JY18" s="163"/>
      <c r="JZ18" s="163"/>
      <c r="KA18" s="163"/>
      <c r="KB18" s="163"/>
      <c r="KC18" s="163"/>
      <c r="KD18" s="163"/>
      <c r="KE18" s="163"/>
      <c r="KF18" s="163"/>
      <c r="KG18" s="163"/>
      <c r="KH18" s="163"/>
      <c r="KI18" s="163"/>
      <c r="KJ18" s="163"/>
      <c r="KK18" s="163"/>
      <c r="KL18" s="163"/>
      <c r="KM18" s="163"/>
      <c r="KN18" s="163"/>
      <c r="KO18" s="163"/>
      <c r="KP18" s="163"/>
      <c r="KQ18" s="163"/>
      <c r="KR18" s="163"/>
      <c r="KS18" s="163"/>
      <c r="KT18" s="163"/>
      <c r="KU18" s="163"/>
      <c r="KV18" s="163"/>
      <c r="KW18" s="163"/>
      <c r="KX18" s="163"/>
      <c r="KY18" s="163"/>
      <c r="KZ18" s="163"/>
      <c r="LA18" s="163"/>
      <c r="LB18" s="163"/>
      <c r="LC18" s="163"/>
      <c r="LD18" s="163"/>
      <c r="LE18" s="163"/>
      <c r="LF18" s="163"/>
      <c r="LG18" s="163"/>
      <c r="LH18" s="163"/>
      <c r="LI18" s="163"/>
      <c r="LJ18" s="163"/>
      <c r="LK18" s="163"/>
      <c r="LL18" s="163"/>
      <c r="LM18" s="163"/>
      <c r="LN18" s="163"/>
      <c r="LO18" s="163"/>
      <c r="LP18" s="163"/>
      <c r="LQ18" s="163"/>
      <c r="LR18" s="163"/>
      <c r="LS18" s="163"/>
      <c r="LT18" s="163"/>
      <c r="LU18" s="163"/>
      <c r="LV18" s="163"/>
      <c r="LW18" s="163"/>
      <c r="LX18" s="163"/>
      <c r="LY18" s="163"/>
      <c r="LZ18" s="163"/>
      <c r="MA18" s="163"/>
      <c r="MB18" s="163"/>
      <c r="MC18" s="163"/>
      <c r="MD18" s="163"/>
      <c r="ME18" s="163"/>
      <c r="MF18" s="163"/>
      <c r="MG18" s="163"/>
      <c r="MH18" s="163"/>
      <c r="MI18" s="163"/>
      <c r="MJ18" s="163"/>
      <c r="MK18" s="163"/>
      <c r="ML18" s="163"/>
      <c r="MM18" s="163"/>
      <c r="MN18" s="163"/>
      <c r="MO18" s="163"/>
      <c r="MP18" s="163"/>
      <c r="MQ18" s="163"/>
      <c r="MR18" s="163"/>
      <c r="MS18" s="163"/>
      <c r="MT18" s="163"/>
      <c r="MU18" s="163"/>
      <c r="MV18" s="163"/>
      <c r="MW18" s="163"/>
      <c r="MX18" s="163"/>
      <c r="MY18" s="163"/>
      <c r="MZ18" s="163"/>
      <c r="NA18" s="163"/>
      <c r="NB18" s="163"/>
      <c r="NC18" s="163"/>
      <c r="ND18" s="163"/>
      <c r="NE18" s="163"/>
      <c r="NF18" s="163"/>
      <c r="NG18" s="163"/>
      <c r="NH18" s="163"/>
      <c r="NI18" s="163"/>
      <c r="NJ18" s="163"/>
      <c r="NK18" s="163"/>
      <c r="NL18" s="163"/>
      <c r="NM18" s="163"/>
      <c r="NN18" s="163"/>
      <c r="NO18" s="163"/>
      <c r="NP18" s="163"/>
      <c r="NQ18" s="163"/>
      <c r="NR18" s="163"/>
      <c r="NS18" s="163"/>
      <c r="NT18" s="163"/>
      <c r="NU18" s="163"/>
      <c r="NV18" s="163"/>
      <c r="NW18" s="163"/>
      <c r="NX18" s="163"/>
      <c r="NY18" s="163"/>
      <c r="NZ18" s="163"/>
      <c r="OA18" s="163"/>
      <c r="OB18" s="163"/>
      <c r="OC18" s="163"/>
      <c r="OD18" s="163"/>
      <c r="OE18" s="163"/>
      <c r="OF18" s="163"/>
      <c r="OG18" s="163"/>
      <c r="OH18" s="163"/>
      <c r="OI18" s="163"/>
      <c r="OJ18" s="163"/>
      <c r="OK18" s="163"/>
      <c r="OL18" s="163"/>
      <c r="OM18" s="163"/>
      <c r="ON18" s="163"/>
      <c r="OO18" s="163"/>
      <c r="OP18" s="163"/>
      <c r="OQ18" s="163"/>
      <c r="OR18" s="163"/>
      <c r="OS18" s="163"/>
      <c r="OT18" s="163"/>
      <c r="OU18" s="163"/>
      <c r="OV18" s="163"/>
      <c r="OW18" s="163"/>
      <c r="OX18" s="163"/>
      <c r="OY18" s="163"/>
      <c r="OZ18" s="163"/>
      <c r="PA18" s="163"/>
      <c r="PB18" s="163"/>
      <c r="PC18" s="163"/>
      <c r="PD18" s="163"/>
      <c r="PE18" s="163"/>
      <c r="PF18" s="163"/>
      <c r="PG18" s="163"/>
      <c r="PH18" s="163"/>
      <c r="PI18" s="163"/>
      <c r="PJ18" s="163"/>
      <c r="PK18" s="163"/>
      <c r="PL18" s="163"/>
      <c r="PM18" s="163"/>
      <c r="PN18" s="163"/>
      <c r="PO18" s="163"/>
      <c r="PP18" s="163"/>
      <c r="PQ18" s="163"/>
      <c r="PR18" s="163"/>
      <c r="PS18" s="163"/>
      <c r="PT18" s="163"/>
      <c r="PU18" s="163"/>
      <c r="PV18" s="163"/>
      <c r="PW18" s="163"/>
      <c r="PX18" s="163"/>
      <c r="PY18" s="163"/>
      <c r="PZ18" s="163"/>
      <c r="QA18" s="163"/>
      <c r="QB18" s="163"/>
      <c r="QC18" s="163"/>
      <c r="QD18" s="163"/>
      <c r="QE18" s="163"/>
      <c r="QF18" s="163"/>
      <c r="QG18" s="163"/>
      <c r="QH18" s="163"/>
      <c r="QI18" s="163"/>
      <c r="QJ18" s="163"/>
      <c r="QK18" s="163"/>
      <c r="QL18" s="163"/>
      <c r="QM18" s="163"/>
      <c r="QN18" s="163"/>
      <c r="QO18" s="163"/>
      <c r="QP18" s="163"/>
      <c r="QQ18" s="163"/>
      <c r="QR18" s="163"/>
      <c r="QS18" s="163"/>
      <c r="QT18" s="163"/>
      <c r="QU18" s="163"/>
      <c r="QV18" s="163"/>
      <c r="QW18" s="163"/>
      <c r="QX18" s="163"/>
      <c r="QY18" s="163"/>
      <c r="QZ18" s="163"/>
      <c r="RA18" s="163"/>
      <c r="RB18" s="163"/>
      <c r="RC18" s="163"/>
      <c r="RD18" s="163"/>
      <c r="RE18" s="163"/>
      <c r="RF18" s="163"/>
      <c r="RG18" s="163"/>
      <c r="RH18" s="163"/>
      <c r="RI18" s="163"/>
      <c r="RJ18" s="163"/>
      <c r="RK18" s="163"/>
      <c r="RL18" s="163"/>
      <c r="RM18" s="163"/>
      <c r="RN18" s="163"/>
      <c r="RO18" s="163"/>
      <c r="RP18" s="163"/>
      <c r="RQ18" s="163"/>
      <c r="RR18" s="163"/>
      <c r="RS18" s="163"/>
      <c r="RT18" s="163"/>
      <c r="RU18" s="163"/>
      <c r="RV18" s="163"/>
      <c r="RW18" s="163"/>
      <c r="RX18" s="163"/>
      <c r="RY18" s="163"/>
      <c r="RZ18" s="163"/>
      <c r="SA18" s="163"/>
      <c r="SB18" s="163"/>
      <c r="SC18" s="163"/>
      <c r="SD18" s="163"/>
      <c r="SE18" s="163"/>
      <c r="SF18" s="163"/>
      <c r="SG18" s="163"/>
      <c r="SH18" s="163"/>
      <c r="SI18" s="163"/>
      <c r="SJ18" s="163"/>
      <c r="SK18" s="163"/>
      <c r="SL18" s="163"/>
      <c r="SM18" s="163"/>
      <c r="SN18" s="163"/>
      <c r="SO18" s="163"/>
      <c r="SP18" s="163"/>
      <c r="SQ18" s="163"/>
      <c r="SR18" s="163"/>
      <c r="SS18" s="163"/>
      <c r="ST18" s="163"/>
      <c r="SU18" s="163"/>
      <c r="SV18" s="163"/>
      <c r="SW18" s="163"/>
      <c r="SX18" s="163"/>
      <c r="SY18" s="163"/>
      <c r="SZ18" s="163"/>
      <c r="TA18" s="163"/>
      <c r="TB18" s="163"/>
      <c r="TC18" s="163"/>
      <c r="TD18" s="163"/>
      <c r="TE18" s="163"/>
      <c r="TF18" s="163"/>
      <c r="TG18" s="163"/>
      <c r="TH18" s="163"/>
      <c r="TI18" s="163"/>
      <c r="TJ18" s="163"/>
      <c r="TK18" s="163"/>
      <c r="TL18" s="163"/>
      <c r="TM18" s="163"/>
      <c r="TN18" s="163"/>
      <c r="TO18" s="163"/>
      <c r="TP18" s="163"/>
      <c r="TQ18" s="163"/>
      <c r="TR18" s="163"/>
      <c r="TS18" s="163"/>
      <c r="TT18" s="163"/>
      <c r="TU18" s="163"/>
      <c r="TV18" s="163"/>
      <c r="TW18" s="163"/>
      <c r="TX18" s="163"/>
      <c r="TY18" s="163"/>
      <c r="TZ18" s="163"/>
      <c r="UA18" s="163"/>
      <c r="UB18" s="163"/>
      <c r="UC18" s="163"/>
      <c r="UD18" s="163"/>
      <c r="UE18" s="163"/>
      <c r="UF18" s="163"/>
      <c r="UG18" s="163"/>
      <c r="UH18" s="163"/>
      <c r="UI18" s="163"/>
      <c r="UJ18" s="163"/>
      <c r="UK18" s="163"/>
      <c r="UL18" s="163"/>
      <c r="UM18" s="163"/>
      <c r="UN18" s="163"/>
      <c r="UO18" s="163"/>
      <c r="UP18" s="163"/>
      <c r="UQ18" s="163"/>
      <c r="UR18" s="163"/>
      <c r="US18" s="163"/>
      <c r="UT18" s="163"/>
      <c r="UU18" s="163"/>
      <c r="UV18" s="163"/>
      <c r="UW18" s="163"/>
      <c r="UX18" s="163"/>
      <c r="UY18" s="163"/>
      <c r="UZ18" s="163"/>
      <c r="VA18" s="163"/>
      <c r="VB18" s="163"/>
      <c r="VC18" s="163"/>
      <c r="VD18" s="163"/>
      <c r="VE18" s="163"/>
      <c r="VF18" s="163"/>
      <c r="VG18" s="163"/>
      <c r="VH18" s="163"/>
      <c r="VI18" s="163"/>
      <c r="VJ18" s="163"/>
      <c r="VK18" s="163"/>
      <c r="VL18" s="163"/>
      <c r="VM18" s="163"/>
      <c r="VN18" s="163"/>
      <c r="VO18" s="163"/>
      <c r="VP18" s="163"/>
      <c r="VQ18" s="163"/>
      <c r="VR18" s="163"/>
      <c r="VS18" s="163"/>
      <c r="VT18" s="163"/>
      <c r="VU18" s="163"/>
      <c r="VV18" s="163"/>
      <c r="VW18" s="163"/>
      <c r="VX18" s="163"/>
      <c r="VY18" s="163"/>
      <c r="VZ18" s="163"/>
      <c r="WA18" s="163"/>
      <c r="WB18" s="163"/>
      <c r="WC18" s="163"/>
      <c r="WD18" s="163"/>
      <c r="WE18" s="163"/>
      <c r="WF18" s="163"/>
      <c r="WG18" s="163"/>
      <c r="WH18" s="163"/>
      <c r="WI18" s="163"/>
      <c r="WJ18" s="163"/>
      <c r="WK18" s="163"/>
      <c r="WL18" s="163"/>
      <c r="WM18" s="163"/>
      <c r="WN18" s="163"/>
      <c r="WO18" s="163"/>
      <c r="WP18" s="163"/>
      <c r="WQ18" s="163"/>
      <c r="WR18" s="163"/>
      <c r="WS18" s="163"/>
      <c r="WT18" s="163"/>
      <c r="WU18" s="163"/>
      <c r="WV18" s="163"/>
      <c r="WW18" s="163"/>
      <c r="WX18" s="163"/>
      <c r="WY18" s="163"/>
      <c r="WZ18" s="163"/>
      <c r="XA18" s="163"/>
      <c r="XB18" s="163"/>
      <c r="XC18" s="163"/>
      <c r="XD18" s="163"/>
      <c r="XE18" s="163"/>
      <c r="XF18" s="163"/>
      <c r="XG18" s="163"/>
      <c r="XH18" s="163"/>
      <c r="XI18" s="163"/>
      <c r="XJ18" s="163"/>
      <c r="XK18" s="163"/>
      <c r="XL18" s="163"/>
      <c r="XM18" s="163"/>
      <c r="XN18" s="163"/>
      <c r="XO18" s="163"/>
      <c r="XP18" s="163"/>
      <c r="XQ18" s="163"/>
      <c r="XR18" s="163"/>
      <c r="XS18" s="163"/>
      <c r="XT18" s="163"/>
      <c r="XU18" s="163"/>
      <c r="XV18" s="163"/>
      <c r="XW18" s="163"/>
      <c r="XX18" s="163"/>
      <c r="XY18" s="163"/>
      <c r="XZ18" s="163"/>
      <c r="YA18" s="163"/>
      <c r="YB18" s="163"/>
      <c r="YC18" s="163"/>
      <c r="YD18" s="163"/>
      <c r="YE18" s="163"/>
      <c r="YF18" s="163"/>
      <c r="YG18" s="163"/>
      <c r="YH18" s="163"/>
      <c r="YI18" s="163"/>
      <c r="YJ18" s="163"/>
      <c r="YK18" s="163"/>
      <c r="YL18" s="163"/>
      <c r="YM18" s="163"/>
      <c r="YN18" s="163"/>
      <c r="YO18" s="163"/>
      <c r="YP18" s="163"/>
      <c r="YQ18" s="163"/>
      <c r="YR18" s="163"/>
      <c r="YS18" s="163"/>
      <c r="YT18" s="163"/>
      <c r="YU18" s="163"/>
      <c r="YV18" s="163"/>
      <c r="YW18" s="163"/>
      <c r="YX18" s="163"/>
      <c r="YY18" s="163"/>
      <c r="YZ18" s="163"/>
      <c r="ZA18" s="163"/>
      <c r="ZB18" s="163"/>
      <c r="ZC18" s="163"/>
      <c r="ZD18" s="163"/>
      <c r="ZE18" s="163"/>
      <c r="ZF18" s="163"/>
      <c r="ZG18" s="163"/>
      <c r="ZH18" s="163"/>
      <c r="ZI18" s="163"/>
      <c r="ZJ18" s="163"/>
      <c r="ZK18" s="163"/>
      <c r="ZL18" s="163"/>
      <c r="ZM18" s="163"/>
      <c r="ZN18" s="163"/>
      <c r="ZO18" s="163"/>
      <c r="ZP18" s="163"/>
      <c r="ZQ18" s="163"/>
      <c r="ZR18" s="163"/>
      <c r="ZS18" s="163"/>
      <c r="ZT18" s="163"/>
      <c r="ZU18" s="163"/>
      <c r="ZV18" s="163"/>
      <c r="ZW18" s="163"/>
      <c r="ZX18" s="163"/>
      <c r="ZY18" s="163"/>
      <c r="ZZ18" s="163"/>
      <c r="AAA18" s="163"/>
      <c r="AAB18" s="163"/>
      <c r="AAC18" s="163"/>
      <c r="AAD18" s="163"/>
      <c r="AAE18" s="163"/>
      <c r="AAF18" s="163"/>
      <c r="AAG18" s="163"/>
      <c r="AAH18" s="163"/>
      <c r="AAI18" s="163"/>
      <c r="AAJ18" s="163"/>
      <c r="AAK18" s="163"/>
      <c r="AAL18" s="163"/>
      <c r="AAM18" s="163"/>
      <c r="AAN18" s="163"/>
      <c r="AAO18" s="163"/>
      <c r="AAP18" s="163"/>
      <c r="AAQ18" s="163"/>
      <c r="AAR18" s="163"/>
      <c r="AAS18" s="163"/>
      <c r="AAT18" s="163"/>
      <c r="AAU18" s="163"/>
      <c r="AAV18" s="163"/>
      <c r="AAW18" s="163"/>
      <c r="AAX18" s="163"/>
      <c r="AAY18" s="163"/>
      <c r="AAZ18" s="163"/>
      <c r="ABA18" s="163"/>
      <c r="ABB18" s="163"/>
      <c r="ABC18" s="163"/>
      <c r="ABD18" s="163"/>
      <c r="ABE18" s="163"/>
      <c r="ABF18" s="163"/>
      <c r="ABG18" s="163"/>
      <c r="ABH18" s="163"/>
      <c r="ABI18" s="163"/>
      <c r="ABJ18" s="163"/>
      <c r="ABK18" s="163"/>
      <c r="ABL18" s="163"/>
      <c r="ABM18" s="163"/>
      <c r="ABN18" s="163"/>
      <c r="ABO18" s="163"/>
      <c r="ABP18" s="163"/>
      <c r="ABQ18" s="163"/>
      <c r="ABR18" s="163"/>
      <c r="ABS18" s="163"/>
      <c r="ABT18" s="163"/>
      <c r="ABU18" s="163"/>
      <c r="ABV18" s="163"/>
      <c r="ABW18" s="163"/>
      <c r="ABX18" s="163"/>
      <c r="ABY18" s="163"/>
      <c r="ABZ18" s="163"/>
      <c r="ACA18" s="163"/>
      <c r="ACB18" s="163"/>
      <c r="ACC18" s="163"/>
      <c r="ACD18" s="163"/>
      <c r="ACE18" s="163"/>
      <c r="ACF18" s="163"/>
      <c r="ACG18" s="163"/>
      <c r="ACH18" s="163"/>
      <c r="ACI18" s="163"/>
      <c r="ACJ18" s="163"/>
      <c r="ACK18" s="163"/>
      <c r="ACL18" s="163"/>
      <c r="ACM18" s="163"/>
      <c r="ACN18" s="163"/>
      <c r="ACO18" s="163"/>
      <c r="ACP18" s="163"/>
      <c r="ACQ18" s="163"/>
      <c r="ACR18" s="163"/>
      <c r="ACS18" s="163"/>
      <c r="ACT18" s="163"/>
      <c r="ACU18" s="163"/>
      <c r="ACV18" s="163"/>
      <c r="ACW18" s="163"/>
      <c r="ACX18" s="163"/>
      <c r="ACY18" s="163"/>
      <c r="ACZ18" s="163"/>
      <c r="ADA18" s="163"/>
      <c r="ADB18" s="163"/>
      <c r="ADC18" s="163"/>
      <c r="ADD18" s="163"/>
      <c r="ADE18" s="163"/>
      <c r="ADF18" s="163"/>
      <c r="ADG18" s="163"/>
      <c r="ADH18" s="163"/>
      <c r="ADI18" s="163"/>
      <c r="ADJ18" s="163"/>
      <c r="ADK18" s="163"/>
      <c r="ADL18" s="163"/>
      <c r="ADM18" s="163"/>
      <c r="ADN18" s="163"/>
      <c r="ADO18" s="163"/>
      <c r="ADP18" s="163"/>
      <c r="ADQ18" s="163"/>
      <c r="ADR18" s="163"/>
      <c r="ADS18" s="163"/>
      <c r="ADT18" s="163"/>
      <c r="ADU18" s="163"/>
      <c r="ADV18" s="163"/>
      <c r="ADW18" s="163"/>
      <c r="ADX18" s="163"/>
      <c r="ADY18" s="163"/>
      <c r="ADZ18" s="163"/>
      <c r="AEA18" s="163"/>
      <c r="AEB18" s="163"/>
      <c r="AEC18" s="163"/>
      <c r="AED18" s="163"/>
      <c r="AEE18" s="163"/>
      <c r="AEF18" s="163"/>
      <c r="AEG18" s="163"/>
      <c r="AEH18" s="163"/>
      <c r="AEI18" s="163"/>
      <c r="AEJ18" s="163"/>
      <c r="AEK18" s="163"/>
      <c r="AEL18" s="163"/>
      <c r="AEM18" s="163"/>
      <c r="AEN18" s="163"/>
    </row>
    <row r="19" spans="1:820">
      <c r="A19" s="163"/>
      <c r="B19" s="75"/>
      <c r="C19" s="75"/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163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163"/>
      <c r="AB19" s="75"/>
      <c r="AC19" s="75"/>
      <c r="AD19" s="75"/>
      <c r="AE19" s="75"/>
      <c r="AF19" s="75"/>
      <c r="AG19" s="75"/>
      <c r="AH19" s="75"/>
      <c r="AI19" s="75"/>
      <c r="AJ19" s="75"/>
      <c r="AK19" s="75"/>
      <c r="AL19" s="75"/>
      <c r="AM19" s="75"/>
      <c r="AN19" s="163"/>
      <c r="AO19" s="163"/>
      <c r="AP19" s="163"/>
      <c r="AQ19" s="163"/>
      <c r="AR19" s="163"/>
      <c r="AS19" s="163"/>
      <c r="AT19" s="163"/>
      <c r="AU19" s="163"/>
      <c r="AV19" s="163"/>
      <c r="AW19" s="163"/>
      <c r="AX19" s="163"/>
      <c r="AY19" s="163"/>
      <c r="AZ19" s="163"/>
      <c r="BA19" s="163"/>
      <c r="BB19" s="163"/>
      <c r="BC19" s="163"/>
      <c r="BD19" s="163"/>
      <c r="BE19" s="163"/>
      <c r="BF19" s="163"/>
      <c r="BG19" s="163"/>
      <c r="BH19" s="163"/>
      <c r="BI19" s="163"/>
      <c r="BJ19" s="163"/>
      <c r="BK19" s="163"/>
      <c r="BL19" s="163"/>
      <c r="BM19" s="163"/>
      <c r="BN19" s="163"/>
      <c r="BO19" s="163"/>
      <c r="BP19" s="163"/>
      <c r="BQ19" s="163"/>
      <c r="BR19" s="163"/>
      <c r="BS19" s="163"/>
      <c r="BT19" s="163"/>
      <c r="BU19" s="163"/>
      <c r="BV19" s="163"/>
      <c r="BW19" s="163"/>
      <c r="BX19" s="163"/>
      <c r="BY19" s="163"/>
      <c r="BZ19" s="163"/>
      <c r="CA19" s="163"/>
      <c r="CB19" s="163"/>
      <c r="CC19" s="163"/>
      <c r="CD19" s="163"/>
      <c r="CE19" s="163"/>
      <c r="CF19" s="163"/>
      <c r="CG19" s="163"/>
      <c r="CH19" s="163"/>
      <c r="CI19" s="163"/>
      <c r="CJ19" s="163"/>
      <c r="CK19" s="163"/>
      <c r="CL19" s="163"/>
      <c r="CM19" s="163"/>
      <c r="CN19" s="163"/>
      <c r="CO19" s="163"/>
      <c r="CP19" s="163"/>
      <c r="CQ19" s="163"/>
      <c r="CR19" s="163"/>
      <c r="CS19" s="163"/>
      <c r="CT19" s="163"/>
      <c r="CU19" s="163"/>
      <c r="CV19" s="163"/>
      <c r="CW19" s="163"/>
      <c r="CX19" s="163"/>
      <c r="CY19" s="163"/>
      <c r="CZ19" s="163"/>
      <c r="DA19" s="163"/>
      <c r="DB19" s="163"/>
      <c r="DC19" s="163"/>
      <c r="DD19" s="163"/>
      <c r="DE19" s="163"/>
      <c r="DF19" s="163"/>
      <c r="DG19" s="163"/>
      <c r="DH19" s="163"/>
      <c r="DI19" s="163"/>
      <c r="DJ19" s="163"/>
      <c r="DK19" s="163"/>
      <c r="DL19" s="163"/>
      <c r="DM19" s="163"/>
      <c r="DN19" s="163"/>
      <c r="DO19" s="163"/>
      <c r="DP19" s="163"/>
      <c r="DQ19" s="163"/>
      <c r="DR19" s="163"/>
      <c r="DS19" s="163"/>
      <c r="DT19" s="163"/>
      <c r="DU19" s="163"/>
      <c r="DV19" s="163"/>
      <c r="DW19" s="163"/>
      <c r="DX19" s="163"/>
      <c r="DY19" s="163"/>
      <c r="DZ19" s="163"/>
      <c r="EA19" s="163"/>
      <c r="EB19" s="163"/>
      <c r="EC19" s="163"/>
      <c r="ED19" s="163"/>
      <c r="EE19" s="163"/>
      <c r="EF19" s="163"/>
      <c r="EG19" s="163"/>
      <c r="EH19" s="163"/>
      <c r="EI19" s="163"/>
      <c r="EJ19" s="163"/>
      <c r="EK19" s="163"/>
      <c r="EL19" s="163"/>
      <c r="EM19" s="163"/>
      <c r="EN19" s="163"/>
      <c r="EO19" s="163"/>
      <c r="EP19" s="163"/>
      <c r="EQ19" s="163"/>
      <c r="ER19" s="163"/>
      <c r="ES19" s="163"/>
      <c r="ET19" s="163"/>
      <c r="EU19" s="163"/>
      <c r="EV19" s="163"/>
      <c r="EW19" s="163"/>
      <c r="EX19" s="163"/>
      <c r="EY19" s="163"/>
      <c r="EZ19" s="163"/>
      <c r="FA19" s="163"/>
      <c r="FB19" s="163"/>
      <c r="FC19" s="163"/>
      <c r="FD19" s="163"/>
      <c r="FE19" s="163"/>
      <c r="FF19" s="163"/>
      <c r="FG19" s="163"/>
      <c r="FH19" s="163"/>
      <c r="FI19" s="163"/>
      <c r="FJ19" s="163"/>
      <c r="FK19" s="163"/>
      <c r="FL19" s="163"/>
      <c r="FM19" s="163"/>
      <c r="FN19" s="163"/>
      <c r="FO19" s="163"/>
      <c r="FP19" s="163"/>
      <c r="FQ19" s="163"/>
      <c r="FR19" s="163"/>
      <c r="FS19" s="163"/>
      <c r="FT19" s="163"/>
      <c r="FU19" s="163"/>
      <c r="FV19" s="163"/>
      <c r="FW19" s="163"/>
      <c r="FX19" s="163"/>
      <c r="FY19" s="163"/>
      <c r="FZ19" s="163"/>
      <c r="GA19" s="163"/>
      <c r="GB19" s="163"/>
      <c r="GC19" s="163"/>
      <c r="GD19" s="163"/>
      <c r="GE19" s="163"/>
      <c r="GF19" s="163"/>
      <c r="GG19" s="163"/>
      <c r="GH19" s="163"/>
      <c r="GI19" s="163"/>
      <c r="GJ19" s="163"/>
      <c r="GK19" s="163"/>
      <c r="GL19" s="163"/>
      <c r="GM19" s="163"/>
      <c r="GN19" s="163"/>
      <c r="GO19" s="163"/>
      <c r="GP19" s="163"/>
      <c r="GQ19" s="163"/>
      <c r="GR19" s="163"/>
      <c r="GS19" s="163"/>
      <c r="GT19" s="163"/>
      <c r="GU19" s="163"/>
      <c r="GV19" s="163"/>
      <c r="GW19" s="163"/>
      <c r="GX19" s="163"/>
      <c r="GY19" s="163"/>
      <c r="GZ19" s="163"/>
      <c r="HA19" s="163"/>
      <c r="HB19" s="163"/>
      <c r="HC19" s="163"/>
      <c r="HD19" s="163"/>
      <c r="HE19" s="163"/>
      <c r="HF19" s="163"/>
      <c r="HG19" s="163"/>
      <c r="HH19" s="163"/>
      <c r="HI19" s="163"/>
      <c r="HJ19" s="163"/>
      <c r="HK19" s="163"/>
      <c r="HL19" s="163"/>
      <c r="HM19" s="163"/>
      <c r="HN19" s="163"/>
      <c r="HO19" s="163"/>
      <c r="HP19" s="163"/>
      <c r="HQ19" s="163"/>
      <c r="HR19" s="163"/>
      <c r="HS19" s="163"/>
      <c r="HT19" s="163"/>
      <c r="HU19" s="163"/>
      <c r="HV19" s="163"/>
      <c r="HW19" s="163"/>
      <c r="HX19" s="163"/>
      <c r="HY19" s="163"/>
      <c r="HZ19" s="163"/>
      <c r="IA19" s="163"/>
      <c r="IB19" s="163"/>
      <c r="IC19" s="163"/>
      <c r="ID19" s="163"/>
      <c r="IE19" s="163"/>
      <c r="IF19" s="163"/>
      <c r="IG19" s="163"/>
      <c r="IH19" s="163"/>
      <c r="II19" s="163"/>
      <c r="IJ19" s="163"/>
      <c r="IK19" s="163"/>
      <c r="IL19" s="163"/>
      <c r="IM19" s="163"/>
      <c r="IN19" s="163"/>
      <c r="IO19" s="163"/>
      <c r="IP19" s="163"/>
      <c r="IQ19" s="163"/>
      <c r="IR19" s="163"/>
      <c r="IS19" s="163"/>
      <c r="IT19" s="163"/>
      <c r="IU19" s="163"/>
      <c r="IV19" s="163"/>
      <c r="IW19" s="163"/>
      <c r="IX19" s="163"/>
      <c r="IY19" s="163"/>
      <c r="IZ19" s="163"/>
      <c r="JA19" s="163"/>
      <c r="JB19" s="163"/>
      <c r="JC19" s="163"/>
      <c r="JD19" s="163"/>
      <c r="JE19" s="163"/>
      <c r="JF19" s="163"/>
      <c r="JG19" s="163"/>
      <c r="JH19" s="163"/>
      <c r="JI19" s="163"/>
      <c r="JJ19" s="163"/>
      <c r="JK19" s="163"/>
      <c r="JL19" s="163"/>
      <c r="JM19" s="163"/>
      <c r="JN19" s="163"/>
      <c r="JO19" s="163"/>
      <c r="JP19" s="163"/>
      <c r="JQ19" s="163"/>
      <c r="JR19" s="163"/>
      <c r="JS19" s="163"/>
      <c r="JT19" s="163"/>
      <c r="JU19" s="163"/>
      <c r="JV19" s="163"/>
      <c r="JW19" s="163"/>
      <c r="JX19" s="163"/>
      <c r="JY19" s="163"/>
      <c r="JZ19" s="163"/>
      <c r="KA19" s="163"/>
      <c r="KB19" s="163"/>
      <c r="KC19" s="163"/>
      <c r="KD19" s="163"/>
      <c r="KE19" s="163"/>
      <c r="KF19" s="163"/>
      <c r="KG19" s="163"/>
      <c r="KH19" s="163"/>
      <c r="KI19" s="163"/>
      <c r="KJ19" s="163"/>
      <c r="KK19" s="163"/>
      <c r="KL19" s="163"/>
      <c r="KM19" s="163"/>
      <c r="KN19" s="163"/>
      <c r="KO19" s="163"/>
      <c r="KP19" s="163"/>
      <c r="KQ19" s="163"/>
      <c r="KR19" s="163"/>
      <c r="KS19" s="163"/>
      <c r="KT19" s="163"/>
      <c r="KU19" s="163"/>
      <c r="KV19" s="163"/>
      <c r="KW19" s="163"/>
      <c r="KX19" s="163"/>
      <c r="KY19" s="163"/>
      <c r="KZ19" s="163"/>
      <c r="LA19" s="163"/>
      <c r="LB19" s="163"/>
      <c r="LC19" s="163"/>
      <c r="LD19" s="163"/>
      <c r="LE19" s="163"/>
      <c r="LF19" s="163"/>
      <c r="LG19" s="163"/>
      <c r="LH19" s="163"/>
      <c r="LI19" s="163"/>
      <c r="LJ19" s="163"/>
      <c r="LK19" s="163"/>
      <c r="LL19" s="163"/>
      <c r="LM19" s="163"/>
      <c r="LN19" s="163"/>
      <c r="LO19" s="163"/>
      <c r="LP19" s="163"/>
      <c r="LQ19" s="163"/>
      <c r="LR19" s="163"/>
      <c r="LS19" s="163"/>
      <c r="LT19" s="163"/>
      <c r="LU19" s="163"/>
      <c r="LV19" s="163"/>
      <c r="LW19" s="163"/>
      <c r="LX19" s="163"/>
      <c r="LY19" s="163"/>
      <c r="LZ19" s="163"/>
      <c r="MA19" s="163"/>
      <c r="MB19" s="163"/>
      <c r="MC19" s="163"/>
      <c r="MD19" s="163"/>
      <c r="ME19" s="163"/>
      <c r="MF19" s="163"/>
      <c r="MG19" s="163"/>
      <c r="MH19" s="163"/>
      <c r="MI19" s="163"/>
      <c r="MJ19" s="163"/>
      <c r="MK19" s="163"/>
      <c r="ML19" s="163"/>
      <c r="MM19" s="163"/>
      <c r="MN19" s="163"/>
      <c r="MO19" s="163"/>
      <c r="MP19" s="163"/>
      <c r="MQ19" s="163"/>
      <c r="MR19" s="163"/>
      <c r="MS19" s="163"/>
      <c r="MT19" s="163"/>
      <c r="MU19" s="163"/>
      <c r="MV19" s="163"/>
      <c r="MW19" s="163"/>
      <c r="MX19" s="163"/>
      <c r="MY19" s="163"/>
      <c r="MZ19" s="163"/>
      <c r="NA19" s="163"/>
      <c r="NB19" s="163"/>
      <c r="NC19" s="163"/>
      <c r="ND19" s="163"/>
      <c r="NE19" s="163"/>
      <c r="NF19" s="163"/>
      <c r="NG19" s="163"/>
      <c r="NH19" s="163"/>
      <c r="NI19" s="163"/>
      <c r="NJ19" s="163"/>
      <c r="NK19" s="163"/>
      <c r="NL19" s="163"/>
      <c r="NM19" s="163"/>
      <c r="NN19" s="163"/>
      <c r="NO19" s="163"/>
      <c r="NP19" s="163"/>
      <c r="NQ19" s="163"/>
      <c r="NR19" s="163"/>
      <c r="NS19" s="163"/>
      <c r="NT19" s="163"/>
      <c r="NU19" s="163"/>
      <c r="NV19" s="163"/>
      <c r="NW19" s="163"/>
      <c r="NX19" s="163"/>
      <c r="NY19" s="163"/>
      <c r="NZ19" s="163"/>
      <c r="OA19" s="163"/>
      <c r="OB19" s="163"/>
      <c r="OC19" s="163"/>
      <c r="OD19" s="163"/>
      <c r="OE19" s="163"/>
      <c r="OF19" s="163"/>
      <c r="OG19" s="163"/>
      <c r="OH19" s="163"/>
      <c r="OI19" s="163"/>
      <c r="OJ19" s="163"/>
      <c r="OK19" s="163"/>
      <c r="OL19" s="163"/>
      <c r="OM19" s="163"/>
      <c r="ON19" s="163"/>
      <c r="OO19" s="163"/>
      <c r="OP19" s="163"/>
      <c r="OQ19" s="163"/>
      <c r="OR19" s="163"/>
      <c r="OS19" s="163"/>
      <c r="OT19" s="163"/>
      <c r="OU19" s="163"/>
      <c r="OV19" s="163"/>
      <c r="OW19" s="163"/>
      <c r="OX19" s="163"/>
      <c r="OY19" s="163"/>
      <c r="OZ19" s="163"/>
      <c r="PA19" s="163"/>
      <c r="PB19" s="163"/>
      <c r="PC19" s="163"/>
      <c r="PD19" s="163"/>
      <c r="PE19" s="163"/>
      <c r="PF19" s="163"/>
      <c r="PG19" s="163"/>
      <c r="PH19" s="163"/>
      <c r="PI19" s="163"/>
      <c r="PJ19" s="163"/>
      <c r="PK19" s="163"/>
      <c r="PL19" s="163"/>
      <c r="PM19" s="163"/>
      <c r="PN19" s="163"/>
      <c r="PO19" s="163"/>
      <c r="PP19" s="163"/>
      <c r="PQ19" s="163"/>
      <c r="PR19" s="163"/>
      <c r="PS19" s="163"/>
      <c r="PT19" s="163"/>
      <c r="PU19" s="163"/>
      <c r="PV19" s="163"/>
      <c r="PW19" s="163"/>
      <c r="PX19" s="163"/>
      <c r="PY19" s="163"/>
      <c r="PZ19" s="163"/>
      <c r="QA19" s="163"/>
      <c r="QB19" s="163"/>
      <c r="QC19" s="163"/>
      <c r="QD19" s="163"/>
      <c r="QE19" s="163"/>
      <c r="QF19" s="163"/>
      <c r="QG19" s="163"/>
      <c r="QH19" s="163"/>
      <c r="QI19" s="163"/>
      <c r="QJ19" s="163"/>
      <c r="QK19" s="163"/>
      <c r="QL19" s="163"/>
      <c r="QM19" s="163"/>
      <c r="QN19" s="163"/>
      <c r="QO19" s="163"/>
      <c r="QP19" s="163"/>
      <c r="QQ19" s="163"/>
      <c r="QR19" s="163"/>
      <c r="QS19" s="163"/>
      <c r="QT19" s="163"/>
      <c r="QU19" s="163"/>
      <c r="QV19" s="163"/>
      <c r="QW19" s="163"/>
      <c r="QX19" s="163"/>
      <c r="QY19" s="163"/>
      <c r="QZ19" s="163"/>
      <c r="RA19" s="163"/>
      <c r="RB19" s="163"/>
      <c r="RC19" s="163"/>
      <c r="RD19" s="163"/>
      <c r="RE19" s="163"/>
      <c r="RF19" s="163"/>
      <c r="RG19" s="163"/>
      <c r="RH19" s="163"/>
      <c r="RI19" s="163"/>
      <c r="RJ19" s="163"/>
      <c r="RK19" s="163"/>
      <c r="RL19" s="163"/>
      <c r="RM19" s="163"/>
      <c r="RN19" s="163"/>
      <c r="RO19" s="163"/>
      <c r="RP19" s="163"/>
      <c r="RQ19" s="163"/>
      <c r="RR19" s="163"/>
      <c r="RS19" s="163"/>
      <c r="RT19" s="163"/>
      <c r="RU19" s="163"/>
      <c r="RV19" s="163"/>
      <c r="RW19" s="163"/>
      <c r="RX19" s="163"/>
      <c r="RY19" s="163"/>
      <c r="RZ19" s="163"/>
      <c r="SA19" s="163"/>
      <c r="SB19" s="163"/>
      <c r="SC19" s="163"/>
      <c r="SD19" s="163"/>
      <c r="SE19" s="163"/>
      <c r="SF19" s="163"/>
      <c r="SG19" s="163"/>
      <c r="SH19" s="163"/>
      <c r="SI19" s="163"/>
      <c r="SJ19" s="163"/>
      <c r="SK19" s="163"/>
      <c r="SL19" s="163"/>
      <c r="SM19" s="163"/>
      <c r="SN19" s="163"/>
      <c r="SO19" s="163"/>
      <c r="SP19" s="163"/>
      <c r="SQ19" s="163"/>
      <c r="SR19" s="163"/>
      <c r="SS19" s="163"/>
      <c r="ST19" s="163"/>
      <c r="SU19" s="163"/>
      <c r="SV19" s="163"/>
      <c r="SW19" s="163"/>
      <c r="SX19" s="163"/>
      <c r="SY19" s="163"/>
      <c r="SZ19" s="163"/>
      <c r="TA19" s="163"/>
      <c r="TB19" s="163"/>
      <c r="TC19" s="163"/>
      <c r="TD19" s="163"/>
      <c r="TE19" s="163"/>
      <c r="TF19" s="163"/>
      <c r="TG19" s="163"/>
      <c r="TH19" s="163"/>
      <c r="TI19" s="163"/>
      <c r="TJ19" s="163"/>
      <c r="TK19" s="163"/>
      <c r="TL19" s="163"/>
      <c r="TM19" s="163"/>
      <c r="TN19" s="163"/>
      <c r="TO19" s="163"/>
      <c r="TP19" s="163"/>
      <c r="TQ19" s="163"/>
      <c r="TR19" s="163"/>
      <c r="TS19" s="163"/>
      <c r="TT19" s="163"/>
      <c r="TU19" s="163"/>
      <c r="TV19" s="163"/>
      <c r="TW19" s="163"/>
      <c r="TX19" s="163"/>
      <c r="TY19" s="163"/>
      <c r="TZ19" s="163"/>
      <c r="UA19" s="163"/>
      <c r="UB19" s="163"/>
      <c r="UC19" s="163"/>
      <c r="UD19" s="163"/>
      <c r="UE19" s="163"/>
      <c r="UF19" s="163"/>
      <c r="UG19" s="163"/>
      <c r="UH19" s="163"/>
      <c r="UI19" s="163"/>
      <c r="UJ19" s="163"/>
      <c r="UK19" s="163"/>
      <c r="UL19" s="163"/>
      <c r="UM19" s="163"/>
      <c r="UN19" s="163"/>
      <c r="UO19" s="163"/>
      <c r="UP19" s="163"/>
      <c r="UQ19" s="163"/>
      <c r="UR19" s="163"/>
      <c r="US19" s="163"/>
      <c r="UT19" s="163"/>
      <c r="UU19" s="163"/>
      <c r="UV19" s="163"/>
      <c r="UW19" s="163"/>
      <c r="UX19" s="163"/>
      <c r="UY19" s="163"/>
      <c r="UZ19" s="163"/>
      <c r="VA19" s="163"/>
      <c r="VB19" s="163"/>
      <c r="VC19" s="163"/>
      <c r="VD19" s="163"/>
      <c r="VE19" s="163"/>
      <c r="VF19" s="163"/>
      <c r="VG19" s="163"/>
      <c r="VH19" s="163"/>
      <c r="VI19" s="163"/>
      <c r="VJ19" s="163"/>
      <c r="VK19" s="163"/>
      <c r="VL19" s="163"/>
      <c r="VM19" s="163"/>
      <c r="VN19" s="163"/>
      <c r="VO19" s="163"/>
      <c r="VP19" s="163"/>
      <c r="VQ19" s="163"/>
      <c r="VR19" s="163"/>
      <c r="VS19" s="163"/>
      <c r="VT19" s="163"/>
      <c r="VU19" s="163"/>
      <c r="VV19" s="163"/>
      <c r="VW19" s="163"/>
      <c r="VX19" s="163"/>
      <c r="VY19" s="163"/>
      <c r="VZ19" s="163"/>
      <c r="WA19" s="163"/>
      <c r="WB19" s="163"/>
      <c r="WC19" s="163"/>
      <c r="WD19" s="163"/>
      <c r="WE19" s="163"/>
      <c r="WF19" s="163"/>
      <c r="WG19" s="163"/>
      <c r="WH19" s="163"/>
      <c r="WI19" s="163"/>
      <c r="WJ19" s="163"/>
      <c r="WK19" s="163"/>
      <c r="WL19" s="163"/>
      <c r="WM19" s="163"/>
      <c r="WN19" s="163"/>
      <c r="WO19" s="163"/>
      <c r="WP19" s="163"/>
      <c r="WQ19" s="163"/>
      <c r="WR19" s="163"/>
      <c r="WS19" s="163"/>
      <c r="WT19" s="163"/>
      <c r="WU19" s="163"/>
      <c r="WV19" s="163"/>
      <c r="WW19" s="163"/>
      <c r="WX19" s="163"/>
      <c r="WY19" s="163"/>
      <c r="WZ19" s="163"/>
      <c r="XA19" s="163"/>
      <c r="XB19" s="163"/>
      <c r="XC19" s="163"/>
      <c r="XD19" s="163"/>
      <c r="XE19" s="163"/>
      <c r="XF19" s="163"/>
      <c r="XG19" s="163"/>
      <c r="XH19" s="163"/>
      <c r="XI19" s="163"/>
      <c r="XJ19" s="163"/>
      <c r="XK19" s="163"/>
      <c r="XL19" s="163"/>
      <c r="XM19" s="163"/>
      <c r="XN19" s="163"/>
      <c r="XO19" s="163"/>
      <c r="XP19" s="163"/>
      <c r="XQ19" s="163"/>
      <c r="XR19" s="163"/>
      <c r="XS19" s="163"/>
      <c r="XT19" s="163"/>
      <c r="XU19" s="163"/>
      <c r="XV19" s="163"/>
      <c r="XW19" s="163"/>
      <c r="XX19" s="163"/>
      <c r="XY19" s="163"/>
      <c r="XZ19" s="163"/>
      <c r="YA19" s="163"/>
      <c r="YB19" s="163"/>
      <c r="YC19" s="163"/>
      <c r="YD19" s="163"/>
      <c r="YE19" s="163"/>
      <c r="YF19" s="163"/>
      <c r="YG19" s="163"/>
      <c r="YH19" s="163"/>
      <c r="YI19" s="163"/>
      <c r="YJ19" s="163"/>
      <c r="YK19" s="163"/>
      <c r="YL19" s="163"/>
      <c r="YM19" s="163"/>
      <c r="YN19" s="163"/>
      <c r="YO19" s="163"/>
      <c r="YP19" s="163"/>
      <c r="YQ19" s="163"/>
      <c r="YR19" s="163"/>
      <c r="YS19" s="163"/>
      <c r="YT19" s="163"/>
      <c r="YU19" s="163"/>
      <c r="YV19" s="163"/>
      <c r="YW19" s="163"/>
      <c r="YX19" s="163"/>
      <c r="YY19" s="163"/>
      <c r="YZ19" s="163"/>
      <c r="ZA19" s="163"/>
      <c r="ZB19" s="163"/>
      <c r="ZC19" s="163"/>
      <c r="ZD19" s="163"/>
      <c r="ZE19" s="163"/>
      <c r="ZF19" s="163"/>
      <c r="ZG19" s="163"/>
      <c r="ZH19" s="163"/>
      <c r="ZI19" s="163"/>
      <c r="ZJ19" s="163"/>
      <c r="ZK19" s="163"/>
      <c r="ZL19" s="163"/>
      <c r="ZM19" s="163"/>
      <c r="ZN19" s="163"/>
      <c r="ZO19" s="163"/>
      <c r="ZP19" s="163"/>
      <c r="ZQ19" s="163"/>
      <c r="ZR19" s="163"/>
      <c r="ZS19" s="163"/>
      <c r="ZT19" s="163"/>
      <c r="ZU19" s="163"/>
      <c r="ZV19" s="163"/>
      <c r="ZW19" s="163"/>
      <c r="ZX19" s="163"/>
      <c r="ZY19" s="163"/>
      <c r="ZZ19" s="163"/>
      <c r="AAA19" s="163"/>
      <c r="AAB19" s="163"/>
      <c r="AAC19" s="163"/>
      <c r="AAD19" s="163"/>
      <c r="AAE19" s="163"/>
      <c r="AAF19" s="163"/>
      <c r="AAG19" s="163"/>
      <c r="AAH19" s="163"/>
      <c r="AAI19" s="163"/>
      <c r="AAJ19" s="163"/>
      <c r="AAK19" s="163"/>
      <c r="AAL19" s="163"/>
      <c r="AAM19" s="163"/>
      <c r="AAN19" s="163"/>
      <c r="AAO19" s="163"/>
      <c r="AAP19" s="163"/>
      <c r="AAQ19" s="163"/>
      <c r="AAR19" s="163"/>
      <c r="AAS19" s="163"/>
      <c r="AAT19" s="163"/>
      <c r="AAU19" s="163"/>
      <c r="AAV19" s="163"/>
      <c r="AAW19" s="163"/>
      <c r="AAX19" s="163"/>
      <c r="AAY19" s="163"/>
      <c r="AAZ19" s="163"/>
      <c r="ABA19" s="163"/>
      <c r="ABB19" s="163"/>
      <c r="ABC19" s="163"/>
      <c r="ABD19" s="163"/>
      <c r="ABE19" s="163"/>
      <c r="ABF19" s="163"/>
      <c r="ABG19" s="163"/>
      <c r="ABH19" s="163"/>
      <c r="ABI19" s="163"/>
      <c r="ABJ19" s="163"/>
      <c r="ABK19" s="163"/>
      <c r="ABL19" s="163"/>
      <c r="ABM19" s="163"/>
      <c r="ABN19" s="163"/>
      <c r="ABO19" s="163"/>
      <c r="ABP19" s="163"/>
      <c r="ABQ19" s="163"/>
      <c r="ABR19" s="163"/>
      <c r="ABS19" s="163"/>
      <c r="ABT19" s="163"/>
      <c r="ABU19" s="163"/>
      <c r="ABV19" s="163"/>
      <c r="ABW19" s="163"/>
      <c r="ABX19" s="163"/>
      <c r="ABY19" s="163"/>
      <c r="ABZ19" s="163"/>
      <c r="ACA19" s="163"/>
      <c r="ACB19" s="163"/>
      <c r="ACC19" s="163"/>
      <c r="ACD19" s="163"/>
      <c r="ACE19" s="163"/>
      <c r="ACF19" s="163"/>
      <c r="ACG19" s="163"/>
      <c r="ACH19" s="163"/>
      <c r="ACI19" s="163"/>
      <c r="ACJ19" s="163"/>
      <c r="ACK19" s="163"/>
      <c r="ACL19" s="163"/>
      <c r="ACM19" s="163"/>
      <c r="ACN19" s="163"/>
      <c r="ACO19" s="163"/>
      <c r="ACP19" s="163"/>
      <c r="ACQ19" s="163"/>
      <c r="ACR19" s="163"/>
      <c r="ACS19" s="163"/>
      <c r="ACT19" s="163"/>
      <c r="ACU19" s="163"/>
      <c r="ACV19" s="163"/>
      <c r="ACW19" s="163"/>
      <c r="ACX19" s="163"/>
      <c r="ACY19" s="163"/>
      <c r="ACZ19" s="163"/>
      <c r="ADA19" s="163"/>
      <c r="ADB19" s="163"/>
      <c r="ADC19" s="163"/>
      <c r="ADD19" s="163"/>
      <c r="ADE19" s="163"/>
      <c r="ADF19" s="163"/>
      <c r="ADG19" s="163"/>
      <c r="ADH19" s="163"/>
      <c r="ADI19" s="163"/>
      <c r="ADJ19" s="163"/>
      <c r="ADK19" s="163"/>
      <c r="ADL19" s="163"/>
      <c r="ADM19" s="163"/>
      <c r="ADN19" s="163"/>
      <c r="ADO19" s="163"/>
      <c r="ADP19" s="163"/>
      <c r="ADQ19" s="163"/>
      <c r="ADR19" s="163"/>
      <c r="ADS19" s="163"/>
      <c r="ADT19" s="163"/>
      <c r="ADU19" s="163"/>
      <c r="ADV19" s="163"/>
      <c r="ADW19" s="163"/>
      <c r="ADX19" s="163"/>
      <c r="ADY19" s="163"/>
      <c r="ADZ19" s="163"/>
      <c r="AEA19" s="163"/>
      <c r="AEB19" s="163"/>
      <c r="AEC19" s="163"/>
      <c r="AED19" s="163"/>
      <c r="AEE19" s="163"/>
      <c r="AEF19" s="163"/>
      <c r="AEG19" s="163"/>
      <c r="AEH19" s="163"/>
      <c r="AEI19" s="163"/>
      <c r="AEJ19" s="163"/>
      <c r="AEK19" s="163"/>
      <c r="AEL19" s="163"/>
      <c r="AEM19" s="163"/>
      <c r="AEN19" s="163"/>
    </row>
  </sheetData>
  <mergeCells count="63">
    <mergeCell ref="ADB2:ADM2"/>
    <mergeCell ref="ADO2:ADZ2"/>
    <mergeCell ref="AEB2:AEM2"/>
    <mergeCell ref="AAO2:AAZ2"/>
    <mergeCell ref="ABB2:ABM2"/>
    <mergeCell ref="ABO2:ABZ2"/>
    <mergeCell ref="ACO2:ACZ2"/>
    <mergeCell ref="ACB2:ACM2"/>
    <mergeCell ref="YB2:YM2"/>
    <mergeCell ref="YO2:YZ2"/>
    <mergeCell ref="ZB2:ZM2"/>
    <mergeCell ref="ZO2:ZZ2"/>
    <mergeCell ref="AAB2:AAM2"/>
    <mergeCell ref="VO2:VZ2"/>
    <mergeCell ref="WB2:WM2"/>
    <mergeCell ref="WO2:WZ2"/>
    <mergeCell ref="XB2:XM2"/>
    <mergeCell ref="XO2:XZ2"/>
    <mergeCell ref="O2:Z2"/>
    <mergeCell ref="AB2:AM2"/>
    <mergeCell ref="B2:M2"/>
    <mergeCell ref="KO2:KZ2"/>
    <mergeCell ref="AO2:AZ2"/>
    <mergeCell ref="BB2:BM2"/>
    <mergeCell ref="BO2:BZ2"/>
    <mergeCell ref="CB2:CM2"/>
    <mergeCell ref="CO2:CZ2"/>
    <mergeCell ref="JB2:JM2"/>
    <mergeCell ref="DO2:DZ2"/>
    <mergeCell ref="EB2:EM2"/>
    <mergeCell ref="EO2:EZ2"/>
    <mergeCell ref="FB2:FM2"/>
    <mergeCell ref="FO2:FZ2"/>
    <mergeCell ref="GB2:GM2"/>
    <mergeCell ref="JO2:JZ2"/>
    <mergeCell ref="KB2:KM2"/>
    <mergeCell ref="LB2:LM2"/>
    <mergeCell ref="LO2:LZ2"/>
    <mergeCell ref="DB2:DM2"/>
    <mergeCell ref="GO2:GZ2"/>
    <mergeCell ref="HB2:HM2"/>
    <mergeCell ref="HO2:HZ2"/>
    <mergeCell ref="IB2:IM2"/>
    <mergeCell ref="IO2:IZ2"/>
    <mergeCell ref="MB2:MM2"/>
    <mergeCell ref="MO2:MZ2"/>
    <mergeCell ref="NB2:NM2"/>
    <mergeCell ref="NO2:NZ2"/>
    <mergeCell ref="OB2:OM2"/>
    <mergeCell ref="RB2:RM2"/>
    <mergeCell ref="RO2:RZ2"/>
    <mergeCell ref="SB2:SM2"/>
    <mergeCell ref="SO2:SZ2"/>
    <mergeCell ref="OO2:OZ2"/>
    <mergeCell ref="PB2:PM2"/>
    <mergeCell ref="PO2:PZ2"/>
    <mergeCell ref="QB2:QM2"/>
    <mergeCell ref="QO2:QZ2"/>
    <mergeCell ref="TB2:TM2"/>
    <mergeCell ref="TO2:TZ2"/>
    <mergeCell ref="UB2:UM2"/>
    <mergeCell ref="UO2:UZ2"/>
    <mergeCell ref="VB2:VM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Table S1</vt:lpstr>
      <vt:lpstr>Table S2</vt:lpstr>
      <vt:lpstr>Table S3</vt:lpstr>
      <vt:lpstr>Table S4</vt:lpstr>
      <vt:lpstr>Table S5 to S11</vt:lpstr>
      <vt:lpstr>Table S12 and S13</vt:lpstr>
      <vt:lpstr>Table_S14 to S76 (RIs Age)</vt:lpstr>
      <vt:lpstr>Table S77 to S139 (RIs BH)</vt:lpstr>
    </vt:vector>
  </TitlesOfParts>
  <Company>Hewlett-Packard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Bia</dc:creator>
  <cp:lastModifiedBy>Daniel Bia</cp:lastModifiedBy>
  <dcterms:created xsi:type="dcterms:W3CDTF">2021-05-10T18:40:14Z</dcterms:created>
  <dcterms:modified xsi:type="dcterms:W3CDTF">2021-11-19T19:39:40Z</dcterms:modified>
</cp:coreProperties>
</file>