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<sst xmlns="http://schemas.openxmlformats.org/spreadsheetml/2006/main" count="975" uniqueCount="186">
  <si>
    <t>cardic failure</t>
  </si>
  <si>
    <t>cardiomyopathy</t>
  </si>
  <si>
    <t>ischemic heart disease</t>
  </si>
  <si>
    <t>Tdp/QT</t>
  </si>
  <si>
    <t>cardic arrhythmia</t>
  </si>
  <si>
    <t>a</t>
  </si>
  <si>
    <t>a+b</t>
  </si>
  <si>
    <t>OLA</t>
  </si>
  <si>
    <t>QUE</t>
  </si>
  <si>
    <t>RIS</t>
  </si>
  <si>
    <t>ARI</t>
  </si>
  <si>
    <t>AMI</t>
  </si>
  <si>
    <t>PAL</t>
  </si>
  <si>
    <t>ZIP</t>
  </si>
  <si>
    <t>CLO</t>
  </si>
  <si>
    <t>CHL</t>
  </si>
  <si>
    <t>HAL</t>
  </si>
  <si>
    <t>c</t>
  </si>
  <si>
    <t>ROR</t>
  </si>
  <si>
    <t>e(lnROR)</t>
  </si>
  <si>
    <t>ROR025</t>
  </si>
  <si>
    <t>ROR975</t>
  </si>
  <si>
    <t>IC</t>
  </si>
  <si>
    <t>IC025</t>
  </si>
  <si>
    <t>IC975</t>
  </si>
  <si>
    <t>cardiomyophathy</t>
  </si>
  <si>
    <t>Atrial septal defect acquired</t>
  </si>
  <si>
    <t>Biopsy heart abnormal</t>
  </si>
  <si>
    <t>Cardiac amyloidosis</t>
  </si>
  <si>
    <t>Cardiac hypertrophy</t>
  </si>
  <si>
    <t>Cardiac sarcoidosis</t>
  </si>
  <si>
    <t>Cardiac septal hypertrophy</t>
  </si>
  <si>
    <t>Cardiac siderosis</t>
  </si>
  <si>
    <t>Cardiomyopathy acute</t>
  </si>
  <si>
    <t>Cardiomyopathy alcoholic</t>
  </si>
  <si>
    <t>Cardiomyopathy neonatal</t>
  </si>
  <si>
    <t>Cardiotoxicity</t>
  </si>
  <si>
    <t>Congestive cardiomyopathy</t>
  </si>
  <si>
    <t>Cytotoxic cardiomyopathy</t>
  </si>
  <si>
    <t>Diabetic cardiomyopathy</t>
  </si>
  <si>
    <t>Ejection fraction abnormal</t>
  </si>
  <si>
    <t>Ejection fraction decreased</t>
  </si>
  <si>
    <t>Eosinophilic myocarditis</t>
  </si>
  <si>
    <t>Hypertensive cardiomyopathy</t>
  </si>
  <si>
    <t>Hypertrophic cardiomyopathy</t>
  </si>
  <si>
    <t>Ischaemic cardiomyopathy</t>
  </si>
  <si>
    <t>Kearns-Sayre syndrome</t>
  </si>
  <si>
    <t>Metabolic cardiomyopathy</t>
  </si>
  <si>
    <t>Muscular dystrophy</t>
  </si>
  <si>
    <t>Myocardial calcification</t>
  </si>
  <si>
    <t>Myocardial fibrosis</t>
  </si>
  <si>
    <t>Myocardial haemorrhage</t>
  </si>
  <si>
    <t>Non-obstructive cardiomyopathy</t>
  </si>
  <si>
    <t>Peripartum cardiomyopathy</t>
  </si>
  <si>
    <t>Pulmonary arterial wedge pressure increased</t>
  </si>
  <si>
    <t>Restrictive cardiomyopathy</t>
  </si>
  <si>
    <t>Right ventricular ejection fraction decreased</t>
  </si>
  <si>
    <t>Stress cardiomyopathy</t>
  </si>
  <si>
    <t>Tachycardia induced cardiomyopathy</t>
  </si>
  <si>
    <t>Thyrotoxic cardiomyopathy</t>
  </si>
  <si>
    <t>Ventricular septal defect acquired</t>
  </si>
  <si>
    <t>Viral cardiomyopathy</t>
  </si>
  <si>
    <t>Cardiomyopathy</t>
  </si>
  <si>
    <t>ic025</t>
  </si>
  <si>
    <t>cardiac arrhythmia</t>
  </si>
  <si>
    <t>Chronotropic incompetence</t>
  </si>
  <si>
    <t>Electrocardiogram repolarisation abnormality</t>
  </si>
  <si>
    <t>Electrocardiogram RR interval prolonged</t>
  </si>
  <si>
    <t>Electrocardiogram U wave inversion</t>
  </si>
  <si>
    <t>Electrocardiogram U wave present</t>
  </si>
  <si>
    <t>Electrocardiogram U-wave abnormality</t>
  </si>
  <si>
    <t>Sudden cardiac death</t>
  </si>
  <si>
    <t>Arrhythmia</t>
  </si>
  <si>
    <t>Heart alternation</t>
  </si>
  <si>
    <t>Heart rate irregular</t>
  </si>
  <si>
    <t>Pacemaker generated arrhythmia</t>
  </si>
  <si>
    <t>Pacemaker syndrome</t>
  </si>
  <si>
    <t>Paroxysmal arrhythmia</t>
  </si>
  <si>
    <t>Pulseless electrical activity</t>
  </si>
  <si>
    <t>Reperfusion arrhythmia</t>
  </si>
  <si>
    <t>Withdrawal arrhythmia</t>
  </si>
  <si>
    <t>Accelerated idioventricular rhythm</t>
  </si>
  <si>
    <t>Cardiac fibrillation</t>
  </si>
  <si>
    <t>Parasystole</t>
  </si>
  <si>
    <t>Rhythm idioventricular</t>
  </si>
  <si>
    <t>Torsade de pointes</t>
  </si>
  <si>
    <t>Ventricular arrhythmia</t>
  </si>
  <si>
    <t>Ventricular extrasystoles</t>
  </si>
  <si>
    <t>Ventricular fibrillation</t>
  </si>
  <si>
    <t>Ventricular flutter</t>
  </si>
  <si>
    <t>Ventricular parasystole</t>
  </si>
  <si>
    <t>Ventricular pre-excitation</t>
  </si>
  <si>
    <t>Ventricular tachyarrhythmia</t>
  </si>
  <si>
    <t>Ventricular tachycardia</t>
  </si>
  <si>
    <t>ic</t>
  </si>
  <si>
    <t>cardiac failure</t>
  </si>
  <si>
    <t>Acute left ventricular failure</t>
  </si>
  <si>
    <t>Acute pulmonary oedema</t>
  </si>
  <si>
    <t>Acute right ventricular failure</t>
  </si>
  <si>
    <t>Cardiac asthma</t>
  </si>
  <si>
    <t>Cardiac failure</t>
  </si>
  <si>
    <t>Cardiac failure acute</t>
  </si>
  <si>
    <t>Cardiac failure chronic</t>
  </si>
  <si>
    <t>Cardiac failure congestive</t>
  </si>
  <si>
    <t>Cardiac failure high output</t>
  </si>
  <si>
    <t>Cardiogenic shock</t>
  </si>
  <si>
    <t>Cardiopulmonary failure</t>
  </si>
  <si>
    <t>Cardiorenal syndrome</t>
  </si>
  <si>
    <t>Chronic left ventricular failure</t>
  </si>
  <si>
    <t>Chronic right ventricular failure</t>
  </si>
  <si>
    <t>Cor pulmonale</t>
  </si>
  <si>
    <t>Cor pulmonale acute</t>
  </si>
  <si>
    <t>Cor pulmonale chronic</t>
  </si>
  <si>
    <t>Hepatic congestion</t>
  </si>
  <si>
    <t>Hepatojugular reflux</t>
  </si>
  <si>
    <t>Left ventricular failure</t>
  </si>
  <si>
    <t>Low cardiac output syndrome</t>
  </si>
  <si>
    <t>Neonatal cardiac failure</t>
  </si>
  <si>
    <t>Obstructive shock</t>
  </si>
  <si>
    <t>Pulmonary oedema</t>
  </si>
  <si>
    <t>Pulmonary oedema neonatal</t>
  </si>
  <si>
    <t>Radiation associated cardiac failure</t>
  </si>
  <si>
    <t>Right ventricular failure</t>
  </si>
  <si>
    <t>Ventricular failure</t>
  </si>
  <si>
    <t>Acute coronary syndrome</t>
  </si>
  <si>
    <t>Acute myocardial infarction</t>
  </si>
  <si>
    <t>Angina unstable</t>
  </si>
  <si>
    <t>Blood creatine phosphokinase MB abnormal</t>
  </si>
  <si>
    <t>Blood creatine phosphokinase MB increased</t>
  </si>
  <si>
    <t>Coronary artery embolism</t>
  </si>
  <si>
    <t>Coronary artery occlusion</t>
  </si>
  <si>
    <t>Coronary artery reocclusion</t>
  </si>
  <si>
    <t>Coronary artery thrombosis</t>
  </si>
  <si>
    <t>Coronary bypass thrombosis</t>
  </si>
  <si>
    <t>Coronary vascular graft occlusion</t>
  </si>
  <si>
    <t>Kounis syndrome</t>
  </si>
  <si>
    <t>Myocardial infarction</t>
  </si>
  <si>
    <t>Coronary arterial stent insertion</t>
  </si>
  <si>
    <t>Coronary artery bypass</t>
  </si>
  <si>
    <t>Coronary artery compression</t>
  </si>
  <si>
    <t>Coronary artery disease</t>
  </si>
  <si>
    <t>Coronary artery dissection</t>
  </si>
  <si>
    <t>Coronary artery insufficiency</t>
  </si>
  <si>
    <t>Coronary artery restenosis</t>
  </si>
  <si>
    <t>Coronary artery stenosis</t>
  </si>
  <si>
    <t>Coronary artery surgery</t>
  </si>
  <si>
    <t>Coronary brachytherapy</t>
  </si>
  <si>
    <t>Coronary bypass stenosis</t>
  </si>
  <si>
    <t>Coronary endarterectomy</t>
  </si>
  <si>
    <t>Coronary no-reflow phenomenon</t>
  </si>
  <si>
    <t>Myocardial necrosis</t>
  </si>
  <si>
    <t>Myocardial reperfusion injury</t>
  </si>
  <si>
    <t>Myocardial stunning</t>
  </si>
  <si>
    <t>Papillary muscle infarction</t>
  </si>
  <si>
    <t>Periprocedural myocardial infarction</t>
  </si>
  <si>
    <t>Post procedural myocardial infarction</t>
  </si>
  <si>
    <t>Postinfarction angina</t>
  </si>
  <si>
    <t>Silent myocardial infarction</t>
  </si>
  <si>
    <t>Troponin I increased</t>
  </si>
  <si>
    <t>Troponin increased</t>
  </si>
  <si>
    <t>Troponin T increased</t>
  </si>
  <si>
    <t>Angina pectoris</t>
  </si>
  <si>
    <t>Anginal equivalent</t>
  </si>
  <si>
    <t>Arteriosclerosis coronary artery</t>
  </si>
  <si>
    <t>Arteriospasm coronary</t>
  </si>
  <si>
    <t>Coronary angioplasty</t>
  </si>
  <si>
    <t>Coronary ostial stenosis</t>
  </si>
  <si>
    <t>Coronary vascular graft stenosis</t>
  </si>
  <si>
    <t>Dissecting coronary artery aneurysm</t>
  </si>
  <si>
    <t>ECG signs of myocardial ischaemia</t>
  </si>
  <si>
    <t>External counterpulsation</t>
  </si>
  <si>
    <t>Haemorrhage coronary artery</t>
  </si>
  <si>
    <t>Ischaemic mitral regurgitation</t>
  </si>
  <si>
    <t>Microvascular coronary artery disease</t>
  </si>
  <si>
    <t>Myocardial hypoxia</t>
  </si>
  <si>
    <t>Myocardial ischaemia</t>
  </si>
  <si>
    <t>Percutaneous coronary intervention</t>
  </si>
  <si>
    <t>Prinzmetal angina</t>
  </si>
  <si>
    <t>Subclavian coronary steal syndrome</t>
  </si>
  <si>
    <t>Subendocardial ischaemia</t>
  </si>
  <si>
    <t>TdP/QT prolongation</t>
  </si>
  <si>
    <t>Electrocardiogram QT interval abnormal</t>
  </si>
  <si>
    <t>Electrocardiogram QT prolonged</t>
  </si>
  <si>
    <t>Long QT syndrome</t>
  </si>
  <si>
    <t>Long QT syndrome congenital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</si>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</sst>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rgb="FF000000"/>
      <name val="Palatino Linotype"/>
      <charset val="134"/>
    </font>
    <font>
      <sz val="9"/>
      <color rgb="FFFF0000"/>
      <name val="Palatino Linotype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5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31" borderId="6" applyNumberFormat="0" applyAlignment="0" applyProtection="0">
      <alignment vertical="center"/>
    </xf>
    <xf numFmtId="0" fontId="18" fillId="31" borderId="1" applyNumberFormat="0" applyAlignment="0" applyProtection="0">
      <alignment vertical="center"/>
    </xf>
    <xf numFmtId="0" fontId="21" fillId="36" borderId="8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176" fontId="1" fillId="4" borderId="0" xfId="0" applyNumberFormat="1" applyFont="1" applyFill="1" applyAlignment="1">
      <alignment vertical="center"/>
    </xf>
    <xf numFmtId="176" fontId="2" fillId="5" borderId="0" xfId="0" applyNumberFormat="1" applyFont="1" applyFill="1" applyAlignment="1">
      <alignment vertical="center"/>
    </xf>
    <xf numFmtId="176" fontId="0" fillId="4" borderId="0" xfId="0" applyNumberForma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2"/>
  <sheetViews>
    <sheetView workbookViewId="0">
      <selection activeCell="A1" sqref="$A1:$XFD72"/>
    </sheetView>
  </sheetViews>
  <sheetFormatPr defaultColWidth="8.72727272727273" defaultRowHeight="14"/>
  <sheetData>
    <row r="1" s="8" customFormat="1" spans="2:10">
      <c r="B1" s="8" t="s">
        <v>0</v>
      </c>
      <c r="C1" s="8"/>
      <c r="D1" s="8" t="s">
        <v>1</v>
      </c>
      <c r="E1" s="8"/>
      <c r="F1" s="8" t="s">
        <v>2</v>
      </c>
      <c r="G1" s="8"/>
      <c r="H1" s="8" t="s">
        <v>3</v>
      </c>
      <c r="I1" s="8"/>
      <c r="J1" s="8" t="s">
        <v>4</v>
      </c>
    </row>
    <row r="2" s="8" customFormat="1" spans="2:13">
      <c r="B2" s="8" t="s">
        <v>5</v>
      </c>
      <c r="C2" s="8"/>
      <c r="D2" s="8" t="s">
        <v>5</v>
      </c>
      <c r="E2" s="8"/>
      <c r="F2" s="8" t="s">
        <v>5</v>
      </c>
      <c r="G2" s="8"/>
      <c r="H2" s="8" t="s">
        <v>5</v>
      </c>
      <c r="I2" s="8"/>
      <c r="J2" s="8" t="s">
        <v>5</v>
      </c>
      <c r="K2" s="8"/>
      <c r="L2" s="8"/>
      <c r="M2" s="8" t="s">
        <v>6</v>
      </c>
    </row>
    <row r="3" s="8" customFormat="1" spans="1:13">
      <c r="A3" s="8" t="s">
        <v>7</v>
      </c>
      <c r="B3" s="8">
        <v>402</v>
      </c>
      <c r="C3" s="8"/>
      <c r="D3" s="8">
        <v>187</v>
      </c>
      <c r="E3" s="8"/>
      <c r="F3" s="8">
        <v>314</v>
      </c>
      <c r="G3" s="8"/>
      <c r="H3" s="8">
        <v>597</v>
      </c>
      <c r="I3" s="8"/>
      <c r="J3" s="8">
        <v>349</v>
      </c>
      <c r="K3" s="8"/>
      <c r="L3" s="8"/>
      <c r="M3" s="8">
        <v>21748</v>
      </c>
    </row>
    <row r="4" s="8" customFormat="1" spans="1:13">
      <c r="A4" s="8" t="s">
        <v>8</v>
      </c>
      <c r="B4" s="8">
        <v>622</v>
      </c>
      <c r="C4" s="8"/>
      <c r="D4" s="8">
        <v>185</v>
      </c>
      <c r="E4" s="8"/>
      <c r="F4" s="8">
        <v>632</v>
      </c>
      <c r="G4" s="8"/>
      <c r="H4" s="8">
        <v>787</v>
      </c>
      <c r="I4" s="8"/>
      <c r="J4" s="8">
        <v>638</v>
      </c>
      <c r="K4" s="8"/>
      <c r="L4" s="8"/>
      <c r="M4" s="8">
        <v>40850</v>
      </c>
    </row>
    <row r="5" s="8" customFormat="1" spans="1:13">
      <c r="A5" s="8" t="s">
        <v>9</v>
      </c>
      <c r="B5" s="8">
        <v>327</v>
      </c>
      <c r="C5" s="8"/>
      <c r="D5" s="8">
        <v>71</v>
      </c>
      <c r="E5" s="8"/>
      <c r="F5" s="8">
        <v>248</v>
      </c>
      <c r="G5" s="8"/>
      <c r="H5" s="8">
        <v>346</v>
      </c>
      <c r="I5" s="8"/>
      <c r="J5" s="8">
        <v>294</v>
      </c>
      <c r="K5" s="8"/>
      <c r="L5" s="8"/>
      <c r="M5" s="8">
        <v>25243</v>
      </c>
    </row>
    <row r="6" s="8" customFormat="1" spans="1:13">
      <c r="A6" s="8" t="s">
        <v>10</v>
      </c>
      <c r="B6" s="8">
        <v>279</v>
      </c>
      <c r="C6" s="8"/>
      <c r="D6" s="8">
        <v>145</v>
      </c>
      <c r="E6" s="8"/>
      <c r="F6" s="8">
        <v>364</v>
      </c>
      <c r="G6" s="8"/>
      <c r="H6" s="8">
        <v>423</v>
      </c>
      <c r="I6" s="8"/>
      <c r="J6" s="8">
        <v>291</v>
      </c>
      <c r="K6" s="8"/>
      <c r="L6" s="8"/>
      <c r="M6" s="8">
        <v>25397</v>
      </c>
    </row>
    <row r="7" s="8" customFormat="1" spans="1:13">
      <c r="A7" s="8" t="s">
        <v>11</v>
      </c>
      <c r="B7" s="8">
        <v>61</v>
      </c>
      <c r="C7" s="8"/>
      <c r="D7" s="8">
        <v>41</v>
      </c>
      <c r="E7" s="8"/>
      <c r="F7" s="8">
        <v>62</v>
      </c>
      <c r="G7" s="8"/>
      <c r="H7" s="8">
        <v>96</v>
      </c>
      <c r="I7" s="8"/>
      <c r="J7" s="8">
        <v>41</v>
      </c>
      <c r="K7" s="8"/>
      <c r="L7" s="8"/>
      <c r="M7" s="8">
        <v>1940</v>
      </c>
    </row>
    <row r="8" s="8" customFormat="1" spans="1:13">
      <c r="A8" s="8" t="s">
        <v>12</v>
      </c>
      <c r="B8" s="8">
        <v>59</v>
      </c>
      <c r="C8" s="8"/>
      <c r="D8" s="8">
        <v>43</v>
      </c>
      <c r="E8" s="8"/>
      <c r="F8" s="8">
        <v>90</v>
      </c>
      <c r="G8" s="8"/>
      <c r="H8" s="8">
        <v>63</v>
      </c>
      <c r="I8" s="8"/>
      <c r="J8" s="8">
        <v>65</v>
      </c>
      <c r="K8" s="8"/>
      <c r="L8" s="8"/>
      <c r="M8" s="8">
        <v>7277</v>
      </c>
    </row>
    <row r="9" s="8" customFormat="1" spans="1:13">
      <c r="A9" s="8" t="s">
        <v>13</v>
      </c>
      <c r="B9" s="8">
        <v>22</v>
      </c>
      <c r="C9" s="8"/>
      <c r="D9" s="8">
        <v>16</v>
      </c>
      <c r="E9" s="8"/>
      <c r="F9" s="8">
        <v>25</v>
      </c>
      <c r="G9" s="8"/>
      <c r="H9" s="8">
        <v>55</v>
      </c>
      <c r="I9" s="8"/>
      <c r="J9" s="8">
        <v>48</v>
      </c>
      <c r="K9" s="8"/>
      <c r="L9" s="8"/>
      <c r="M9" s="8">
        <v>3349</v>
      </c>
    </row>
    <row r="10" s="8" customFormat="1" spans="1:13">
      <c r="A10" s="8" t="s">
        <v>14</v>
      </c>
      <c r="B10" s="8">
        <v>338</v>
      </c>
      <c r="C10" s="8"/>
      <c r="D10" s="8">
        <v>273</v>
      </c>
      <c r="E10" s="8"/>
      <c r="F10" s="8">
        <v>521</v>
      </c>
      <c r="G10" s="8"/>
      <c r="H10" s="8">
        <v>335</v>
      </c>
      <c r="I10" s="8"/>
      <c r="J10" s="8">
        <v>194</v>
      </c>
      <c r="K10" s="8"/>
      <c r="L10" s="8"/>
      <c r="M10" s="8">
        <v>13923</v>
      </c>
    </row>
    <row r="11" s="8" customFormat="1" spans="1:13">
      <c r="A11" s="8" t="s">
        <v>15</v>
      </c>
      <c r="B11" s="8">
        <v>53</v>
      </c>
      <c r="C11" s="8"/>
      <c r="D11" s="8">
        <v>35</v>
      </c>
      <c r="E11" s="8"/>
      <c r="F11" s="8">
        <v>46</v>
      </c>
      <c r="G11" s="8"/>
      <c r="H11" s="8">
        <v>90</v>
      </c>
      <c r="I11" s="8"/>
      <c r="J11" s="8">
        <v>50</v>
      </c>
      <c r="K11" s="8"/>
      <c r="L11" s="8"/>
      <c r="M11" s="8">
        <v>2733</v>
      </c>
    </row>
    <row r="12" s="8" customFormat="1" spans="1:13">
      <c r="A12" s="8" t="s">
        <v>16</v>
      </c>
      <c r="B12" s="8">
        <v>252</v>
      </c>
      <c r="C12" s="8"/>
      <c r="D12" s="8">
        <v>57</v>
      </c>
      <c r="E12" s="8"/>
      <c r="F12" s="8">
        <v>179</v>
      </c>
      <c r="G12" s="8"/>
      <c r="H12" s="8">
        <v>249</v>
      </c>
      <c r="I12" s="8"/>
      <c r="J12" s="8">
        <v>206</v>
      </c>
      <c r="K12" s="8"/>
      <c r="L12" s="8"/>
      <c r="M12" s="8">
        <v>10967</v>
      </c>
    </row>
    <row r="13" s="8" customFormat="1" spans="1:13">
      <c r="A13" s="8" t="s">
        <v>17</v>
      </c>
      <c r="B13" s="8">
        <v>48210</v>
      </c>
      <c r="C13" s="8"/>
      <c r="D13" s="8">
        <v>9077</v>
      </c>
      <c r="E13" s="8"/>
      <c r="F13" s="8">
        <v>50477</v>
      </c>
      <c r="G13" s="8"/>
      <c r="H13" s="8">
        <v>12818</v>
      </c>
      <c r="I13" s="8"/>
      <c r="J13" s="8">
        <v>24198</v>
      </c>
      <c r="K13" s="8"/>
      <c r="L13" s="8"/>
      <c r="M13" s="8">
        <v>2361487</v>
      </c>
    </row>
    <row r="14" s="8" customFormat="1"/>
    <row r="15" s="8" customFormat="1"/>
    <row r="16" s="8" customFormat="1"/>
    <row r="17" s="8" customFormat="1" spans="1:10">
      <c r="A17" s="8" t="s">
        <v>18</v>
      </c>
      <c r="B17" s="8" t="s">
        <v>0</v>
      </c>
      <c r="C17" s="8"/>
      <c r="D17" s="8" t="s">
        <v>1</v>
      </c>
      <c r="E17" s="8"/>
      <c r="F17" s="8" t="s">
        <v>2</v>
      </c>
      <c r="G17" s="8"/>
      <c r="H17" s="8" t="s">
        <v>3</v>
      </c>
      <c r="I17" s="8"/>
      <c r="J17" s="8" t="s">
        <v>4</v>
      </c>
    </row>
    <row r="18" s="8" customFormat="1" spans="1:10">
      <c r="A18" s="8" t="s">
        <v>7</v>
      </c>
      <c r="B18" s="8">
        <f t="shared" ref="B18:B27" si="0">(B3+0.5)/(M3*48210/2361487+0.5)</f>
        <v>0.905536956369609</v>
      </c>
      <c r="D18" s="8">
        <f t="shared" ref="D18:D27" si="1">(D3+0.5)/(M3*9077/2361487+0.5)</f>
        <v>2.2296427033809</v>
      </c>
      <c r="F18" s="8">
        <f t="shared" ref="F18:F27" si="2">(F3+0.5)/(M3*50477/2361487+0.5)</f>
        <v>0.675812906544711</v>
      </c>
      <c r="H18" s="8">
        <f t="shared" ref="H18:H27" si="3">(H3+0.5)/(M3*12818/2361487+0.5)</f>
        <v>5.04020568457862</v>
      </c>
      <c r="J18" s="8">
        <f t="shared" ref="J18:J27" si="4">(J3+0.5)/(M3*24198/2361487+0.5)</f>
        <v>1.5648064423241</v>
      </c>
    </row>
    <row r="19" s="8" customFormat="1" spans="1:10">
      <c r="A19" s="8" t="s">
        <v>8</v>
      </c>
      <c r="B19" s="8">
        <f t="shared" si="0"/>
        <v>0.745994144732751</v>
      </c>
      <c r="D19" s="8">
        <f t="shared" si="1"/>
        <v>1.17764482285343</v>
      </c>
      <c r="F19" s="8">
        <f t="shared" si="2"/>
        <v>0.723955506931875</v>
      </c>
      <c r="H19" s="8">
        <f t="shared" si="3"/>
        <v>3.54360715087975</v>
      </c>
      <c r="J19" s="8">
        <f t="shared" si="4"/>
        <v>1.52354916969776</v>
      </c>
    </row>
    <row r="20" s="8" customFormat="1" spans="1:10">
      <c r="A20" s="8" t="s">
        <v>9</v>
      </c>
      <c r="B20" s="8">
        <f t="shared" si="0"/>
        <v>0.634888704886189</v>
      </c>
      <c r="D20" s="8">
        <f t="shared" si="1"/>
        <v>0.733121680233234</v>
      </c>
      <c r="F20" s="8">
        <f t="shared" si="2"/>
        <v>0.460124323313475</v>
      </c>
      <c r="H20" s="8">
        <f t="shared" si="3"/>
        <v>2.51968141638783</v>
      </c>
      <c r="J20" s="8">
        <f t="shared" si="4"/>
        <v>1.13634899279544</v>
      </c>
    </row>
    <row r="21" s="8" customFormat="1" spans="1:10">
      <c r="A21" s="8" t="s">
        <v>10</v>
      </c>
      <c r="B21" s="8">
        <f t="shared" si="0"/>
        <v>0.538553942552549</v>
      </c>
      <c r="D21" s="8">
        <f t="shared" si="1"/>
        <v>1.48287677690986</v>
      </c>
      <c r="F21" s="8">
        <f t="shared" si="2"/>
        <v>0.670822031830013</v>
      </c>
      <c r="H21" s="8">
        <f t="shared" si="3"/>
        <v>3.06100424566193</v>
      </c>
      <c r="J21" s="8">
        <f t="shared" si="4"/>
        <v>1.11796606306079</v>
      </c>
    </row>
    <row r="22" s="8" customFormat="1" spans="1:10">
      <c r="A22" s="8" t="s">
        <v>11</v>
      </c>
      <c r="B22" s="8">
        <f t="shared" si="0"/>
        <v>1.53346317574053</v>
      </c>
      <c r="D22" s="8">
        <f t="shared" si="1"/>
        <v>5.21559693314416</v>
      </c>
      <c r="F22" s="8">
        <f t="shared" si="2"/>
        <v>1.4892413534871</v>
      </c>
      <c r="H22" s="8">
        <f t="shared" si="3"/>
        <v>8.74871158789348</v>
      </c>
      <c r="J22" s="8">
        <f t="shared" si="4"/>
        <v>2.03640495520574</v>
      </c>
    </row>
    <row r="23" s="8" customFormat="1" spans="1:10">
      <c r="A23" s="8" t="s">
        <v>12</v>
      </c>
      <c r="B23" s="8">
        <f t="shared" si="0"/>
        <v>0.399166236354255</v>
      </c>
      <c r="D23" s="8">
        <f t="shared" si="1"/>
        <v>1.52786646235062</v>
      </c>
      <c r="F23" s="8">
        <f t="shared" si="2"/>
        <v>0.579955190051307</v>
      </c>
      <c r="H23" s="8">
        <f t="shared" si="3"/>
        <v>1.58753614244409</v>
      </c>
      <c r="J23" s="8">
        <f t="shared" si="4"/>
        <v>0.872554615466067</v>
      </c>
    </row>
    <row r="24" s="8" customFormat="1" spans="1:10">
      <c r="A24" s="8" t="s">
        <v>13</v>
      </c>
      <c r="B24" s="8">
        <f t="shared" si="0"/>
        <v>0.326701631591378</v>
      </c>
      <c r="D24" s="8">
        <f t="shared" si="1"/>
        <v>1.23385081322948</v>
      </c>
      <c r="F24" s="8">
        <f t="shared" si="2"/>
        <v>0.353748160781559</v>
      </c>
      <c r="H24" s="8">
        <f t="shared" si="3"/>
        <v>2.97138520115709</v>
      </c>
      <c r="J24" s="8">
        <f t="shared" si="4"/>
        <v>1.39299847626204</v>
      </c>
    </row>
    <row r="25" s="8" customFormat="1" spans="1:10">
      <c r="A25" s="8" t="s">
        <v>14</v>
      </c>
      <c r="B25" s="8">
        <f t="shared" si="0"/>
        <v>1.18880600427085</v>
      </c>
      <c r="D25" s="8">
        <f t="shared" si="1"/>
        <v>5.06324579595559</v>
      </c>
      <c r="F25" s="8">
        <f t="shared" si="2"/>
        <v>1.74938128950295</v>
      </c>
      <c r="H25" s="8">
        <f t="shared" si="3"/>
        <v>4.41022877203209</v>
      </c>
      <c r="J25" s="8">
        <f t="shared" si="4"/>
        <v>1.35854329961847</v>
      </c>
    </row>
    <row r="26" s="8" customFormat="1" spans="1:10">
      <c r="A26" s="8" t="s">
        <v>15</v>
      </c>
      <c r="B26" s="8">
        <f t="shared" si="0"/>
        <v>0.950359674681123</v>
      </c>
      <c r="D26" s="8">
        <f t="shared" si="1"/>
        <v>3.22580396102698</v>
      </c>
      <c r="F26" s="8">
        <f t="shared" si="2"/>
        <v>0.789230828127895</v>
      </c>
      <c r="H26" s="8">
        <f t="shared" si="3"/>
        <v>5.90170611052103</v>
      </c>
      <c r="J26" s="8">
        <f t="shared" si="4"/>
        <v>1.77162715815918</v>
      </c>
    </row>
    <row r="27" s="8" customFormat="1" spans="1:10">
      <c r="A27" s="8" t="s">
        <v>16</v>
      </c>
      <c r="B27" s="8">
        <f t="shared" si="0"/>
        <v>1.12526076120236</v>
      </c>
      <c r="D27" s="8">
        <f t="shared" si="1"/>
        <v>1.34803857440025</v>
      </c>
      <c r="F27" s="8">
        <f t="shared" si="2"/>
        <v>0.764087869374219</v>
      </c>
      <c r="H27" s="8">
        <f t="shared" si="3"/>
        <v>4.15638172404429</v>
      </c>
      <c r="J27" s="8">
        <f t="shared" si="4"/>
        <v>1.82940682112572</v>
      </c>
    </row>
    <row r="28" s="8" customFormat="1" spans="1:30">
      <c r="A28" s="8" t="s">
        <v>18</v>
      </c>
      <c r="B28" s="8">
        <f>(B14+0.5)/(M14*48210/24198+0.5)</f>
        <v>1</v>
      </c>
      <c r="C28" s="8" t="s">
        <v>19</v>
      </c>
      <c r="D28" s="8"/>
      <c r="E28" s="8" t="s">
        <v>20</v>
      </c>
      <c r="F28" s="8" t="s">
        <v>21</v>
      </c>
      <c r="G28" s="8"/>
      <c r="H28" s="8" t="s">
        <v>1</v>
      </c>
      <c r="I28" s="8" t="s">
        <v>19</v>
      </c>
      <c r="J28" s="8"/>
      <c r="K28" s="8" t="s">
        <v>20</v>
      </c>
      <c r="L28" s="8" t="s">
        <v>21</v>
      </c>
      <c r="M28" s="8"/>
      <c r="N28" s="8" t="s">
        <v>2</v>
      </c>
      <c r="O28" s="8" t="s">
        <v>19</v>
      </c>
      <c r="P28" s="8"/>
      <c r="Q28" s="8" t="s">
        <v>20</v>
      </c>
      <c r="R28" s="8" t="s">
        <v>21</v>
      </c>
      <c r="S28" s="8"/>
      <c r="T28" s="8" t="s">
        <v>3</v>
      </c>
      <c r="U28" s="8" t="s">
        <v>19</v>
      </c>
      <c r="V28" s="8"/>
      <c r="W28" s="8" t="s">
        <v>20</v>
      </c>
      <c r="X28" s="8" t="s">
        <v>21</v>
      </c>
      <c r="Y28" s="8"/>
      <c r="Z28" s="8" t="s">
        <v>4</v>
      </c>
      <c r="AA28" s="8" t="s">
        <v>19</v>
      </c>
      <c r="AB28" s="8"/>
      <c r="AC28" s="8" t="s">
        <v>20</v>
      </c>
      <c r="AD28" s="8" t="s">
        <v>21</v>
      </c>
    </row>
    <row r="29" s="8" customFormat="1" spans="1:30">
      <c r="A29" s="8" t="s">
        <v>7</v>
      </c>
      <c r="B29" s="8">
        <f t="shared" ref="B29:B38" si="5">LN(B18)</f>
        <v>-0.0992271892727217</v>
      </c>
      <c r="C29" s="8">
        <f t="shared" ref="C29:C38" si="6">B18</f>
        <v>0.905536956369609</v>
      </c>
      <c r="D29" s="8">
        <f t="shared" ref="D29:D38" si="7">(((1/B3+1/(M3-B3)+1/48210+1/(2361487-48210))^1/2)*1.96)</f>
        <v>0.00250447256034393</v>
      </c>
      <c r="E29" s="8">
        <f t="shared" ref="E29:E38" si="8">EXP(B29-D29)</f>
        <v>0.903271901477857</v>
      </c>
      <c r="F29" s="8">
        <f t="shared" ref="F29:F38" si="9">EXP(B29+D29)</f>
        <v>0.907807691138765</v>
      </c>
      <c r="H29" s="8">
        <f t="shared" ref="H29:H38" si="10">LN(D18)</f>
        <v>0.80184134993585</v>
      </c>
      <c r="I29" s="8">
        <f t="shared" ref="I29:I38" si="11">D18</f>
        <v>2.2296427033809</v>
      </c>
      <c r="J29" s="8">
        <f t="shared" ref="J29:J38" si="12">(((1/D3+1/(M3-D3)+1/9077+1/(2361487-9077))^1/2)*1.96)</f>
        <v>0.00539447592928276</v>
      </c>
      <c r="K29" s="8">
        <f t="shared" ref="K29:K38" si="13">EXP(H29-J29)</f>
        <v>2.21764733294428</v>
      </c>
      <c r="L29" s="8">
        <f t="shared" ref="L29:L38" si="14">EXP(H29+J29)</f>
        <v>2.24170295740373</v>
      </c>
      <c r="N29" s="8">
        <f t="shared" ref="N29:N38" si="15">LN(F18)</f>
        <v>-0.391839006712206</v>
      </c>
      <c r="O29" s="8">
        <f t="shared" ref="O29:O38" si="16">F18</f>
        <v>0.675812906544711</v>
      </c>
      <c r="P29" s="8">
        <f t="shared" ref="P29:P38" si="17">(((1/F3+1/(M3-F3)+1/50477+1/(2361487-50477))^1/2)*1.96)</f>
        <v>0.00318657969875463</v>
      </c>
      <c r="Q29" s="8">
        <f t="shared" ref="Q29:Q38" si="18">EXP(N29-P29)</f>
        <v>0.673662802415043</v>
      </c>
      <c r="R29" s="8">
        <f t="shared" ref="R29:R38" si="19">EXP(N29+P29)</f>
        <v>0.677969873080545</v>
      </c>
      <c r="T29" s="8">
        <f t="shared" ref="T29:T38" si="20">LN(H18)</f>
        <v>1.61744689168282</v>
      </c>
      <c r="U29" s="8">
        <f t="shared" ref="U29:U38" si="21">H18</f>
        <v>5.04020568457862</v>
      </c>
      <c r="V29" s="8">
        <f t="shared" ref="V29:V38" si="22">(((1/H3+1/(M3-H3)+1/12818+1/(2361487-12818))^1/2)*1.96)</f>
        <v>0.00176474678799725</v>
      </c>
      <c r="W29" s="8">
        <f t="shared" ref="W29:W38" si="23">EXP(T29-V29)</f>
        <v>5.03131884160609</v>
      </c>
      <c r="X29" s="8">
        <f t="shared" ref="X29:X38" si="24">EXP(T29+V29)</f>
        <v>5.04910822442517</v>
      </c>
      <c r="Z29" s="8">
        <f t="shared" ref="Z29:Z38" si="25">LN(J18)</f>
        <v>0.447762137317103</v>
      </c>
      <c r="AA29" s="8">
        <f t="shared" ref="AA29:AA38" si="26">J18</f>
        <v>1.5648064423241</v>
      </c>
      <c r="AB29" s="8">
        <f t="shared" ref="AB29:AB38" si="27">(((1/J3+1/(M3-J3)+1/24198+1/(2361487-24198))^1/2)*1.96)</f>
        <v>0.00289473795918053</v>
      </c>
      <c r="AC29" s="8">
        <f t="shared" ref="AC29:AC38" si="28">EXP(Z29-AB29)</f>
        <v>1.56028328754913</v>
      </c>
      <c r="AD29" s="8">
        <f t="shared" ref="AD29:AD38" si="29">EXP(Z29+AB29)</f>
        <v>1.5693427094161</v>
      </c>
    </row>
    <row r="30" s="8" customFormat="1" spans="1:30">
      <c r="A30" s="8" t="s">
        <v>8</v>
      </c>
      <c r="B30" s="8">
        <f t="shared" si="5"/>
        <v>-0.29303752769289</v>
      </c>
      <c r="C30" s="8">
        <f t="shared" si="6"/>
        <v>0.745994144732751</v>
      </c>
      <c r="D30" s="8">
        <f t="shared" si="7"/>
        <v>0.00162067521673389</v>
      </c>
      <c r="E30" s="8">
        <f t="shared" si="8"/>
        <v>0.744786109691198</v>
      </c>
      <c r="F30" s="8">
        <f t="shared" si="9"/>
        <v>0.74720413919412</v>
      </c>
      <c r="H30" s="8">
        <f t="shared" si="10"/>
        <v>0.163516531153146</v>
      </c>
      <c r="I30" s="8">
        <f t="shared" si="11"/>
        <v>1.17764482285343</v>
      </c>
      <c r="J30" s="8">
        <f t="shared" si="12"/>
        <v>0.00542977842641306</v>
      </c>
      <c r="K30" s="8">
        <f t="shared" si="13"/>
        <v>1.17126780097576</v>
      </c>
      <c r="L30" s="8">
        <f t="shared" si="14"/>
        <v>1.18405656472254</v>
      </c>
      <c r="N30" s="8">
        <f t="shared" si="15"/>
        <v>-0.323025342998811</v>
      </c>
      <c r="O30" s="8">
        <f t="shared" si="16"/>
        <v>0.723955506931875</v>
      </c>
      <c r="P30" s="8">
        <f t="shared" si="17"/>
        <v>0.00159483895014362</v>
      </c>
      <c r="Q30" s="8">
        <f t="shared" si="18"/>
        <v>0.722801834696489</v>
      </c>
      <c r="R30" s="8">
        <f t="shared" si="19"/>
        <v>0.725111020556647</v>
      </c>
      <c r="T30" s="8">
        <f t="shared" si="20"/>
        <v>1.26514517752406</v>
      </c>
      <c r="U30" s="8">
        <f t="shared" si="21"/>
        <v>3.54360715087975</v>
      </c>
      <c r="V30" s="8">
        <f t="shared" si="22"/>
        <v>0.00134656878584668</v>
      </c>
      <c r="W30" s="8">
        <f t="shared" si="23"/>
        <v>3.5388386513779</v>
      </c>
      <c r="X30" s="8">
        <f t="shared" si="24"/>
        <v>3.54838207581936</v>
      </c>
      <c r="Z30" s="8">
        <f t="shared" si="25"/>
        <v>0.421042593092672</v>
      </c>
      <c r="AA30" s="8">
        <f t="shared" si="26"/>
        <v>1.52354916969776</v>
      </c>
      <c r="AB30" s="8">
        <f t="shared" si="27"/>
        <v>0.00160133949531273</v>
      </c>
      <c r="AC30" s="8">
        <f t="shared" si="28"/>
        <v>1.52111140260656</v>
      </c>
      <c r="AD30" s="8">
        <f t="shared" si="29"/>
        <v>1.52599084360892</v>
      </c>
    </row>
    <row r="31" s="8" customFormat="1" spans="1:30">
      <c r="A31" s="8" t="s">
        <v>9</v>
      </c>
      <c r="B31" s="8">
        <f t="shared" si="5"/>
        <v>-0.454305563346423</v>
      </c>
      <c r="C31" s="8">
        <f t="shared" si="6"/>
        <v>0.634888704886189</v>
      </c>
      <c r="D31" s="8">
        <f t="shared" si="7"/>
        <v>0.00305702542634455</v>
      </c>
      <c r="E31" s="8">
        <f t="shared" si="8"/>
        <v>0.632950797597591</v>
      </c>
      <c r="F31" s="8">
        <f t="shared" si="9"/>
        <v>0.636832545471141</v>
      </c>
      <c r="H31" s="8">
        <f t="shared" si="10"/>
        <v>-0.310443587825763</v>
      </c>
      <c r="I31" s="8">
        <f t="shared" si="11"/>
        <v>0.733121680233234</v>
      </c>
      <c r="J31" s="8">
        <f t="shared" si="12"/>
        <v>0.0139501308290201</v>
      </c>
      <c r="K31" s="8">
        <f t="shared" si="13"/>
        <v>0.722965541317079</v>
      </c>
      <c r="L31" s="8">
        <f t="shared" si="14"/>
        <v>0.743420491450888</v>
      </c>
      <c r="N31" s="8">
        <f t="shared" si="15"/>
        <v>-0.77625855794206</v>
      </c>
      <c r="O31" s="8">
        <f t="shared" si="16"/>
        <v>0.460124323313475</v>
      </c>
      <c r="P31" s="8">
        <f t="shared" si="17"/>
        <v>0.00401065958477862</v>
      </c>
      <c r="Q31" s="8">
        <f t="shared" si="18"/>
        <v>0.458282616983274</v>
      </c>
      <c r="R31" s="8">
        <f t="shared" si="19"/>
        <v>0.461973430932927</v>
      </c>
      <c r="T31" s="8">
        <f t="shared" si="20"/>
        <v>0.924132471463069</v>
      </c>
      <c r="U31" s="8">
        <f t="shared" si="21"/>
        <v>2.51968141638783</v>
      </c>
      <c r="V31" s="8">
        <f t="shared" si="22"/>
        <v>0.00294860435712708</v>
      </c>
      <c r="W31" s="8">
        <f t="shared" si="23"/>
        <v>2.51226281541941</v>
      </c>
      <c r="X31" s="8">
        <f t="shared" si="24"/>
        <v>2.52712192415677</v>
      </c>
      <c r="Z31" s="8">
        <f t="shared" si="25"/>
        <v>0.127820485086845</v>
      </c>
      <c r="AA31" s="8">
        <f t="shared" si="26"/>
        <v>1.13634899279544</v>
      </c>
      <c r="AB31" s="8">
        <f t="shared" si="27"/>
        <v>0.0034135319687977</v>
      </c>
      <c r="AC31" s="8">
        <f t="shared" si="28"/>
        <v>1.13247664213732</v>
      </c>
      <c r="AD31" s="8">
        <f t="shared" si="29"/>
        <v>1.14023458443272</v>
      </c>
    </row>
    <row r="32" s="8" customFormat="1" spans="1:30">
      <c r="A32" s="8" t="s">
        <v>10</v>
      </c>
      <c r="B32" s="8">
        <f t="shared" si="5"/>
        <v>-0.618867615531532</v>
      </c>
      <c r="C32" s="8">
        <f t="shared" si="6"/>
        <v>0.538553942552549</v>
      </c>
      <c r="D32" s="8">
        <f t="shared" si="7"/>
        <v>0.00357231202235376</v>
      </c>
      <c r="E32" s="8">
        <f t="shared" si="8"/>
        <v>0.536633492095316</v>
      </c>
      <c r="F32" s="8">
        <f t="shared" si="9"/>
        <v>0.540481265726475</v>
      </c>
      <c r="H32" s="8">
        <f t="shared" si="10"/>
        <v>0.393983969285431</v>
      </c>
      <c r="I32" s="8">
        <f t="shared" si="11"/>
        <v>1.48287677690986</v>
      </c>
      <c r="J32" s="8">
        <f t="shared" si="12"/>
        <v>0.00690581127766017</v>
      </c>
      <c r="K32" s="8">
        <f t="shared" si="13"/>
        <v>1.47267158785262</v>
      </c>
      <c r="L32" s="8">
        <f t="shared" si="14"/>
        <v>1.49315268498182</v>
      </c>
      <c r="N32" s="8">
        <f t="shared" si="15"/>
        <v>-0.399251405460912</v>
      </c>
      <c r="O32" s="8">
        <f t="shared" si="16"/>
        <v>0.670822031830013</v>
      </c>
      <c r="P32" s="8">
        <f t="shared" si="17"/>
        <v>0.00275129485650423</v>
      </c>
      <c r="Q32" s="8">
        <f t="shared" si="18"/>
        <v>0.668978939232427</v>
      </c>
      <c r="R32" s="8">
        <f t="shared" si="19"/>
        <v>0.672670202300942</v>
      </c>
      <c r="T32" s="8">
        <f t="shared" si="20"/>
        <v>1.11874304698026</v>
      </c>
      <c r="U32" s="8">
        <f t="shared" si="21"/>
        <v>3.06100424566193</v>
      </c>
      <c r="V32" s="8">
        <f t="shared" si="22"/>
        <v>0.00243289792320051</v>
      </c>
      <c r="W32" s="8">
        <f t="shared" si="23"/>
        <v>3.05356618647794</v>
      </c>
      <c r="X32" s="8">
        <f t="shared" si="24"/>
        <v>3.06846042291544</v>
      </c>
      <c r="Z32" s="8">
        <f t="shared" si="25"/>
        <v>0.111511019228167</v>
      </c>
      <c r="AA32" s="8">
        <f t="shared" si="26"/>
        <v>1.11796606306079</v>
      </c>
      <c r="AB32" s="8">
        <f t="shared" si="27"/>
        <v>0.00344765059224441</v>
      </c>
      <c r="AC32" s="8">
        <f t="shared" si="28"/>
        <v>1.11411834330927</v>
      </c>
      <c r="AD32" s="8">
        <f t="shared" si="29"/>
        <v>1.12182707129946</v>
      </c>
    </row>
    <row r="33" s="8" customFormat="1" spans="1:30">
      <c r="A33" s="8" t="s">
        <v>11</v>
      </c>
      <c r="B33" s="8">
        <f t="shared" si="5"/>
        <v>0.427528691072587</v>
      </c>
      <c r="C33" s="8">
        <f t="shared" si="6"/>
        <v>1.53346317574053</v>
      </c>
      <c r="D33" s="8">
        <f t="shared" si="7"/>
        <v>0.0166078791628623</v>
      </c>
      <c r="E33" s="8">
        <f t="shared" si="8"/>
        <v>1.5082059198826</v>
      </c>
      <c r="F33" s="8">
        <f t="shared" si="9"/>
        <v>1.55914340366419</v>
      </c>
      <c r="H33" s="8">
        <f t="shared" si="10"/>
        <v>1.65165354655109</v>
      </c>
      <c r="I33" s="8">
        <f t="shared" si="11"/>
        <v>5.21559693314416</v>
      </c>
      <c r="J33" s="8">
        <f t="shared" si="12"/>
        <v>0.0245268818899535</v>
      </c>
      <c r="K33" s="8">
        <f t="shared" si="13"/>
        <v>5.08923062371558</v>
      </c>
      <c r="L33" s="8">
        <f t="shared" si="14"/>
        <v>5.34510093574078</v>
      </c>
      <c r="N33" s="8">
        <f t="shared" si="15"/>
        <v>0.398266831558557</v>
      </c>
      <c r="O33" s="8">
        <f t="shared" si="16"/>
        <v>1.4892413534871</v>
      </c>
      <c r="P33" s="8">
        <f t="shared" si="17"/>
        <v>0.016348122188777</v>
      </c>
      <c r="Q33" s="8">
        <f t="shared" si="18"/>
        <v>1.4650929819602</v>
      </c>
      <c r="R33" s="8">
        <f t="shared" si="19"/>
        <v>1.51378775015956</v>
      </c>
      <c r="T33" s="8">
        <f t="shared" si="20"/>
        <v>2.16890644242972</v>
      </c>
      <c r="U33" s="8">
        <f t="shared" si="21"/>
        <v>8.74871158789348</v>
      </c>
      <c r="V33" s="8">
        <f t="shared" si="22"/>
        <v>0.0108166589383706</v>
      </c>
      <c r="W33" s="8">
        <f t="shared" si="23"/>
        <v>8.65458971826557</v>
      </c>
      <c r="X33" s="8">
        <f t="shared" si="24"/>
        <v>8.84385706772483</v>
      </c>
      <c r="Z33" s="8">
        <f t="shared" si="25"/>
        <v>0.711185976359594</v>
      </c>
      <c r="AA33" s="8">
        <f t="shared" si="26"/>
        <v>2.03640495520574</v>
      </c>
      <c r="AB33" s="8">
        <f t="shared" si="27"/>
        <v>0.0244594186131679</v>
      </c>
      <c r="AC33" s="8">
        <f t="shared" si="28"/>
        <v>1.98719989068295</v>
      </c>
      <c r="AD33" s="8">
        <f t="shared" si="29"/>
        <v>2.08682838653001</v>
      </c>
    </row>
    <row r="34" s="8" customFormat="1" spans="1:30">
      <c r="A34" s="8" t="s">
        <v>12</v>
      </c>
      <c r="B34" s="8">
        <f t="shared" si="5"/>
        <v>-0.918377316392677</v>
      </c>
      <c r="C34" s="8">
        <f t="shared" si="6"/>
        <v>0.399166236354255</v>
      </c>
      <c r="D34" s="8">
        <f t="shared" si="7"/>
        <v>0.0167666925477075</v>
      </c>
      <c r="E34" s="8">
        <f t="shared" si="8"/>
        <v>0.392529333727654</v>
      </c>
      <c r="F34" s="8">
        <f t="shared" si="9"/>
        <v>0.405915356012018</v>
      </c>
      <c r="H34" s="8">
        <f t="shared" si="10"/>
        <v>0.423872293175677</v>
      </c>
      <c r="I34" s="8">
        <f t="shared" si="11"/>
        <v>1.52786646235062</v>
      </c>
      <c r="J34" s="8">
        <f t="shared" si="12"/>
        <v>0.0230345508403262</v>
      </c>
      <c r="K34" s="8">
        <f t="shared" si="13"/>
        <v>1.49307498598402</v>
      </c>
      <c r="L34" s="8">
        <f t="shared" si="14"/>
        <v>1.56346864604212</v>
      </c>
      <c r="N34" s="8">
        <f t="shared" si="15"/>
        <v>-0.544804436958495</v>
      </c>
      <c r="O34" s="8">
        <f t="shared" si="16"/>
        <v>0.579955190051307</v>
      </c>
      <c r="P34" s="8">
        <f t="shared" si="17"/>
        <v>0.0110450850406864</v>
      </c>
      <c r="Q34" s="8">
        <f t="shared" si="18"/>
        <v>0.573584781273206</v>
      </c>
      <c r="R34" s="8">
        <f t="shared" si="19"/>
        <v>0.586396350546198</v>
      </c>
      <c r="T34" s="8">
        <f t="shared" si="20"/>
        <v>0.462183218419461</v>
      </c>
      <c r="U34" s="8">
        <f t="shared" si="21"/>
        <v>1.58753614244409</v>
      </c>
      <c r="V34" s="8">
        <f t="shared" si="22"/>
        <v>0.0157682747625731</v>
      </c>
      <c r="W34" s="8">
        <f t="shared" si="23"/>
        <v>1.56269976437575</v>
      </c>
      <c r="X34" s="8">
        <f t="shared" si="24"/>
        <v>1.61276725127876</v>
      </c>
      <c r="Z34" s="8">
        <f t="shared" si="25"/>
        <v>-0.136330030341923</v>
      </c>
      <c r="AA34" s="8">
        <f t="shared" si="26"/>
        <v>0.872554615466067</v>
      </c>
      <c r="AB34" s="8">
        <f t="shared" si="27"/>
        <v>0.0152537262176358</v>
      </c>
      <c r="AC34" s="8">
        <f t="shared" si="28"/>
        <v>0.859345903402278</v>
      </c>
      <c r="AD34" s="8">
        <f t="shared" si="29"/>
        <v>0.885966354126821</v>
      </c>
    </row>
    <row r="35" s="8" customFormat="1" spans="1:30">
      <c r="A35" s="8" t="s">
        <v>13</v>
      </c>
      <c r="B35" s="8">
        <f t="shared" si="5"/>
        <v>-1.11870796622971</v>
      </c>
      <c r="C35" s="8">
        <f t="shared" si="6"/>
        <v>0.326701631591378</v>
      </c>
      <c r="D35" s="8">
        <f t="shared" si="7"/>
        <v>0.0448607655830907</v>
      </c>
      <c r="E35" s="8">
        <f t="shared" si="8"/>
        <v>0.312369426659413</v>
      </c>
      <c r="F35" s="8">
        <f t="shared" si="9"/>
        <v>0.341691430002989</v>
      </c>
      <c r="H35" s="8">
        <f t="shared" si="10"/>
        <v>0.210140021277881</v>
      </c>
      <c r="I35" s="8">
        <f t="shared" si="11"/>
        <v>1.23385081322948</v>
      </c>
      <c r="J35" s="8">
        <f t="shared" si="12"/>
        <v>0.0616524111837221</v>
      </c>
      <c r="K35" s="8">
        <f t="shared" si="13"/>
        <v>1.16007842442294</v>
      </c>
      <c r="L35" s="8">
        <f t="shared" si="14"/>
        <v>1.31231457913229</v>
      </c>
      <c r="N35" s="8">
        <f t="shared" si="15"/>
        <v>-1.03917002924228</v>
      </c>
      <c r="O35" s="8">
        <f t="shared" si="16"/>
        <v>0.353748160781559</v>
      </c>
      <c r="P35" s="8">
        <f t="shared" si="17"/>
        <v>0.0395146643514165</v>
      </c>
      <c r="Q35" s="8">
        <f t="shared" si="18"/>
        <v>0.340042491699591</v>
      </c>
      <c r="R35" s="8">
        <f t="shared" si="19"/>
        <v>0.368006247192448</v>
      </c>
      <c r="T35" s="8">
        <f t="shared" si="20"/>
        <v>1.089028241781</v>
      </c>
      <c r="U35" s="8">
        <f t="shared" si="21"/>
        <v>2.97138520115709</v>
      </c>
      <c r="V35" s="8">
        <f t="shared" si="22"/>
        <v>0.0181925646863426</v>
      </c>
      <c r="W35" s="8">
        <f t="shared" si="23"/>
        <v>2.91781683411768</v>
      </c>
      <c r="X35" s="8">
        <f t="shared" si="24"/>
        <v>3.02593703292731</v>
      </c>
      <c r="Z35" s="8">
        <f t="shared" si="25"/>
        <v>0.331458600943543</v>
      </c>
      <c r="AA35" s="8">
        <f t="shared" si="26"/>
        <v>1.39299847626204</v>
      </c>
      <c r="AB35" s="8">
        <f t="shared" si="27"/>
        <v>0.020754464904077</v>
      </c>
      <c r="AC35" s="8">
        <f t="shared" si="28"/>
        <v>1.36438548896974</v>
      </c>
      <c r="AD35" s="8">
        <f t="shared" si="29"/>
        <v>1.42221151614094</v>
      </c>
    </row>
    <row r="36" s="8" customFormat="1" spans="1:30">
      <c r="A36" s="8" t="s">
        <v>14</v>
      </c>
      <c r="B36" s="8">
        <f t="shared" si="5"/>
        <v>0.172949445667504</v>
      </c>
      <c r="C36" s="8">
        <f t="shared" si="6"/>
        <v>1.18880600427085</v>
      </c>
      <c r="D36" s="8">
        <f t="shared" si="7"/>
        <v>0.0029922980462273</v>
      </c>
      <c r="E36" s="8">
        <f t="shared" si="8"/>
        <v>1.18525405927626</v>
      </c>
      <c r="F36" s="8">
        <f t="shared" si="9"/>
        <v>1.19236859366117</v>
      </c>
      <c r="H36" s="8">
        <f t="shared" si="10"/>
        <v>1.62200773930209</v>
      </c>
      <c r="I36" s="8">
        <f t="shared" si="11"/>
        <v>5.06324579595559</v>
      </c>
      <c r="J36" s="8">
        <f t="shared" si="12"/>
        <v>0.00376992024232027</v>
      </c>
      <c r="K36" s="8">
        <f t="shared" si="13"/>
        <v>5.04419369814667</v>
      </c>
      <c r="L36" s="8">
        <f t="shared" si="14"/>
        <v>5.08236985421104</v>
      </c>
      <c r="N36" s="8">
        <f t="shared" si="15"/>
        <v>0.559262176566835</v>
      </c>
      <c r="O36" s="8">
        <f t="shared" si="16"/>
        <v>1.74938128950295</v>
      </c>
      <c r="P36" s="8">
        <f t="shared" si="17"/>
        <v>0.00197396033501446</v>
      </c>
      <c r="Q36" s="8">
        <f t="shared" si="18"/>
        <v>1.74593148623425</v>
      </c>
      <c r="R36" s="8">
        <f t="shared" si="19"/>
        <v>1.75283790927201</v>
      </c>
      <c r="T36" s="8">
        <f t="shared" si="20"/>
        <v>1.48392656385749</v>
      </c>
      <c r="U36" s="8">
        <f t="shared" si="21"/>
        <v>4.41022877203209</v>
      </c>
      <c r="V36" s="8">
        <f t="shared" si="22"/>
        <v>0.00307436783810465</v>
      </c>
      <c r="W36" s="8">
        <f t="shared" si="23"/>
        <v>4.39669092735682</v>
      </c>
      <c r="X36" s="8">
        <f t="shared" si="24"/>
        <v>4.42380830106533</v>
      </c>
      <c r="Z36" s="8">
        <f t="shared" si="25"/>
        <v>0.306413022485249</v>
      </c>
      <c r="AA36" s="8">
        <f t="shared" si="26"/>
        <v>1.35854329961847</v>
      </c>
      <c r="AB36" s="8">
        <f t="shared" si="27"/>
        <v>0.00516384664241639</v>
      </c>
      <c r="AC36" s="8">
        <f t="shared" si="28"/>
        <v>1.35154607221537</v>
      </c>
      <c r="AD36" s="8">
        <f t="shared" si="29"/>
        <v>1.36557675308321</v>
      </c>
    </row>
    <row r="37" s="8" customFormat="1" spans="1:30">
      <c r="A37" s="8" t="s">
        <v>15</v>
      </c>
      <c r="B37" s="8">
        <f t="shared" si="5"/>
        <v>-0.0509147611128136</v>
      </c>
      <c r="C37" s="8">
        <f t="shared" si="6"/>
        <v>0.950359674681123</v>
      </c>
      <c r="D37" s="8">
        <f t="shared" si="7"/>
        <v>0.0188769890538027</v>
      </c>
      <c r="E37" s="8">
        <f t="shared" si="8"/>
        <v>0.93258801098302</v>
      </c>
      <c r="F37" s="8">
        <f t="shared" si="9"/>
        <v>0.968470000282316</v>
      </c>
      <c r="H37" s="8">
        <f t="shared" si="10"/>
        <v>1.17118220942101</v>
      </c>
      <c r="I37" s="8">
        <f t="shared" si="11"/>
        <v>3.22580396102698</v>
      </c>
      <c r="J37" s="8">
        <f t="shared" si="12"/>
        <v>0.0284716138045031</v>
      </c>
      <c r="K37" s="8">
        <f t="shared" si="13"/>
        <v>3.13525526689361</v>
      </c>
      <c r="L37" s="8">
        <f t="shared" si="14"/>
        <v>3.31896777428505</v>
      </c>
      <c r="N37" s="8">
        <f t="shared" si="15"/>
        <v>-0.236696443092928</v>
      </c>
      <c r="O37" s="8">
        <f t="shared" si="16"/>
        <v>0.789230828127895</v>
      </c>
      <c r="P37" s="8">
        <f t="shared" si="17"/>
        <v>0.0216889056835631</v>
      </c>
      <c r="Q37" s="8">
        <f t="shared" si="18"/>
        <v>0.7722975708349</v>
      </c>
      <c r="R37" s="8">
        <f t="shared" si="19"/>
        <v>0.806535360967233</v>
      </c>
      <c r="T37" s="8">
        <f t="shared" si="20"/>
        <v>1.77524148038447</v>
      </c>
      <c r="U37" s="8">
        <f t="shared" si="21"/>
        <v>5.90170611052103</v>
      </c>
      <c r="V37" s="8">
        <f t="shared" si="22"/>
        <v>0.0113365518997368</v>
      </c>
      <c r="W37" s="8">
        <f t="shared" si="23"/>
        <v>5.83517891986724</v>
      </c>
      <c r="X37" s="8">
        <f t="shared" si="24"/>
        <v>5.9689917812758</v>
      </c>
      <c r="Z37" s="8">
        <f t="shared" si="25"/>
        <v>0.571898422684775</v>
      </c>
      <c r="AA37" s="8">
        <f t="shared" si="26"/>
        <v>1.77162715815918</v>
      </c>
      <c r="AB37" s="8">
        <f t="shared" si="27"/>
        <v>0.0200061812695571</v>
      </c>
      <c r="AC37" s="8">
        <f t="shared" si="28"/>
        <v>1.73653585599245</v>
      </c>
      <c r="AD37" s="8">
        <f t="shared" si="29"/>
        <v>1.80742757294429</v>
      </c>
    </row>
    <row r="38" s="8" customFormat="1" spans="1:30">
      <c r="A38" s="8" t="s">
        <v>16</v>
      </c>
      <c r="B38" s="8">
        <f t="shared" si="5"/>
        <v>0.11801479653319</v>
      </c>
      <c r="C38" s="8">
        <f t="shared" si="6"/>
        <v>1.12526076120236</v>
      </c>
      <c r="D38" s="8">
        <f t="shared" si="7"/>
        <v>0.00400110083246004</v>
      </c>
      <c r="E38" s="8">
        <f t="shared" si="8"/>
        <v>1.12076747447496</v>
      </c>
      <c r="F38" s="8">
        <f t="shared" si="9"/>
        <v>1.12977206203713</v>
      </c>
      <c r="H38" s="8">
        <f t="shared" si="10"/>
        <v>0.298650628104611</v>
      </c>
      <c r="I38" s="8">
        <f t="shared" si="11"/>
        <v>1.34803857440025</v>
      </c>
      <c r="J38" s="8">
        <f t="shared" si="12"/>
        <v>0.0173911900847682</v>
      </c>
      <c r="K38" s="8">
        <f t="shared" si="13"/>
        <v>1.32479726213271</v>
      </c>
      <c r="L38" s="8">
        <f t="shared" si="14"/>
        <v>1.37168761591917</v>
      </c>
      <c r="N38" s="8">
        <f t="shared" si="15"/>
        <v>-0.269072484159101</v>
      </c>
      <c r="O38" s="8">
        <f t="shared" si="16"/>
        <v>0.764087869374219</v>
      </c>
      <c r="P38" s="8">
        <f t="shared" si="17"/>
        <v>0.00558554085111625</v>
      </c>
      <c r="Q38" s="8">
        <f t="shared" si="18"/>
        <v>0.759831922313911</v>
      </c>
      <c r="R38" s="8">
        <f t="shared" si="19"/>
        <v>0.768367654713556</v>
      </c>
      <c r="T38" s="8">
        <f t="shared" si="20"/>
        <v>1.42464491792295</v>
      </c>
      <c r="U38" s="8">
        <f t="shared" si="21"/>
        <v>4.15638172404429</v>
      </c>
      <c r="V38" s="8">
        <f t="shared" si="22"/>
        <v>0.00410405018387952</v>
      </c>
      <c r="W38" s="8">
        <f t="shared" si="23"/>
        <v>4.13935868047158</v>
      </c>
      <c r="X38" s="8">
        <f t="shared" si="24"/>
        <v>4.17347477459992</v>
      </c>
      <c r="Z38" s="8">
        <f t="shared" si="25"/>
        <v>0.603991772846774</v>
      </c>
      <c r="AA38" s="8">
        <f t="shared" si="26"/>
        <v>1.82940682112572</v>
      </c>
      <c r="AB38" s="8">
        <f t="shared" si="27"/>
        <v>0.00488926966059096</v>
      </c>
      <c r="AC38" s="8">
        <f t="shared" si="28"/>
        <v>1.8204841882121</v>
      </c>
      <c r="AD38" s="8">
        <f t="shared" si="29"/>
        <v>1.83837318601934</v>
      </c>
    </row>
    <row r="39" s="8" customFormat="1"/>
    <row r="40" s="8" customFormat="1"/>
    <row r="41" s="8" customFormat="1"/>
    <row r="42" s="8" customFormat="1"/>
    <row r="43" s="8" customFormat="1" spans="1:10">
      <c r="A43" s="8" t="s">
        <v>22</v>
      </c>
      <c r="B43" s="8" t="s">
        <v>0</v>
      </c>
      <c r="C43" s="8"/>
      <c r="D43" s="8" t="s">
        <v>1</v>
      </c>
      <c r="E43" s="8"/>
      <c r="F43" s="8" t="s">
        <v>2</v>
      </c>
      <c r="G43" s="8"/>
      <c r="H43" s="8" t="s">
        <v>3</v>
      </c>
      <c r="I43" s="8"/>
      <c r="J43" s="8" t="s">
        <v>4</v>
      </c>
    </row>
    <row r="44" s="8" customFormat="1" spans="1:10">
      <c r="A44" s="8" t="s">
        <v>7</v>
      </c>
      <c r="B44" s="8">
        <f t="shared" ref="B44:F44" si="30">LOG(B18,2)</f>
        <v>-0.143154573885106</v>
      </c>
      <c r="D44" s="8">
        <f t="shared" si="30"/>
        <v>1.15681253913216</v>
      </c>
      <c r="F44" s="8">
        <f t="shared" si="30"/>
        <v>-0.565304191810557</v>
      </c>
      <c r="H44" s="8">
        <f t="shared" ref="H44:H53" si="31">LOG(H18,2)</f>
        <v>2.33348260953207</v>
      </c>
      <c r="J44" s="8">
        <f t="shared" ref="J44:J53" si="32">LOG(J18,2)</f>
        <v>0.645984215005227</v>
      </c>
    </row>
    <row r="45" s="8" customFormat="1" spans="1:10">
      <c r="A45" s="8" t="s">
        <v>8</v>
      </c>
      <c r="B45" s="8">
        <f t="shared" ref="B45:F45" si="33">LOG(B19,2)</f>
        <v>-0.422763787996895</v>
      </c>
      <c r="D45" s="8">
        <f t="shared" si="33"/>
        <v>0.235904488598009</v>
      </c>
      <c r="F45" s="8">
        <f t="shared" si="33"/>
        <v>-0.466027060425841</v>
      </c>
      <c r="H45" s="8">
        <f t="shared" si="31"/>
        <v>1.82521867361855</v>
      </c>
      <c r="J45" s="8">
        <f t="shared" si="32"/>
        <v>0.607436061057827</v>
      </c>
    </row>
    <row r="46" s="8" customFormat="1" spans="1:10">
      <c r="A46" s="8" t="s">
        <v>9</v>
      </c>
      <c r="B46" s="8">
        <f t="shared" ref="B46:F46" si="34">LOG(B20,2)</f>
        <v>-0.655424383288151</v>
      </c>
      <c r="D46" s="8">
        <f t="shared" si="34"/>
        <v>-0.447875424632005</v>
      </c>
      <c r="F46" s="8">
        <f t="shared" si="34"/>
        <v>-1.11990437199063</v>
      </c>
      <c r="H46" s="8">
        <f t="shared" si="31"/>
        <v>1.33324133370423</v>
      </c>
      <c r="J46" s="8">
        <f t="shared" si="32"/>
        <v>0.184405979958812</v>
      </c>
    </row>
    <row r="47" s="8" customFormat="1" spans="1:10">
      <c r="A47" s="8" t="s">
        <v>10</v>
      </c>
      <c r="B47" s="8">
        <f t="shared" ref="B47:F47" si="35">LOG(B21,2)</f>
        <v>-0.892837239894118</v>
      </c>
      <c r="D47" s="8">
        <f t="shared" si="35"/>
        <v>0.56839871867784</v>
      </c>
      <c r="F47" s="8">
        <f t="shared" si="35"/>
        <v>-0.575998022726406</v>
      </c>
      <c r="H47" s="8">
        <f t="shared" si="31"/>
        <v>1.61400504590743</v>
      </c>
      <c r="J47" s="8">
        <f t="shared" si="32"/>
        <v>0.16087639444495</v>
      </c>
    </row>
    <row r="48" s="8" customFormat="1" spans="1:10">
      <c r="A48" s="8" t="s">
        <v>11</v>
      </c>
      <c r="B48" s="8">
        <f t="shared" ref="B48:F48" si="36">LOG(B22,2)</f>
        <v>0.616793522448171</v>
      </c>
      <c r="D48" s="8">
        <f t="shared" si="36"/>
        <v>2.38283238087592</v>
      </c>
      <c r="F48" s="8">
        <f t="shared" si="36"/>
        <v>0.57457758284009</v>
      </c>
      <c r="H48" s="8">
        <f t="shared" si="31"/>
        <v>3.12907056864548</v>
      </c>
      <c r="J48" s="8">
        <f t="shared" si="32"/>
        <v>1.02602448124376</v>
      </c>
    </row>
    <row r="49" s="8" customFormat="1" spans="1:10">
      <c r="A49" s="8" t="s">
        <v>12</v>
      </c>
      <c r="B49" s="8">
        <f t="shared" ref="B49:F49" si="37">LOG(B23,2)</f>
        <v>-1.32493840002463</v>
      </c>
      <c r="D49" s="8">
        <f t="shared" si="37"/>
        <v>0.611518455334782</v>
      </c>
      <c r="F49" s="8">
        <f t="shared" si="37"/>
        <v>-0.785986659454325</v>
      </c>
      <c r="H49" s="8">
        <f t="shared" si="31"/>
        <v>0.666789437195856</v>
      </c>
      <c r="J49" s="8">
        <f t="shared" si="32"/>
        <v>-0.196682658698534</v>
      </c>
    </row>
    <row r="50" s="8" customFormat="1" spans="1:10">
      <c r="A50" s="8" t="s">
        <v>13</v>
      </c>
      <c r="B50" s="8">
        <f t="shared" ref="B50:F50" si="38">LOG(B24,2)</f>
        <v>-1.61395443508258</v>
      </c>
      <c r="D50" s="8">
        <f t="shared" si="38"/>
        <v>0.3031679665899</v>
      </c>
      <c r="F50" s="8">
        <f t="shared" si="38"/>
        <v>-1.49920544782828</v>
      </c>
      <c r="H50" s="8">
        <f t="shared" si="31"/>
        <v>1.57113564380548</v>
      </c>
      <c r="J50" s="8">
        <f t="shared" si="32"/>
        <v>0.478193679841243</v>
      </c>
    </row>
    <row r="51" s="8" customFormat="1" spans="1:10">
      <c r="A51" s="8" t="s">
        <v>14</v>
      </c>
      <c r="B51" s="8">
        <f t="shared" ref="B51:F51" si="39">LOG(B25,2)</f>
        <v>0.249513307589004</v>
      </c>
      <c r="D51" s="8">
        <f t="shared" si="39"/>
        <v>2.34006252177465</v>
      </c>
      <c r="F51" s="8">
        <f t="shared" si="39"/>
        <v>0.80684476868974</v>
      </c>
      <c r="H51" s="8">
        <f t="shared" si="31"/>
        <v>2.14085349472061</v>
      </c>
      <c r="J51" s="8">
        <f t="shared" si="32"/>
        <v>0.442060548003268</v>
      </c>
    </row>
    <row r="52" s="8" customFormat="1" spans="1:10">
      <c r="A52" s="8" t="s">
        <v>15</v>
      </c>
      <c r="B52" s="8">
        <f t="shared" ref="B52:F52" si="40">LOG(B26,2)</f>
        <v>-0.0734544733655024</v>
      </c>
      <c r="D52" s="8">
        <f t="shared" si="40"/>
        <v>1.68965876550907</v>
      </c>
      <c r="F52" s="8">
        <f t="shared" si="40"/>
        <v>-0.341480784646224</v>
      </c>
      <c r="H52" s="8">
        <f t="shared" si="31"/>
        <v>2.56113208013106</v>
      </c>
      <c r="J52" s="8">
        <f t="shared" si="32"/>
        <v>0.825075018299545</v>
      </c>
    </row>
    <row r="53" s="8" customFormat="1" spans="1:10">
      <c r="A53" s="8" t="s">
        <v>16</v>
      </c>
      <c r="B53" s="8">
        <f t="shared" ref="B53:F53" si="41">LOG(B27,2)</f>
        <v>0.170259361709953</v>
      </c>
      <c r="D53" s="8">
        <f t="shared" si="41"/>
        <v>0.430861780124897</v>
      </c>
      <c r="F53" s="8">
        <f t="shared" si="41"/>
        <v>-0.388189538536009</v>
      </c>
      <c r="H53" s="8">
        <f t="shared" si="31"/>
        <v>2.05532815811511</v>
      </c>
      <c r="J53" s="8">
        <f t="shared" si="32"/>
        <v>0.871375935423774</v>
      </c>
    </row>
    <row r="54" s="8" customFormat="1"/>
    <row r="55" s="8" customFormat="1"/>
    <row r="56" s="8" customFormat="1" spans="1:25">
      <c r="A56" s="8" t="s">
        <v>22</v>
      </c>
      <c r="B56" s="8" t="s">
        <v>0</v>
      </c>
      <c r="C56" s="8"/>
      <c r="D56" s="8" t="s">
        <v>23</v>
      </c>
      <c r="E56" s="8" t="s">
        <v>24</v>
      </c>
      <c r="F56" s="8"/>
      <c r="G56" s="8" t="s">
        <v>1</v>
      </c>
      <c r="H56" s="8"/>
      <c r="I56" s="8" t="s">
        <v>23</v>
      </c>
      <c r="J56" s="8" t="s">
        <v>24</v>
      </c>
      <c r="K56" s="8"/>
      <c r="L56" s="8" t="s">
        <v>2</v>
      </c>
      <c r="M56" s="8"/>
      <c r="N56" s="8" t="s">
        <v>23</v>
      </c>
      <c r="O56" s="8" t="s">
        <v>24</v>
      </c>
      <c r="P56" s="8"/>
      <c r="Q56" s="8" t="s">
        <v>3</v>
      </c>
      <c r="R56" s="8"/>
      <c r="S56" s="8" t="s">
        <v>23</v>
      </c>
      <c r="T56" s="8" t="s">
        <v>24</v>
      </c>
      <c r="U56" s="8"/>
      <c r="V56" s="8" t="s">
        <v>4</v>
      </c>
      <c r="W56" s="8"/>
      <c r="X56" s="8" t="s">
        <v>23</v>
      </c>
      <c r="Y56" s="8" t="s">
        <v>24</v>
      </c>
    </row>
    <row r="57" s="8" customFormat="1" spans="1:25">
      <c r="A57" s="8" t="s">
        <v>7</v>
      </c>
      <c r="B57" s="8">
        <f t="shared" ref="B57:B66" si="42">(B3+0.5)^(-0.5)</f>
        <v>0.0498444786279227</v>
      </c>
      <c r="C57" s="8">
        <f t="shared" ref="C57:C66" si="43">(B3+0.5)^(-1.5)</f>
        <v>0.000123837213982417</v>
      </c>
      <c r="D57" s="8">
        <f t="shared" ref="D57:D66" si="44">B44-3.3*B57-2*C57</f>
        <v>-0.307889027785216</v>
      </c>
      <c r="E57" s="8">
        <f t="shared" ref="E57:E66" si="45">B44+2.4*B57-0.5*C57</f>
        <v>-0.0235897437850829</v>
      </c>
      <c r="G57" s="8">
        <f t="shared" ref="G57:G66" si="46">(D3+0.5)^(-0.5)</f>
        <v>0.0730296743340221</v>
      </c>
      <c r="H57" s="8">
        <f t="shared" ref="H57:H66" si="47">(D3+0.5)^(-1.5)</f>
        <v>0.000389491596448118</v>
      </c>
      <c r="I57" s="8">
        <f t="shared" ref="I57:I66" si="48">D44-3.3*G57-2*H57</f>
        <v>0.915035630636994</v>
      </c>
      <c r="J57" s="8">
        <f t="shared" ref="J57:J66" si="49">D44+2.4*G57-0.5*H57</f>
        <v>1.33188901173559</v>
      </c>
      <c r="L57" s="8">
        <f t="shared" ref="L57:L66" si="50">(F3+0.5)^(-0.5)</f>
        <v>0.0563883874434601</v>
      </c>
      <c r="M57" s="8">
        <f t="shared" ref="M57:M66" si="51">(F3+0.5)^(-1.5)</f>
        <v>0.000179295349581749</v>
      </c>
      <c r="N57" s="8">
        <f t="shared" ref="N57:N66" si="52">F44-3.3*L57-2*M57</f>
        <v>-0.751744461073139</v>
      </c>
      <c r="O57" s="8">
        <f t="shared" ref="O57:O66" si="53">F44+2.4*L57-0.5*M57</f>
        <v>-0.430061709621043</v>
      </c>
      <c r="Q57" s="8">
        <f t="shared" ref="Q57:Q66" si="54">(H3+0.5)^(-0.5)</f>
        <v>0.0409101474864613</v>
      </c>
      <c r="R57" s="8">
        <f t="shared" ref="R57:R66" si="55">(H3+0.5)^(-1.5)</f>
        <v>6.84688660861277e-5</v>
      </c>
      <c r="S57" s="8">
        <f t="shared" ref="S57:S66" si="56">H44-3.3*Q57-2*R57</f>
        <v>2.19834218509458</v>
      </c>
      <c r="T57" s="8">
        <f t="shared" ref="T57:T66" si="57">H44+2.4*Q57-0.5*R57</f>
        <v>2.43163272906654</v>
      </c>
      <c r="V57" s="8">
        <f t="shared" ref="V57:V66" si="58">(J3+0.5)^(-0.5)</f>
        <v>0.053490469515994</v>
      </c>
      <c r="W57" s="8">
        <f t="shared" ref="W57:W66" si="59">(J3+0.5)^(-1.5)</f>
        <v>0.000153048553693831</v>
      </c>
      <c r="X57" s="8">
        <f t="shared" ref="X57:X66" si="60">J44-3.3*V57-2*W57</f>
        <v>0.469159568495059</v>
      </c>
      <c r="Y57" s="8">
        <f t="shared" ref="Y57:Y66" si="61">J44+2.4*V57-0.5*W57</f>
        <v>0.774284817566766</v>
      </c>
    </row>
    <row r="58" s="8" customFormat="1" spans="1:25">
      <c r="A58" s="8" t="s">
        <v>8</v>
      </c>
      <c r="B58" s="8">
        <f t="shared" si="42"/>
        <v>0.0400802408028101</v>
      </c>
      <c r="C58" s="8">
        <f t="shared" si="43"/>
        <v>6.43859290004982e-5</v>
      </c>
      <c r="D58" s="8">
        <f t="shared" si="44"/>
        <v>-0.555157354504169</v>
      </c>
      <c r="E58" s="8">
        <f t="shared" si="45"/>
        <v>-0.326603403034651</v>
      </c>
      <c r="G58" s="8">
        <f t="shared" si="46"/>
        <v>0.0734223098214352</v>
      </c>
      <c r="H58" s="8">
        <f t="shared" si="47"/>
        <v>0.000395807600115554</v>
      </c>
      <c r="I58" s="8">
        <f t="shared" si="48"/>
        <v>-0.00718074901295843</v>
      </c>
      <c r="J58" s="8">
        <f t="shared" si="49"/>
        <v>0.411920128369396</v>
      </c>
      <c r="L58" s="8">
        <f t="shared" si="50"/>
        <v>0.0397621386243772</v>
      </c>
      <c r="M58" s="8">
        <f t="shared" si="51"/>
        <v>6.28650413033632e-5</v>
      </c>
      <c r="N58" s="8">
        <f t="shared" si="52"/>
        <v>-0.597367847968893</v>
      </c>
      <c r="O58" s="8">
        <f t="shared" si="53"/>
        <v>-0.370629360247988</v>
      </c>
      <c r="Q58" s="8">
        <f t="shared" si="54"/>
        <v>0.0356348322549899</v>
      </c>
      <c r="R58" s="8">
        <f t="shared" si="55"/>
        <v>4.5250580641257e-5</v>
      </c>
      <c r="S58" s="8">
        <f t="shared" si="56"/>
        <v>1.7075332260158</v>
      </c>
      <c r="T58" s="8">
        <f t="shared" si="57"/>
        <v>1.9107196457402</v>
      </c>
      <c r="V58" s="8">
        <f t="shared" si="58"/>
        <v>0.0395748747642702</v>
      </c>
      <c r="W58" s="8">
        <f t="shared" si="59"/>
        <v>6.19810098109166e-5</v>
      </c>
      <c r="X58" s="8">
        <f t="shared" si="60"/>
        <v>0.476715012316113</v>
      </c>
      <c r="Y58" s="8">
        <f t="shared" si="61"/>
        <v>0.70238476998717</v>
      </c>
    </row>
    <row r="59" s="8" customFormat="1" spans="1:25">
      <c r="A59" s="8" t="s">
        <v>9</v>
      </c>
      <c r="B59" s="8">
        <f t="shared" si="42"/>
        <v>0.0552578963995538</v>
      </c>
      <c r="C59" s="8">
        <f t="shared" si="43"/>
        <v>0.000168726401220011</v>
      </c>
      <c r="D59" s="8">
        <f t="shared" si="44"/>
        <v>-0.838112894209119</v>
      </c>
      <c r="E59" s="8">
        <f t="shared" si="45"/>
        <v>-0.522889795129832</v>
      </c>
      <c r="G59" s="8">
        <f t="shared" si="46"/>
        <v>0.118262479197817</v>
      </c>
      <c r="H59" s="8">
        <f t="shared" si="47"/>
        <v>0.00165402068808135</v>
      </c>
      <c r="I59" s="8">
        <f t="shared" si="48"/>
        <v>-0.841449647360963</v>
      </c>
      <c r="J59" s="8">
        <f t="shared" si="49"/>
        <v>-0.164872484901287</v>
      </c>
      <c r="L59" s="8">
        <f t="shared" si="50"/>
        <v>0.0634361479695551</v>
      </c>
      <c r="M59" s="8">
        <f t="shared" si="51"/>
        <v>0.000255276249374467</v>
      </c>
      <c r="N59" s="8">
        <f t="shared" si="52"/>
        <v>-1.32975421278891</v>
      </c>
      <c r="O59" s="8">
        <f t="shared" si="53"/>
        <v>-0.967785254988383</v>
      </c>
      <c r="Q59" s="8">
        <f t="shared" si="54"/>
        <v>0.0537215309350254</v>
      </c>
      <c r="R59" s="8">
        <f t="shared" si="55"/>
        <v>0.000155040493318976</v>
      </c>
      <c r="S59" s="8">
        <f t="shared" si="56"/>
        <v>1.15565020063201</v>
      </c>
      <c r="T59" s="8">
        <f t="shared" si="57"/>
        <v>1.46209548770163</v>
      </c>
      <c r="V59" s="8">
        <f t="shared" si="58"/>
        <v>0.0582716546748065</v>
      </c>
      <c r="W59" s="8">
        <f t="shared" si="59"/>
        <v>0.000197866399574895</v>
      </c>
      <c r="X59" s="8">
        <f t="shared" si="60"/>
        <v>-0.00828621326719876</v>
      </c>
      <c r="Y59" s="8">
        <f t="shared" si="61"/>
        <v>0.324159017978561</v>
      </c>
    </row>
    <row r="60" s="8" customFormat="1" spans="1:25">
      <c r="A60" s="8" t="s">
        <v>10</v>
      </c>
      <c r="B60" s="8">
        <f t="shared" si="42"/>
        <v>0.0598148604554579</v>
      </c>
      <c r="C60" s="8">
        <f t="shared" si="43"/>
        <v>0.000214006656370154</v>
      </c>
      <c r="D60" s="8">
        <f t="shared" si="44"/>
        <v>-1.09065429270987</v>
      </c>
      <c r="E60" s="8">
        <f t="shared" si="45"/>
        <v>-0.749388578129204</v>
      </c>
      <c r="G60" s="8">
        <f t="shared" si="46"/>
        <v>0.0829026672289678</v>
      </c>
      <c r="H60" s="8">
        <f t="shared" si="47"/>
        <v>0.000569777781642391</v>
      </c>
      <c r="I60" s="8">
        <f t="shared" si="48"/>
        <v>0.293680361258962</v>
      </c>
      <c r="J60" s="8">
        <f t="shared" si="49"/>
        <v>0.767080231136542</v>
      </c>
      <c r="L60" s="8">
        <f t="shared" si="50"/>
        <v>0.0523782800878924</v>
      </c>
      <c r="M60" s="8">
        <f t="shared" si="51"/>
        <v>0.000143698985151968</v>
      </c>
      <c r="N60" s="8">
        <f t="shared" si="52"/>
        <v>-0.749133744986755</v>
      </c>
      <c r="O60" s="8">
        <f t="shared" si="53"/>
        <v>-0.450362000008041</v>
      </c>
      <c r="Q60" s="8">
        <f t="shared" si="54"/>
        <v>0.0485929530749863</v>
      </c>
      <c r="R60" s="8">
        <f t="shared" si="55"/>
        <v>0.000114741329574938</v>
      </c>
      <c r="S60" s="8">
        <f t="shared" si="56"/>
        <v>1.45341881810083</v>
      </c>
      <c r="T60" s="8">
        <f t="shared" si="57"/>
        <v>1.73057076262261</v>
      </c>
      <c r="V60" s="8">
        <f t="shared" si="58"/>
        <v>0.0585707412657423</v>
      </c>
      <c r="W60" s="8">
        <f t="shared" si="59"/>
        <v>0.000200928786503404</v>
      </c>
      <c r="X60" s="8">
        <f t="shared" si="60"/>
        <v>-0.0328089093050065</v>
      </c>
      <c r="Y60" s="8">
        <f t="shared" si="61"/>
        <v>0.30134570908948</v>
      </c>
    </row>
    <row r="61" s="8" customFormat="1" spans="1:25">
      <c r="A61" s="8" t="s">
        <v>11</v>
      </c>
      <c r="B61" s="8">
        <f t="shared" si="42"/>
        <v>0.127515342612668</v>
      </c>
      <c r="C61" s="8">
        <f t="shared" si="43"/>
        <v>0.00207342020508403</v>
      </c>
      <c r="D61" s="8">
        <f t="shared" si="44"/>
        <v>0.191846051416199</v>
      </c>
      <c r="E61" s="8">
        <f t="shared" si="45"/>
        <v>0.921793634616031</v>
      </c>
      <c r="G61" s="8">
        <f t="shared" si="46"/>
        <v>0.155230105141267</v>
      </c>
      <c r="H61" s="8">
        <f t="shared" si="47"/>
        <v>0.00374048446123534</v>
      </c>
      <c r="I61" s="8">
        <f t="shared" si="48"/>
        <v>1.86309206498727</v>
      </c>
      <c r="J61" s="8">
        <f t="shared" si="49"/>
        <v>2.75351439098434</v>
      </c>
      <c r="L61" s="8">
        <f t="shared" si="50"/>
        <v>0.126491106406735</v>
      </c>
      <c r="M61" s="8">
        <f t="shared" si="51"/>
        <v>0.00202385770250776</v>
      </c>
      <c r="N61" s="8">
        <f t="shared" si="52"/>
        <v>0.153109216292848</v>
      </c>
      <c r="O61" s="8">
        <f t="shared" si="53"/>
        <v>0.877144309365</v>
      </c>
      <c r="Q61" s="8">
        <f t="shared" si="54"/>
        <v>0.101797319711858</v>
      </c>
      <c r="R61" s="8">
        <f t="shared" si="55"/>
        <v>0.00105489450478609</v>
      </c>
      <c r="S61" s="8">
        <f t="shared" si="56"/>
        <v>2.79102962458677</v>
      </c>
      <c r="T61" s="8">
        <f t="shared" si="57"/>
        <v>3.37285668870154</v>
      </c>
      <c r="V61" s="8">
        <f t="shared" si="58"/>
        <v>0.155230105141267</v>
      </c>
      <c r="W61" s="8">
        <f t="shared" si="59"/>
        <v>0.00374048446123534</v>
      </c>
      <c r="X61" s="8">
        <f t="shared" si="60"/>
        <v>0.506284165355112</v>
      </c>
      <c r="Y61" s="8">
        <f t="shared" si="61"/>
        <v>1.39670649135218</v>
      </c>
    </row>
    <row r="62" s="8" customFormat="1" spans="1:25">
      <c r="A62" s="8" t="s">
        <v>12</v>
      </c>
      <c r="B62" s="8">
        <f t="shared" si="42"/>
        <v>0.129640744710433</v>
      </c>
      <c r="C62" s="8">
        <f t="shared" si="43"/>
        <v>0.00217883604555349</v>
      </c>
      <c r="D62" s="8">
        <f t="shared" si="44"/>
        <v>-1.75711052966016</v>
      </c>
      <c r="E62" s="8">
        <f t="shared" si="45"/>
        <v>-1.01489003074237</v>
      </c>
      <c r="G62" s="8">
        <f t="shared" si="46"/>
        <v>0.151619608715781</v>
      </c>
      <c r="H62" s="8">
        <f t="shared" si="47"/>
        <v>0.00348550824633979</v>
      </c>
      <c r="I62" s="8">
        <f t="shared" si="48"/>
        <v>0.104202730080027</v>
      </c>
      <c r="J62" s="8">
        <f t="shared" si="49"/>
        <v>0.973662762129486</v>
      </c>
      <c r="L62" s="8">
        <f t="shared" si="50"/>
        <v>0.105117666245527</v>
      </c>
      <c r="M62" s="8">
        <f t="shared" si="51"/>
        <v>0.00116152117398373</v>
      </c>
      <c r="N62" s="8">
        <f t="shared" si="52"/>
        <v>-1.13519800041253</v>
      </c>
      <c r="O62" s="8">
        <f t="shared" si="53"/>
        <v>-0.534285021052052</v>
      </c>
      <c r="Q62" s="8">
        <f t="shared" si="54"/>
        <v>0.125491161027632</v>
      </c>
      <c r="R62" s="8">
        <f t="shared" si="55"/>
        <v>0.00197623875634066</v>
      </c>
      <c r="S62" s="8">
        <f t="shared" si="56"/>
        <v>0.24871612829199</v>
      </c>
      <c r="T62" s="8">
        <f t="shared" si="57"/>
        <v>0.966980104284002</v>
      </c>
      <c r="V62" s="8">
        <f t="shared" si="58"/>
        <v>0.123560412643043</v>
      </c>
      <c r="W62" s="8">
        <f t="shared" si="59"/>
        <v>0.00188641851363425</v>
      </c>
      <c r="X62" s="8">
        <f t="shared" si="60"/>
        <v>-0.608204857447845</v>
      </c>
      <c r="Y62" s="8">
        <f t="shared" si="61"/>
        <v>0.0989191223879522</v>
      </c>
    </row>
    <row r="63" s="8" customFormat="1" spans="1:25">
      <c r="A63" s="8" t="s">
        <v>13</v>
      </c>
      <c r="B63" s="8">
        <f t="shared" si="42"/>
        <v>0.210818510677892</v>
      </c>
      <c r="C63" s="8">
        <f t="shared" si="43"/>
        <v>0.00936971158568409</v>
      </c>
      <c r="D63" s="8">
        <f t="shared" si="44"/>
        <v>-2.32839494349099</v>
      </c>
      <c r="E63" s="8">
        <f t="shared" si="45"/>
        <v>-1.11267486524848</v>
      </c>
      <c r="G63" s="8">
        <f t="shared" si="46"/>
        <v>0.246182981958665</v>
      </c>
      <c r="H63" s="8">
        <f t="shared" si="47"/>
        <v>0.0149201807247676</v>
      </c>
      <c r="I63" s="8">
        <f t="shared" si="48"/>
        <v>-0.539076235323231</v>
      </c>
      <c r="J63" s="8">
        <f t="shared" si="49"/>
        <v>0.886547032928313</v>
      </c>
      <c r="L63" s="8">
        <f t="shared" si="50"/>
        <v>0.198029508595335</v>
      </c>
      <c r="M63" s="8">
        <f t="shared" si="51"/>
        <v>0.00776586308216999</v>
      </c>
      <c r="N63" s="8">
        <f t="shared" si="52"/>
        <v>-2.16823455235722</v>
      </c>
      <c r="O63" s="8">
        <f t="shared" si="53"/>
        <v>-1.02781755874056</v>
      </c>
      <c r="Q63" s="8">
        <f t="shared" si="54"/>
        <v>0.134231211042805</v>
      </c>
      <c r="R63" s="8">
        <f t="shared" si="55"/>
        <v>0.00241858037914964</v>
      </c>
      <c r="S63" s="8">
        <f t="shared" si="56"/>
        <v>1.12333548660592</v>
      </c>
      <c r="T63" s="8">
        <f t="shared" si="57"/>
        <v>1.89208126011863</v>
      </c>
      <c r="V63" s="8">
        <f t="shared" si="58"/>
        <v>0.143591631723548</v>
      </c>
      <c r="W63" s="8">
        <f t="shared" si="59"/>
        <v>0.00296065220048552</v>
      </c>
      <c r="X63" s="8">
        <f t="shared" si="60"/>
        <v>-0.00158000924743544</v>
      </c>
      <c r="Y63" s="8">
        <f t="shared" si="61"/>
        <v>0.821333269877514</v>
      </c>
    </row>
    <row r="64" s="8" customFormat="1" spans="1:25">
      <c r="A64" s="8" t="s">
        <v>14</v>
      </c>
      <c r="B64" s="8">
        <f t="shared" si="42"/>
        <v>0.0543526425198644</v>
      </c>
      <c r="C64" s="8">
        <f t="shared" si="43"/>
        <v>0.000160569106410235</v>
      </c>
      <c r="D64" s="8">
        <f t="shared" si="44"/>
        <v>0.0698284490606309</v>
      </c>
      <c r="E64" s="8">
        <f t="shared" si="45"/>
        <v>0.379879365083473</v>
      </c>
      <c r="G64" s="8">
        <f t="shared" si="46"/>
        <v>0.06046740551569</v>
      </c>
      <c r="H64" s="8">
        <f t="shared" si="47"/>
        <v>0.000221087405907459</v>
      </c>
      <c r="I64" s="8">
        <f t="shared" si="48"/>
        <v>2.14007790876105</v>
      </c>
      <c r="J64" s="8">
        <f t="shared" si="49"/>
        <v>2.48507375130935</v>
      </c>
      <c r="L64" s="8">
        <f t="shared" si="50"/>
        <v>0.0437897880984439</v>
      </c>
      <c r="M64" s="8">
        <f t="shared" si="51"/>
        <v>8.39689129404484e-5</v>
      </c>
      <c r="N64" s="8">
        <f t="shared" si="52"/>
        <v>0.662170530138995</v>
      </c>
      <c r="O64" s="8">
        <f t="shared" si="53"/>
        <v>0.911898275669535</v>
      </c>
      <c r="Q64" s="8">
        <f t="shared" si="54"/>
        <v>0.0545951090432614</v>
      </c>
      <c r="R64" s="8">
        <f t="shared" si="55"/>
        <v>0.000162727597744445</v>
      </c>
      <c r="S64" s="8">
        <f t="shared" si="56"/>
        <v>1.96036417968235</v>
      </c>
      <c r="T64" s="8">
        <f t="shared" si="57"/>
        <v>2.27180039262556</v>
      </c>
      <c r="V64" s="8">
        <f t="shared" si="58"/>
        <v>0.0717034739382075</v>
      </c>
      <c r="W64" s="8">
        <f t="shared" si="59"/>
        <v>0.000368655392998496</v>
      </c>
      <c r="X64" s="8">
        <f t="shared" si="60"/>
        <v>0.204701773221186</v>
      </c>
      <c r="Y64" s="8">
        <f t="shared" si="61"/>
        <v>0.613964557758466</v>
      </c>
    </row>
    <row r="65" s="8" customFormat="1" spans="1:25">
      <c r="A65" s="8" t="s">
        <v>15</v>
      </c>
      <c r="B65" s="8">
        <f t="shared" si="42"/>
        <v>0.136717185404933</v>
      </c>
      <c r="C65" s="8">
        <f t="shared" si="43"/>
        <v>0.00255546140943799</v>
      </c>
      <c r="D65" s="8">
        <f t="shared" si="44"/>
        <v>-0.529732108020656</v>
      </c>
      <c r="E65" s="8">
        <f t="shared" si="45"/>
        <v>0.253389040901617</v>
      </c>
      <c r="G65" s="8">
        <f t="shared" si="46"/>
        <v>0.167836271659338</v>
      </c>
      <c r="H65" s="8">
        <f t="shared" si="47"/>
        <v>0.00472778230026304</v>
      </c>
      <c r="I65" s="8">
        <f t="shared" si="48"/>
        <v>1.12634350443273</v>
      </c>
      <c r="J65" s="8">
        <f t="shared" si="49"/>
        <v>2.09010192634135</v>
      </c>
      <c r="L65" s="8">
        <f t="shared" si="50"/>
        <v>0.146647115021353</v>
      </c>
      <c r="M65" s="8">
        <f t="shared" si="51"/>
        <v>0.00315370139830867</v>
      </c>
      <c r="N65" s="8">
        <f t="shared" si="52"/>
        <v>-0.831723667013307</v>
      </c>
      <c r="O65" s="8">
        <f t="shared" si="53"/>
        <v>0.00889544070586992</v>
      </c>
      <c r="Q65" s="8">
        <f t="shared" si="54"/>
        <v>0.105117666245527</v>
      </c>
      <c r="R65" s="8">
        <f t="shared" si="55"/>
        <v>0.00116152117398373</v>
      </c>
      <c r="S65" s="8">
        <f t="shared" si="56"/>
        <v>2.21192073917285</v>
      </c>
      <c r="T65" s="8">
        <f t="shared" si="57"/>
        <v>2.81283371853333</v>
      </c>
      <c r="V65" s="8">
        <f t="shared" si="58"/>
        <v>0.140719508946058</v>
      </c>
      <c r="W65" s="8">
        <f t="shared" si="59"/>
        <v>0.00278652492962492</v>
      </c>
      <c r="X65" s="8">
        <f t="shared" si="60"/>
        <v>0.355127588918302</v>
      </c>
      <c r="Y65" s="8">
        <f t="shared" si="61"/>
        <v>1.16140857730527</v>
      </c>
    </row>
    <row r="66" s="8" customFormat="1" spans="1:25">
      <c r="A66" s="8" t="s">
        <v>16</v>
      </c>
      <c r="B66" s="8">
        <f t="shared" si="42"/>
        <v>0.0629316775527553</v>
      </c>
      <c r="C66" s="8">
        <f t="shared" si="43"/>
        <v>0.000249234366545565</v>
      </c>
      <c r="D66" s="8">
        <f t="shared" si="44"/>
        <v>-0.0379136429472302</v>
      </c>
      <c r="E66" s="8">
        <f t="shared" si="45"/>
        <v>0.321170770653293</v>
      </c>
      <c r="G66" s="8">
        <f t="shared" si="46"/>
        <v>0.131876094679157</v>
      </c>
      <c r="H66" s="8">
        <f t="shared" si="47"/>
        <v>0.00229349729876795</v>
      </c>
      <c r="I66" s="8">
        <f t="shared" si="48"/>
        <v>-0.00891632691385856</v>
      </c>
      <c r="J66" s="8">
        <f t="shared" si="49"/>
        <v>0.74621765870549</v>
      </c>
      <c r="L66" s="8">
        <f t="shared" si="50"/>
        <v>0.0746393370862076</v>
      </c>
      <c r="M66" s="8">
        <f t="shared" si="51"/>
        <v>0.000415818033906449</v>
      </c>
      <c r="N66" s="8">
        <f t="shared" si="52"/>
        <v>-0.635330986988307</v>
      </c>
      <c r="O66" s="8">
        <f t="shared" si="53"/>
        <v>-0.209263038546064</v>
      </c>
      <c r="Q66" s="8">
        <f t="shared" si="54"/>
        <v>0.0633088937832918</v>
      </c>
      <c r="R66" s="8">
        <f t="shared" si="55"/>
        <v>0.000253743061255679</v>
      </c>
      <c r="S66" s="8">
        <f t="shared" si="56"/>
        <v>1.84590132250773</v>
      </c>
      <c r="T66" s="8">
        <f t="shared" si="57"/>
        <v>2.20714263166438</v>
      </c>
      <c r="V66" s="8">
        <f t="shared" si="58"/>
        <v>0.0695889000639221</v>
      </c>
      <c r="W66" s="8">
        <f t="shared" si="59"/>
        <v>0.000336992252125531</v>
      </c>
      <c r="X66" s="8">
        <f t="shared" si="60"/>
        <v>0.64105858070858</v>
      </c>
      <c r="Y66" s="8">
        <f t="shared" si="61"/>
        <v>1.03822079945112</v>
      </c>
    </row>
    <row r="67" s="8" customFormat="1"/>
    <row r="68" s="8" customFormat="1"/>
    <row r="69" s="8" customFormat="1"/>
    <row r="70" s="8" customFormat="1"/>
    <row r="71" s="8" customFormat="1"/>
    <row r="72" s="8" customForma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90"/>
  <sheetViews>
    <sheetView tabSelected="1" workbookViewId="0">
      <selection activeCell="F258" sqref="F258"/>
    </sheetView>
  </sheetViews>
  <sheetFormatPr defaultColWidth="8.72727272727273" defaultRowHeight="14"/>
  <cols>
    <col min="1" max="2" width="8.72727272727273" style="1"/>
    <col min="3" max="41" width="14" style="1"/>
    <col min="42" max="42" width="12.8181818181818" style="1"/>
    <col min="43" max="44" width="14" style="1"/>
    <col min="45" max="48" width="12.8181818181818" style="1"/>
    <col min="49" max="49" width="14" style="1"/>
    <col min="50" max="51" width="12.8181818181818" style="1"/>
    <col min="52" max="52" width="14" style="1"/>
    <col min="53" max="55" width="12.8181818181818" style="1"/>
    <col min="56" max="56" width="14" style="1"/>
    <col min="57" max="58" width="12.8181818181818" style="1"/>
    <col min="59" max="59" width="14" style="1"/>
    <col min="60" max="16384" width="8.72727272727273" style="1"/>
  </cols>
  <sheetData>
    <row r="1" s="1" customFormat="1" spans="1:2">
      <c r="A1" s="2" t="s">
        <v>25</v>
      </c>
      <c r="B1" s="2"/>
    </row>
    <row r="2" s="1" customFormat="1" spans="1:39">
      <c r="A2" s="3"/>
      <c r="B2" s="3"/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3" t="s">
        <v>49</v>
      </c>
      <c r="AA2" s="3" t="s">
        <v>50</v>
      </c>
      <c r="AB2" s="3" t="s">
        <v>51</v>
      </c>
      <c r="AC2" s="3" t="s">
        <v>52</v>
      </c>
      <c r="AD2" s="3" t="s">
        <v>53</v>
      </c>
      <c r="AE2" s="3" t="s">
        <v>54</v>
      </c>
      <c r="AF2" s="3" t="s">
        <v>55</v>
      </c>
      <c r="AG2" s="3" t="s">
        <v>56</v>
      </c>
      <c r="AH2" s="3" t="s">
        <v>57</v>
      </c>
      <c r="AI2" s="3" t="s">
        <v>58</v>
      </c>
      <c r="AJ2" s="3" t="s">
        <v>59</v>
      </c>
      <c r="AK2" s="3" t="s">
        <v>60</v>
      </c>
      <c r="AL2" s="3" t="s">
        <v>61</v>
      </c>
      <c r="AM2" s="3" t="s">
        <v>62</v>
      </c>
    </row>
    <row r="3" s="1" customFormat="1" spans="1:39">
      <c r="A3" s="1" t="s">
        <v>7</v>
      </c>
      <c r="B3" s="1"/>
      <c r="C3" s="1"/>
      <c r="D3" s="1"/>
      <c r="E3" s="1"/>
      <c r="F3" s="1">
        <v>3</v>
      </c>
      <c r="G3" s="1"/>
      <c r="H3" s="1"/>
      <c r="I3" s="1"/>
      <c r="J3" s="1"/>
      <c r="K3" s="1"/>
      <c r="L3" s="1"/>
      <c r="M3" s="1">
        <v>11</v>
      </c>
      <c r="N3" s="1">
        <v>26</v>
      </c>
      <c r="O3" s="1"/>
      <c r="P3" s="1"/>
      <c r="Q3" s="1"/>
      <c r="R3" s="1">
        <v>63</v>
      </c>
      <c r="S3" s="1"/>
      <c r="T3" s="1"/>
      <c r="U3" s="1"/>
      <c r="V3" s="1">
        <v>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>
        <v>13</v>
      </c>
      <c r="AI3" s="1"/>
      <c r="AJ3" s="1"/>
      <c r="AK3" s="1"/>
      <c r="AL3" s="1"/>
      <c r="AM3" s="1">
        <v>71</v>
      </c>
    </row>
    <row r="4" s="1" customFormat="1" spans="1:39">
      <c r="A4" s="1" t="s">
        <v>8</v>
      </c>
      <c r="B4" s="1"/>
      <c r="C4" s="1"/>
      <c r="D4" s="1"/>
      <c r="E4" s="1"/>
      <c r="F4" s="1">
        <v>8</v>
      </c>
      <c r="G4" s="1"/>
      <c r="H4" s="1"/>
      <c r="I4" s="1"/>
      <c r="J4" s="1"/>
      <c r="K4" s="1"/>
      <c r="L4" s="1"/>
      <c r="M4" s="1">
        <v>26</v>
      </c>
      <c r="N4" s="1">
        <v>42</v>
      </c>
      <c r="O4" s="1"/>
      <c r="P4" s="1"/>
      <c r="Q4" s="1"/>
      <c r="R4" s="1">
        <v>31</v>
      </c>
      <c r="S4" s="1"/>
      <c r="T4" s="1"/>
      <c r="U4" s="1">
        <v>14</v>
      </c>
      <c r="V4" s="1">
        <v>6</v>
      </c>
      <c r="W4" s="1"/>
      <c r="X4" s="1"/>
      <c r="Y4" s="1"/>
      <c r="Z4" s="1"/>
      <c r="AA4" s="1">
        <v>4</v>
      </c>
      <c r="AB4" s="1"/>
      <c r="AC4" s="1"/>
      <c r="AD4" s="1">
        <v>10</v>
      </c>
      <c r="AE4" s="1">
        <v>3</v>
      </c>
      <c r="AF4" s="1"/>
      <c r="AG4" s="1"/>
      <c r="AH4" s="1">
        <v>13</v>
      </c>
      <c r="AI4" s="1"/>
      <c r="AJ4" s="1"/>
      <c r="AK4" s="1"/>
      <c r="AL4" s="1"/>
      <c r="AM4" s="1">
        <v>46</v>
      </c>
    </row>
    <row r="5" s="1" customFormat="1" spans="1:39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  <c r="K5" s="1">
        <v>5</v>
      </c>
      <c r="L5" s="1"/>
      <c r="M5" s="1"/>
      <c r="N5" s="1">
        <v>14</v>
      </c>
      <c r="O5" s="1"/>
      <c r="P5" s="1"/>
      <c r="Q5" s="1"/>
      <c r="R5" s="1">
        <v>22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33</v>
      </c>
    </row>
    <row r="6" s="1" customFormat="1" spans="1:39">
      <c r="A6" s="1" t="s">
        <v>10</v>
      </c>
      <c r="B6" s="1"/>
      <c r="C6" s="1"/>
      <c r="D6" s="1"/>
      <c r="E6" s="1"/>
      <c r="F6" s="1">
        <v>3</v>
      </c>
      <c r="G6" s="1"/>
      <c r="H6" s="1"/>
      <c r="I6" s="1"/>
      <c r="J6" s="1"/>
      <c r="K6" s="1"/>
      <c r="L6" s="1"/>
      <c r="M6" s="1">
        <v>8</v>
      </c>
      <c r="N6" s="1">
        <v>27</v>
      </c>
      <c r="O6" s="1"/>
      <c r="P6" s="1"/>
      <c r="Q6" s="1"/>
      <c r="R6" s="1">
        <v>28</v>
      </c>
      <c r="S6" s="1">
        <v>15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>
        <v>17</v>
      </c>
      <c r="AI6" s="1"/>
      <c r="AJ6" s="1"/>
      <c r="AK6" s="1"/>
      <c r="AL6" s="1"/>
      <c r="AM6" s="1">
        <v>59</v>
      </c>
    </row>
    <row r="7" s="1" customFormat="1" spans="1:39">
      <c r="A7" s="1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>
        <v>6</v>
      </c>
      <c r="N7" s="1">
        <v>17</v>
      </c>
      <c r="O7" s="1"/>
      <c r="P7" s="1"/>
      <c r="Q7" s="1"/>
      <c r="R7" s="1">
        <v>11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>
        <v>13</v>
      </c>
    </row>
    <row r="8" s="1" customFormat="1" spans="1:39">
      <c r="A8" s="1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>
        <v>8</v>
      </c>
      <c r="N8" s="1">
        <v>11</v>
      </c>
      <c r="O8" s="1"/>
      <c r="P8" s="1"/>
      <c r="Q8" s="1"/>
      <c r="R8" s="1">
        <v>11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>
        <v>14</v>
      </c>
    </row>
    <row r="9" s="1" customFormat="1" spans="1:39">
      <c r="A9" s="1" t="s">
        <v>13</v>
      </c>
      <c r="B9" s="1"/>
      <c r="C9" s="1"/>
      <c r="D9" s="1"/>
      <c r="E9" s="1"/>
      <c r="F9" s="1">
        <v>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>
        <v>5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>
        <v>6</v>
      </c>
    </row>
    <row r="10" s="1" customFormat="1" spans="1:39">
      <c r="A10" s="1" t="s">
        <v>14</v>
      </c>
      <c r="B10" s="1"/>
      <c r="C10" s="1"/>
      <c r="D10" s="1"/>
      <c r="E10" s="1"/>
      <c r="F10" s="1">
        <v>6</v>
      </c>
      <c r="G10" s="1"/>
      <c r="H10" s="1">
        <v>9</v>
      </c>
      <c r="I10" s="1"/>
      <c r="J10" s="1"/>
      <c r="K10" s="1"/>
      <c r="L10" s="1"/>
      <c r="M10" s="1">
        <v>26</v>
      </c>
      <c r="N10" s="1">
        <v>47</v>
      </c>
      <c r="O10" s="1">
        <v>3</v>
      </c>
      <c r="P10" s="1"/>
      <c r="Q10" s="1">
        <v>5</v>
      </c>
      <c r="R10" s="1">
        <v>76</v>
      </c>
      <c r="S10" s="1">
        <v>9</v>
      </c>
      <c r="T10" s="1"/>
      <c r="U10" s="1"/>
      <c r="V10" s="1"/>
      <c r="W10" s="1"/>
      <c r="X10" s="1"/>
      <c r="Y10" s="1"/>
      <c r="Z10" s="1"/>
      <c r="AA10" s="1">
        <v>37</v>
      </c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>
        <v>120</v>
      </c>
    </row>
    <row r="11" s="1" customFormat="1" spans="1:19">
      <c r="A11" s="1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>
        <v>15</v>
      </c>
      <c r="N11" s="1">
        <v>7</v>
      </c>
      <c r="O11" s="1"/>
      <c r="P11" s="1"/>
      <c r="Q11" s="1"/>
      <c r="R11" s="1">
        <v>5</v>
      </c>
      <c r="S11" s="1">
        <v>9</v>
      </c>
    </row>
    <row r="12" s="1" customFormat="1" spans="1:39">
      <c r="A12" s="1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>
        <v>4</v>
      </c>
      <c r="L12" s="1"/>
      <c r="M12" s="1">
        <v>5</v>
      </c>
      <c r="N12" s="1">
        <v>4</v>
      </c>
      <c r="O12" s="1"/>
      <c r="P12" s="1"/>
      <c r="Q12" s="1"/>
      <c r="R12" s="1">
        <v>9</v>
      </c>
      <c r="S12" s="1">
        <v>8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>
        <v>31</v>
      </c>
    </row>
    <row r="13" s="1" customFormat="1" spans="3:39">
      <c r="C13" s="1">
        <v>10</v>
      </c>
      <c r="D13" s="1">
        <v>7</v>
      </c>
      <c r="E13" s="1">
        <v>126</v>
      </c>
      <c r="F13" s="1">
        <v>182</v>
      </c>
      <c r="G13" s="1">
        <v>17</v>
      </c>
      <c r="H13" s="1">
        <v>50</v>
      </c>
      <c r="I13" s="1">
        <v>10</v>
      </c>
      <c r="J13" s="1">
        <v>42</v>
      </c>
      <c r="K13" s="1">
        <v>13</v>
      </c>
      <c r="L13" s="1">
        <v>1</v>
      </c>
      <c r="M13" s="1">
        <v>1017</v>
      </c>
      <c r="N13" s="1">
        <v>955</v>
      </c>
      <c r="O13" s="1">
        <v>22</v>
      </c>
      <c r="P13" s="1">
        <v>1</v>
      </c>
      <c r="Q13" s="1">
        <v>145</v>
      </c>
      <c r="R13" s="1">
        <v>2615</v>
      </c>
      <c r="S13" s="1">
        <v>120</v>
      </c>
      <c r="T13" s="1">
        <v>49</v>
      </c>
      <c r="U13" s="1">
        <v>217</v>
      </c>
      <c r="V13" s="1">
        <v>532</v>
      </c>
      <c r="W13" s="1">
        <v>2</v>
      </c>
      <c r="X13" s="1">
        <v>3</v>
      </c>
      <c r="Y13" s="1">
        <v>43</v>
      </c>
      <c r="Z13" s="1">
        <v>7</v>
      </c>
      <c r="AA13" s="1">
        <v>139</v>
      </c>
      <c r="AB13" s="1">
        <v>16</v>
      </c>
      <c r="AC13" s="1">
        <v>11</v>
      </c>
      <c r="AD13" s="1">
        <v>28</v>
      </c>
      <c r="AE13" s="1">
        <v>48</v>
      </c>
      <c r="AF13" s="1">
        <v>52</v>
      </c>
      <c r="AG13" s="1">
        <v>13</v>
      </c>
      <c r="AH13" s="1">
        <v>1063</v>
      </c>
      <c r="AI13" s="1">
        <v>36</v>
      </c>
      <c r="AJ13" s="1">
        <v>3</v>
      </c>
      <c r="AK13" s="1">
        <v>2</v>
      </c>
      <c r="AL13" s="1">
        <v>19</v>
      </c>
      <c r="AM13" s="1">
        <v>2272</v>
      </c>
    </row>
    <row r="15" s="1" customFormat="1" spans="1:39">
      <c r="A15" s="3" t="s">
        <v>18</v>
      </c>
      <c r="B15" s="3"/>
      <c r="C15" s="3" t="s">
        <v>26</v>
      </c>
      <c r="D15" s="3" t="s">
        <v>27</v>
      </c>
      <c r="E15" s="3" t="s">
        <v>28</v>
      </c>
      <c r="F15" s="3" t="s">
        <v>29</v>
      </c>
      <c r="G15" s="3" t="s">
        <v>30</v>
      </c>
      <c r="H15" s="3" t="s">
        <v>31</v>
      </c>
      <c r="I15" s="3" t="s">
        <v>32</v>
      </c>
      <c r="J15" s="3" t="s">
        <v>33</v>
      </c>
      <c r="K15" s="3" t="s">
        <v>34</v>
      </c>
      <c r="L15" s="3" t="s">
        <v>35</v>
      </c>
      <c r="M15" s="3" t="s">
        <v>36</v>
      </c>
      <c r="N15" s="3" t="s">
        <v>37</v>
      </c>
      <c r="O15" s="3" t="s">
        <v>38</v>
      </c>
      <c r="P15" s="3" t="s">
        <v>39</v>
      </c>
      <c r="Q15" s="3" t="s">
        <v>40</v>
      </c>
      <c r="R15" s="3" t="s">
        <v>41</v>
      </c>
      <c r="S15" s="3" t="s">
        <v>42</v>
      </c>
      <c r="T15" s="3" t="s">
        <v>43</v>
      </c>
      <c r="U15" s="3" t="s">
        <v>44</v>
      </c>
      <c r="V15" s="3" t="s">
        <v>45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51</v>
      </c>
      <c r="AC15" s="3" t="s">
        <v>52</v>
      </c>
      <c r="AD15" s="3" t="s">
        <v>53</v>
      </c>
      <c r="AE15" s="3" t="s">
        <v>54</v>
      </c>
      <c r="AF15" s="3" t="s">
        <v>55</v>
      </c>
      <c r="AG15" s="3" t="s">
        <v>56</v>
      </c>
      <c r="AH15" s="3" t="s">
        <v>57</v>
      </c>
      <c r="AI15" s="3" t="s">
        <v>58</v>
      </c>
      <c r="AJ15" s="3" t="s">
        <v>59</v>
      </c>
      <c r="AK15" s="3" t="s">
        <v>60</v>
      </c>
      <c r="AL15" s="3" t="s">
        <v>61</v>
      </c>
      <c r="AM15" s="3" t="s">
        <v>62</v>
      </c>
    </row>
    <row r="16" s="1" customFormat="1" spans="1:39">
      <c r="A16" s="1" t="s">
        <v>7</v>
      </c>
      <c r="B16" s="1"/>
      <c r="C16" s="1"/>
      <c r="D16" s="1"/>
      <c r="E16" s="1"/>
      <c r="F16" s="1">
        <f>(F3+0.5)/(21748*182/2361487+0.5)</f>
        <v>1.608367057449</v>
      </c>
      <c r="M16" s="1">
        <f>(M3+0.5)/(21748*1017/2361487+0.5)</f>
        <v>1.16561785984176</v>
      </c>
      <c r="N16" s="1">
        <f>(N3+0.5)/(21748*955/2361487+0.5)</f>
        <v>2.85098712722437</v>
      </c>
      <c r="R16" s="1">
        <f>(R3+0.5)/(21748*2615/2361487+0.5)</f>
        <v>2.58311574806853</v>
      </c>
      <c r="V16" s="1">
        <f>(V3+0.5)/(21748*532/2361487+0.5)</f>
        <v>0.648216787191616</v>
      </c>
      <c r="AH16" s="1">
        <f>(AH3+0.5)/(21748*1063/2361487+0.5)</f>
        <v>1.31199836782517</v>
      </c>
      <c r="AM16" s="1">
        <f>(AM3+0.5)/(21748*2272/2361487+0.5)</f>
        <v>3.33739829793326</v>
      </c>
    </row>
    <row r="17" s="1" customFormat="1" spans="1:39">
      <c r="A17" s="1" t="s">
        <v>8</v>
      </c>
      <c r="B17" s="1"/>
      <c r="C17" s="1"/>
      <c r="D17" s="1"/>
      <c r="E17" s="1"/>
      <c r="F17" s="1">
        <f>(F4+0.5)/(40850*182/2361487+0.5)</f>
        <v>2.32984401789647</v>
      </c>
      <c r="M17" s="1">
        <f>(M4+0.5)/(40850*1017/2361487+0.5)</f>
        <v>1.46469566018466</v>
      </c>
      <c r="N17" s="1">
        <f>(N4+0.5)/(40850*955/2361487+0.5)</f>
        <v>2.49706322649527</v>
      </c>
      <c r="R17" s="1">
        <f>(R4+0.5)/(40850*2615/2361487+0.5)</f>
        <v>0.688744762686774</v>
      </c>
      <c r="U17" s="1">
        <f>(U4+0.5)/(40850*217/2361487+0.5)</f>
        <v>3.40875081201771</v>
      </c>
      <c r="V17" s="1">
        <f>(V4+0.5)/(40850*532/2361487+0.5)</f>
        <v>0.669912423080867</v>
      </c>
      <c r="AA17" s="1">
        <f>(AA4+0.5)/(40850*139/2361487+0.5)</f>
        <v>1.54933029649753</v>
      </c>
      <c r="AD17" s="1">
        <f>(AD4+0.5)/(40850*28/2361487+0.5)</f>
        <v>10.6668743777004</v>
      </c>
      <c r="AE17" s="1">
        <f>(AE4+0.5)/(40850*48/2361487+0.5)</f>
        <v>2.63093746752194</v>
      </c>
      <c r="AH17" s="1">
        <f>(AH4+0.5)/(40850*1063/2361487+0.5)</f>
        <v>0.714731071796934</v>
      </c>
      <c r="AM17" s="1">
        <f>(AM4+0.5)/(40850*2272/2361487+0.5)</f>
        <v>1.16828252944892</v>
      </c>
    </row>
    <row r="18" s="1" customFormat="1" spans="1:39">
      <c r="A18" s="1" t="s">
        <v>9</v>
      </c>
      <c r="B18" s="1"/>
      <c r="C18" s="1"/>
      <c r="D18" s="1"/>
      <c r="E18" s="1"/>
      <c r="F18" s="1"/>
      <c r="G18" s="1"/>
      <c r="H18" s="1"/>
      <c r="I18" s="1"/>
      <c r="J18" s="1"/>
      <c r="K18" s="1">
        <f>(K5+0.5)/(25243*13/2361487+0.5)</f>
        <v>8.60769897326037</v>
      </c>
      <c r="N18" s="1">
        <f>(N5+0.5)/(25243*955/2361487+0.5)</f>
        <v>1.35407390086808</v>
      </c>
      <c r="R18" s="1">
        <f>(R5+0.5)/(25243*2615/2361487+0.5)</f>
        <v>0.790780140762058</v>
      </c>
      <c r="AM18" s="1">
        <f>(AM5+0.5)/(25243*2272/2361487+0.5)</f>
        <v>1.35154581899277</v>
      </c>
    </row>
    <row r="19" s="1" customFormat="1" spans="1:39">
      <c r="A19" s="1" t="s">
        <v>10</v>
      </c>
      <c r="B19" s="1"/>
      <c r="C19" s="1"/>
      <c r="D19" s="1"/>
      <c r="E19" s="1"/>
      <c r="F19" s="1">
        <f>(F6+0.5)/(25397*182/2361487+0.5)</f>
        <v>1.42429916607753</v>
      </c>
      <c r="M19" s="1">
        <f>(M6+0.5)/(25397*1017/2361487+0.5)</f>
        <v>0.743169813353583</v>
      </c>
      <c r="N19" s="1">
        <f>(N6+0.5)/(25397*955/2361487+0.5)</f>
        <v>2.55322204507484</v>
      </c>
      <c r="R19" s="1">
        <f>(R6+0.5)/(25397*2615/2361487+0.5)</f>
        <v>0.995687199488871</v>
      </c>
      <c r="S19" s="1">
        <f>(S6+0.5)/(25397*120/2361487+0.5)</f>
        <v>8.65651105203679</v>
      </c>
      <c r="AH19" s="1">
        <f>(AH6+0.5)/(25397*1063/2361487+0.5)</f>
        <v>1.46661872932423</v>
      </c>
      <c r="AM19" s="1">
        <f>(AM6+0.5)/(25397*2272/2361487+0.5)</f>
        <v>2.3862426634364</v>
      </c>
    </row>
    <row r="20" s="1" customFormat="1" spans="1:39">
      <c r="A20" s="1" t="s">
        <v>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f>(M7+0.5)/(1940*1017/2361487+0.5)</f>
        <v>4.8671563946554</v>
      </c>
      <c r="N20" s="1">
        <f>(N7+0.5)/(1940*955/2361487+0.5)</f>
        <v>13.6234686751212</v>
      </c>
      <c r="R20" s="1">
        <f>(R7+0.5)/(1940*2615/2361487+0.5)</f>
        <v>4.34246563733167</v>
      </c>
      <c r="AM20" s="1">
        <f>(AM7+0.5)/(1940*2272/2361487+0.5)</f>
        <v>5.70466330978674</v>
      </c>
    </row>
    <row r="21" s="1" customFormat="1" spans="1:39">
      <c r="A21" s="1" t="s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f>(M8+0.5)/(7277*1017/2361487+0.5)</f>
        <v>2.33907249384647</v>
      </c>
      <c r="N21" s="1">
        <f>(N8+0.5)/(7277*1955/2361487+0.5)</f>
        <v>1.76261501990764</v>
      </c>
      <c r="R21" s="1">
        <f>(R8+0.5)/(7277*2615/2361487+0.5)</f>
        <v>1.34373914605117</v>
      </c>
      <c r="AM21" s="1">
        <f>(AM8+0.5)/(7277*2272/2361487+0.5)</f>
        <v>1.93301300448019</v>
      </c>
    </row>
    <row r="22" s="1" customFormat="1" spans="1:39">
      <c r="A22" s="1" t="s">
        <v>13</v>
      </c>
      <c r="B22" s="1"/>
      <c r="C22" s="1"/>
      <c r="D22" s="1"/>
      <c r="E22" s="1"/>
      <c r="F22" s="1">
        <f>(F9+0.5)/(3349*182/2361487+0.5)</f>
        <v>12.5312008888087</v>
      </c>
      <c r="R22" s="1">
        <f>(R9+0.5)/(3349*2615/2361487+0.5)</f>
        <v>1.30687098504047</v>
      </c>
      <c r="AM22" s="1">
        <f>(AM9+0.5)/(3349*2272/2361487+0.5)</f>
        <v>1.74632982586437</v>
      </c>
    </row>
    <row r="23" s="1" customFormat="1" spans="1:39">
      <c r="A23" s="1" t="s">
        <v>14</v>
      </c>
      <c r="B23" s="1"/>
      <c r="C23" s="1"/>
      <c r="D23" s="1"/>
      <c r="E23" s="1"/>
      <c r="F23" s="1">
        <f>(F10+0.5)/(13923*182/2361487+0.5)</f>
        <v>4.1321085424928</v>
      </c>
      <c r="H23" s="1">
        <f>(H10+0.5)/(13923*50/2361487+0.5)</f>
        <v>11.9527967356699</v>
      </c>
      <c r="M23" s="1">
        <f>(M10+0.5)/(13923*1017/2361487+0.5)</f>
        <v>4.07937633709136</v>
      </c>
      <c r="N23" s="1">
        <f>(N10+0.5)/(13923*1017/2361487+0.5)</f>
        <v>7.31208966082414</v>
      </c>
      <c r="O23" s="1">
        <f>(O10+0.5)/(13923*22/2361487+0.5)</f>
        <v>5.55812331734754</v>
      </c>
      <c r="Q23" s="1">
        <f>(Q10+0.5)/(13923*145/2361487+0.5)</f>
        <v>4.05934047250286</v>
      </c>
      <c r="R23" s="1">
        <f>(R10+0.5)/(13923*2615/2361487+0.5)</f>
        <v>4.80597750346484</v>
      </c>
      <c r="S23" s="1">
        <f>(S10+0.5)/(13923*120/2361487+0.5)</f>
        <v>7.86747289631593</v>
      </c>
      <c r="AA23" s="1">
        <f>(AA10+0.5)/(13923*139/2361487+0.5)</f>
        <v>28.4193233367795</v>
      </c>
      <c r="AM23" s="1">
        <f>(AM10+0.5)/(13923*2272/2361487+0.5)</f>
        <v>8.67193643637641</v>
      </c>
    </row>
    <row r="24" s="1" customFormat="1" spans="1:19">
      <c r="A24" s="1" t="s">
        <v>15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f>(M11+0.5)/(2733*1017/2361487+0.5)</f>
        <v>9.24271675869264</v>
      </c>
      <c r="N24" s="1">
        <f>(N11+0.5)/(2733*1017/2361487+0.5)</f>
        <v>4.47228230259321</v>
      </c>
      <c r="R24" s="1">
        <f>(R11+0.5)/(2733*2615/2361487+0.5)</f>
        <v>1.55966598052954</v>
      </c>
      <c r="S24" s="1">
        <f>(S11+0.5)/(2733*120/2361487+0.5)</f>
        <v>14.8698047694593</v>
      </c>
    </row>
    <row r="25" s="1" customFormat="1" spans="1:39">
      <c r="A25" s="1" t="s">
        <v>16</v>
      </c>
      <c r="B25" s="1"/>
      <c r="C25" s="1"/>
      <c r="D25" s="1"/>
      <c r="E25" s="1"/>
      <c r="F25" s="1"/>
      <c r="G25" s="1"/>
      <c r="H25" s="1"/>
      <c r="I25" s="1"/>
      <c r="J25" s="1"/>
      <c r="K25" s="1">
        <f>(K12+0.5)/(10967*13/2361487+0.5)</f>
        <v>8.03035975197128</v>
      </c>
      <c r="M25" s="1">
        <f>(M12+0.5)/(10967*1017/2361487+0.5)</f>
        <v>1.05302305199392</v>
      </c>
      <c r="N25" s="1">
        <f>(N12+0.5)/(10967*1017/2361487+0.5)</f>
        <v>0.861564315267753</v>
      </c>
      <c r="R25" s="1">
        <f>(R12+0.5)/(10967*2615/2361487+0.5)</f>
        <v>0.751324208148051</v>
      </c>
      <c r="S25" s="1">
        <f>(S12+0.5)/(10967*120/2361487+0.5)</f>
        <v>8.03939929112797</v>
      </c>
      <c r="AM25" s="1">
        <f>(AM12+0.5)/(10967*2272/2361487+0.5)</f>
        <v>2.85031432286306</v>
      </c>
    </row>
    <row r="28" s="1" customFormat="1" spans="1:39">
      <c r="A28" s="3" t="s">
        <v>22</v>
      </c>
      <c r="B28" s="3"/>
      <c r="C28" s="3" t="s">
        <v>26</v>
      </c>
      <c r="D28" s="3" t="s">
        <v>27</v>
      </c>
      <c r="E28" s="3" t="s">
        <v>28</v>
      </c>
      <c r="F28" s="3" t="s">
        <v>29</v>
      </c>
      <c r="G28" s="3" t="s">
        <v>30</v>
      </c>
      <c r="H28" s="3" t="s">
        <v>31</v>
      </c>
      <c r="I28" s="3" t="s">
        <v>32</v>
      </c>
      <c r="J28" s="3" t="s">
        <v>33</v>
      </c>
      <c r="K28" s="3" t="s">
        <v>34</v>
      </c>
      <c r="L28" s="3" t="s">
        <v>35</v>
      </c>
      <c r="M28" s="3" t="s">
        <v>36</v>
      </c>
      <c r="N28" s="3" t="s">
        <v>37</v>
      </c>
      <c r="O28" s="3" t="s">
        <v>38</v>
      </c>
      <c r="P28" s="3" t="s">
        <v>39</v>
      </c>
      <c r="Q28" s="3" t="s">
        <v>40</v>
      </c>
      <c r="R28" s="3" t="s">
        <v>41</v>
      </c>
      <c r="S28" s="3" t="s">
        <v>42</v>
      </c>
      <c r="T28" s="3" t="s">
        <v>43</v>
      </c>
      <c r="U28" s="3" t="s">
        <v>44</v>
      </c>
      <c r="V28" s="3" t="s">
        <v>45</v>
      </c>
      <c r="W28" s="3" t="s">
        <v>46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51</v>
      </c>
      <c r="AC28" s="3" t="s">
        <v>52</v>
      </c>
      <c r="AD28" s="3" t="s">
        <v>53</v>
      </c>
      <c r="AE28" s="3" t="s">
        <v>54</v>
      </c>
      <c r="AF28" s="3" t="s">
        <v>55</v>
      </c>
      <c r="AG28" s="3" t="s">
        <v>56</v>
      </c>
      <c r="AH28" s="3" t="s">
        <v>57</v>
      </c>
      <c r="AI28" s="3" t="s">
        <v>58</v>
      </c>
      <c r="AJ28" s="3" t="s">
        <v>59</v>
      </c>
      <c r="AK28" s="3" t="s">
        <v>60</v>
      </c>
      <c r="AL28" s="3" t="s">
        <v>61</v>
      </c>
      <c r="AM28" s="3" t="s">
        <v>62</v>
      </c>
    </row>
    <row r="29" s="1" customFormat="1" spans="1:39">
      <c r="A29" s="1" t="s">
        <v>7</v>
      </c>
      <c r="B29" s="1"/>
      <c r="C29" s="1"/>
      <c r="D29" s="1"/>
      <c r="E29" s="1"/>
      <c r="F29" s="1">
        <f t="shared" ref="F29:F32" si="0">LOG(F16,2)</f>
        <v>0.685596692294389</v>
      </c>
      <c r="M29" s="1">
        <f t="shared" ref="M29:R29" si="1">LOG(M16,2)</f>
        <v>0.221094887960966</v>
      </c>
      <c r="N29" s="1">
        <f t="shared" si="1"/>
        <v>1.51146152523465</v>
      </c>
      <c r="R29" s="1">
        <f t="shared" si="1"/>
        <v>1.36911229131618</v>
      </c>
      <c r="V29" s="1">
        <f>LOG(V16,2)</f>
        <v>-0.62545171155884</v>
      </c>
      <c r="AH29" s="1">
        <f t="shared" ref="AH29:AH32" si="2">LOG(AH16,2)</f>
        <v>0.391765925190751</v>
      </c>
      <c r="AM29" s="1">
        <f t="shared" ref="AM29:AM36" si="3">LOG(AM16,2)</f>
        <v>1.73872387356336</v>
      </c>
    </row>
    <row r="30" s="1" customFormat="1" spans="1:39">
      <c r="A30" s="1" t="s">
        <v>8</v>
      </c>
      <c r="B30" s="1"/>
      <c r="C30" s="1"/>
      <c r="D30" s="1"/>
      <c r="E30" s="1"/>
      <c r="F30" s="1">
        <f t="shared" si="0"/>
        <v>1.22023337027009</v>
      </c>
      <c r="M30" s="1">
        <f t="shared" ref="M30:R30" si="4">LOG(M17,2)</f>
        <v>0.550600927340418</v>
      </c>
      <c r="N30" s="1">
        <f t="shared" si="4"/>
        <v>1.32023235126066</v>
      </c>
      <c r="R30" s="1">
        <f t="shared" si="4"/>
        <v>-0.537958651620332</v>
      </c>
      <c r="U30" s="1">
        <f>LOG(U17,2)</f>
        <v>1.76924313881308</v>
      </c>
      <c r="V30" s="1">
        <f>LOG(V17,2)</f>
        <v>-0.577955588936592</v>
      </c>
      <c r="AA30" s="1">
        <f t="shared" ref="AA30:AE30" si="5">LOG(AA17,2)</f>
        <v>0.631644740203573</v>
      </c>
      <c r="AD30" s="1">
        <f t="shared" si="5"/>
        <v>3.41506559247516</v>
      </c>
      <c r="AE30" s="1">
        <f t="shared" si="5"/>
        <v>1.39557695874017</v>
      </c>
      <c r="AH30" s="1">
        <f t="shared" si="2"/>
        <v>-0.484527586377666</v>
      </c>
      <c r="AM30" s="1">
        <f t="shared" si="3"/>
        <v>0.224389207903571</v>
      </c>
    </row>
    <row r="31" s="1" customFormat="1" spans="1:39">
      <c r="A31" s="1" t="s">
        <v>9</v>
      </c>
      <c r="B31" s="1"/>
      <c r="C31" s="1"/>
      <c r="D31" s="1"/>
      <c r="E31" s="1"/>
      <c r="F31" s="1"/>
      <c r="G31" s="1"/>
      <c r="H31" s="1"/>
      <c r="I31" s="1"/>
      <c r="J31" s="1"/>
      <c r="K31" s="1">
        <f>LOG(K18,2)</f>
        <v>3.10562762513219</v>
      </c>
      <c r="N31" s="1">
        <f>LOG(N18,2)</f>
        <v>0.437306478577945</v>
      </c>
      <c r="R31" s="1">
        <f t="shared" ref="R31:R38" si="6">LOG(R18,2)</f>
        <v>-0.338651454452325</v>
      </c>
      <c r="AM31" s="1">
        <f t="shared" si="3"/>
        <v>0.434610421760256</v>
      </c>
    </row>
    <row r="32" s="1" customFormat="1" spans="1:39">
      <c r="A32" s="1" t="s">
        <v>10</v>
      </c>
      <c r="B32" s="1"/>
      <c r="C32" s="1"/>
      <c r="D32" s="1"/>
      <c r="E32" s="1"/>
      <c r="F32" s="1">
        <f t="shared" si="0"/>
        <v>0.510252208161846</v>
      </c>
      <c r="M32" s="1">
        <f t="shared" ref="M32:S32" si="7">LOG(M19,2)</f>
        <v>-0.428236192479971</v>
      </c>
      <c r="N32" s="1">
        <f t="shared" si="7"/>
        <v>1.35231900950309</v>
      </c>
      <c r="R32" s="1">
        <f t="shared" si="7"/>
        <v>-0.00623551185517878</v>
      </c>
      <c r="S32" s="1">
        <f t="shared" si="7"/>
        <v>3.11378567366508</v>
      </c>
      <c r="AH32" s="1">
        <f t="shared" si="2"/>
        <v>0.552493868417562</v>
      </c>
      <c r="AM32" s="1">
        <f t="shared" si="3"/>
        <v>1.25474076203353</v>
      </c>
    </row>
    <row r="33" s="1" customFormat="1" spans="1:39">
      <c r="A33" s="1" t="s">
        <v>11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f t="shared" ref="M33:R33" si="8">LOG(M20,2)</f>
        <v>2.28307913298269</v>
      </c>
      <c r="N33" s="1">
        <f t="shared" si="8"/>
        <v>3.76802216999037</v>
      </c>
      <c r="R33" s="1">
        <f t="shared" si="8"/>
        <v>2.11851443268988</v>
      </c>
      <c r="AM33" s="1">
        <f t="shared" si="3"/>
        <v>2.51214174091624</v>
      </c>
    </row>
    <row r="34" s="1" customFormat="1" spans="1:39">
      <c r="A34" s="1" t="s">
        <v>12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>
        <f t="shared" ref="M34:R34" si="9">LOG(M21,2)</f>
        <v>1.225936575197</v>
      </c>
      <c r="N34" s="1">
        <f t="shared" si="9"/>
        <v>0.817717404028338</v>
      </c>
      <c r="R34" s="1">
        <f t="shared" si="9"/>
        <v>0.426253101491757</v>
      </c>
      <c r="AM34" s="1">
        <f t="shared" si="3"/>
        <v>0.950851343413593</v>
      </c>
    </row>
    <row r="35" s="1" customFormat="1" spans="1:39">
      <c r="A35" s="1" t="s">
        <v>13</v>
      </c>
      <c r="B35" s="1"/>
      <c r="C35" s="1"/>
      <c r="D35" s="1"/>
      <c r="E35" s="1"/>
      <c r="F35" s="1">
        <f>LOG(F22,2)</f>
        <v>3.64745277238123</v>
      </c>
      <c r="R35" s="1">
        <f t="shared" si="6"/>
        <v>0.386116724584454</v>
      </c>
      <c r="AM35" s="1">
        <f t="shared" si="3"/>
        <v>0.80432606366423</v>
      </c>
    </row>
    <row r="36" s="1" customFormat="1" spans="1:39">
      <c r="A36" s="1" t="s">
        <v>14</v>
      </c>
      <c r="B36" s="1"/>
      <c r="C36" s="1"/>
      <c r="D36" s="1"/>
      <c r="E36" s="1"/>
      <c r="F36" s="1">
        <f>LOG(F23,2)</f>
        <v>2.04687815150679</v>
      </c>
      <c r="H36" s="1">
        <f>LOG(H23,2)</f>
        <v>3.57927631682609</v>
      </c>
      <c r="M36" s="1">
        <f t="shared" ref="M36:O36" si="10">LOG(M23,2)</f>
        <v>2.02834860705948</v>
      </c>
      <c r="N36" s="1">
        <f t="shared" si="10"/>
        <v>2.87028376082723</v>
      </c>
      <c r="O36" s="1">
        <f t="shared" si="10"/>
        <v>2.47459784377779</v>
      </c>
      <c r="Q36" s="1">
        <f>LOG(Q23,2)</f>
        <v>2.02124534949398</v>
      </c>
      <c r="R36" s="1">
        <f t="shared" si="6"/>
        <v>2.2648298953018</v>
      </c>
      <c r="S36" s="1">
        <f t="shared" ref="S36:S38" si="11">LOG(S23,2)</f>
        <v>2.97590030340384</v>
      </c>
      <c r="AA36" s="1">
        <f>LOG(AA23,2)</f>
        <v>4.82880029935214</v>
      </c>
      <c r="AM36" s="1">
        <f t="shared" si="3"/>
        <v>3.1163541820538</v>
      </c>
    </row>
    <row r="37" s="1" customFormat="1" spans="1:19">
      <c r="A37" s="1" t="s">
        <v>15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>
        <f>LOG(M24,2)</f>
        <v>3.2083169726591</v>
      </c>
      <c r="N37" s="1">
        <f>LOG(N24,2)</f>
        <v>2.16101125788074</v>
      </c>
      <c r="R37" s="1">
        <f t="shared" si="6"/>
        <v>0.641237093298602</v>
      </c>
      <c r="S37" s="1">
        <f t="shared" si="11"/>
        <v>3.89431380078598</v>
      </c>
    </row>
    <row r="38" s="1" customFormat="1" spans="1:39">
      <c r="A38" s="1" t="s">
        <v>16</v>
      </c>
      <c r="B38" s="1"/>
      <c r="C38" s="1"/>
      <c r="D38" s="1"/>
      <c r="E38" s="1"/>
      <c r="F38" s="1"/>
      <c r="G38" s="1"/>
      <c r="H38" s="1"/>
      <c r="I38" s="1"/>
      <c r="J38" s="1"/>
      <c r="K38" s="1">
        <f t="shared" ref="K38:N38" si="12">LOG(K25,2)</f>
        <v>3.00546462046477</v>
      </c>
      <c r="M38" s="1">
        <f t="shared" si="12"/>
        <v>0.0745370191112935</v>
      </c>
      <c r="N38" s="1">
        <f t="shared" si="12"/>
        <v>-0.214969598083691</v>
      </c>
      <c r="R38" s="1">
        <f t="shared" si="6"/>
        <v>-0.412492507313286</v>
      </c>
      <c r="S38" s="1">
        <f t="shared" si="11"/>
        <v>3.00708770636841</v>
      </c>
      <c r="AM38" s="1">
        <f>LOG(AM25,2)</f>
        <v>1.51112102349885</v>
      </c>
    </row>
    <row r="41" s="1" customFormat="1" spans="1:39">
      <c r="A41" s="3" t="s">
        <v>63</v>
      </c>
      <c r="B41" s="3"/>
      <c r="C41" s="3" t="s">
        <v>26</v>
      </c>
      <c r="D41" s="3" t="s">
        <v>27</v>
      </c>
      <c r="E41" s="3" t="s">
        <v>28</v>
      </c>
      <c r="F41" s="4" t="s">
        <v>29</v>
      </c>
      <c r="G41" s="3" t="s">
        <v>30</v>
      </c>
      <c r="H41" s="4" t="s">
        <v>31</v>
      </c>
      <c r="I41" s="3" t="s">
        <v>32</v>
      </c>
      <c r="J41" s="3" t="s">
        <v>33</v>
      </c>
      <c r="K41" s="3" t="s">
        <v>34</v>
      </c>
      <c r="L41" s="3" t="s">
        <v>35</v>
      </c>
      <c r="M41" s="3" t="s">
        <v>36</v>
      </c>
      <c r="N41" s="3" t="s">
        <v>37</v>
      </c>
      <c r="O41" s="4" t="s">
        <v>38</v>
      </c>
      <c r="P41" s="3" t="s">
        <v>39</v>
      </c>
      <c r="Q41" s="3" t="s">
        <v>40</v>
      </c>
      <c r="R41" s="3" t="s">
        <v>41</v>
      </c>
      <c r="S41" s="4" t="s">
        <v>42</v>
      </c>
      <c r="T41" s="3" t="s">
        <v>43</v>
      </c>
      <c r="U41" s="3" t="s">
        <v>44</v>
      </c>
      <c r="V41" s="3" t="s">
        <v>45</v>
      </c>
      <c r="W41" s="3" t="s">
        <v>46</v>
      </c>
      <c r="X41" s="3" t="s">
        <v>47</v>
      </c>
      <c r="Y41" s="3" t="s">
        <v>48</v>
      </c>
      <c r="Z41" s="3" t="s">
        <v>49</v>
      </c>
      <c r="AA41" s="5" t="s">
        <v>50</v>
      </c>
      <c r="AB41" s="3" t="s">
        <v>51</v>
      </c>
      <c r="AC41" s="3" t="s">
        <v>52</v>
      </c>
      <c r="AD41" s="5" t="s">
        <v>53</v>
      </c>
      <c r="AE41" s="3" t="s">
        <v>54</v>
      </c>
      <c r="AF41" s="3" t="s">
        <v>55</v>
      </c>
      <c r="AG41" s="3" t="s">
        <v>56</v>
      </c>
      <c r="AH41" s="3" t="s">
        <v>57</v>
      </c>
      <c r="AI41" s="3" t="s">
        <v>58</v>
      </c>
      <c r="AJ41" s="3" t="s">
        <v>59</v>
      </c>
      <c r="AK41" s="3" t="s">
        <v>60</v>
      </c>
      <c r="AL41" s="3" t="s">
        <v>61</v>
      </c>
      <c r="AM41" s="3" t="s">
        <v>62</v>
      </c>
    </row>
    <row r="42" s="1" customFormat="1" spans="1:39">
      <c r="A42" s="1" t="s">
        <v>7</v>
      </c>
      <c r="B42" s="1">
        <v>3</v>
      </c>
      <c r="C42" s="1"/>
      <c r="D42" s="1"/>
      <c r="E42" s="1"/>
      <c r="F42" s="1">
        <f t="shared" ref="F42:F45" si="13">F29-3.3*((F3+0.5)^(-0.5))-2*((F3+0.5)^(-1.5))</f>
        <v>-1.3837689236561</v>
      </c>
      <c r="M42" s="1">
        <f t="shared" ref="M42:R42" si="14">M29-3.3*((M3+0.5)^(-0.5))-2*((M3+0.5)^(-1.5))</f>
        <v>-0.803306181323929</v>
      </c>
      <c r="N42" s="1">
        <f t="shared" si="14"/>
        <v>0.855751937401769</v>
      </c>
      <c r="R42" s="1">
        <f t="shared" si="14"/>
        <v>0.95103898241231</v>
      </c>
      <c r="V42" s="1">
        <f>V29-3.3*((V3+0.5)^(-0.5))-2*((V3+0.5)^(-1.5))</f>
        <v>-2.69481732750933</v>
      </c>
      <c r="AH42" s="1">
        <f t="shared" ref="AH42:AH45" si="15">AH29-3.3*((AH3+0.5)^(-0.5))-2*((AH3+0.5)^(-1.5))</f>
        <v>-0.546701132640993</v>
      </c>
      <c r="AM42" s="1">
        <f t="shared" ref="AM42:AM49" si="16">AM29-3.3*((AM3+0.5)^(-0.5))-2*((AM3+0.5)^(-1.5))</f>
        <v>1.3451496508344</v>
      </c>
    </row>
    <row r="43" s="1" customFormat="1" spans="1:39">
      <c r="A43" s="1" t="s">
        <v>8</v>
      </c>
      <c r="B43" s="1">
        <v>4</v>
      </c>
      <c r="C43" s="1"/>
      <c r="D43" s="1"/>
      <c r="E43" s="1"/>
      <c r="F43" s="1">
        <f t="shared" si="13"/>
        <v>0.00763749179188063</v>
      </c>
      <c r="M43" s="1">
        <f t="shared" ref="M43:R43" si="17">M30-3.3*((M4+0.5)^(-0.5))-2*((M4+0.5)^(-1.5))</f>
        <v>-0.105108660492467</v>
      </c>
      <c r="N43" s="1">
        <f t="shared" si="17"/>
        <v>0.806816964608711</v>
      </c>
      <c r="R43" s="1">
        <f t="shared" si="17"/>
        <v>-1.13724602898798</v>
      </c>
      <c r="U43" s="1">
        <f>U30-3.3*((U4+0.5)^(-0.5))-2*((U4+0.5)^(-1.5))</f>
        <v>0.866398217701748</v>
      </c>
      <c r="V43" s="1">
        <f>V30-3.3*((V4+0.5)^(-0.5))-2*((V4+0.5)^(-1.5))</f>
        <v>-1.99300893324133</v>
      </c>
      <c r="AA43" s="1">
        <f t="shared" ref="AA43:AE43" si="18">AA30-3.3*((AA4+0.5)^(-0.5))-2*((AA4+0.5)^(-1.5))</f>
        <v>-1.1335032987584</v>
      </c>
      <c r="AD43" s="1">
        <f t="shared" si="18"/>
        <v>2.33788125416836</v>
      </c>
      <c r="AE43" s="1">
        <f t="shared" si="18"/>
        <v>-0.673788657210315</v>
      </c>
      <c r="AH43" s="1">
        <f t="shared" si="15"/>
        <v>-1.42299464420941</v>
      </c>
      <c r="AM43" s="1">
        <f t="shared" si="16"/>
        <v>-0.265853674463512</v>
      </c>
    </row>
    <row r="44" s="1" customFormat="1" spans="1:39">
      <c r="A44" s="1" t="s">
        <v>9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>
        <f>K31-3.3*((K5+0.5)^(-0.5))-2*((K5+0.5)^(-1.5))</f>
        <v>1.54344783074471</v>
      </c>
      <c r="N44" s="1">
        <f>N31-3.3*((N5+0.5)^(-0.5))-2*((N5+0.5)^(-1.5))</f>
        <v>-0.465538442533388</v>
      </c>
      <c r="R44" s="1">
        <f t="shared" ref="R44:R51" si="19">R31-3.3*((R5+0.5)^(-0.5))-2*((R5+0.5)^(-1.5))</f>
        <v>-1.05309196286074</v>
      </c>
      <c r="AM44" s="1">
        <f t="shared" si="16"/>
        <v>-0.145857585996055</v>
      </c>
    </row>
    <row r="45" s="1" customFormat="1" spans="1:39">
      <c r="A45" s="1" t="s">
        <v>10</v>
      </c>
      <c r="B45" s="1">
        <v>3</v>
      </c>
      <c r="C45" s="1"/>
      <c r="D45" s="1"/>
      <c r="E45" s="1"/>
      <c r="F45" s="1">
        <f t="shared" si="13"/>
        <v>-1.55911340778864</v>
      </c>
      <c r="M45" s="1">
        <f t="shared" ref="M45:S45" si="20">M32-3.3*((M6+0.5)^(-0.5))-2*((M6+0.5)^(-1.5))</f>
        <v>-1.64083207095818</v>
      </c>
      <c r="N45" s="1">
        <f t="shared" si="20"/>
        <v>0.709165153848339</v>
      </c>
      <c r="R45" s="1">
        <f t="shared" si="20"/>
        <v>-0.637527211521296</v>
      </c>
      <c r="S45" s="1">
        <f t="shared" si="20"/>
        <v>2.24281060914119</v>
      </c>
      <c r="AH45" s="1">
        <f t="shared" si="15"/>
        <v>-0.263676524813639</v>
      </c>
      <c r="AM45" s="1">
        <f t="shared" si="16"/>
        <v>0.822568632397999</v>
      </c>
    </row>
    <row r="46" s="1" customFormat="1" spans="1:39">
      <c r="A46" s="1" t="s">
        <v>11</v>
      </c>
      <c r="B46" s="1">
        <v>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>
        <f t="shared" ref="M46:R46" si="21">M33-3.3*((M7+0.5)^(-0.5))-2*((M7+0.5)^(-1.5))</f>
        <v>0.868025788677951</v>
      </c>
      <c r="N46" s="1">
        <f t="shared" si="21"/>
        <v>2.95185177675917</v>
      </c>
      <c r="R46" s="1">
        <f t="shared" si="21"/>
        <v>1.09411336340498</v>
      </c>
      <c r="AM46" s="1">
        <f t="shared" si="16"/>
        <v>1.5736746830845</v>
      </c>
    </row>
    <row r="47" s="1" customFormat="1" spans="1:39">
      <c r="A47" s="1" t="s">
        <v>12</v>
      </c>
      <c r="B47" s="1">
        <v>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>
        <f t="shared" ref="M47:R47" si="22">M34-3.3*((M8+0.5)^(-0.5))-2*((M8+0.5)^(-1.5))</f>
        <v>0.0133406967187894</v>
      </c>
      <c r="N47" s="1">
        <f t="shared" si="22"/>
        <v>-0.206683665256556</v>
      </c>
      <c r="R47" s="1">
        <f t="shared" si="22"/>
        <v>-0.598147967793137</v>
      </c>
      <c r="AM47" s="1">
        <f t="shared" si="16"/>
        <v>0.0480064223022597</v>
      </c>
    </row>
    <row r="48" s="1" customFormat="1" spans="1:39">
      <c r="A48" s="1" t="s">
        <v>13</v>
      </c>
      <c r="B48" s="1">
        <v>1</v>
      </c>
      <c r="C48" s="1"/>
      <c r="D48" s="1"/>
      <c r="E48" s="1"/>
      <c r="F48" s="1">
        <f>F35-3.3*((F9+0.5)^(-0.5))-2*((F9+0.5)^(-1.5))</f>
        <v>2.50848763665261</v>
      </c>
      <c r="R48" s="1">
        <f t="shared" si="19"/>
        <v>-1.17606306980302</v>
      </c>
      <c r="AM48" s="1">
        <f t="shared" si="16"/>
        <v>-0.610727280640513</v>
      </c>
    </row>
    <row r="49" s="1" customFormat="1" spans="1:39">
      <c r="A49" s="1" t="s">
        <v>14</v>
      </c>
      <c r="B49" s="1">
        <v>9</v>
      </c>
      <c r="C49" s="1"/>
      <c r="D49" s="1"/>
      <c r="E49" s="1"/>
      <c r="F49" s="1">
        <f>F36-3.3*((F10+0.5)^(-0.5))-2*((F10+0.5)^(-1.5))</f>
        <v>0.631824807202043</v>
      </c>
      <c r="H49" s="1">
        <f>H36-3.3*((H10+0.5)^(-0.5))-2*((H10+0.5)^(-1.5))</f>
        <v>2.44031118109747</v>
      </c>
      <c r="M49" s="1">
        <f t="shared" ref="M49:O49" si="23">M36-3.3*((M10+0.5)^(-0.5))-2*((M10+0.5)^(-1.5))</f>
        <v>1.3726390192266</v>
      </c>
      <c r="N49" s="1">
        <f t="shared" si="23"/>
        <v>2.38536016206949</v>
      </c>
      <c r="O49" s="1">
        <f t="shared" si="23"/>
        <v>0.405232227827304</v>
      </c>
      <c r="Q49" s="1">
        <f>Q36-3.3*((Q10+0.5)^(-0.5))-2*((Q10+0.5)^(-1.5))</f>
        <v>0.459065555106505</v>
      </c>
      <c r="R49" s="1">
        <f t="shared" si="19"/>
        <v>1.8845439258943</v>
      </c>
      <c r="S49" s="1">
        <f t="shared" ref="S49:S51" si="24">S36-3.3*((S10+0.5)^(-0.5))-2*((S10+0.5)^(-1.5))</f>
        <v>1.83693516767523</v>
      </c>
      <c r="AA49" s="1">
        <f>AA36-3.3*((AA10+0.5)^(-0.5))-2*((AA10+0.5)^(-1.5))</f>
        <v>4.28120325907661</v>
      </c>
      <c r="AM49" s="1">
        <f t="shared" si="16"/>
        <v>2.81422042796554</v>
      </c>
    </row>
    <row r="50" s="1" customFormat="1" spans="1:19">
      <c r="A50" s="1" t="s">
        <v>15</v>
      </c>
      <c r="B50" s="1">
        <v>3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>
        <f>M37-3.3*((M11+0.5)^(-0.5))-2*((M11+0.5)^(-1.5))</f>
        <v>2.33734190813521</v>
      </c>
      <c r="N50" s="1">
        <f>N37-3.3*((N11+0.5)^(-0.5))-2*((N11+0.5)^(-1.5))</f>
        <v>0.858648732257347</v>
      </c>
      <c r="R50" s="1">
        <f t="shared" si="19"/>
        <v>-0.920942701088871</v>
      </c>
      <c r="S50" s="1">
        <f t="shared" si="24"/>
        <v>2.75534866505736</v>
      </c>
    </row>
    <row r="51" s="1" customFormat="1" spans="1:39">
      <c r="A51" s="1" t="s">
        <v>16</v>
      </c>
      <c r="B51" s="1">
        <v>3</v>
      </c>
      <c r="C51" s="1"/>
      <c r="D51" s="1"/>
      <c r="E51" s="1"/>
      <c r="F51" s="1"/>
      <c r="G51" s="1"/>
      <c r="H51" s="1"/>
      <c r="I51" s="1"/>
      <c r="J51" s="1"/>
      <c r="K51" s="1">
        <f t="shared" ref="K51:N51" si="25">K38-3.3*((K12+0.5)^(-0.5))-2*((K12+0.5)^(-1.5))</f>
        <v>1.2403165815028</v>
      </c>
      <c r="M51" s="1">
        <f t="shared" si="25"/>
        <v>-1.48764277527618</v>
      </c>
      <c r="N51" s="1">
        <f t="shared" si="25"/>
        <v>-1.98011763704567</v>
      </c>
      <c r="R51" s="1">
        <f t="shared" si="19"/>
        <v>-1.5514576430419</v>
      </c>
      <c r="S51" s="1">
        <f t="shared" si="24"/>
        <v>1.7944918278902</v>
      </c>
      <c r="AM51" s="1">
        <f>AM38-3.3*((AM12+0.5)^(-0.5))-2*((AM12+0.5)^(-1.5))</f>
        <v>0.911833646131199</v>
      </c>
    </row>
    <row r="68" s="1" customFormat="1" spans="1:2">
      <c r="A68" s="2" t="s">
        <v>64</v>
      </c>
      <c r="B68" s="2"/>
    </row>
    <row r="69" s="1" customFormat="1" spans="3:31">
      <c r="C69" s="3" t="s">
        <v>65</v>
      </c>
      <c r="D69" s="3" t="s">
        <v>66</v>
      </c>
      <c r="E69" s="3" t="s">
        <v>67</v>
      </c>
      <c r="F69" s="3" t="s">
        <v>68</v>
      </c>
      <c r="G69" s="3" t="s">
        <v>69</v>
      </c>
      <c r="H69" s="3" t="s">
        <v>70</v>
      </c>
      <c r="I69" s="3" t="s">
        <v>71</v>
      </c>
      <c r="J69" s="3" t="s">
        <v>72</v>
      </c>
      <c r="K69" s="3" t="s">
        <v>73</v>
      </c>
      <c r="L69" s="3" t="s">
        <v>74</v>
      </c>
      <c r="M69" s="3" t="s">
        <v>75</v>
      </c>
      <c r="N69" s="3" t="s">
        <v>76</v>
      </c>
      <c r="O69" s="3" t="s">
        <v>77</v>
      </c>
      <c r="P69" s="3" t="s">
        <v>78</v>
      </c>
      <c r="Q69" s="3" t="s">
        <v>79</v>
      </c>
      <c r="R69" s="3" t="s">
        <v>80</v>
      </c>
      <c r="S69" s="3" t="s">
        <v>81</v>
      </c>
      <c r="T69" s="3" t="s">
        <v>82</v>
      </c>
      <c r="U69" s="3" t="s">
        <v>83</v>
      </c>
      <c r="V69" s="3" t="s">
        <v>84</v>
      </c>
      <c r="W69" s="3" t="s">
        <v>85</v>
      </c>
      <c r="X69" s="3" t="s">
        <v>86</v>
      </c>
      <c r="Y69" s="3" t="s">
        <v>87</v>
      </c>
      <c r="Z69" s="3" t="s">
        <v>88</v>
      </c>
      <c r="AA69" s="3" t="s">
        <v>89</v>
      </c>
      <c r="AB69" s="3" t="s">
        <v>90</v>
      </c>
      <c r="AC69" s="3" t="s">
        <v>91</v>
      </c>
      <c r="AD69" s="3" t="s">
        <v>92</v>
      </c>
      <c r="AE69" s="3" t="s">
        <v>93</v>
      </c>
    </row>
    <row r="70" s="1" customFormat="1" spans="1:31">
      <c r="A70" s="1" t="s">
        <v>7</v>
      </c>
      <c r="B70" s="1"/>
      <c r="C70" s="1">
        <v>4</v>
      </c>
      <c r="D70" s="1"/>
      <c r="E70" s="1"/>
      <c r="F70" s="1"/>
      <c r="G70" s="1"/>
      <c r="H70" s="1"/>
      <c r="I70" s="1">
        <v>5</v>
      </c>
      <c r="J70" s="1">
        <v>103</v>
      </c>
      <c r="K70" s="1"/>
      <c r="L70" s="1">
        <v>26</v>
      </c>
      <c r="M70" s="1"/>
      <c r="N70" s="1"/>
      <c r="O70" s="1"/>
      <c r="P70" s="1">
        <v>6</v>
      </c>
      <c r="Q70" s="1"/>
      <c r="R70" s="1"/>
      <c r="S70" s="1"/>
      <c r="T70" s="1"/>
      <c r="U70" s="1"/>
      <c r="V70" s="1"/>
      <c r="W70" s="1">
        <v>69</v>
      </c>
      <c r="X70" s="1">
        <v>11</v>
      </c>
      <c r="Y70" s="1">
        <v>17</v>
      </c>
      <c r="Z70" s="1">
        <v>48</v>
      </c>
      <c r="AA70" s="1"/>
      <c r="AB70" s="1"/>
      <c r="AC70" s="1"/>
      <c r="AD70" s="1"/>
      <c r="AE70" s="1">
        <v>30</v>
      </c>
    </row>
    <row r="71" s="1" customFormat="1" spans="1:31">
      <c r="A71" s="1" t="s">
        <v>8</v>
      </c>
      <c r="B71" s="1"/>
      <c r="C71" s="1"/>
      <c r="D71" s="1">
        <v>17</v>
      </c>
      <c r="E71" s="1"/>
      <c r="F71" s="1"/>
      <c r="G71" s="1"/>
      <c r="H71" s="1"/>
      <c r="I71" s="1">
        <v>16</v>
      </c>
      <c r="J71" s="1">
        <v>266</v>
      </c>
      <c r="K71" s="1"/>
      <c r="L71" s="1">
        <v>74</v>
      </c>
      <c r="M71" s="1"/>
      <c r="N71" s="1"/>
      <c r="O71" s="1"/>
      <c r="P71" s="1">
        <v>20</v>
      </c>
      <c r="Q71" s="1"/>
      <c r="R71" s="1">
        <v>6</v>
      </c>
      <c r="S71" s="1"/>
      <c r="T71" s="1">
        <v>4</v>
      </c>
      <c r="U71" s="1"/>
      <c r="V71" s="1"/>
      <c r="W71" s="1">
        <v>43</v>
      </c>
      <c r="X71" s="1">
        <v>13</v>
      </c>
      <c r="Y71" s="1">
        <v>30</v>
      </c>
      <c r="Z71" s="1">
        <v>73</v>
      </c>
      <c r="AA71" s="1"/>
      <c r="AB71" s="1"/>
      <c r="AC71" s="1"/>
      <c r="AD71" s="1"/>
      <c r="AE71" s="1">
        <v>60</v>
      </c>
    </row>
    <row r="72" s="1" customFormat="1" spans="1:31">
      <c r="A72" s="1" t="s">
        <v>9</v>
      </c>
      <c r="B72" s="1"/>
      <c r="C72" s="1"/>
      <c r="D72" s="1">
        <v>3</v>
      </c>
      <c r="E72" s="1"/>
      <c r="F72" s="1"/>
      <c r="G72" s="1">
        <v>10</v>
      </c>
      <c r="H72" s="1">
        <v>7</v>
      </c>
      <c r="I72" s="1">
        <v>12</v>
      </c>
      <c r="J72" s="1">
        <v>104</v>
      </c>
      <c r="K72" s="1"/>
      <c r="L72" s="1">
        <v>24</v>
      </c>
      <c r="M72" s="1"/>
      <c r="N72" s="1"/>
      <c r="O72" s="1"/>
      <c r="P72" s="1">
        <v>6</v>
      </c>
      <c r="Q72" s="1"/>
      <c r="R72" s="1"/>
      <c r="S72" s="1"/>
      <c r="T72" s="1"/>
      <c r="U72" s="1"/>
      <c r="V72" s="1"/>
      <c r="W72" s="1">
        <v>55</v>
      </c>
      <c r="X72" s="1">
        <v>4</v>
      </c>
      <c r="Y72" s="1">
        <v>18</v>
      </c>
      <c r="Z72" s="1">
        <v>18</v>
      </c>
      <c r="AA72" s="1"/>
      <c r="AB72" s="1"/>
      <c r="AC72" s="1"/>
      <c r="AD72" s="1"/>
      <c r="AE72" s="1">
        <v>27</v>
      </c>
    </row>
    <row r="73" s="1" customFormat="1" spans="1:31">
      <c r="A73" s="1" t="s">
        <v>10</v>
      </c>
      <c r="B73" s="1"/>
      <c r="C73" s="1"/>
      <c r="D73" s="1">
        <v>5</v>
      </c>
      <c r="E73" s="1"/>
      <c r="F73" s="1"/>
      <c r="G73" s="1"/>
      <c r="H73" s="1"/>
      <c r="I73" s="1">
        <v>44</v>
      </c>
      <c r="J73" s="1">
        <v>84</v>
      </c>
      <c r="K73" s="1"/>
      <c r="L73" s="1">
        <v>37</v>
      </c>
      <c r="M73" s="1"/>
      <c r="N73" s="1"/>
      <c r="O73" s="1"/>
      <c r="P73" s="1">
        <v>4</v>
      </c>
      <c r="Q73" s="1"/>
      <c r="R73" s="1"/>
      <c r="S73" s="1"/>
      <c r="T73" s="1"/>
      <c r="U73" s="1"/>
      <c r="V73" s="1"/>
      <c r="W73" s="1">
        <v>20</v>
      </c>
      <c r="X73" s="1">
        <v>11</v>
      </c>
      <c r="Y73" s="1">
        <v>25</v>
      </c>
      <c r="Z73" s="1">
        <v>11</v>
      </c>
      <c r="AA73" s="1"/>
      <c r="AB73" s="1"/>
      <c r="AC73" s="1"/>
      <c r="AD73" s="1"/>
      <c r="AE73" s="1">
        <v>15</v>
      </c>
    </row>
    <row r="74" s="1" customFormat="1" spans="1:31">
      <c r="A74" s="1" t="s">
        <v>11</v>
      </c>
      <c r="B74" s="1"/>
      <c r="C74" s="1"/>
      <c r="D74" s="1"/>
      <c r="E74" s="1"/>
      <c r="F74" s="1"/>
      <c r="G74" s="1"/>
      <c r="H74" s="1"/>
      <c r="I74" s="1"/>
      <c r="J74" s="1">
        <v>18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>
        <v>2</v>
      </c>
      <c r="X74" s="1"/>
      <c r="Y74" s="1"/>
      <c r="Z74" s="1">
        <v>6</v>
      </c>
      <c r="AA74" s="1"/>
      <c r="AB74" s="1"/>
      <c r="AC74" s="1"/>
      <c r="AD74" s="1"/>
      <c r="AE74" s="1">
        <v>6</v>
      </c>
    </row>
    <row r="75" s="1" customFormat="1" spans="1:25">
      <c r="A75" s="1" t="s">
        <v>12</v>
      </c>
      <c r="B75" s="1"/>
      <c r="C75" s="1"/>
      <c r="D75" s="1"/>
      <c r="E75" s="1"/>
      <c r="F75" s="1"/>
      <c r="G75" s="1"/>
      <c r="H75" s="1"/>
      <c r="I75" s="1"/>
      <c r="J75" s="1">
        <v>21</v>
      </c>
      <c r="K75" s="1"/>
      <c r="L75" s="1">
        <v>11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>
        <v>10</v>
      </c>
      <c r="X75" s="1"/>
      <c r="Y75" s="1">
        <v>9</v>
      </c>
    </row>
    <row r="76" s="1" customFormat="1" spans="1:31">
      <c r="A76" s="1" t="s">
        <v>13</v>
      </c>
      <c r="B76" s="1"/>
      <c r="C76" s="1"/>
      <c r="D76" s="1"/>
      <c r="E76" s="1"/>
      <c r="F76" s="1"/>
      <c r="G76" s="1"/>
      <c r="H76" s="1"/>
      <c r="I76" s="1"/>
      <c r="J76" s="1">
        <v>18</v>
      </c>
      <c r="K76" s="1"/>
      <c r="L76" s="1">
        <v>7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>
        <v>5</v>
      </c>
      <c r="X76" s="1">
        <v>4</v>
      </c>
      <c r="Y76" s="1"/>
      <c r="Z76" s="1"/>
      <c r="AA76" s="1"/>
      <c r="AB76" s="1"/>
      <c r="AC76" s="1"/>
      <c r="AD76" s="1"/>
      <c r="AE76" s="1">
        <v>11</v>
      </c>
    </row>
    <row r="77" s="1" customFormat="1" spans="1:31">
      <c r="A77" s="1" t="s">
        <v>14</v>
      </c>
      <c r="B77" s="1"/>
      <c r="C77" s="1"/>
      <c r="D77" s="1">
        <v>9</v>
      </c>
      <c r="E77" s="1"/>
      <c r="F77" s="1"/>
      <c r="G77" s="1"/>
      <c r="H77" s="1"/>
      <c r="I77" s="1">
        <v>19</v>
      </c>
      <c r="J77" s="1">
        <v>70</v>
      </c>
      <c r="K77" s="1"/>
      <c r="L77" s="1">
        <v>15</v>
      </c>
      <c r="M77" s="1"/>
      <c r="N77" s="1"/>
      <c r="O77" s="1"/>
      <c r="P77" s="1">
        <v>4</v>
      </c>
      <c r="Q77" s="1"/>
      <c r="R77" s="1"/>
      <c r="S77" s="1"/>
      <c r="T77" s="1"/>
      <c r="U77" s="1"/>
      <c r="V77" s="1"/>
      <c r="W77" s="1">
        <v>18</v>
      </c>
      <c r="X77" s="1"/>
      <c r="Y77" s="1">
        <v>34</v>
      </c>
      <c r="Z77" s="1">
        <v>6</v>
      </c>
      <c r="AA77" s="1"/>
      <c r="AB77" s="1"/>
      <c r="AC77" s="1"/>
      <c r="AD77" s="1"/>
      <c r="AE77" s="1">
        <v>9</v>
      </c>
    </row>
    <row r="78" s="1" customFormat="1" spans="1:31">
      <c r="A78" s="1" t="s">
        <v>15</v>
      </c>
      <c r="B78" s="1"/>
      <c r="C78" s="1"/>
      <c r="D78" s="1"/>
      <c r="E78" s="1"/>
      <c r="F78" s="1"/>
      <c r="G78" s="1"/>
      <c r="H78" s="1"/>
      <c r="I78" s="1"/>
      <c r="J78" s="1">
        <v>17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>
        <v>23</v>
      </c>
      <c r="X78" s="1"/>
      <c r="Y78" s="1">
        <v>3</v>
      </c>
      <c r="Z78" s="1">
        <v>5</v>
      </c>
      <c r="AA78" s="1"/>
      <c r="AB78" s="1"/>
      <c r="AC78" s="1"/>
      <c r="AD78" s="1"/>
      <c r="AE78" s="1">
        <v>6</v>
      </c>
    </row>
    <row r="79" s="1" customFormat="1" spans="1:31">
      <c r="A79" s="1" t="s">
        <v>16</v>
      </c>
      <c r="B79" s="1"/>
      <c r="C79" s="1"/>
      <c r="D79" s="1"/>
      <c r="E79" s="1"/>
      <c r="F79" s="1"/>
      <c r="G79" s="1"/>
      <c r="H79" s="1"/>
      <c r="I79" s="1">
        <v>6</v>
      </c>
      <c r="J79" s="1">
        <v>61</v>
      </c>
      <c r="K79" s="1"/>
      <c r="L79" s="1">
        <v>17</v>
      </c>
      <c r="M79" s="1"/>
      <c r="N79" s="1"/>
      <c r="O79" s="1"/>
      <c r="P79" s="1">
        <v>3</v>
      </c>
      <c r="Q79" s="1"/>
      <c r="R79" s="1"/>
      <c r="S79" s="1"/>
      <c r="T79" s="1"/>
      <c r="U79" s="1"/>
      <c r="V79" s="1"/>
      <c r="W79" s="1">
        <v>51</v>
      </c>
      <c r="X79" s="1"/>
      <c r="Y79" s="1">
        <v>24</v>
      </c>
      <c r="Z79" s="1">
        <v>43</v>
      </c>
      <c r="AA79" s="1"/>
      <c r="AB79" s="1"/>
      <c r="AC79" s="1"/>
      <c r="AD79" s="1"/>
      <c r="AE79" s="1">
        <v>14</v>
      </c>
    </row>
    <row r="80" s="1" customFormat="1" spans="3:31">
      <c r="C80" s="1">
        <v>28</v>
      </c>
      <c r="D80" s="1">
        <v>140</v>
      </c>
      <c r="E80" s="1">
        <v>11</v>
      </c>
      <c r="F80" s="1">
        <v>0</v>
      </c>
      <c r="G80" s="1">
        <v>21</v>
      </c>
      <c r="H80" s="1">
        <v>20</v>
      </c>
      <c r="I80" s="1">
        <v>569</v>
      </c>
      <c r="J80" s="1">
        <v>8169</v>
      </c>
      <c r="K80" s="1">
        <v>11</v>
      </c>
      <c r="L80" s="1">
        <v>4537</v>
      </c>
      <c r="M80" s="1">
        <v>10</v>
      </c>
      <c r="N80" s="1">
        <v>1</v>
      </c>
      <c r="O80" s="1">
        <v>21</v>
      </c>
      <c r="P80" s="1">
        <v>924</v>
      </c>
      <c r="Q80" s="1">
        <v>12</v>
      </c>
      <c r="R80" s="1">
        <v>7</v>
      </c>
      <c r="S80" s="1">
        <v>16</v>
      </c>
      <c r="T80" s="1">
        <v>268</v>
      </c>
      <c r="U80" s="1">
        <v>0</v>
      </c>
      <c r="V80" s="1">
        <v>44</v>
      </c>
      <c r="W80" s="1">
        <v>1362</v>
      </c>
      <c r="X80" s="1">
        <v>647</v>
      </c>
      <c r="Y80" s="1">
        <v>1651</v>
      </c>
      <c r="Z80" s="1">
        <v>1924</v>
      </c>
      <c r="AA80" s="1">
        <v>20</v>
      </c>
      <c r="AB80" s="1">
        <v>0</v>
      </c>
      <c r="AC80" s="1">
        <v>3</v>
      </c>
      <c r="AD80" s="1">
        <v>39</v>
      </c>
      <c r="AE80" s="1">
        <v>2739</v>
      </c>
    </row>
    <row r="83" s="1" customFormat="1" spans="1:31">
      <c r="A83" s="1" t="s">
        <v>18</v>
      </c>
      <c r="B83" s="1"/>
      <c r="C83" s="3" t="s">
        <v>65</v>
      </c>
      <c r="D83" s="3" t="s">
        <v>66</v>
      </c>
      <c r="E83" s="3" t="s">
        <v>67</v>
      </c>
      <c r="F83" s="3" t="s">
        <v>68</v>
      </c>
      <c r="G83" s="3" t="s">
        <v>69</v>
      </c>
      <c r="H83" s="3" t="s">
        <v>70</v>
      </c>
      <c r="I83" s="3" t="s">
        <v>71</v>
      </c>
      <c r="J83" s="3" t="s">
        <v>72</v>
      </c>
      <c r="K83" s="3" t="s">
        <v>73</v>
      </c>
      <c r="L83" s="3" t="s">
        <v>74</v>
      </c>
      <c r="M83" s="3" t="s">
        <v>75</v>
      </c>
      <c r="N83" s="3" t="s">
        <v>76</v>
      </c>
      <c r="O83" s="3" t="s">
        <v>77</v>
      </c>
      <c r="P83" s="3" t="s">
        <v>78</v>
      </c>
      <c r="Q83" s="3" t="s">
        <v>79</v>
      </c>
      <c r="R83" s="3" t="s">
        <v>80</v>
      </c>
      <c r="S83" s="3" t="s">
        <v>81</v>
      </c>
      <c r="T83" s="3" t="s">
        <v>82</v>
      </c>
      <c r="U83" s="3" t="s">
        <v>83</v>
      </c>
      <c r="V83" s="3" t="s">
        <v>84</v>
      </c>
      <c r="W83" s="3" t="s">
        <v>85</v>
      </c>
      <c r="X83" s="3" t="s">
        <v>86</v>
      </c>
      <c r="Y83" s="3" t="s">
        <v>87</v>
      </c>
      <c r="Z83" s="3" t="s">
        <v>88</v>
      </c>
      <c r="AA83" s="3" t="s">
        <v>89</v>
      </c>
      <c r="AB83" s="3" t="s">
        <v>90</v>
      </c>
      <c r="AC83" s="3" t="s">
        <v>91</v>
      </c>
      <c r="AD83" s="3" t="s">
        <v>92</v>
      </c>
      <c r="AE83" s="3" t="s">
        <v>93</v>
      </c>
    </row>
    <row r="84" s="1" customFormat="1" spans="1:31">
      <c r="A84" s="1" t="s">
        <v>7</v>
      </c>
      <c r="B84" s="1"/>
      <c r="C84" s="1">
        <f>(C70+0.5)/(21748*28/2361487+0.5)</f>
        <v>5.93773577789419</v>
      </c>
      <c r="I84" s="1">
        <f>(I70+0.5)/(21748*569/2361487+0.5)</f>
        <v>0.958158456264758</v>
      </c>
      <c r="J84" s="1">
        <f>(J70+0.5)/(21748*8169/2361487+0.5)</f>
        <v>1.36666121664158</v>
      </c>
      <c r="L84" s="1">
        <f>(L70+0.5)/(21748*4537/2361487+0.5)</f>
        <v>0.626725246504883</v>
      </c>
      <c r="P84" s="1">
        <f>(P70+0.5)/(21748*924/2361487+0.5)</f>
        <v>0.721458022765716</v>
      </c>
      <c r="W84" s="1">
        <f>(W70+0.5)/(21748*1362/2361487+0.5)</f>
        <v>5.32841720681994</v>
      </c>
      <c r="X84" s="1">
        <f>(X70+0.5)/(21748*647/2361487+0.5)</f>
        <v>1.78059504122803</v>
      </c>
      <c r="Y84" s="1">
        <f>(Y70+0.5)/(21748*1651/2361487+0.5)</f>
        <v>1.11430868671583</v>
      </c>
      <c r="Z84" s="1">
        <f>(Z70+0.5)/(21748*1924/2361487+0.5)</f>
        <v>2.66205833221215</v>
      </c>
      <c r="AE84" s="1">
        <f>(AE70+0.5)/(21748*2739/2361487+0.5)</f>
        <v>1.185631499094</v>
      </c>
    </row>
    <row r="85" s="1" customFormat="1" spans="1:31">
      <c r="A85" s="1" t="s">
        <v>8</v>
      </c>
      <c r="B85" s="1"/>
      <c r="C85" s="1"/>
      <c r="D85" s="1">
        <f>(D71+0.5)/(40850*140/2361487+0.5)</f>
        <v>5.98950127638803</v>
      </c>
      <c r="I85" s="1">
        <f>(I71+0.5)/(40850*569/2361487+0.5)</f>
        <v>1.59531230529839</v>
      </c>
      <c r="J85" s="1">
        <f>(J71+0.5)/(40850*8169/2361487+0.5)</f>
        <v>1.87926430050256</v>
      </c>
      <c r="L85" s="1">
        <f>(L71+0.5)/(40850*4537/2361487+0.5)</f>
        <v>0.943241629356813</v>
      </c>
      <c r="P85" s="1">
        <f>(P71+0.5)/(40850*924/2361487+0.5)</f>
        <v>1.24364961815444</v>
      </c>
      <c r="W85" s="1">
        <f>(W71+0.5)/(40850*1362/2361487+0.5)</f>
        <v>1.80794612052335</v>
      </c>
      <c r="X85" s="1">
        <f>(X71+0.5)/(40850*647/2361487+0.5)</f>
        <v>1.15462780751958</v>
      </c>
      <c r="Y85" s="1">
        <f>(Y71+0.5)/(40850*1651/2361487+0.5)</f>
        <v>1.04956364195907</v>
      </c>
      <c r="Z85" s="1">
        <f>(Z71+0.5)/(40850*1924/2361487+0.5)</f>
        <v>2.17570425048185</v>
      </c>
      <c r="AE85" s="1">
        <f>(AE71+0.5)/(40850*2739/2361487+0.5)</f>
        <v>1.26356559330794</v>
      </c>
    </row>
    <row r="86" s="1" customFormat="1" spans="1:31">
      <c r="A86" s="1" t="s">
        <v>9</v>
      </c>
      <c r="B86" s="1"/>
      <c r="C86" s="1"/>
      <c r="D86" s="1">
        <f>(D72+0.5)/(25243*140/2361487+0.5)</f>
        <v>1.75304752825884</v>
      </c>
      <c r="G86" s="1">
        <f>(G72+0.5)/(25243*21/2361487+0.5)</f>
        <v>14.4931842219626</v>
      </c>
      <c r="H86" s="1">
        <f>(H72+0.5)/(25243*20/2361487+0.5)</f>
        <v>10.5073064335711</v>
      </c>
      <c r="I86" s="1">
        <f>(I72+0.5)/(25243*569/2361487+0.5)</f>
        <v>1.8990329104577</v>
      </c>
      <c r="J86" s="1">
        <f>(J72+0.5)/(25243*8169/2361487+0.5)</f>
        <v>1.18990514046909</v>
      </c>
      <c r="L86" s="1">
        <f>(L72+0.5)/(25243*4537/2361487+0.5)</f>
        <v>0.500020000737285</v>
      </c>
      <c r="P86" s="1">
        <f>(P72+0.5)/(25243*924/2361487+0.5)</f>
        <v>0.62638208250301</v>
      </c>
      <c r="W86" s="1">
        <f>(W72+0.5)/(25243*1362/2361487+0.5)</f>
        <v>3.68549572961334</v>
      </c>
      <c r="X86" s="1">
        <f>(X72+0.5)/(25243*647/2361487+0.5)</f>
        <v>0.606789986926542</v>
      </c>
      <c r="Y86" s="1">
        <f>(Y72+0.5)/(25243*1651/2361487+0.5)</f>
        <v>1.01938012998199</v>
      </c>
      <c r="Z86" s="1">
        <f>(Z72+0.5)/(25243*1924/2361487+0.5)</f>
        <v>0.878171334803354</v>
      </c>
      <c r="AE86" s="1">
        <f>(AE72+0.5)/(252438*2739/2361487+0.5)</f>
        <v>0.0937627815502224</v>
      </c>
    </row>
    <row r="87" s="1" customFormat="1" spans="1:31">
      <c r="A87" s="1" t="s">
        <v>10</v>
      </c>
      <c r="B87" s="1"/>
      <c r="C87" s="1"/>
      <c r="D87" s="1">
        <f>(D73+0.5)/(25397*140/2361487+0.5)</f>
        <v>2.74224902500853</v>
      </c>
      <c r="I87" s="1">
        <f>(I73+0.5)/(25397*569/2361487+0.5)</f>
        <v>6.72265962044345</v>
      </c>
      <c r="J87" s="1">
        <f>(J73+0.5)/(25397*8169/2361487+0.5)</f>
        <v>0.956370784746744</v>
      </c>
      <c r="L87" s="1">
        <f>(L73+0.5)/(25397*4537/2361487+0.5)</f>
        <v>0.76074302963013</v>
      </c>
      <c r="P87" s="1">
        <f>(P73+0.5)/(25397*924/2361487+0.5)</f>
        <v>0.431145579595945</v>
      </c>
      <c r="W87" s="1">
        <f>(W73+0.5)/(25397*1362/2361487+0.5)</f>
        <v>1.35332711841557</v>
      </c>
      <c r="X87" s="1">
        <f>(X73+0.5)/(25397*647/2361487+0.5)</f>
        <v>1.54191298531833</v>
      </c>
      <c r="Y87" s="1">
        <f>(Y73+0.5)/(25397*1651/2361487+0.5)</f>
        <v>1.39680481567773</v>
      </c>
      <c r="Z87" s="1">
        <f>(Z73+0.5)/(25397*1924/2361487+0.5)</f>
        <v>0.542658268140032</v>
      </c>
      <c r="AE87" s="1">
        <f>(AE73+0.5)/(25397*2739/2361487+0.5)</f>
        <v>0.517407843149256</v>
      </c>
    </row>
    <row r="88" s="1" customFormat="1" spans="1:31">
      <c r="A88" s="1" t="s">
        <v>11</v>
      </c>
      <c r="B88" s="1"/>
      <c r="C88" s="1"/>
      <c r="D88" s="1"/>
      <c r="E88" s="1"/>
      <c r="F88" s="1"/>
      <c r="G88" s="1"/>
      <c r="H88" s="1"/>
      <c r="I88" s="1"/>
      <c r="J88" s="1">
        <f>(J74+0.5)/(1940*8169/2361487+0.5)</f>
        <v>2.56553683336393</v>
      </c>
      <c r="W88" s="1">
        <f>(W74+0.5)/(1940*1362/2361487+0.5)</f>
        <v>1.54425352080624</v>
      </c>
      <c r="Z88" s="1">
        <f>(Z74+0.5)/(1940*1924/2361487+0.5)</f>
        <v>3.12410285666253</v>
      </c>
      <c r="AE88" s="1">
        <f>(AE74+0.5)/(1940*2739/2361487+0.5)</f>
        <v>2.36352199243549</v>
      </c>
    </row>
    <row r="89" s="1" customFormat="1" spans="1:25">
      <c r="A89" s="1" t="s">
        <v>12</v>
      </c>
      <c r="B89" s="1"/>
      <c r="C89" s="1"/>
      <c r="D89" s="1"/>
      <c r="E89" s="1"/>
      <c r="F89" s="1"/>
      <c r="G89" s="1"/>
      <c r="H89" s="1"/>
      <c r="I89" s="1"/>
      <c r="J89" s="1">
        <f>(J75+0.5)/(7277*8169/2361487+0.5)</f>
        <v>0.837454301070192</v>
      </c>
      <c r="L89" s="1">
        <f>(L75+0.5)/(7277*4537/2361487+0.5)</f>
        <v>0.794148712766375</v>
      </c>
      <c r="W89" s="1">
        <f>(W75+0.5)/(7277*1362/2361487+0.5)</f>
        <v>2.23544666243089</v>
      </c>
      <c r="Y89" s="1">
        <f>(Y75+0.5)/(7277*1651/2361487+0.5)</f>
        <v>1.7001899686705</v>
      </c>
    </row>
    <row r="90" s="1" customFormat="1" spans="1:31">
      <c r="A90" s="1" t="s">
        <v>13</v>
      </c>
      <c r="B90" s="1"/>
      <c r="C90" s="1"/>
      <c r="D90" s="1"/>
      <c r="E90" s="1"/>
      <c r="F90" s="1"/>
      <c r="G90" s="1"/>
      <c r="H90" s="1"/>
      <c r="I90" s="1"/>
      <c r="J90" s="1">
        <f>(J76+0.5)/(3349*8169/2361487+0.5)</f>
        <v>1.53081506848703</v>
      </c>
      <c r="L90" s="1">
        <f>(L76+0.5)/(3349*4537/2361487+0.5)</f>
        <v>1.08158676223949</v>
      </c>
      <c r="W90" s="1">
        <f>(W76+0.5)/(3349*1362/2361487+0.5)</f>
        <v>2.26192862292184</v>
      </c>
      <c r="X90" s="1">
        <f>(X76+0.5)/(3349*647/2361487+0.5)</f>
        <v>3.1744716615587</v>
      </c>
      <c r="AE90" s="1">
        <f>(AE76+0.5)/(3349*2739/2361487+0.5)</f>
        <v>2.6229483029398</v>
      </c>
    </row>
    <row r="91" s="1" customFormat="1" spans="1:31">
      <c r="A91" s="1" t="s">
        <v>14</v>
      </c>
      <c r="B91" s="1"/>
      <c r="C91" s="1"/>
      <c r="D91" s="1">
        <f>(D77+0.5)/(13923*140/2361487+0.5)</f>
        <v>7.1675361389997</v>
      </c>
      <c r="I91" s="1">
        <f>(I77+0.5)/(13923*569/2361487+0.5)</f>
        <v>5.05870021747392</v>
      </c>
      <c r="J91" s="1">
        <f>(J77+0.5)/(13923*8169/2361487+0.5)</f>
        <v>1.44873060732782</v>
      </c>
      <c r="L91" s="1">
        <f>(L77+0.5)/(13923*4537/2361487+0.5)</f>
        <v>0.568817294776566</v>
      </c>
      <c r="P91" s="1">
        <f>(P77+0.5)/(13923*924/2361487+0.5)</f>
        <v>0.756585329543343</v>
      </c>
      <c r="W91" s="1">
        <f>(W77+0.5)/(13923*1362/2361487+0.5)</f>
        <v>2.16877445021176</v>
      </c>
      <c r="Y91" s="1">
        <f>(Y77+0.5)/(13923*1651/2361487+0.5)</f>
        <v>3.37109377335576</v>
      </c>
      <c r="Z91" s="1">
        <f>(Z77+0.5)/(13923*1924/2361487+0.5)</f>
        <v>0.548817887548197</v>
      </c>
      <c r="AE91" s="1">
        <f>(AE77+0.5)/(13923*2739/2361487+0.5)</f>
        <v>0.570612918729284</v>
      </c>
    </row>
    <row r="92" s="1" customFormat="1" spans="1:31">
      <c r="A92" s="1" t="s">
        <v>15</v>
      </c>
      <c r="B92" s="1"/>
      <c r="C92" s="1"/>
      <c r="D92" s="1"/>
      <c r="E92" s="1"/>
      <c r="F92" s="1"/>
      <c r="G92" s="1"/>
      <c r="H92" s="1"/>
      <c r="I92" s="1"/>
      <c r="J92" s="1">
        <f>(J78+0.5)/(2733*8169/2361487+0.5)</f>
        <v>1.75805886260851</v>
      </c>
      <c r="W92" s="1">
        <f>(W78+0.5)/(2733*1362/2361487+0.5)</f>
        <v>11.3183625344795</v>
      </c>
      <c r="Y92" s="1">
        <f>(Y78+0.5)/(2733*1651/2361487+0.5)</f>
        <v>1.45183755665913</v>
      </c>
      <c r="Z92" s="1">
        <f>(Z78+0.5)/(2733*1924/2361487+0.5)</f>
        <v>2.01709999890512</v>
      </c>
      <c r="AE92" s="1">
        <f>(AE78+0.5)/(2733*2739/2361487+0.5)</f>
        <v>1.77116351420576</v>
      </c>
    </row>
    <row r="93" s="1" customFormat="1" spans="1:31">
      <c r="A93" s="1" t="s">
        <v>16</v>
      </c>
      <c r="B93" s="1"/>
      <c r="C93" s="1"/>
      <c r="D93" s="1"/>
      <c r="E93" s="1"/>
      <c r="F93" s="1"/>
      <c r="G93" s="1"/>
      <c r="H93" s="1"/>
      <c r="I93" s="1">
        <f>(I79+0.5)/(25243*569/2361487+0.5)</f>
        <v>0.987497113438002</v>
      </c>
      <c r="J93" s="1">
        <f>(J79+0.5)/(10967*8169/2361487+0.5)</f>
        <v>1.59999101136385</v>
      </c>
      <c r="L93" s="1">
        <f>(L79+0.5)/(10967*4537/2361487+0.5)</f>
        <v>0.811300095130313</v>
      </c>
      <c r="P93" s="1">
        <f>(P79+0.5)/(10967*924/2361487+0.5)</f>
        <v>0.730512707800423</v>
      </c>
      <c r="W93" s="1">
        <f>(W79+0.5)/(10967*1362/2361487+0.5)</f>
        <v>7.54548383549303</v>
      </c>
      <c r="Y93" s="1">
        <f>(Y79+0.5)/(10967*1651/2361487+0.5)</f>
        <v>2.99972261483169</v>
      </c>
      <c r="Z93" s="1">
        <f>(Z79+0.5)/(10967*1924/2361487+0.5)</f>
        <v>4.61036421136398</v>
      </c>
      <c r="AE93" s="1">
        <f>(AE79+0.5)/(10967*2739/2361487+0.5)</f>
        <v>1.0968054866858</v>
      </c>
    </row>
    <row r="95" s="1" customFormat="1" spans="1:31">
      <c r="A95" s="1" t="s">
        <v>94</v>
      </c>
      <c r="B95" s="1"/>
      <c r="C95" s="3" t="s">
        <v>65</v>
      </c>
      <c r="D95" s="3" t="s">
        <v>66</v>
      </c>
      <c r="E95" s="3" t="s">
        <v>67</v>
      </c>
      <c r="F95" s="3" t="s">
        <v>68</v>
      </c>
      <c r="G95" s="3" t="s">
        <v>69</v>
      </c>
      <c r="H95" s="3" t="s">
        <v>70</v>
      </c>
      <c r="I95" s="3" t="s">
        <v>71</v>
      </c>
      <c r="J95" s="3" t="s">
        <v>72</v>
      </c>
      <c r="K95" s="3" t="s">
        <v>73</v>
      </c>
      <c r="L95" s="3" t="s">
        <v>74</v>
      </c>
      <c r="M95" s="3" t="s">
        <v>75</v>
      </c>
      <c r="N95" s="3" t="s">
        <v>76</v>
      </c>
      <c r="O95" s="3" t="s">
        <v>77</v>
      </c>
      <c r="P95" s="3" t="s">
        <v>78</v>
      </c>
      <c r="Q95" s="3" t="s">
        <v>79</v>
      </c>
      <c r="R95" s="3" t="s">
        <v>80</v>
      </c>
      <c r="S95" s="3" t="s">
        <v>81</v>
      </c>
      <c r="T95" s="3" t="s">
        <v>82</v>
      </c>
      <c r="U95" s="3" t="s">
        <v>83</v>
      </c>
      <c r="V95" s="3" t="s">
        <v>84</v>
      </c>
      <c r="W95" s="3" t="s">
        <v>85</v>
      </c>
      <c r="X95" s="3" t="s">
        <v>86</v>
      </c>
      <c r="Y95" s="3" t="s">
        <v>87</v>
      </c>
      <c r="Z95" s="3" t="s">
        <v>88</v>
      </c>
      <c r="AA95" s="3" t="s">
        <v>89</v>
      </c>
      <c r="AB95" s="3" t="s">
        <v>90</v>
      </c>
      <c r="AC95" s="3" t="s">
        <v>91</v>
      </c>
      <c r="AD95" s="3" t="s">
        <v>92</v>
      </c>
      <c r="AE95" s="3" t="s">
        <v>93</v>
      </c>
    </row>
    <row r="96" s="1" customFormat="1" spans="1:31">
      <c r="A96" s="1" t="s">
        <v>7</v>
      </c>
      <c r="B96" s="1"/>
      <c r="C96" s="1">
        <f t="shared" ref="C96:AE96" si="26">LOG(C84,2)</f>
        <v>2.56991289655749</v>
      </c>
      <c r="D96" s="1" t="e">
        <f t="shared" si="26"/>
        <v>#NUM!</v>
      </c>
      <c r="E96" s="1" t="e">
        <f t="shared" si="26"/>
        <v>#NUM!</v>
      </c>
      <c r="F96" s="1" t="e">
        <f t="shared" si="26"/>
        <v>#NUM!</v>
      </c>
      <c r="G96" s="1" t="e">
        <f t="shared" si="26"/>
        <v>#NUM!</v>
      </c>
      <c r="H96" s="1" t="e">
        <f t="shared" si="26"/>
        <v>#NUM!</v>
      </c>
      <c r="I96" s="1">
        <f t="shared" si="26"/>
        <v>-0.0616638322833943</v>
      </c>
      <c r="J96" s="1">
        <f t="shared" si="26"/>
        <v>0.450655655785294</v>
      </c>
      <c r="K96" s="1" t="e">
        <f t="shared" si="26"/>
        <v>#NUM!</v>
      </c>
      <c r="L96" s="1">
        <f t="shared" si="26"/>
        <v>-0.674094984202916</v>
      </c>
      <c r="M96" s="1" t="e">
        <f t="shared" si="26"/>
        <v>#NUM!</v>
      </c>
      <c r="N96" s="1" t="e">
        <f t="shared" si="26"/>
        <v>#NUM!</v>
      </c>
      <c r="O96" s="1" t="e">
        <f t="shared" si="26"/>
        <v>#NUM!</v>
      </c>
      <c r="P96" s="1">
        <f t="shared" si="26"/>
        <v>-0.471012639338616</v>
      </c>
      <c r="Q96" s="1" t="e">
        <f t="shared" si="26"/>
        <v>#NUM!</v>
      </c>
      <c r="R96" s="1" t="e">
        <f t="shared" si="26"/>
        <v>#NUM!</v>
      </c>
      <c r="S96" s="1" t="e">
        <f t="shared" si="26"/>
        <v>#NUM!</v>
      </c>
      <c r="T96" s="1" t="e">
        <f t="shared" si="26"/>
        <v>#NUM!</v>
      </c>
      <c r="U96" s="1" t="e">
        <f t="shared" si="26"/>
        <v>#NUM!</v>
      </c>
      <c r="V96" s="1" t="e">
        <f t="shared" si="26"/>
        <v>#NUM!</v>
      </c>
      <c r="W96" s="1">
        <f t="shared" si="26"/>
        <v>2.41370704762042</v>
      </c>
      <c r="X96" s="1">
        <f t="shared" si="26"/>
        <v>0.832359443198277</v>
      </c>
      <c r="Y96" s="1">
        <f t="shared" si="26"/>
        <v>0.156148944620563</v>
      </c>
      <c r="Z96" s="1">
        <f t="shared" si="26"/>
        <v>1.41254218457481</v>
      </c>
      <c r="AA96" s="1" t="e">
        <f t="shared" si="26"/>
        <v>#NUM!</v>
      </c>
      <c r="AB96" s="1" t="e">
        <f t="shared" si="26"/>
        <v>#NUM!</v>
      </c>
      <c r="AC96" s="1" t="e">
        <f t="shared" si="26"/>
        <v>#NUM!</v>
      </c>
      <c r="AD96" s="1" t="e">
        <f t="shared" si="26"/>
        <v>#NUM!</v>
      </c>
      <c r="AE96" s="1">
        <f t="shared" si="26"/>
        <v>0.245655681858139</v>
      </c>
    </row>
    <row r="97" s="1" customFormat="1" spans="1:31">
      <c r="A97" s="1" t="s">
        <v>8</v>
      </c>
      <c r="B97" s="1"/>
      <c r="C97" s="1" t="e">
        <f t="shared" ref="C97:AE97" si="27">LOG(C85,2)</f>
        <v>#NUM!</v>
      </c>
      <c r="D97" s="1">
        <f t="shared" si="27"/>
        <v>2.58243588013656</v>
      </c>
      <c r="E97" s="1" t="e">
        <f t="shared" si="27"/>
        <v>#NUM!</v>
      </c>
      <c r="F97" s="1" t="e">
        <f t="shared" si="27"/>
        <v>#NUM!</v>
      </c>
      <c r="G97" s="1" t="e">
        <f t="shared" si="27"/>
        <v>#NUM!</v>
      </c>
      <c r="H97" s="1" t="e">
        <f t="shared" si="27"/>
        <v>#NUM!</v>
      </c>
      <c r="I97" s="1">
        <f t="shared" si="27"/>
        <v>0.673838879915178</v>
      </c>
      <c r="J97" s="1">
        <f t="shared" si="27"/>
        <v>0.910167982250058</v>
      </c>
      <c r="K97" s="1" t="e">
        <f t="shared" si="27"/>
        <v>#NUM!</v>
      </c>
      <c r="L97" s="1">
        <f t="shared" si="27"/>
        <v>-0.0843007027557666</v>
      </c>
      <c r="M97" s="1" t="e">
        <f t="shared" si="27"/>
        <v>#NUM!</v>
      </c>
      <c r="N97" s="1" t="e">
        <f t="shared" si="27"/>
        <v>#NUM!</v>
      </c>
      <c r="O97" s="1" t="e">
        <f t="shared" si="27"/>
        <v>#NUM!</v>
      </c>
      <c r="P97" s="1">
        <f t="shared" si="27"/>
        <v>0.314580082452063</v>
      </c>
      <c r="Q97" s="1" t="e">
        <f t="shared" si="27"/>
        <v>#NUM!</v>
      </c>
      <c r="R97" s="1" t="e">
        <f t="shared" si="27"/>
        <v>#NUM!</v>
      </c>
      <c r="S97" s="1" t="e">
        <f t="shared" si="27"/>
        <v>#NUM!</v>
      </c>
      <c r="T97" s="1" t="e">
        <f t="shared" si="27"/>
        <v>#NUM!</v>
      </c>
      <c r="U97" s="1" t="e">
        <f t="shared" si="27"/>
        <v>#NUM!</v>
      </c>
      <c r="V97" s="1" t="e">
        <f t="shared" si="27"/>
        <v>#NUM!</v>
      </c>
      <c r="W97" s="1">
        <f t="shared" si="27"/>
        <v>0.854351683941143</v>
      </c>
      <c r="X97" s="1">
        <f t="shared" si="27"/>
        <v>0.207427876073699</v>
      </c>
      <c r="Y97" s="1">
        <f t="shared" si="27"/>
        <v>0.0697896493885133</v>
      </c>
      <c r="Z97" s="1">
        <f t="shared" si="27"/>
        <v>1.12148246037432</v>
      </c>
      <c r="AA97" s="1" t="e">
        <f t="shared" si="27"/>
        <v>#NUM!</v>
      </c>
      <c r="AB97" s="1" t="e">
        <f t="shared" si="27"/>
        <v>#NUM!</v>
      </c>
      <c r="AC97" s="1" t="e">
        <f t="shared" si="27"/>
        <v>#NUM!</v>
      </c>
      <c r="AD97" s="1" t="e">
        <f t="shared" si="27"/>
        <v>#NUM!</v>
      </c>
      <c r="AE97" s="1">
        <f t="shared" si="27"/>
        <v>0.33750055837357</v>
      </c>
    </row>
    <row r="98" s="1" customFormat="1" spans="1:31">
      <c r="A98" s="1" t="s">
        <v>9</v>
      </c>
      <c r="B98" s="1"/>
      <c r="C98" s="1" t="e">
        <f t="shared" ref="C98:AE98" si="28">LOG(C86,2)</f>
        <v>#NUM!</v>
      </c>
      <c r="D98" s="1">
        <f t="shared" si="28"/>
        <v>0.80986511067464</v>
      </c>
      <c r="E98" s="1" t="e">
        <f t="shared" si="28"/>
        <v>#NUM!</v>
      </c>
      <c r="F98" s="1" t="e">
        <f t="shared" si="28"/>
        <v>#NUM!</v>
      </c>
      <c r="G98" s="1">
        <f t="shared" si="28"/>
        <v>3.85730269161457</v>
      </c>
      <c r="H98" s="1">
        <f t="shared" si="28"/>
        <v>3.39332097418008</v>
      </c>
      <c r="I98" s="1">
        <f t="shared" si="28"/>
        <v>0.925264907774243</v>
      </c>
      <c r="J98" s="1">
        <f t="shared" si="28"/>
        <v>0.250846566113321</v>
      </c>
      <c r="K98" s="1" t="e">
        <f t="shared" si="28"/>
        <v>#NUM!</v>
      </c>
      <c r="L98" s="1">
        <f t="shared" si="28"/>
        <v>-0.999942291225218</v>
      </c>
      <c r="M98" s="1" t="e">
        <f t="shared" si="28"/>
        <v>#NUM!</v>
      </c>
      <c r="N98" s="1" t="e">
        <f t="shared" si="28"/>
        <v>#NUM!</v>
      </c>
      <c r="O98" s="1" t="e">
        <f t="shared" si="28"/>
        <v>#NUM!</v>
      </c>
      <c r="P98" s="1">
        <f t="shared" si="28"/>
        <v>-0.674885149585608</v>
      </c>
      <c r="Q98" s="1" t="e">
        <f t="shared" si="28"/>
        <v>#NUM!</v>
      </c>
      <c r="R98" s="1" t="e">
        <f t="shared" si="28"/>
        <v>#NUM!</v>
      </c>
      <c r="S98" s="1" t="e">
        <f t="shared" si="28"/>
        <v>#NUM!</v>
      </c>
      <c r="T98" s="1" t="e">
        <f t="shared" si="28"/>
        <v>#NUM!</v>
      </c>
      <c r="U98" s="1" t="e">
        <f t="shared" si="28"/>
        <v>#NUM!</v>
      </c>
      <c r="V98" s="1" t="e">
        <f t="shared" si="28"/>
        <v>#NUM!</v>
      </c>
      <c r="W98" s="1">
        <f t="shared" si="28"/>
        <v>1.88185868677038</v>
      </c>
      <c r="X98" s="1">
        <f t="shared" si="28"/>
        <v>-0.7207308160437</v>
      </c>
      <c r="Y98" s="1">
        <f t="shared" si="28"/>
        <v>0.0276921372495645</v>
      </c>
      <c r="Z98" s="1">
        <f t="shared" si="28"/>
        <v>-0.187425651987466</v>
      </c>
      <c r="AA98" s="1" t="e">
        <f t="shared" si="28"/>
        <v>#NUM!</v>
      </c>
      <c r="AB98" s="1" t="e">
        <f t="shared" si="28"/>
        <v>#NUM!</v>
      </c>
      <c r="AC98" s="1" t="e">
        <f t="shared" si="28"/>
        <v>#NUM!</v>
      </c>
      <c r="AD98" s="1" t="e">
        <f t="shared" si="28"/>
        <v>#NUM!</v>
      </c>
      <c r="AE98" s="1">
        <f t="shared" si="28"/>
        <v>-3.41484082064183</v>
      </c>
    </row>
    <row r="99" s="1" customFormat="1" spans="1:31">
      <c r="A99" s="1" t="s">
        <v>10</v>
      </c>
      <c r="B99" s="1"/>
      <c r="C99" s="1" t="e">
        <f t="shared" ref="C99:AE99" si="29">LOG(C87,2)</f>
        <v>#NUM!</v>
      </c>
      <c r="D99" s="1">
        <f t="shared" si="29"/>
        <v>1.45535958892595</v>
      </c>
      <c r="E99" s="1" t="e">
        <f t="shared" si="29"/>
        <v>#NUM!</v>
      </c>
      <c r="F99" s="1" t="e">
        <f t="shared" si="29"/>
        <v>#NUM!</v>
      </c>
      <c r="G99" s="1" t="e">
        <f t="shared" si="29"/>
        <v>#NUM!</v>
      </c>
      <c r="H99" s="1" t="e">
        <f t="shared" si="29"/>
        <v>#NUM!</v>
      </c>
      <c r="I99" s="1">
        <f t="shared" si="29"/>
        <v>2.74903210534371</v>
      </c>
      <c r="J99" s="1">
        <f t="shared" si="29"/>
        <v>-0.0643580356709088</v>
      </c>
      <c r="K99" s="1" t="e">
        <f t="shared" si="29"/>
        <v>#NUM!</v>
      </c>
      <c r="L99" s="1">
        <f t="shared" si="29"/>
        <v>-0.39451888489756</v>
      </c>
      <c r="M99" s="1" t="e">
        <f t="shared" si="29"/>
        <v>#NUM!</v>
      </c>
      <c r="N99" s="1" t="e">
        <f t="shared" si="29"/>
        <v>#NUM!</v>
      </c>
      <c r="O99" s="1" t="e">
        <f t="shared" si="29"/>
        <v>#NUM!</v>
      </c>
      <c r="P99" s="1">
        <f t="shared" si="29"/>
        <v>-1.21375300631886</v>
      </c>
      <c r="Q99" s="1" t="e">
        <f t="shared" si="29"/>
        <v>#NUM!</v>
      </c>
      <c r="R99" s="1" t="e">
        <f t="shared" si="29"/>
        <v>#NUM!</v>
      </c>
      <c r="S99" s="1" t="e">
        <f t="shared" si="29"/>
        <v>#NUM!</v>
      </c>
      <c r="T99" s="1" t="e">
        <f t="shared" si="29"/>
        <v>#NUM!</v>
      </c>
      <c r="U99" s="1" t="e">
        <f t="shared" si="29"/>
        <v>#NUM!</v>
      </c>
      <c r="V99" s="1" t="e">
        <f t="shared" si="29"/>
        <v>#NUM!</v>
      </c>
      <c r="W99" s="1">
        <f t="shared" si="29"/>
        <v>0.436510601380212</v>
      </c>
      <c r="X99" s="1">
        <f t="shared" si="29"/>
        <v>0.624721352028665</v>
      </c>
      <c r="Y99" s="1">
        <f t="shared" si="29"/>
        <v>0.482130437979191</v>
      </c>
      <c r="Z99" s="1">
        <f t="shared" si="29"/>
        <v>-0.881884129015929</v>
      </c>
      <c r="AA99" s="1" t="e">
        <f t="shared" si="29"/>
        <v>#NUM!</v>
      </c>
      <c r="AB99" s="1" t="e">
        <f t="shared" si="29"/>
        <v>#NUM!</v>
      </c>
      <c r="AC99" s="1" t="e">
        <f t="shared" si="29"/>
        <v>#NUM!</v>
      </c>
      <c r="AD99" s="1" t="e">
        <f t="shared" si="29"/>
        <v>#NUM!</v>
      </c>
      <c r="AE99" s="1">
        <f t="shared" si="29"/>
        <v>-0.950626171543535</v>
      </c>
    </row>
    <row r="100" s="1" customFormat="1" spans="1:31">
      <c r="A100" s="1" t="s">
        <v>11</v>
      </c>
      <c r="B100" s="1"/>
      <c r="C100" s="1" t="e">
        <f t="shared" ref="C100:AE100" si="30">LOG(C88,2)</f>
        <v>#NUM!</v>
      </c>
      <c r="D100" s="1" t="e">
        <f t="shared" si="30"/>
        <v>#NUM!</v>
      </c>
      <c r="E100" s="1" t="e">
        <f t="shared" si="30"/>
        <v>#NUM!</v>
      </c>
      <c r="F100" s="1" t="e">
        <f t="shared" si="30"/>
        <v>#NUM!</v>
      </c>
      <c r="G100" s="1" t="e">
        <f t="shared" si="30"/>
        <v>#NUM!</v>
      </c>
      <c r="H100" s="1" t="e">
        <f t="shared" si="30"/>
        <v>#NUM!</v>
      </c>
      <c r="I100" s="1" t="e">
        <f t="shared" si="30"/>
        <v>#NUM!</v>
      </c>
      <c r="J100" s="1">
        <f t="shared" si="30"/>
        <v>1.35926073842351</v>
      </c>
      <c r="K100" s="1" t="e">
        <f t="shared" si="30"/>
        <v>#NUM!</v>
      </c>
      <c r="L100" s="1" t="e">
        <f t="shared" si="30"/>
        <v>#NUM!</v>
      </c>
      <c r="M100" s="1" t="e">
        <f t="shared" si="30"/>
        <v>#NUM!</v>
      </c>
      <c r="N100" s="1" t="e">
        <f t="shared" si="30"/>
        <v>#NUM!</v>
      </c>
      <c r="O100" s="1" t="e">
        <f t="shared" si="30"/>
        <v>#NUM!</v>
      </c>
      <c r="P100" s="1" t="e">
        <f t="shared" si="30"/>
        <v>#NUM!</v>
      </c>
      <c r="Q100" s="1" t="e">
        <f t="shared" si="30"/>
        <v>#NUM!</v>
      </c>
      <c r="R100" s="1" t="e">
        <f t="shared" si="30"/>
        <v>#NUM!</v>
      </c>
      <c r="S100" s="1" t="e">
        <f t="shared" si="30"/>
        <v>#NUM!</v>
      </c>
      <c r="T100" s="1" t="e">
        <f t="shared" si="30"/>
        <v>#NUM!</v>
      </c>
      <c r="U100" s="1" t="e">
        <f t="shared" si="30"/>
        <v>#NUM!</v>
      </c>
      <c r="V100" s="1" t="e">
        <f t="shared" si="30"/>
        <v>#NUM!</v>
      </c>
      <c r="W100" s="1">
        <f t="shared" si="30"/>
        <v>0.626909619954016</v>
      </c>
      <c r="X100" s="1" t="e">
        <f t="shared" si="30"/>
        <v>#NUM!</v>
      </c>
      <c r="Y100" s="1" t="e">
        <f t="shared" si="30"/>
        <v>#NUM!</v>
      </c>
      <c r="Z100" s="1">
        <f t="shared" si="30"/>
        <v>1.64344195295305</v>
      </c>
      <c r="AA100" s="1" t="e">
        <f t="shared" si="30"/>
        <v>#NUM!</v>
      </c>
      <c r="AB100" s="1" t="e">
        <f t="shared" si="30"/>
        <v>#NUM!</v>
      </c>
      <c r="AC100" s="1" t="e">
        <f t="shared" si="30"/>
        <v>#NUM!</v>
      </c>
      <c r="AD100" s="1" t="e">
        <f t="shared" si="30"/>
        <v>#NUM!</v>
      </c>
      <c r="AE100" s="1">
        <f t="shared" si="30"/>
        <v>1.24093828895296</v>
      </c>
    </row>
    <row r="101" s="1" customFormat="1" spans="1:31">
      <c r="A101" s="1" t="s">
        <v>12</v>
      </c>
      <c r="B101" s="1"/>
      <c r="C101" s="1" t="e">
        <f t="shared" ref="C101:AE101" si="31">LOG(C89,2)</f>
        <v>#NUM!</v>
      </c>
      <c r="D101" s="1" t="e">
        <f t="shared" si="31"/>
        <v>#NUM!</v>
      </c>
      <c r="E101" s="1" t="e">
        <f t="shared" si="31"/>
        <v>#NUM!</v>
      </c>
      <c r="F101" s="1" t="e">
        <f t="shared" si="31"/>
        <v>#NUM!</v>
      </c>
      <c r="G101" s="1" t="e">
        <f t="shared" si="31"/>
        <v>#NUM!</v>
      </c>
      <c r="H101" s="1" t="e">
        <f t="shared" si="31"/>
        <v>#NUM!</v>
      </c>
      <c r="I101" s="1" t="e">
        <f t="shared" si="31"/>
        <v>#NUM!</v>
      </c>
      <c r="J101" s="1">
        <f t="shared" si="31"/>
        <v>-0.255917628511056</v>
      </c>
      <c r="K101" s="1" t="e">
        <f t="shared" si="31"/>
        <v>#NUM!</v>
      </c>
      <c r="L101" s="1">
        <f t="shared" si="31"/>
        <v>-0.332518902278328</v>
      </c>
      <c r="M101" s="1" t="e">
        <f t="shared" si="31"/>
        <v>#NUM!</v>
      </c>
      <c r="N101" s="1" t="e">
        <f t="shared" si="31"/>
        <v>#NUM!</v>
      </c>
      <c r="O101" s="1" t="e">
        <f t="shared" si="31"/>
        <v>#NUM!</v>
      </c>
      <c r="P101" s="1" t="e">
        <f t="shared" si="31"/>
        <v>#NUM!</v>
      </c>
      <c r="Q101" s="1" t="e">
        <f t="shared" si="31"/>
        <v>#NUM!</v>
      </c>
      <c r="R101" s="1" t="e">
        <f t="shared" si="31"/>
        <v>#NUM!</v>
      </c>
      <c r="S101" s="1" t="e">
        <f t="shared" si="31"/>
        <v>#NUM!</v>
      </c>
      <c r="T101" s="1" t="e">
        <f t="shared" si="31"/>
        <v>#NUM!</v>
      </c>
      <c r="U101" s="1" t="e">
        <f t="shared" si="31"/>
        <v>#NUM!</v>
      </c>
      <c r="V101" s="1" t="e">
        <f t="shared" si="31"/>
        <v>#NUM!</v>
      </c>
      <c r="W101" s="1">
        <f t="shared" si="31"/>
        <v>1.16056312370903</v>
      </c>
      <c r="X101" s="1" t="e">
        <f t="shared" si="31"/>
        <v>#NUM!</v>
      </c>
      <c r="Y101" s="1">
        <f t="shared" si="31"/>
        <v>0.765695953155339</v>
      </c>
      <c r="Z101" s="1" t="e">
        <f t="shared" si="31"/>
        <v>#NUM!</v>
      </c>
      <c r="AA101" s="1" t="e">
        <f t="shared" si="31"/>
        <v>#NUM!</v>
      </c>
      <c r="AB101" s="1" t="e">
        <f t="shared" si="31"/>
        <v>#NUM!</v>
      </c>
      <c r="AC101" s="1" t="e">
        <f t="shared" si="31"/>
        <v>#NUM!</v>
      </c>
      <c r="AD101" s="1" t="e">
        <f t="shared" si="31"/>
        <v>#NUM!</v>
      </c>
      <c r="AE101" s="1" t="e">
        <f t="shared" si="31"/>
        <v>#NUM!</v>
      </c>
    </row>
    <row r="102" s="1" customFormat="1" spans="1:31">
      <c r="A102" s="1" t="s">
        <v>13</v>
      </c>
      <c r="B102" s="1"/>
      <c r="C102" s="1" t="e">
        <f t="shared" ref="C102:AE102" si="32">LOG(C90,2)</f>
        <v>#NUM!</v>
      </c>
      <c r="D102" s="1" t="e">
        <f t="shared" si="32"/>
        <v>#NUM!</v>
      </c>
      <c r="E102" s="1" t="e">
        <f t="shared" si="32"/>
        <v>#NUM!</v>
      </c>
      <c r="F102" s="1" t="e">
        <f t="shared" si="32"/>
        <v>#NUM!</v>
      </c>
      <c r="G102" s="1" t="e">
        <f t="shared" si="32"/>
        <v>#NUM!</v>
      </c>
      <c r="H102" s="1" t="e">
        <f t="shared" si="32"/>
        <v>#NUM!</v>
      </c>
      <c r="I102" s="1" t="e">
        <f t="shared" si="32"/>
        <v>#NUM!</v>
      </c>
      <c r="J102" s="1">
        <f t="shared" si="32"/>
        <v>0.614300007271723</v>
      </c>
      <c r="K102" s="1" t="e">
        <f t="shared" si="32"/>
        <v>#NUM!</v>
      </c>
      <c r="L102" s="1">
        <f t="shared" si="32"/>
        <v>0.113149399402569</v>
      </c>
      <c r="M102" s="1" t="e">
        <f t="shared" si="32"/>
        <v>#NUM!</v>
      </c>
      <c r="N102" s="1" t="e">
        <f t="shared" si="32"/>
        <v>#NUM!</v>
      </c>
      <c r="O102" s="1" t="e">
        <f t="shared" si="32"/>
        <v>#NUM!</v>
      </c>
      <c r="P102" s="1" t="e">
        <f t="shared" si="32"/>
        <v>#NUM!</v>
      </c>
      <c r="Q102" s="1" t="e">
        <f t="shared" si="32"/>
        <v>#NUM!</v>
      </c>
      <c r="R102" s="1" t="e">
        <f t="shared" si="32"/>
        <v>#NUM!</v>
      </c>
      <c r="S102" s="1" t="e">
        <f t="shared" si="32"/>
        <v>#NUM!</v>
      </c>
      <c r="T102" s="1" t="e">
        <f t="shared" si="32"/>
        <v>#NUM!</v>
      </c>
      <c r="U102" s="1" t="e">
        <f t="shared" si="32"/>
        <v>#NUM!</v>
      </c>
      <c r="V102" s="1" t="e">
        <f t="shared" si="32"/>
        <v>#NUM!</v>
      </c>
      <c r="W102" s="1">
        <f t="shared" si="32"/>
        <v>1.1775534045791</v>
      </c>
      <c r="X102" s="1">
        <f t="shared" si="32"/>
        <v>1.66651649907344</v>
      </c>
      <c r="Y102" s="1" t="e">
        <f t="shared" si="32"/>
        <v>#NUM!</v>
      </c>
      <c r="Z102" s="1" t="e">
        <f t="shared" si="32"/>
        <v>#NUM!</v>
      </c>
      <c r="AA102" s="1" t="e">
        <f t="shared" si="32"/>
        <v>#NUM!</v>
      </c>
      <c r="AB102" s="1" t="e">
        <f t="shared" si="32"/>
        <v>#NUM!</v>
      </c>
      <c r="AC102" s="1" t="e">
        <f t="shared" si="32"/>
        <v>#NUM!</v>
      </c>
      <c r="AD102" s="1" t="e">
        <f t="shared" si="32"/>
        <v>#NUM!</v>
      </c>
      <c r="AE102" s="1">
        <f t="shared" si="32"/>
        <v>1.39118937305186</v>
      </c>
    </row>
    <row r="103" s="1" customFormat="1" spans="1:31">
      <c r="A103" s="1" t="s">
        <v>14</v>
      </c>
      <c r="B103" s="1"/>
      <c r="C103" s="1" t="e">
        <f t="shared" ref="C103:AE103" si="33">LOG(C91,2)</f>
        <v>#NUM!</v>
      </c>
      <c r="D103" s="1">
        <f t="shared" si="33"/>
        <v>2.84147727360939</v>
      </c>
      <c r="E103" s="1" t="e">
        <f t="shared" si="33"/>
        <v>#NUM!</v>
      </c>
      <c r="F103" s="1" t="e">
        <f t="shared" si="33"/>
        <v>#NUM!</v>
      </c>
      <c r="G103" s="1" t="e">
        <f t="shared" si="33"/>
        <v>#NUM!</v>
      </c>
      <c r="H103" s="1" t="e">
        <f t="shared" si="33"/>
        <v>#NUM!</v>
      </c>
      <c r="I103" s="1">
        <f t="shared" si="33"/>
        <v>2.33876674644337</v>
      </c>
      <c r="J103" s="1">
        <f t="shared" si="33"/>
        <v>0.534789349480766</v>
      </c>
      <c r="K103" s="1" t="e">
        <f t="shared" si="33"/>
        <v>#NUM!</v>
      </c>
      <c r="L103" s="1">
        <f t="shared" si="33"/>
        <v>-0.81396276440777</v>
      </c>
      <c r="M103" s="1" t="e">
        <f t="shared" si="33"/>
        <v>#NUM!</v>
      </c>
      <c r="N103" s="1" t="e">
        <f t="shared" si="33"/>
        <v>#NUM!</v>
      </c>
      <c r="O103" s="1" t="e">
        <f t="shared" si="33"/>
        <v>#NUM!</v>
      </c>
      <c r="P103" s="1">
        <f t="shared" si="33"/>
        <v>-0.402425292595055</v>
      </c>
      <c r="Q103" s="1" t="e">
        <f t="shared" si="33"/>
        <v>#NUM!</v>
      </c>
      <c r="R103" s="1" t="e">
        <f t="shared" si="33"/>
        <v>#NUM!</v>
      </c>
      <c r="S103" s="1" t="e">
        <f t="shared" si="33"/>
        <v>#NUM!</v>
      </c>
      <c r="T103" s="1" t="e">
        <f t="shared" si="33"/>
        <v>#NUM!</v>
      </c>
      <c r="U103" s="1" t="e">
        <f t="shared" si="33"/>
        <v>#NUM!</v>
      </c>
      <c r="V103" s="1" t="e">
        <f t="shared" si="33"/>
        <v>#NUM!</v>
      </c>
      <c r="W103" s="1">
        <f t="shared" si="33"/>
        <v>1.11688002235968</v>
      </c>
      <c r="X103" s="1" t="e">
        <f t="shared" si="33"/>
        <v>#NUM!</v>
      </c>
      <c r="Y103" s="1">
        <f t="shared" si="33"/>
        <v>1.7532167591743</v>
      </c>
      <c r="Z103" s="1">
        <f t="shared" si="33"/>
        <v>-0.865600591043324</v>
      </c>
      <c r="AA103" s="1" t="e">
        <f t="shared" si="33"/>
        <v>#NUM!</v>
      </c>
      <c r="AB103" s="1" t="e">
        <f t="shared" si="33"/>
        <v>#NUM!</v>
      </c>
      <c r="AC103" s="1" t="e">
        <f t="shared" si="33"/>
        <v>#NUM!</v>
      </c>
      <c r="AD103" s="1" t="e">
        <f t="shared" si="33"/>
        <v>#NUM!</v>
      </c>
      <c r="AE103" s="1">
        <f t="shared" si="33"/>
        <v>-0.809415684848749</v>
      </c>
    </row>
    <row r="104" s="1" customFormat="1" spans="1:31">
      <c r="A104" s="1" t="s">
        <v>15</v>
      </c>
      <c r="B104" s="1"/>
      <c r="C104" s="1" t="e">
        <f t="shared" ref="C104:AE104" si="34">LOG(C92,2)</f>
        <v>#NUM!</v>
      </c>
      <c r="D104" s="1" t="e">
        <f t="shared" si="34"/>
        <v>#NUM!</v>
      </c>
      <c r="E104" s="1" t="e">
        <f t="shared" si="34"/>
        <v>#NUM!</v>
      </c>
      <c r="F104" s="1" t="e">
        <f t="shared" si="34"/>
        <v>#NUM!</v>
      </c>
      <c r="G104" s="1" t="e">
        <f t="shared" si="34"/>
        <v>#NUM!</v>
      </c>
      <c r="H104" s="1" t="e">
        <f t="shared" si="34"/>
        <v>#NUM!</v>
      </c>
      <c r="I104" s="1" t="e">
        <f t="shared" si="34"/>
        <v>#NUM!</v>
      </c>
      <c r="J104" s="1">
        <f t="shared" si="34"/>
        <v>0.813983375015868</v>
      </c>
      <c r="K104" s="1" t="e">
        <f t="shared" si="34"/>
        <v>#NUM!</v>
      </c>
      <c r="L104" s="1" t="e">
        <f t="shared" si="34"/>
        <v>#NUM!</v>
      </c>
      <c r="M104" s="1" t="e">
        <f t="shared" si="34"/>
        <v>#NUM!</v>
      </c>
      <c r="N104" s="1" t="e">
        <f t="shared" si="34"/>
        <v>#NUM!</v>
      </c>
      <c r="O104" s="1" t="e">
        <f t="shared" si="34"/>
        <v>#NUM!</v>
      </c>
      <c r="P104" s="1" t="e">
        <f t="shared" si="34"/>
        <v>#NUM!</v>
      </c>
      <c r="Q104" s="1" t="e">
        <f t="shared" si="34"/>
        <v>#NUM!</v>
      </c>
      <c r="R104" s="1" t="e">
        <f t="shared" si="34"/>
        <v>#NUM!</v>
      </c>
      <c r="S104" s="1" t="e">
        <f t="shared" si="34"/>
        <v>#NUM!</v>
      </c>
      <c r="T104" s="1" t="e">
        <f t="shared" si="34"/>
        <v>#NUM!</v>
      </c>
      <c r="U104" s="1" t="e">
        <f t="shared" si="34"/>
        <v>#NUM!</v>
      </c>
      <c r="V104" s="1" t="e">
        <f t="shared" si="34"/>
        <v>#NUM!</v>
      </c>
      <c r="W104" s="1">
        <f t="shared" si="34"/>
        <v>3.50059334861694</v>
      </c>
      <c r="X104" s="1" t="e">
        <f t="shared" si="34"/>
        <v>#NUM!</v>
      </c>
      <c r="Y104" s="1">
        <f t="shared" si="34"/>
        <v>0.537880041961317</v>
      </c>
      <c r="Z104" s="1">
        <f t="shared" si="34"/>
        <v>1.0122826081692</v>
      </c>
      <c r="AA104" s="1" t="e">
        <f t="shared" si="34"/>
        <v>#NUM!</v>
      </c>
      <c r="AB104" s="1" t="e">
        <f t="shared" si="34"/>
        <v>#NUM!</v>
      </c>
      <c r="AC104" s="1" t="e">
        <f t="shared" si="34"/>
        <v>#NUM!</v>
      </c>
      <c r="AD104" s="1" t="e">
        <f t="shared" si="34"/>
        <v>#NUM!</v>
      </c>
      <c r="AE104" s="1">
        <f t="shared" si="34"/>
        <v>0.824697408162222</v>
      </c>
    </row>
    <row r="105" s="1" customFormat="1" spans="1:31">
      <c r="A105" s="1" t="s">
        <v>16</v>
      </c>
      <c r="B105" s="1"/>
      <c r="C105" s="1" t="e">
        <f t="shared" ref="C105:AE105" si="35">LOG(C93,2)</f>
        <v>#NUM!</v>
      </c>
      <c r="D105" s="1" t="e">
        <f t="shared" si="35"/>
        <v>#NUM!</v>
      </c>
      <c r="E105" s="1" t="e">
        <f t="shared" si="35"/>
        <v>#NUM!</v>
      </c>
      <c r="F105" s="1" t="e">
        <f t="shared" si="35"/>
        <v>#NUM!</v>
      </c>
      <c r="G105" s="1" t="e">
        <f t="shared" si="35"/>
        <v>#NUM!</v>
      </c>
      <c r="H105" s="1" t="e">
        <f t="shared" si="35"/>
        <v>#NUM!</v>
      </c>
      <c r="I105" s="1">
        <f t="shared" si="35"/>
        <v>-0.0181515638593892</v>
      </c>
      <c r="J105" s="1">
        <f t="shared" si="35"/>
        <v>0.678063800176872</v>
      </c>
      <c r="K105" s="1" t="e">
        <f t="shared" si="35"/>
        <v>#NUM!</v>
      </c>
      <c r="L105" s="1">
        <f t="shared" si="35"/>
        <v>-0.301692437319809</v>
      </c>
      <c r="M105" s="1" t="e">
        <f t="shared" si="35"/>
        <v>#NUM!</v>
      </c>
      <c r="N105" s="1" t="e">
        <f t="shared" si="35"/>
        <v>#NUM!</v>
      </c>
      <c r="O105" s="1" t="e">
        <f t="shared" si="35"/>
        <v>#NUM!</v>
      </c>
      <c r="P105" s="1">
        <f t="shared" si="35"/>
        <v>-0.453018724909666</v>
      </c>
      <c r="Q105" s="1" t="e">
        <f t="shared" si="35"/>
        <v>#NUM!</v>
      </c>
      <c r="R105" s="1" t="e">
        <f t="shared" si="35"/>
        <v>#NUM!</v>
      </c>
      <c r="S105" s="1" t="e">
        <f t="shared" si="35"/>
        <v>#NUM!</v>
      </c>
      <c r="T105" s="1" t="e">
        <f t="shared" si="35"/>
        <v>#NUM!</v>
      </c>
      <c r="U105" s="1" t="e">
        <f t="shared" si="35"/>
        <v>#NUM!</v>
      </c>
      <c r="V105" s="1" t="e">
        <f t="shared" si="35"/>
        <v>#NUM!</v>
      </c>
      <c r="W105" s="1">
        <f t="shared" si="35"/>
        <v>2.91561341297016</v>
      </c>
      <c r="X105" s="1" t="e">
        <f t="shared" si="35"/>
        <v>#NUM!</v>
      </c>
      <c r="Y105" s="1">
        <f t="shared" si="35"/>
        <v>1.58482910048494</v>
      </c>
      <c r="Z105" s="1">
        <f t="shared" si="35"/>
        <v>2.20488072574646</v>
      </c>
      <c r="AA105" s="1" t="e">
        <f t="shared" si="35"/>
        <v>#NUM!</v>
      </c>
      <c r="AB105" s="1" t="e">
        <f t="shared" si="35"/>
        <v>#NUM!</v>
      </c>
      <c r="AC105" s="1" t="e">
        <f t="shared" si="35"/>
        <v>#NUM!</v>
      </c>
      <c r="AD105" s="1" t="e">
        <f t="shared" si="35"/>
        <v>#NUM!</v>
      </c>
      <c r="AE105" s="1">
        <f t="shared" si="35"/>
        <v>0.133307693219744</v>
      </c>
    </row>
    <row r="107" s="1" customFormat="1" spans="1:31">
      <c r="A107" s="1" t="s">
        <v>63</v>
      </c>
      <c r="B107" s="1"/>
      <c r="C107" s="3" t="s">
        <v>65</v>
      </c>
      <c r="D107" s="3" t="s">
        <v>66</v>
      </c>
      <c r="E107" s="3" t="s">
        <v>67</v>
      </c>
      <c r="F107" s="3" t="s">
        <v>68</v>
      </c>
      <c r="G107" s="4" t="s">
        <v>69</v>
      </c>
      <c r="H107" s="3" t="s">
        <v>70</v>
      </c>
      <c r="I107" s="3" t="s">
        <v>71</v>
      </c>
      <c r="J107" s="3" t="s">
        <v>72</v>
      </c>
      <c r="K107" s="3" t="s">
        <v>73</v>
      </c>
      <c r="L107" s="3" t="s">
        <v>74</v>
      </c>
      <c r="M107" s="3" t="s">
        <v>75</v>
      </c>
      <c r="N107" s="3" t="s">
        <v>76</v>
      </c>
      <c r="O107" s="3" t="s">
        <v>77</v>
      </c>
      <c r="P107" s="3" t="s">
        <v>78</v>
      </c>
      <c r="Q107" s="3" t="s">
        <v>79</v>
      </c>
      <c r="R107" s="3" t="s">
        <v>80</v>
      </c>
      <c r="S107" s="3" t="s">
        <v>81</v>
      </c>
      <c r="T107" s="3" t="s">
        <v>82</v>
      </c>
      <c r="U107" s="3" t="s">
        <v>83</v>
      </c>
      <c r="V107" s="3" t="s">
        <v>84</v>
      </c>
      <c r="W107" s="6" t="s">
        <v>85</v>
      </c>
      <c r="X107" s="3" t="s">
        <v>86</v>
      </c>
      <c r="Y107" s="3" t="s">
        <v>87</v>
      </c>
      <c r="Z107" s="3" t="s">
        <v>88</v>
      </c>
      <c r="AA107" s="3" t="s">
        <v>89</v>
      </c>
      <c r="AB107" s="3" t="s">
        <v>90</v>
      </c>
      <c r="AC107" s="3" t="s">
        <v>91</v>
      </c>
      <c r="AD107" s="3" t="s">
        <v>92</v>
      </c>
      <c r="AE107" s="3" t="s">
        <v>93</v>
      </c>
    </row>
    <row r="108" s="1" customFormat="1" spans="1:31">
      <c r="A108" s="1" t="s">
        <v>7</v>
      </c>
      <c r="B108" s="1">
        <v>3</v>
      </c>
      <c r="C108" s="1">
        <f>C96-3.3*((C70+0.5)^(-0.5))-2*((C70+0.5)^(-1.5))</f>
        <v>0.804764857595515</v>
      </c>
      <c r="I108" s="1">
        <f t="shared" ref="I108:L108" si="36">I96-3.3*((I70+0.5)^(-0.5))-2*((I70+0.5)^(-1.5))</f>
        <v>-1.62384362667087</v>
      </c>
      <c r="J108" s="1">
        <f t="shared" si="36"/>
        <v>0.124383938960721</v>
      </c>
      <c r="L108" s="1">
        <f t="shared" si="36"/>
        <v>-1.3298045720358</v>
      </c>
      <c r="P108" s="1">
        <f t="shared" ref="P108:P111" si="37">P96-3.3*((P70+0.5)^(-0.5))-2*((P70+0.5)^(-1.5))</f>
        <v>-1.88606598364336</v>
      </c>
      <c r="W108" s="1">
        <f t="shared" ref="W108:Z108" si="38">W96-3.3*((W70+0.5)^(-0.5))-2*((W70+0.5)^(-1.5))</f>
        <v>2.01441349570041</v>
      </c>
      <c r="X108" s="1">
        <f t="shared" si="38"/>
        <v>-0.192041626086617</v>
      </c>
      <c r="Y108" s="1">
        <f t="shared" si="38"/>
        <v>-0.660021448610638</v>
      </c>
      <c r="Z108" s="1">
        <f t="shared" si="38"/>
        <v>0.932768495486132</v>
      </c>
      <c r="AE108" s="1">
        <f t="shared" ref="AE108:AE112" si="39">AE96-3.3*((AE70+0.5)^(-0.5))-2*((AE70+0.5)^(-1.5))</f>
        <v>-0.363753782487075</v>
      </c>
    </row>
    <row r="109" s="1" customFormat="1" spans="1:31">
      <c r="A109" s="1" t="s">
        <v>8</v>
      </c>
      <c r="B109" s="1">
        <v>4</v>
      </c>
      <c r="C109" s="1"/>
      <c r="D109" s="1">
        <f>D97-3.3*((D71+0.5)^(-0.5))-2*((D71+0.5)^(-1.5))</f>
        <v>1.76626548690536</v>
      </c>
      <c r="I109" s="1">
        <f t="shared" ref="I109:L109" si="40">I97-3.3*((I71+0.5)^(-0.5))-2*((I71+0.5)^(-1.5))</f>
        <v>-0.168405321997953</v>
      </c>
      <c r="J109" s="1">
        <f t="shared" si="40"/>
        <v>0.707562187707828</v>
      </c>
      <c r="L109" s="1">
        <f t="shared" si="40"/>
        <v>-0.469738689416684</v>
      </c>
      <c r="P109" s="1">
        <f t="shared" si="37"/>
        <v>-0.435815604485796</v>
      </c>
      <c r="W109" s="1">
        <f t="shared" ref="W109:Z109" si="41">W97-3.3*((W71+0.5)^(-0.5))-2*((W71+0.5)^(-1.5))</f>
        <v>0.347035958686387</v>
      </c>
      <c r="X109" s="1">
        <f t="shared" si="41"/>
        <v>-0.731039181758045</v>
      </c>
      <c r="Y109" s="1">
        <f t="shared" si="41"/>
        <v>-0.539619814956702</v>
      </c>
      <c r="Z109" s="1">
        <f t="shared" si="41"/>
        <v>0.733388701645698</v>
      </c>
      <c r="AE109" s="1">
        <f t="shared" si="39"/>
        <v>-0.0910135886625454</v>
      </c>
    </row>
    <row r="110" s="1" customFormat="1" spans="1:31">
      <c r="A110" s="1" t="s">
        <v>9</v>
      </c>
      <c r="B110" s="1">
        <v>3</v>
      </c>
      <c r="C110" s="1"/>
      <c r="D110" s="1">
        <f t="shared" ref="D110:J110" si="42">D98-3.3*((D72+0.5)^(-0.5))-2*((D72+0.5)^(-1.5))</f>
        <v>-1.25950050527585</v>
      </c>
      <c r="G110" s="1">
        <f t="shared" si="42"/>
        <v>2.78011835330778</v>
      </c>
      <c r="H110" s="1">
        <f t="shared" si="42"/>
        <v>2.09095844855669</v>
      </c>
      <c r="I110" s="1">
        <f t="shared" si="42"/>
        <v>-0.0533708773879384</v>
      </c>
      <c r="J110" s="1">
        <f t="shared" si="42"/>
        <v>-0.0738422003043657</v>
      </c>
      <c r="L110" s="1">
        <f t="shared" ref="L110:L115" si="43">L98-3.3*((L72+0.5)^(-0.5))-2*((L72+0.5)^(-1.5))</f>
        <v>-1.68313525707135</v>
      </c>
      <c r="P110" s="1">
        <f t="shared" si="37"/>
        <v>-2.08993849389035</v>
      </c>
      <c r="W110" s="1">
        <f t="shared" ref="W110:Z110" si="44">W98-3.3*((W72+0.5)^(-0.5))-2*((W72+0.5)^(-1.5))</f>
        <v>1.43405852957082</v>
      </c>
      <c r="X110" s="1">
        <f t="shared" si="44"/>
        <v>-2.48587885500567</v>
      </c>
      <c r="Y110" s="1">
        <f t="shared" si="44"/>
        <v>-0.764676903052901</v>
      </c>
      <c r="Z110" s="1">
        <f t="shared" si="44"/>
        <v>-0.979794692289932</v>
      </c>
      <c r="AE110" s="1">
        <f t="shared" si="39"/>
        <v>-4.05799467629658</v>
      </c>
    </row>
    <row r="111" s="1" customFormat="1" spans="1:31">
      <c r="A111" s="1" t="s">
        <v>10</v>
      </c>
      <c r="B111" s="1">
        <v>1</v>
      </c>
      <c r="C111" s="1"/>
      <c r="D111" s="1">
        <f>D99-3.3*((D73+0.5)^(-0.5))-2*((D73+0.5)^(-1.5))</f>
        <v>-0.106820205461523</v>
      </c>
      <c r="I111" s="1">
        <f t="shared" ref="I111:L111" si="45">I99-3.3*((I73+0.5)^(-0.5))-2*((I73+0.5)^(-1.5))</f>
        <v>2.24760382710985</v>
      </c>
      <c r="J111" s="1">
        <f t="shared" si="45"/>
        <v>-0.425925517685004</v>
      </c>
      <c r="L111" s="1">
        <f t="shared" si="45"/>
        <v>-0.942115925173089</v>
      </c>
      <c r="P111" s="1">
        <f t="shared" si="37"/>
        <v>-2.97890104528083</v>
      </c>
      <c r="W111" s="1">
        <f t="shared" ref="W111:Z111" si="46">W99-3.3*((W73+0.5)^(-0.5))-2*((W73+0.5)^(-1.5))</f>
        <v>-0.313885085557648</v>
      </c>
      <c r="X111" s="1">
        <f t="shared" si="46"/>
        <v>-0.399679717256229</v>
      </c>
      <c r="Y111" s="1">
        <f t="shared" si="46"/>
        <v>-0.186898666549754</v>
      </c>
      <c r="Z111" s="1">
        <f t="shared" si="46"/>
        <v>-1.90628519830082</v>
      </c>
      <c r="AE111" s="1">
        <f t="shared" si="39"/>
        <v>-1.82160123606742</v>
      </c>
    </row>
    <row r="112" s="1" customFormat="1" spans="1:31">
      <c r="A112" s="1" t="s">
        <v>11</v>
      </c>
      <c r="B112" s="1">
        <v>2</v>
      </c>
      <c r="C112" s="1"/>
      <c r="D112" s="1"/>
      <c r="E112" s="1"/>
      <c r="F112" s="1"/>
      <c r="G112" s="1"/>
      <c r="H112" s="1"/>
      <c r="I112" s="1"/>
      <c r="J112" s="1">
        <f t="shared" ref="J112:J117" si="47">J100-3.3*((J74+0.5)^(-0.5))-2*((J74+0.5)^(-1.5))</f>
        <v>0.566891698121046</v>
      </c>
      <c r="W112" s="1">
        <f t="shared" ref="W112:W117" si="48">W100-3.3*((W74+0.5)^(-0.5))-2*((W74+0.5)^(-1.5))</f>
        <v>-1.96615806138405</v>
      </c>
      <c r="Z112" s="1">
        <f t="shared" ref="Z112:Z117" si="49">Z100-3.3*((Z74+0.5)^(-0.5))-2*((Z74+0.5)^(-1.5))</f>
        <v>0.228388608648308</v>
      </c>
      <c r="AE112" s="1">
        <f t="shared" si="39"/>
        <v>-0.174115055351782</v>
      </c>
    </row>
    <row r="113" s="1" customFormat="1" spans="1:25">
      <c r="A113" s="1" t="s">
        <v>12</v>
      </c>
      <c r="B113" s="1">
        <v>1</v>
      </c>
      <c r="C113" s="1"/>
      <c r="D113" s="1"/>
      <c r="E113" s="1"/>
      <c r="F113" s="1"/>
      <c r="G113" s="1"/>
      <c r="H113" s="1"/>
      <c r="I113" s="1"/>
      <c r="J113" s="1">
        <f t="shared" si="47"/>
        <v>-0.987675842947412</v>
      </c>
      <c r="L113" s="1">
        <f t="shared" si="43"/>
        <v>-1.35691997156322</v>
      </c>
      <c r="W113" s="1">
        <f t="shared" si="48"/>
        <v>0.0833787854022321</v>
      </c>
      <c r="Y113" s="1">
        <f t="shared" ref="Y113:Y117" si="50">Y101-3.3*((Y75+0.5)^(-0.5))-2*((Y75+0.5)^(-1.5))</f>
        <v>-0.373269182573278</v>
      </c>
    </row>
    <row r="114" s="1" customFormat="1" spans="1:31">
      <c r="A114" s="1" t="s">
        <v>13</v>
      </c>
      <c r="B114" s="1">
        <v>1</v>
      </c>
      <c r="C114" s="1"/>
      <c r="D114" s="1"/>
      <c r="E114" s="1"/>
      <c r="F114" s="1"/>
      <c r="G114" s="1"/>
      <c r="H114" s="1"/>
      <c r="I114" s="1"/>
      <c r="J114" s="1">
        <f t="shared" si="47"/>
        <v>-0.178069033030742</v>
      </c>
      <c r="L114" s="1">
        <f t="shared" si="43"/>
        <v>-1.18921312622083</v>
      </c>
      <c r="W114" s="1">
        <f t="shared" si="48"/>
        <v>-0.384626389808372</v>
      </c>
      <c r="X114" s="1">
        <f>X102-3.3*((X76+0.5)^(-0.5))-2*((X76+0.5)^(-1.5))</f>
        <v>-0.0986315398885313</v>
      </c>
      <c r="AE114" s="1">
        <f t="shared" ref="AE114:AE117" si="51">AE102-3.3*((AE76+0.5)^(-0.5))-2*((AE76+0.5)^(-1.5))</f>
        <v>0.366788303766964</v>
      </c>
    </row>
    <row r="115" s="1" customFormat="1" spans="1:31">
      <c r="A115" s="1" t="s">
        <v>14</v>
      </c>
      <c r="B115" s="1">
        <v>5</v>
      </c>
      <c r="C115" s="1"/>
      <c r="D115" s="1">
        <f>D103-3.3*((D77+0.5)^(-0.5))-2*((D77+0.5)^(-1.5))</f>
        <v>1.70251213788078</v>
      </c>
      <c r="I115" s="1">
        <f>I103-3.3*((I77+0.5)^(-0.5))-2*((I77+0.5)^(-1.5))</f>
        <v>1.56823770833574</v>
      </c>
      <c r="J115" s="1">
        <f t="shared" si="47"/>
        <v>0.138386394688537</v>
      </c>
      <c r="L115" s="1">
        <f t="shared" si="43"/>
        <v>-1.68493782893166</v>
      </c>
      <c r="P115" s="1">
        <f>P103-3.3*((P77+0.5)^(-0.5))-2*((P77+0.5)^(-1.5))</f>
        <v>-2.16757333155703</v>
      </c>
      <c r="W115" s="1">
        <f t="shared" si="48"/>
        <v>0.324510982057216</v>
      </c>
      <c r="Y115" s="1">
        <f t="shared" si="50"/>
        <v>1.18151780793719</v>
      </c>
      <c r="Z115" s="1">
        <f t="shared" si="49"/>
        <v>-2.28065393534807</v>
      </c>
      <c r="AE115" s="1">
        <f t="shared" si="51"/>
        <v>-1.94838082057737</v>
      </c>
    </row>
    <row r="116" s="1" customFormat="1" spans="1:31">
      <c r="A116" s="1" t="s">
        <v>15</v>
      </c>
      <c r="B116" s="1">
        <v>1</v>
      </c>
      <c r="C116" s="1"/>
      <c r="D116" s="1"/>
      <c r="E116" s="1"/>
      <c r="F116" s="1"/>
      <c r="G116" s="1"/>
      <c r="H116" s="1"/>
      <c r="I116" s="1"/>
      <c r="J116" s="1">
        <f t="shared" si="47"/>
        <v>-0.00218701821533226</v>
      </c>
      <c r="W116" s="1">
        <f t="shared" si="48"/>
        <v>2.80229921976684</v>
      </c>
      <c r="Y116" s="1">
        <f t="shared" si="50"/>
        <v>-1.53148557398917</v>
      </c>
      <c r="Z116" s="1">
        <f t="shared" si="49"/>
        <v>-0.549897186218273</v>
      </c>
      <c r="AE116" s="1">
        <f t="shared" si="51"/>
        <v>-0.590355936142522</v>
      </c>
    </row>
    <row r="117" s="1" customFormat="1" spans="1:31">
      <c r="A117" s="1" t="s">
        <v>16</v>
      </c>
      <c r="B117" s="1">
        <v>4</v>
      </c>
      <c r="C117" s="1"/>
      <c r="D117" s="1"/>
      <c r="E117" s="1"/>
      <c r="F117" s="1"/>
      <c r="G117" s="1"/>
      <c r="H117" s="1"/>
      <c r="I117" s="1">
        <f>I105-3.3*((I79+0.5)^(-0.5))-2*((I79+0.5)^(-1.5))</f>
        <v>-1.43320490816413</v>
      </c>
      <c r="J117" s="1">
        <f t="shared" si="47"/>
        <v>0.253116329144901</v>
      </c>
      <c r="L117" s="1">
        <f>L105-3.3*((L79+0.5)^(-0.5))-2*((L79+0.5)^(-1.5))</f>
        <v>-1.11786283055101</v>
      </c>
      <c r="P117" s="1">
        <f>P105-3.3*((P79+0.5)^(-0.5))-2*((P79+0.5)^(-1.5))</f>
        <v>-2.52238434086015</v>
      </c>
      <c r="W117" s="1">
        <f t="shared" si="48"/>
        <v>2.45035810498008</v>
      </c>
      <c r="Y117" s="1">
        <f t="shared" si="50"/>
        <v>0.901636134638814</v>
      </c>
      <c r="Z117" s="1">
        <f t="shared" si="49"/>
        <v>1.6975650004917</v>
      </c>
      <c r="AE117" s="1">
        <f t="shared" si="51"/>
        <v>-0.76953722789159</v>
      </c>
    </row>
    <row r="120" s="1" customFormat="1" spans="1:2">
      <c r="A120" s="2" t="s">
        <v>95</v>
      </c>
      <c r="B120" s="2"/>
    </row>
    <row r="121" s="1" customFormat="1" spans="3:32">
      <c r="C121" s="3" t="s">
        <v>96</v>
      </c>
      <c r="D121" s="3" t="s">
        <v>97</v>
      </c>
      <c r="E121" s="3" t="s">
        <v>98</v>
      </c>
      <c r="F121" s="3" t="s">
        <v>99</v>
      </c>
      <c r="G121" s="3" t="s">
        <v>100</v>
      </c>
      <c r="H121" s="3" t="s">
        <v>101</v>
      </c>
      <c r="I121" s="3" t="s">
        <v>102</v>
      </c>
      <c r="J121" s="3" t="s">
        <v>103</v>
      </c>
      <c r="K121" s="3" t="s">
        <v>104</v>
      </c>
      <c r="L121" s="3" t="s">
        <v>105</v>
      </c>
      <c r="M121" s="3" t="s">
        <v>106</v>
      </c>
      <c r="N121" s="3" t="s">
        <v>107</v>
      </c>
      <c r="O121" s="3" t="s">
        <v>108</v>
      </c>
      <c r="P121" s="3" t="s">
        <v>109</v>
      </c>
      <c r="Q121" s="3" t="s">
        <v>110</v>
      </c>
      <c r="R121" s="3" t="s">
        <v>111</v>
      </c>
      <c r="S121" s="3" t="s">
        <v>112</v>
      </c>
      <c r="T121" s="3" t="s">
        <v>41</v>
      </c>
      <c r="U121" s="3" t="s">
        <v>113</v>
      </c>
      <c r="V121" s="3" t="s">
        <v>114</v>
      </c>
      <c r="W121" s="3" t="s">
        <v>115</v>
      </c>
      <c r="X121" s="3" t="s">
        <v>116</v>
      </c>
      <c r="Y121" s="3" t="s">
        <v>117</v>
      </c>
      <c r="Z121" s="3" t="s">
        <v>118</v>
      </c>
      <c r="AA121" s="3" t="s">
        <v>119</v>
      </c>
      <c r="AB121" s="3" t="s">
        <v>120</v>
      </c>
      <c r="AC121" s="3" t="s">
        <v>121</v>
      </c>
      <c r="AD121" s="3" t="s">
        <v>56</v>
      </c>
      <c r="AE121" s="3" t="s">
        <v>122</v>
      </c>
      <c r="AF121" s="3" t="s">
        <v>123</v>
      </c>
    </row>
    <row r="122" s="1" customFormat="1" spans="1:31">
      <c r="A122" s="1" t="s">
        <v>7</v>
      </c>
      <c r="B122" s="1"/>
      <c r="C122" s="1"/>
      <c r="D122" s="1">
        <v>30</v>
      </c>
      <c r="E122" s="1"/>
      <c r="F122" s="1"/>
      <c r="G122" s="1">
        <v>156</v>
      </c>
      <c r="H122" s="1">
        <v>9</v>
      </c>
      <c r="I122" s="1"/>
      <c r="J122" s="1">
        <v>43</v>
      </c>
      <c r="K122" s="1"/>
      <c r="L122" s="1">
        <v>39</v>
      </c>
      <c r="M122" s="1">
        <v>14</v>
      </c>
      <c r="N122" s="1"/>
      <c r="O122" s="1"/>
      <c r="P122" s="1"/>
      <c r="Q122" s="1">
        <v>15</v>
      </c>
      <c r="R122" s="1">
        <v>15</v>
      </c>
      <c r="S122" s="1"/>
      <c r="T122" s="1">
        <v>63</v>
      </c>
      <c r="U122" s="1"/>
      <c r="V122" s="1"/>
      <c r="W122" s="1">
        <v>4</v>
      </c>
      <c r="X122" s="1"/>
      <c r="Y122" s="1"/>
      <c r="Z122" s="1"/>
      <c r="AA122" s="1">
        <v>111</v>
      </c>
      <c r="AB122" s="1"/>
      <c r="AC122" s="1"/>
      <c r="AD122" s="1"/>
      <c r="AE122" s="1">
        <v>6</v>
      </c>
    </row>
    <row r="123" s="1" customFormat="1" spans="1:31">
      <c r="A123" s="1" t="s">
        <v>8</v>
      </c>
      <c r="B123" s="1"/>
      <c r="C123" s="1"/>
      <c r="D123" s="1">
        <v>30</v>
      </c>
      <c r="E123" s="1"/>
      <c r="F123" s="1"/>
      <c r="G123" s="1">
        <v>337</v>
      </c>
      <c r="H123" s="1">
        <v>23</v>
      </c>
      <c r="I123" s="1">
        <v>4</v>
      </c>
      <c r="J123" s="1">
        <v>83</v>
      </c>
      <c r="K123" s="1"/>
      <c r="L123" s="1">
        <v>53</v>
      </c>
      <c r="M123" s="1">
        <v>33</v>
      </c>
      <c r="N123" s="1"/>
      <c r="O123" s="1"/>
      <c r="P123" s="1"/>
      <c r="Q123" s="1">
        <v>11</v>
      </c>
      <c r="R123" s="1">
        <v>3</v>
      </c>
      <c r="S123" s="1">
        <v>3</v>
      </c>
      <c r="T123" s="1">
        <v>31</v>
      </c>
      <c r="U123" s="1">
        <v>9</v>
      </c>
      <c r="V123" s="1"/>
      <c r="W123" s="1">
        <v>11</v>
      </c>
      <c r="X123" s="1"/>
      <c r="Y123" s="1"/>
      <c r="Z123" s="1"/>
      <c r="AA123" s="1">
        <v>161</v>
      </c>
      <c r="AB123" s="1"/>
      <c r="AC123" s="1"/>
      <c r="AD123" s="1"/>
      <c r="AE123" s="1">
        <v>26</v>
      </c>
    </row>
    <row r="124" s="1" customFormat="1" spans="1:31">
      <c r="A124" s="1" t="s">
        <v>9</v>
      </c>
      <c r="B124" s="1"/>
      <c r="C124" s="1"/>
      <c r="D124" s="1">
        <v>25</v>
      </c>
      <c r="E124" s="1"/>
      <c r="F124" s="1"/>
      <c r="G124" s="1">
        <v>177</v>
      </c>
      <c r="H124" s="1">
        <v>14</v>
      </c>
      <c r="I124" s="1">
        <v>10</v>
      </c>
      <c r="J124" s="1">
        <v>29</v>
      </c>
      <c r="K124" s="1"/>
      <c r="L124" s="1">
        <v>58</v>
      </c>
      <c r="M124" s="1"/>
      <c r="N124" s="1"/>
      <c r="O124" s="1"/>
      <c r="P124" s="1"/>
      <c r="Q124" s="1"/>
      <c r="R124" s="1"/>
      <c r="S124" s="1"/>
      <c r="T124" s="1">
        <v>22</v>
      </c>
      <c r="U124" s="1">
        <v>4</v>
      </c>
      <c r="V124" s="1"/>
      <c r="W124" s="1"/>
      <c r="X124" s="1"/>
      <c r="Y124" s="1"/>
      <c r="Z124" s="1"/>
      <c r="AA124" s="1">
        <v>56</v>
      </c>
      <c r="AB124" s="1"/>
      <c r="AC124" s="1"/>
      <c r="AD124" s="1"/>
      <c r="AE124" s="1">
        <v>6</v>
      </c>
    </row>
    <row r="125" s="1" customFormat="1" spans="1:31">
      <c r="A125" s="1" t="s">
        <v>10</v>
      </c>
      <c r="B125" s="1"/>
      <c r="C125" s="1"/>
      <c r="D125" s="1"/>
      <c r="E125" s="1"/>
      <c r="F125" s="1"/>
      <c r="G125" s="1">
        <v>141</v>
      </c>
      <c r="H125" s="1">
        <v>18</v>
      </c>
      <c r="I125" s="1"/>
      <c r="J125" s="1">
        <v>54</v>
      </c>
      <c r="K125" s="1"/>
      <c r="L125" s="1">
        <v>28</v>
      </c>
      <c r="M125" s="1">
        <v>12</v>
      </c>
      <c r="N125" s="1"/>
      <c r="O125" s="1"/>
      <c r="P125" s="1"/>
      <c r="Q125" s="1">
        <v>3</v>
      </c>
      <c r="R125" s="1"/>
      <c r="S125" s="1">
        <v>3</v>
      </c>
      <c r="T125" s="1">
        <v>28</v>
      </c>
      <c r="U125" s="1">
        <v>12</v>
      </c>
      <c r="V125" s="1"/>
      <c r="W125" s="1">
        <v>8</v>
      </c>
      <c r="X125" s="1"/>
      <c r="Y125" s="1"/>
      <c r="Z125" s="1"/>
      <c r="AA125" s="1">
        <v>55</v>
      </c>
      <c r="AB125" s="1"/>
      <c r="AC125" s="1"/>
      <c r="AD125" s="1"/>
      <c r="AE125" s="1">
        <v>3</v>
      </c>
    </row>
    <row r="126" s="1" customFormat="1" spans="1:27">
      <c r="A126" s="1" t="s">
        <v>11</v>
      </c>
      <c r="B126" s="1"/>
      <c r="C126" s="1">
        <v>3</v>
      </c>
      <c r="D126" s="1"/>
      <c r="E126" s="1"/>
      <c r="F126" s="1"/>
      <c r="G126" s="1">
        <v>18</v>
      </c>
      <c r="H126" s="1">
        <v>3</v>
      </c>
      <c r="I126" s="1"/>
      <c r="J126" s="1"/>
      <c r="K126" s="1"/>
      <c r="L126" s="1">
        <v>24</v>
      </c>
      <c r="M126" s="1"/>
      <c r="N126" s="1"/>
      <c r="O126" s="1"/>
      <c r="P126" s="1"/>
      <c r="Q126" s="1">
        <v>7</v>
      </c>
      <c r="R126" s="1">
        <v>7</v>
      </c>
      <c r="S126" s="1"/>
      <c r="T126" s="1">
        <v>11</v>
      </c>
      <c r="U126" s="1"/>
      <c r="V126" s="1"/>
      <c r="W126" s="1"/>
      <c r="X126" s="1"/>
      <c r="Y126" s="1"/>
      <c r="Z126" s="1"/>
      <c r="AA126" s="1">
        <v>9</v>
      </c>
    </row>
    <row r="127" s="1" customFormat="1" spans="1:27">
      <c r="A127" s="1" t="s">
        <v>12</v>
      </c>
      <c r="B127" s="1"/>
      <c r="C127" s="1"/>
      <c r="D127" s="1"/>
      <c r="E127" s="1"/>
      <c r="F127" s="1"/>
      <c r="G127" s="1">
        <v>40</v>
      </c>
      <c r="H127" s="1">
        <v>6</v>
      </c>
      <c r="I127" s="1">
        <v>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>
        <v>11</v>
      </c>
      <c r="U127" s="1"/>
      <c r="V127" s="1"/>
      <c r="W127" s="1"/>
      <c r="X127" s="1"/>
      <c r="Y127" s="1"/>
      <c r="Z127" s="1"/>
      <c r="AA127" s="1">
        <v>7</v>
      </c>
    </row>
    <row r="128" s="1" customFormat="1" spans="1:27">
      <c r="A128" s="1" t="s">
        <v>13</v>
      </c>
      <c r="B128" s="1"/>
      <c r="C128" s="1"/>
      <c r="D128" s="1"/>
      <c r="E128" s="1"/>
      <c r="F128" s="1"/>
      <c r="G128" s="1">
        <v>9</v>
      </c>
      <c r="H128" s="1"/>
      <c r="I128" s="1"/>
      <c r="J128" s="1">
        <v>7</v>
      </c>
      <c r="K128" s="1"/>
      <c r="L128" s="1"/>
      <c r="M128" s="1"/>
      <c r="N128" s="1"/>
      <c r="O128" s="1"/>
      <c r="P128" s="1"/>
      <c r="Q128" s="1"/>
      <c r="R128" s="1"/>
      <c r="S128" s="1"/>
      <c r="T128" s="1">
        <v>5</v>
      </c>
      <c r="U128" s="1"/>
      <c r="V128" s="1"/>
      <c r="W128" s="1"/>
      <c r="X128" s="1"/>
      <c r="Y128" s="1"/>
      <c r="Z128" s="1"/>
      <c r="AA128" s="1">
        <v>6</v>
      </c>
    </row>
    <row r="129" s="1" customFormat="1" spans="1:27">
      <c r="A129" s="1" t="s">
        <v>14</v>
      </c>
      <c r="B129" s="1"/>
      <c r="C129" s="1">
        <v>3</v>
      </c>
      <c r="D129" s="1"/>
      <c r="E129" s="1"/>
      <c r="F129" s="1"/>
      <c r="G129" s="1">
        <v>150</v>
      </c>
      <c r="H129" s="1">
        <v>19</v>
      </c>
      <c r="I129" s="1"/>
      <c r="J129" s="1">
        <v>40</v>
      </c>
      <c r="K129" s="1"/>
      <c r="L129" s="1">
        <v>23</v>
      </c>
      <c r="M129" s="1">
        <v>14</v>
      </c>
      <c r="N129" s="1"/>
      <c r="O129" s="1"/>
      <c r="P129" s="1"/>
      <c r="Q129" s="1"/>
      <c r="R129" s="1"/>
      <c r="S129" s="1"/>
      <c r="T129" s="1">
        <v>76</v>
      </c>
      <c r="U129" s="1">
        <v>21</v>
      </c>
      <c r="V129" s="1"/>
      <c r="W129" s="1">
        <v>7</v>
      </c>
      <c r="X129" s="1"/>
      <c r="Y129" s="1"/>
      <c r="Z129" s="1"/>
      <c r="AA129" s="1">
        <v>74</v>
      </c>
    </row>
    <row r="130" s="1" customFormat="1" spans="1:31">
      <c r="A130" s="1" t="s">
        <v>15</v>
      </c>
      <c r="B130" s="1"/>
      <c r="C130" s="1"/>
      <c r="D130" s="1"/>
      <c r="E130" s="1"/>
      <c r="F130" s="1"/>
      <c r="G130" s="1">
        <v>35</v>
      </c>
      <c r="H130" s="1">
        <v>5</v>
      </c>
      <c r="I130" s="1"/>
      <c r="J130" s="1">
        <v>6</v>
      </c>
      <c r="K130" s="1"/>
      <c r="L130" s="1">
        <v>5</v>
      </c>
      <c r="M130" s="1"/>
      <c r="N130" s="1"/>
      <c r="O130" s="1"/>
      <c r="P130" s="1"/>
      <c r="Q130" s="1"/>
      <c r="R130" s="1"/>
      <c r="S130" s="1"/>
      <c r="T130" s="1">
        <v>5</v>
      </c>
      <c r="U130" s="1"/>
      <c r="V130" s="1"/>
      <c r="W130" s="1"/>
      <c r="X130" s="1"/>
      <c r="Y130" s="1"/>
      <c r="Z130" s="1"/>
      <c r="AA130" s="1">
        <v>8</v>
      </c>
      <c r="AB130" s="1"/>
      <c r="AC130" s="1"/>
      <c r="AD130" s="1"/>
      <c r="AE130" s="1">
        <v>3</v>
      </c>
    </row>
    <row r="131" s="1" customFormat="1" spans="1:31">
      <c r="A131" s="1" t="s">
        <v>16</v>
      </c>
      <c r="B131" s="1"/>
      <c r="C131" s="1"/>
      <c r="D131" s="1">
        <v>25</v>
      </c>
      <c r="E131" s="1"/>
      <c r="F131" s="1"/>
      <c r="G131" s="1">
        <v>137</v>
      </c>
      <c r="H131" s="1">
        <v>7</v>
      </c>
      <c r="I131" s="1"/>
      <c r="J131" s="1">
        <v>24</v>
      </c>
      <c r="K131" s="1"/>
      <c r="L131" s="1">
        <v>25</v>
      </c>
      <c r="M131" s="1">
        <v>16</v>
      </c>
      <c r="N131" s="1"/>
      <c r="O131" s="1"/>
      <c r="P131" s="1"/>
      <c r="Q131" s="1">
        <v>3</v>
      </c>
      <c r="R131" s="1"/>
      <c r="S131" s="1"/>
      <c r="T131" s="1">
        <v>9</v>
      </c>
      <c r="U131" s="1"/>
      <c r="V131" s="1"/>
      <c r="W131" s="1">
        <v>3</v>
      </c>
      <c r="X131" s="1"/>
      <c r="Y131" s="1"/>
      <c r="Z131" s="1"/>
      <c r="AA131" s="1">
        <v>34</v>
      </c>
      <c r="AB131" s="1"/>
      <c r="AC131" s="1"/>
      <c r="AD131" s="1"/>
      <c r="AE131" s="1">
        <v>8</v>
      </c>
    </row>
    <row r="132" s="1" customFormat="1" spans="3:32">
      <c r="C132" s="1">
        <v>163</v>
      </c>
      <c r="D132" s="1">
        <v>1176</v>
      </c>
      <c r="E132" s="1">
        <v>52</v>
      </c>
      <c r="F132" s="1">
        <v>22</v>
      </c>
      <c r="G132" s="1">
        <v>32187</v>
      </c>
      <c r="H132" s="1">
        <v>1527</v>
      </c>
      <c r="I132" s="1">
        <v>991</v>
      </c>
      <c r="J132" s="1">
        <v>15383</v>
      </c>
      <c r="K132" s="1">
        <v>46</v>
      </c>
      <c r="L132" s="1">
        <v>2481</v>
      </c>
      <c r="M132" s="1">
        <v>672</v>
      </c>
      <c r="N132" s="1">
        <v>170</v>
      </c>
      <c r="O132" s="1">
        <v>67</v>
      </c>
      <c r="P132" s="1">
        <v>14</v>
      </c>
      <c r="Q132" s="1">
        <v>356</v>
      </c>
      <c r="R132" s="1">
        <v>80</v>
      </c>
      <c r="S132" s="1">
        <v>57</v>
      </c>
      <c r="T132" s="1">
        <v>2615</v>
      </c>
      <c r="U132" s="1">
        <v>246</v>
      </c>
      <c r="V132" s="1">
        <v>36</v>
      </c>
      <c r="W132" s="1">
        <v>816</v>
      </c>
      <c r="X132" s="1">
        <v>59</v>
      </c>
      <c r="Y132" s="1">
        <v>0</v>
      </c>
      <c r="Z132" s="1">
        <v>18</v>
      </c>
      <c r="AA132" s="1">
        <v>8584</v>
      </c>
      <c r="AB132" s="1">
        <v>34</v>
      </c>
      <c r="AC132" s="1">
        <v>0</v>
      </c>
      <c r="AD132" s="1">
        <v>13</v>
      </c>
      <c r="AE132" s="1">
        <v>2347</v>
      </c>
      <c r="AF132" s="1">
        <v>68</v>
      </c>
    </row>
    <row r="134" s="1" customFormat="1" spans="1:32">
      <c r="A134" s="1" t="s">
        <v>18</v>
      </c>
      <c r="B134" s="1"/>
      <c r="C134" s="3" t="s">
        <v>96</v>
      </c>
      <c r="D134" s="3" t="s">
        <v>97</v>
      </c>
      <c r="E134" s="3" t="s">
        <v>98</v>
      </c>
      <c r="F134" s="3" t="s">
        <v>99</v>
      </c>
      <c r="G134" s="3" t="s">
        <v>100</v>
      </c>
      <c r="H134" s="3" t="s">
        <v>101</v>
      </c>
      <c r="I134" s="3" t="s">
        <v>102</v>
      </c>
      <c r="J134" s="3" t="s">
        <v>103</v>
      </c>
      <c r="K134" s="3" t="s">
        <v>104</v>
      </c>
      <c r="L134" s="3" t="s">
        <v>105</v>
      </c>
      <c r="M134" s="3" t="s">
        <v>106</v>
      </c>
      <c r="N134" s="3" t="s">
        <v>107</v>
      </c>
      <c r="O134" s="3" t="s">
        <v>108</v>
      </c>
      <c r="P134" s="3" t="s">
        <v>109</v>
      </c>
      <c r="Q134" s="3" t="s">
        <v>110</v>
      </c>
      <c r="R134" s="3" t="s">
        <v>111</v>
      </c>
      <c r="S134" s="3" t="s">
        <v>112</v>
      </c>
      <c r="T134" s="3" t="s">
        <v>41</v>
      </c>
      <c r="U134" s="3" t="s">
        <v>113</v>
      </c>
      <c r="V134" s="3" t="s">
        <v>114</v>
      </c>
      <c r="W134" s="3" t="s">
        <v>115</v>
      </c>
      <c r="X134" s="3" t="s">
        <v>116</v>
      </c>
      <c r="Y134" s="3" t="s">
        <v>117</v>
      </c>
      <c r="Z134" s="3" t="s">
        <v>118</v>
      </c>
      <c r="AA134" s="3" t="s">
        <v>119</v>
      </c>
      <c r="AB134" s="3" t="s">
        <v>120</v>
      </c>
      <c r="AC134" s="3" t="s">
        <v>121</v>
      </c>
      <c r="AD134" s="3" t="s">
        <v>56</v>
      </c>
      <c r="AE134" s="3" t="s">
        <v>122</v>
      </c>
      <c r="AF134" s="3" t="s">
        <v>123</v>
      </c>
    </row>
    <row r="135" s="1" customFormat="1" spans="1:31">
      <c r="A135" s="1" t="s">
        <v>7</v>
      </c>
      <c r="B135" s="1"/>
      <c r="C135" s="1"/>
      <c r="D135" s="1">
        <f>(D122+0.5)/(21748*1176/2361487+0.5)</f>
        <v>2.69189339302349</v>
      </c>
      <c r="G135" s="1">
        <f>(G122+0.5)/(21748*32187/2361487+0.5)</f>
        <v>0.527069807711046</v>
      </c>
      <c r="H135" s="1">
        <f>(H122+0.5)/(21748*1527/2361487+0.5)</f>
        <v>0.652345622765635</v>
      </c>
      <c r="J135" s="1">
        <f>(J122+0.5)/(21748*15383/2361487+0.5)</f>
        <v>0.305973892386559</v>
      </c>
      <c r="L135" s="1">
        <f>(L122+0.5)/(21748*2481/2361487+0.5)</f>
        <v>1.69174669163417</v>
      </c>
      <c r="M135" s="1">
        <f>(M122+0.5)/(21748*672/2361487+0.5)</f>
        <v>2.16781864238382</v>
      </c>
      <c r="Q135" s="1">
        <f>(Q122+0.5)/(21748*356/2361487+0.5)</f>
        <v>4.10208666191529</v>
      </c>
      <c r="R135" s="1">
        <f>(R122+0.5)/(21748*80/2361487+0.5)</f>
        <v>12.5327861709826</v>
      </c>
      <c r="T135" s="1">
        <f>(T122+0.5)/(21748*2615/2361487+0.5)</f>
        <v>2.58311574806853</v>
      </c>
      <c r="W135" s="1">
        <f>(W122+0.5)/(21748*816/2361487+0.5)</f>
        <v>0.561453420930077</v>
      </c>
      <c r="AA135" s="1">
        <f>(AA122+0.5)/(21748*8584/2361487+0.5)</f>
        <v>1.40156492108369</v>
      </c>
      <c r="AE135" s="1">
        <f>(AE122+0.5)/(21748*2347/2361487+0.5)</f>
        <v>0.293923701622874</v>
      </c>
    </row>
    <row r="136" s="1" customFormat="1" spans="1:31">
      <c r="A136" s="1" t="s">
        <v>8</v>
      </c>
      <c r="B136" s="1"/>
      <c r="C136" s="1"/>
      <c r="D136" s="1">
        <f>(D123+0.5)/(40850*1176/2361487+0.5)</f>
        <v>1.46332488516664</v>
      </c>
      <c r="G136" s="1">
        <f>(G123+0.5)/(40850*32187/2361487+0.5)</f>
        <v>0.605615452744743</v>
      </c>
      <c r="H136" s="1">
        <f>(H123+0.5)/(40850*1527/2361487+0.5)</f>
        <v>0.87312909444874</v>
      </c>
      <c r="I136" s="1">
        <f>(I123+0.5)/(40850*991/2361487+0.5)</f>
        <v>0.255062469137103</v>
      </c>
      <c r="J136" s="1">
        <f>(J123+0.5)/(40850*15383/2361487+0.5)</f>
        <v>0.313201380890305</v>
      </c>
      <c r="L136" s="1">
        <f>(L123+0.5)/(40850*2481/2361487+0.5)</f>
        <v>1.23222525504307</v>
      </c>
      <c r="M136" s="1">
        <f>(M123+0.5)/(40850*672/2361487+0.5)</f>
        <v>2.76299142948504</v>
      </c>
      <c r="Q136" s="1">
        <f>(Q123+0.5)/(40850*356/2361487+0.5)</f>
        <v>1.72718356626884</v>
      </c>
      <c r="R136" s="1">
        <f>(R123+0.5)/(40850*80/2361487+0.5)</f>
        <v>1.85787391428614</v>
      </c>
      <c r="S136" s="1">
        <f>(S123+0.5)/(40850*57/2361487+0.5)</f>
        <v>2.35530029905732</v>
      </c>
      <c r="T136" s="1">
        <f>(T123+0.5)/(40850*2615/2361487+0.5)</f>
        <v>0.688744762686774</v>
      </c>
      <c r="U136" s="1">
        <f>(U123+0.5)/(40850*246/2361487+0.5)</f>
        <v>1.99772387745208</v>
      </c>
      <c r="W136" s="1">
        <f>(W123+0.5)/(40850*816/2361487+0.5)</f>
        <v>0.786835203746524</v>
      </c>
      <c r="AA136" s="1">
        <f>(AA123+0.5)/(40850*8584/2361487+0.5)</f>
        <v>1.08396784576555</v>
      </c>
      <c r="AE136" s="1">
        <f>(AE123+0.5)/(40850*2347/2361487+0.5)</f>
        <v>0.644778304530893</v>
      </c>
    </row>
    <row r="137" s="1" customFormat="1" spans="1:31">
      <c r="A137" s="1" t="s">
        <v>9</v>
      </c>
      <c r="B137" s="1"/>
      <c r="C137" s="1"/>
      <c r="D137" s="1">
        <f>(D124+0.5)/(25243*1176/2361487+0.5)</f>
        <v>1.95091429428298</v>
      </c>
      <c r="G137" s="1">
        <f>(G124+0.5)/(25243*32187/2361487+0.5)</f>
        <v>0.515147715193187</v>
      </c>
      <c r="H137" s="1">
        <f>(H124+0.5)/(21748*1527/2361487+0.5)</f>
        <v>0.995685424221232</v>
      </c>
      <c r="I137" s="1">
        <f>(I124+0.5)/(25243*991/2361487+0.5)</f>
        <v>0.946521864429014</v>
      </c>
      <c r="J137" s="1">
        <f>(J124+0.5)/(25243*15383/2361487+0.5)</f>
        <v>0.178857440771283</v>
      </c>
      <c r="L137" s="1">
        <f>(L124+0.5)/(25243*2481/2361487+0.5)</f>
        <v>2.1650205791532</v>
      </c>
      <c r="T137" s="1">
        <f>(T124+0.5)/(25243*2615/2361487+0.5)</f>
        <v>0.790780140762058</v>
      </c>
      <c r="U137" s="1">
        <f>(U124+0.5)/(25243*246/2361487+0.5)</f>
        <v>1.43788114275833</v>
      </c>
      <c r="AA137" s="1">
        <f>(AA124+0.5)/(25243*8584/2361487+0.5)</f>
        <v>0.612411363243239</v>
      </c>
      <c r="AE137" s="1">
        <f>(AE124+0.5)/(25243*2347/2361487+0.5)</f>
        <v>0.254023915457873</v>
      </c>
    </row>
    <row r="138" s="1" customFormat="1" spans="1:31">
      <c r="A138" s="1" t="s">
        <v>10</v>
      </c>
      <c r="B138" s="1"/>
      <c r="C138" s="1"/>
      <c r="D138" s="1"/>
      <c r="E138" s="1"/>
      <c r="F138" s="1"/>
      <c r="G138" s="1">
        <f>(G125+0.5)/(25397*32187/2361487+0.5)</f>
        <v>0.408180478263984</v>
      </c>
      <c r="H138" s="1">
        <f>(H125+0.5)/(25397*1527/2361487+0.5)</f>
        <v>1.09322732836256</v>
      </c>
      <c r="J138" s="1">
        <f>(J125+0.5)/(25397*15383/2361487+0.5)</f>
        <v>0.328433939905464</v>
      </c>
      <c r="L138" s="1">
        <f>(L125+0.5)/(25397*2481/2361487+0.5)</f>
        <v>1.04847554202964</v>
      </c>
      <c r="M138" s="1">
        <f>(M125+0.5)/(25397*672/2361487+0.5)</f>
        <v>1.61767601117466</v>
      </c>
      <c r="Q138" s="1">
        <f>(Q125+0.5)/(25397*356/2361487+0.5)</f>
        <v>0.808564219663609</v>
      </c>
      <c r="S138" s="1">
        <f>(S125+0.5)/(25397*57/2361487+0.5)</f>
        <v>3.14460925915181</v>
      </c>
      <c r="T138" s="1">
        <f>(T125+0.5)/(25397*2615/2361487+0.5)</f>
        <v>0.995687199488871</v>
      </c>
      <c r="U138" s="1">
        <f>(U125+0.5)/(25397*246/2361487+0.5)</f>
        <v>3.97374476931826</v>
      </c>
      <c r="W138" s="1">
        <f>(W125+0.5)/(25397*816/2361487+0.5)</f>
        <v>0.916362407320385</v>
      </c>
      <c r="AA138" s="1">
        <f>(AA125+0.5)/(25397*8584/2361487+0.5)</f>
        <v>0.597944115627022</v>
      </c>
      <c r="AE138" s="1">
        <f>(AE125+0.5)/(25397*2347/2361487+0.5)</f>
        <v>0.135968812010331</v>
      </c>
    </row>
    <row r="139" s="1" customFormat="1" spans="1:27">
      <c r="A139" s="1" t="s">
        <v>11</v>
      </c>
      <c r="B139" s="1"/>
      <c r="C139" s="1">
        <f>(C126+0.5)/(1940*163/2361487+0.5)</f>
        <v>5.52131331191442</v>
      </c>
      <c r="G139" s="1">
        <f>(G126+0.5)/(1940*32187/2361487+0.5)</f>
        <v>0.686656555574134</v>
      </c>
      <c r="H139" s="1">
        <f>(H126+0.5)/(1940*1527/2361487+0.5)</f>
        <v>1.99492110240016</v>
      </c>
      <c r="L139" s="1">
        <f>(L126+0.5)/(1940*2481/2361487+0.5)</f>
        <v>9.65257858281697</v>
      </c>
      <c r="Q139" s="1">
        <f>(Q126+0.5)/(1940*356/2361487+0.5)</f>
        <v>9.46420255388593</v>
      </c>
      <c r="R139" s="1">
        <f>(R126+0.5)/(1940*80/2361487+0.5)</f>
        <v>13.2574113351351</v>
      </c>
      <c r="T139" s="1">
        <f>(T126+0.5)/(1940*2615/2361487+0.5)</f>
        <v>4.34246563733167</v>
      </c>
      <c r="AA139" s="1">
        <f>(AA126+0.5)/(1940*8584/2361487+0.5)</f>
        <v>1.25796229033414</v>
      </c>
    </row>
    <row r="140" s="1" customFormat="1" spans="1:27">
      <c r="A140" s="1" t="s">
        <v>12</v>
      </c>
      <c r="B140" s="1"/>
      <c r="C140" s="1"/>
      <c r="D140" s="1"/>
      <c r="E140" s="1"/>
      <c r="F140" s="1"/>
      <c r="G140" s="1">
        <f>(G127+0.5)/(7277*32187/2361487+0.5)</f>
        <v>0.406278554380256</v>
      </c>
      <c r="H140" s="1">
        <f>(H127+0.5)/(7277*1527/2361487+0.5)</f>
        <v>1.2486790863456</v>
      </c>
      <c r="I140" s="1">
        <f>(I127+0.5)/(7277*991/2361487+0.5)</f>
        <v>0.984861510032381</v>
      </c>
      <c r="T140" s="1">
        <f>(T127+0.5)/(7277*2615/2361487+0.5)</f>
        <v>1.34373914605117</v>
      </c>
      <c r="AA140" s="1">
        <f>(AA127+0.5)/(7277*8584/2361487+0.5)</f>
        <v>0.278273735395537</v>
      </c>
    </row>
    <row r="141" s="1" customFormat="1" spans="1:27">
      <c r="A141" s="1" t="s">
        <v>13</v>
      </c>
      <c r="B141" s="1"/>
      <c r="C141" s="1"/>
      <c r="D141" s="1"/>
      <c r="E141" s="1"/>
      <c r="F141" s="1"/>
      <c r="G141" s="1">
        <f>(G128+0.5)/(3349*32187/2361487+0.5)</f>
        <v>0.20586487875089</v>
      </c>
      <c r="J141" s="1">
        <f>(J128+0.5)/(3349*15383/2361487+0.5)</f>
        <v>0.336085136761383</v>
      </c>
      <c r="T141" s="1">
        <f>(T128+0.5)/(3349*2615/2361487+0.5)</f>
        <v>1.30687098504047</v>
      </c>
      <c r="AA141" s="1">
        <f>(AA128+0.5)/(3349*8584/2361487+0.5)</f>
        <v>0.512876855967625</v>
      </c>
    </row>
    <row r="142" s="1" customFormat="1" spans="1:27">
      <c r="A142" s="1" t="s">
        <v>14</v>
      </c>
      <c r="B142" s="1"/>
      <c r="C142" s="1">
        <f>(C129+0.5)/(13923*163/2361487+0.5)</f>
        <v>2.39557778297878</v>
      </c>
      <c r="G142" s="1">
        <f>(G129+0.5)/(13923*32187/2361487+0.5)</f>
        <v>0.790980862207542</v>
      </c>
      <c r="H142" s="1">
        <f>(H129+0.5)/(13923*1527/2361487+0.5)</f>
        <v>2.0519878324496</v>
      </c>
      <c r="J142" s="1">
        <f>(J129+0.5)/(13923*15383/2361487+0.5)</f>
        <v>0.444098252050963</v>
      </c>
      <c r="L142" s="1">
        <f>(L129+0.5)/(13923*2481/2361487+0.5)</f>
        <v>1.55344867420182</v>
      </c>
      <c r="M142" s="1">
        <f>(M129+0.5)/(13923*672/2361487+0.5)</f>
        <v>3.24965010200484</v>
      </c>
      <c r="T142" s="1">
        <f>(T129+0.5)/(13923*2615/2361487+0.5)</f>
        <v>4.80597750346484</v>
      </c>
      <c r="U142" s="1">
        <f>(U129+0.5)/(13923*246/2361487+0.5)</f>
        <v>11.0234821235783</v>
      </c>
      <c r="W142" s="1">
        <f>(W129+0.5)/(13923*816/2361487+0.5)</f>
        <v>1.41215734938012</v>
      </c>
      <c r="AA142" s="1">
        <f>(AA129+0.5)/(13923*8584/2361487+0.5)</f>
        <v>1.45763827086061</v>
      </c>
    </row>
    <row r="143" s="1" customFormat="1" spans="1:31">
      <c r="A143" s="1" t="s">
        <v>15</v>
      </c>
      <c r="B143" s="1"/>
      <c r="C143" s="1"/>
      <c r="D143" s="1"/>
      <c r="E143" s="1"/>
      <c r="F143" s="1"/>
      <c r="G143" s="1">
        <f>(G130+0.5)/(2733*32187/2361487+0.5)</f>
        <v>0.940379626468577</v>
      </c>
      <c r="H143" s="1">
        <f>(H130+0.5)/(2733*1527/2361487+0.5)</f>
        <v>2.425867539703</v>
      </c>
      <c r="J143" s="1">
        <f>(J130+0.5)/(2733*15383/2361487+0.5)</f>
        <v>0.355131510551251</v>
      </c>
      <c r="L143" s="1">
        <f>(L130+0.5)/(2733*2481/2361487+0.5)</f>
        <v>1.63141089793378</v>
      </c>
      <c r="T143" s="1">
        <f>(T130+0.5)/(2733*2615/2361487+0.5)</f>
        <v>1.55966598052954</v>
      </c>
      <c r="AA143" s="1">
        <f>(AA130+0.5)/(2733*8584/2361487+0.5)</f>
        <v>0.814609382550671</v>
      </c>
      <c r="AE143" s="1">
        <f>(AE130+0.5)/(2733*2347/2361487+0.5)</f>
        <v>1.08822931696242</v>
      </c>
    </row>
    <row r="144" s="1" customFormat="1" spans="1:31">
      <c r="A144" s="1" t="s">
        <v>16</v>
      </c>
      <c r="B144" s="1"/>
      <c r="C144" s="1"/>
      <c r="D144" s="1">
        <f>(D131+0.5)/(10967*1176/2361487+0.5)</f>
        <v>4.27746799237715</v>
      </c>
      <c r="G144" s="1">
        <f>(G131+0.5)/(10967*32187/2361487+0.5)</f>
        <v>0.916789546517921</v>
      </c>
      <c r="H144" s="1">
        <f>(H131+0.5)/(10967*1527/2361487+0.5)</f>
        <v>0.987940215935398</v>
      </c>
      <c r="J144" s="1">
        <f>(J131+0.5)/(10967*15383/2361487+0.5)</f>
        <v>0.34056011626307</v>
      </c>
      <c r="L144" s="1">
        <f>(L131+0.5)/(10967*2481/2361487+0.5)</f>
        <v>2.12110578313487</v>
      </c>
      <c r="M144" s="1">
        <f>(M131+0.5)/(10967*672/2361487+0.5)</f>
        <v>4.55695314960089</v>
      </c>
      <c r="T144" s="1">
        <f>(T131+0.5)/(10967*2615/2361487+0.5)</f>
        <v>0.751324208148051</v>
      </c>
      <c r="W144" s="1">
        <f>(W131+0.5)/(40850*816/2361487+0.5)</f>
        <v>0.239471583748942</v>
      </c>
      <c r="AA144" s="1">
        <f>(AA131+0.5)/(10967*8584/2361487+0.5)</f>
        <v>0.854700417628362</v>
      </c>
      <c r="AE144" s="1">
        <f>(AE131+0.5)/(10967*2347/2361487+0.5)</f>
        <v>0.745632295785791</v>
      </c>
    </row>
    <row r="146" s="1" customFormat="1" spans="1:32">
      <c r="A146" s="1" t="s">
        <v>22</v>
      </c>
      <c r="B146" s="1"/>
      <c r="C146" s="3" t="s">
        <v>96</v>
      </c>
      <c r="D146" s="3" t="s">
        <v>97</v>
      </c>
      <c r="E146" s="3" t="s">
        <v>98</v>
      </c>
      <c r="F146" s="3" t="s">
        <v>99</v>
      </c>
      <c r="G146" s="3" t="s">
        <v>100</v>
      </c>
      <c r="H146" s="3" t="s">
        <v>101</v>
      </c>
      <c r="I146" s="3" t="s">
        <v>102</v>
      </c>
      <c r="J146" s="3" t="s">
        <v>103</v>
      </c>
      <c r="K146" s="3" t="s">
        <v>104</v>
      </c>
      <c r="L146" s="3" t="s">
        <v>105</v>
      </c>
      <c r="M146" s="3" t="s">
        <v>106</v>
      </c>
      <c r="N146" s="3" t="s">
        <v>107</v>
      </c>
      <c r="O146" s="3" t="s">
        <v>108</v>
      </c>
      <c r="P146" s="3" t="s">
        <v>109</v>
      </c>
      <c r="Q146" s="3" t="s">
        <v>110</v>
      </c>
      <c r="R146" s="3" t="s">
        <v>111</v>
      </c>
      <c r="S146" s="3" t="s">
        <v>112</v>
      </c>
      <c r="T146" s="3" t="s">
        <v>41</v>
      </c>
      <c r="U146" s="3" t="s">
        <v>113</v>
      </c>
      <c r="V146" s="3" t="s">
        <v>114</v>
      </c>
      <c r="W146" s="3" t="s">
        <v>115</v>
      </c>
      <c r="X146" s="3" t="s">
        <v>116</v>
      </c>
      <c r="Y146" s="3" t="s">
        <v>117</v>
      </c>
      <c r="Z146" s="3" t="s">
        <v>118</v>
      </c>
      <c r="AA146" s="3" t="s">
        <v>119</v>
      </c>
      <c r="AB146" s="3" t="s">
        <v>120</v>
      </c>
      <c r="AC146" s="3" t="s">
        <v>121</v>
      </c>
      <c r="AD146" s="3" t="s">
        <v>56</v>
      </c>
      <c r="AE146" s="3" t="s">
        <v>122</v>
      </c>
      <c r="AF146" s="3" t="s">
        <v>123</v>
      </c>
    </row>
    <row r="147" s="1" customFormat="1" spans="1:32">
      <c r="A147" s="1" t="s">
        <v>7</v>
      </c>
      <c r="B147" s="1"/>
      <c r="C147" s="1" t="e">
        <f t="shared" ref="C147:AF147" si="52">LOG(C135,2)</f>
        <v>#NUM!</v>
      </c>
      <c r="D147" s="1">
        <f t="shared" si="52"/>
        <v>1.42862127606941</v>
      </c>
      <c r="E147" s="1" t="e">
        <f t="shared" si="52"/>
        <v>#NUM!</v>
      </c>
      <c r="F147" s="1" t="e">
        <f t="shared" si="52"/>
        <v>#NUM!</v>
      </c>
      <c r="G147" s="1">
        <f t="shared" si="52"/>
        <v>-0.923934042761302</v>
      </c>
      <c r="H147" s="1">
        <f t="shared" si="52"/>
        <v>-0.616291565804937</v>
      </c>
      <c r="I147" s="1" t="e">
        <f t="shared" si="52"/>
        <v>#NUM!</v>
      </c>
      <c r="J147" s="1">
        <f t="shared" si="52"/>
        <v>-1.70851953651622</v>
      </c>
      <c r="K147" s="1" t="e">
        <f t="shared" si="52"/>
        <v>#NUM!</v>
      </c>
      <c r="L147" s="1">
        <f t="shared" si="52"/>
        <v>0.758513567227758</v>
      </c>
      <c r="M147" s="1">
        <f t="shared" si="52"/>
        <v>1.11624406726484</v>
      </c>
      <c r="N147" s="1" t="e">
        <f t="shared" si="52"/>
        <v>#NUM!</v>
      </c>
      <c r="O147" s="1" t="e">
        <f t="shared" si="52"/>
        <v>#NUM!</v>
      </c>
      <c r="P147" s="1" t="e">
        <f t="shared" si="52"/>
        <v>#NUM!</v>
      </c>
      <c r="Q147" s="1">
        <f t="shared" si="52"/>
        <v>2.03635797094861</v>
      </c>
      <c r="R147" s="1">
        <f t="shared" si="52"/>
        <v>3.64763527157645</v>
      </c>
      <c r="S147" s="1" t="e">
        <f t="shared" si="52"/>
        <v>#NUM!</v>
      </c>
      <c r="T147" s="1">
        <f t="shared" si="52"/>
        <v>1.36911229131618</v>
      </c>
      <c r="U147" s="1" t="e">
        <f t="shared" si="52"/>
        <v>#NUM!</v>
      </c>
      <c r="V147" s="1" t="e">
        <f t="shared" si="52"/>
        <v>#NUM!</v>
      </c>
      <c r="W147" s="1">
        <f t="shared" si="52"/>
        <v>-0.8327617555751</v>
      </c>
      <c r="X147" s="1" t="e">
        <f t="shared" si="52"/>
        <v>#NUM!</v>
      </c>
      <c r="Y147" s="1" t="e">
        <f t="shared" si="52"/>
        <v>#NUM!</v>
      </c>
      <c r="Z147" s="1" t="e">
        <f t="shared" si="52"/>
        <v>#NUM!</v>
      </c>
      <c r="AA147" s="1">
        <f t="shared" si="52"/>
        <v>0.487038572166513</v>
      </c>
      <c r="AB147" s="1" t="e">
        <f t="shared" si="52"/>
        <v>#NUM!</v>
      </c>
      <c r="AC147" s="1" t="e">
        <f t="shared" si="52"/>
        <v>#NUM!</v>
      </c>
      <c r="AD147" s="1" t="e">
        <f t="shared" si="52"/>
        <v>#NUM!</v>
      </c>
      <c r="AE147" s="1">
        <f t="shared" si="52"/>
        <v>-1.76648639416604</v>
      </c>
      <c r="AF147" s="1" t="e">
        <f t="shared" si="52"/>
        <v>#NUM!</v>
      </c>
    </row>
    <row r="148" s="1" customFormat="1" spans="1:32">
      <c r="A148" s="1" t="s">
        <v>8</v>
      </c>
      <c r="B148" s="1"/>
      <c r="C148" s="1" t="e">
        <f t="shared" ref="C148:AF148" si="53">LOG(C136,2)</f>
        <v>#NUM!</v>
      </c>
      <c r="D148" s="1">
        <f t="shared" si="53"/>
        <v>0.549250109998445</v>
      </c>
      <c r="E148" s="1" t="e">
        <f t="shared" si="53"/>
        <v>#NUM!</v>
      </c>
      <c r="F148" s="1" t="e">
        <f t="shared" si="53"/>
        <v>#NUM!</v>
      </c>
      <c r="G148" s="1">
        <f t="shared" si="53"/>
        <v>-0.723526077618892</v>
      </c>
      <c r="H148" s="1">
        <f t="shared" si="53"/>
        <v>-0.19573311897996</v>
      </c>
      <c r="I148" s="1">
        <f t="shared" si="53"/>
        <v>-1.97107746397199</v>
      </c>
      <c r="J148" s="1">
        <f t="shared" si="53"/>
        <v>-1.67483752146913</v>
      </c>
      <c r="K148" s="1" t="e">
        <f t="shared" si="53"/>
        <v>#NUM!</v>
      </c>
      <c r="L148" s="1">
        <f t="shared" si="53"/>
        <v>0.301266009789753</v>
      </c>
      <c r="M148" s="1">
        <f t="shared" si="53"/>
        <v>1.46623108706586</v>
      </c>
      <c r="N148" s="1" t="e">
        <f t="shared" si="53"/>
        <v>#NUM!</v>
      </c>
      <c r="O148" s="1" t="e">
        <f t="shared" si="53"/>
        <v>#NUM!</v>
      </c>
      <c r="P148" s="1" t="e">
        <f t="shared" si="53"/>
        <v>#NUM!</v>
      </c>
      <c r="Q148" s="1">
        <f t="shared" si="53"/>
        <v>0.788421421646262</v>
      </c>
      <c r="R148" s="1">
        <f t="shared" si="53"/>
        <v>0.893652595689099</v>
      </c>
      <c r="S148" s="1">
        <f t="shared" si="53"/>
        <v>1.23591101412286</v>
      </c>
      <c r="T148" s="1">
        <f t="shared" si="53"/>
        <v>-0.537958651620332</v>
      </c>
      <c r="U148" s="1">
        <f t="shared" si="53"/>
        <v>0.998357189656999</v>
      </c>
      <c r="V148" s="1" t="e">
        <f t="shared" si="53"/>
        <v>#NUM!</v>
      </c>
      <c r="W148" s="1">
        <f t="shared" si="53"/>
        <v>-0.345866588294869</v>
      </c>
      <c r="X148" s="1" t="e">
        <f t="shared" si="53"/>
        <v>#NUM!</v>
      </c>
      <c r="Y148" s="1" t="e">
        <f t="shared" si="53"/>
        <v>#NUM!</v>
      </c>
      <c r="Z148" s="1" t="e">
        <f t="shared" si="53"/>
        <v>#NUM!</v>
      </c>
      <c r="AA148" s="1">
        <f t="shared" si="53"/>
        <v>0.116321962003038</v>
      </c>
      <c r="AB148" s="1" t="e">
        <f t="shared" si="53"/>
        <v>#NUM!</v>
      </c>
      <c r="AC148" s="1" t="e">
        <f t="shared" si="53"/>
        <v>#NUM!</v>
      </c>
      <c r="AD148" s="1" t="e">
        <f t="shared" si="53"/>
        <v>#NUM!</v>
      </c>
      <c r="AE148" s="1">
        <f t="shared" si="53"/>
        <v>-0.63312489393754</v>
      </c>
      <c r="AF148" s="1" t="e">
        <f t="shared" si="53"/>
        <v>#NUM!</v>
      </c>
    </row>
    <row r="149" s="1" customFormat="1" spans="1:32">
      <c r="A149" s="1" t="s">
        <v>9</v>
      </c>
      <c r="B149" s="1"/>
      <c r="C149" s="1" t="e">
        <f t="shared" ref="C149:AF149" si="54">LOG(C137,2)</f>
        <v>#NUM!</v>
      </c>
      <c r="D149" s="1">
        <f t="shared" si="54"/>
        <v>0.964150400228407</v>
      </c>
      <c r="E149" s="1" t="e">
        <f t="shared" si="54"/>
        <v>#NUM!</v>
      </c>
      <c r="F149" s="1" t="e">
        <f t="shared" si="54"/>
        <v>#NUM!</v>
      </c>
      <c r="G149" s="1">
        <f t="shared" si="54"/>
        <v>-0.956941920028199</v>
      </c>
      <c r="H149" s="1">
        <f t="shared" si="54"/>
        <v>-0.00623808412095019</v>
      </c>
      <c r="I149" s="1">
        <f t="shared" si="54"/>
        <v>-0.0792922626625748</v>
      </c>
      <c r="J149" s="1">
        <f t="shared" si="54"/>
        <v>-2.48311795675811</v>
      </c>
      <c r="K149" s="1" t="e">
        <f t="shared" si="54"/>
        <v>#NUM!</v>
      </c>
      <c r="L149" s="1">
        <f t="shared" si="54"/>
        <v>1.11438073825508</v>
      </c>
      <c r="M149" s="1" t="e">
        <f t="shared" si="54"/>
        <v>#NUM!</v>
      </c>
      <c r="N149" s="1" t="e">
        <f t="shared" si="54"/>
        <v>#NUM!</v>
      </c>
      <c r="O149" s="1" t="e">
        <f t="shared" si="54"/>
        <v>#NUM!</v>
      </c>
      <c r="P149" s="1" t="e">
        <f t="shared" si="54"/>
        <v>#NUM!</v>
      </c>
      <c r="Q149" s="1" t="e">
        <f t="shared" si="54"/>
        <v>#NUM!</v>
      </c>
      <c r="R149" s="1" t="e">
        <f t="shared" si="54"/>
        <v>#NUM!</v>
      </c>
      <c r="S149" s="1" t="e">
        <f t="shared" si="54"/>
        <v>#NUM!</v>
      </c>
      <c r="T149" s="1">
        <f t="shared" si="54"/>
        <v>-0.338651454452325</v>
      </c>
      <c r="U149" s="1">
        <f t="shared" si="54"/>
        <v>0.523944425540697</v>
      </c>
      <c r="V149" s="1" t="e">
        <f t="shared" si="54"/>
        <v>#NUM!</v>
      </c>
      <c r="W149" s="1" t="e">
        <f t="shared" si="54"/>
        <v>#NUM!</v>
      </c>
      <c r="X149" s="1" t="e">
        <f t="shared" si="54"/>
        <v>#NUM!</v>
      </c>
      <c r="Y149" s="1" t="e">
        <f t="shared" si="54"/>
        <v>#NUM!</v>
      </c>
      <c r="Z149" s="1" t="e">
        <f t="shared" si="54"/>
        <v>#NUM!</v>
      </c>
      <c r="AA149" s="1">
        <f t="shared" si="54"/>
        <v>-0.707427042711687</v>
      </c>
      <c r="AB149" s="1" t="e">
        <f t="shared" si="54"/>
        <v>#NUM!</v>
      </c>
      <c r="AC149" s="1" t="e">
        <f t="shared" si="54"/>
        <v>#NUM!</v>
      </c>
      <c r="AD149" s="1" t="e">
        <f t="shared" si="54"/>
        <v>#NUM!</v>
      </c>
      <c r="AE149" s="1">
        <f t="shared" si="54"/>
        <v>-1.97696376683374</v>
      </c>
      <c r="AF149" s="1" t="e">
        <f t="shared" si="54"/>
        <v>#NUM!</v>
      </c>
    </row>
    <row r="150" s="1" customFormat="1" spans="1:32">
      <c r="A150" s="1" t="s">
        <v>10</v>
      </c>
      <c r="B150" s="1"/>
      <c r="C150" s="1" t="e">
        <f t="shared" ref="C150:AF150" si="55">LOG(C138,2)</f>
        <v>#NUM!</v>
      </c>
      <c r="D150" s="1" t="e">
        <f t="shared" si="55"/>
        <v>#NUM!</v>
      </c>
      <c r="E150" s="1" t="e">
        <f t="shared" si="55"/>
        <v>#NUM!</v>
      </c>
      <c r="F150" s="1" t="e">
        <f t="shared" si="55"/>
        <v>#NUM!</v>
      </c>
      <c r="G150" s="1">
        <f t="shared" si="55"/>
        <v>-1.29272090954078</v>
      </c>
      <c r="H150" s="1">
        <f t="shared" si="55"/>
        <v>0.128593429738077</v>
      </c>
      <c r="I150" s="1" t="e">
        <f t="shared" si="55"/>
        <v>#NUM!</v>
      </c>
      <c r="J150" s="1">
        <f t="shared" si="55"/>
        <v>-1.60632487397375</v>
      </c>
      <c r="K150" s="1" t="e">
        <f t="shared" si="55"/>
        <v>#NUM!</v>
      </c>
      <c r="L150" s="1">
        <f t="shared" si="55"/>
        <v>0.0682932078302185</v>
      </c>
      <c r="M150" s="1">
        <f t="shared" si="55"/>
        <v>0.693922693135175</v>
      </c>
      <c r="N150" s="1" t="e">
        <f t="shared" si="55"/>
        <v>#NUM!</v>
      </c>
      <c r="O150" s="1" t="e">
        <f t="shared" si="55"/>
        <v>#NUM!</v>
      </c>
      <c r="P150" s="1" t="e">
        <f t="shared" si="55"/>
        <v>#NUM!</v>
      </c>
      <c r="Q150" s="1">
        <f t="shared" si="55"/>
        <v>-0.306565731564663</v>
      </c>
      <c r="R150" s="1" t="e">
        <f t="shared" si="55"/>
        <v>#NUM!</v>
      </c>
      <c r="S150" s="1">
        <f t="shared" si="55"/>
        <v>1.65288076276254</v>
      </c>
      <c r="T150" s="1">
        <f t="shared" si="55"/>
        <v>-0.00623551185517878</v>
      </c>
      <c r="U150" s="1">
        <f t="shared" si="55"/>
        <v>1.99049921232995</v>
      </c>
      <c r="V150" s="1" t="e">
        <f t="shared" si="55"/>
        <v>#NUM!</v>
      </c>
      <c r="W150" s="1">
        <f t="shared" si="55"/>
        <v>-0.126009819881721</v>
      </c>
      <c r="X150" s="1" t="e">
        <f t="shared" si="55"/>
        <v>#NUM!</v>
      </c>
      <c r="Y150" s="1" t="e">
        <f t="shared" si="55"/>
        <v>#NUM!</v>
      </c>
      <c r="Z150" s="1" t="e">
        <f t="shared" si="55"/>
        <v>#NUM!</v>
      </c>
      <c r="AA150" s="1">
        <f t="shared" si="55"/>
        <v>-0.741917439686793</v>
      </c>
      <c r="AB150" s="1" t="e">
        <f t="shared" si="55"/>
        <v>#NUM!</v>
      </c>
      <c r="AC150" s="1" t="e">
        <f t="shared" si="55"/>
        <v>#NUM!</v>
      </c>
      <c r="AD150" s="1" t="e">
        <f t="shared" si="55"/>
        <v>#NUM!</v>
      </c>
      <c r="AE150" s="1">
        <f t="shared" si="55"/>
        <v>-2.87865232516172</v>
      </c>
      <c r="AF150" s="1" t="e">
        <f t="shared" si="55"/>
        <v>#NUM!</v>
      </c>
    </row>
    <row r="151" s="1" customFormat="1" spans="1:32">
      <c r="A151" s="1" t="s">
        <v>11</v>
      </c>
      <c r="B151" s="1"/>
      <c r="C151" s="1">
        <f t="shared" ref="C151:AF151" si="56">LOG(C139,2)</f>
        <v>2.46501147048685</v>
      </c>
      <c r="D151" s="1" t="e">
        <f t="shared" si="56"/>
        <v>#NUM!</v>
      </c>
      <c r="E151" s="1" t="e">
        <f t="shared" si="56"/>
        <v>#NUM!</v>
      </c>
      <c r="F151" s="1" t="e">
        <f t="shared" si="56"/>
        <v>#NUM!</v>
      </c>
      <c r="G151" s="1">
        <f t="shared" si="56"/>
        <v>-0.542339406997788</v>
      </c>
      <c r="H151" s="1">
        <f t="shared" si="56"/>
        <v>0.99633169009331</v>
      </c>
      <c r="I151" s="1" t="e">
        <f t="shared" si="56"/>
        <v>#NUM!</v>
      </c>
      <c r="J151" s="1" t="e">
        <f t="shared" si="56"/>
        <v>#NUM!</v>
      </c>
      <c r="K151" s="1" t="e">
        <f t="shared" si="56"/>
        <v>#NUM!</v>
      </c>
      <c r="L151" s="1">
        <f t="shared" si="56"/>
        <v>3.27091439437085</v>
      </c>
      <c r="M151" s="1" t="e">
        <f t="shared" si="56"/>
        <v>#NUM!</v>
      </c>
      <c r="N151" s="1" t="e">
        <f t="shared" si="56"/>
        <v>#NUM!</v>
      </c>
      <c r="O151" s="1" t="e">
        <f t="shared" si="56"/>
        <v>#NUM!</v>
      </c>
      <c r="P151" s="1" t="e">
        <f t="shared" si="56"/>
        <v>#NUM!</v>
      </c>
      <c r="Q151" s="1">
        <f t="shared" si="56"/>
        <v>3.24248095072331</v>
      </c>
      <c r="R151" s="1">
        <f t="shared" si="56"/>
        <v>3.72872719473025</v>
      </c>
      <c r="S151" s="1" t="e">
        <f t="shared" si="56"/>
        <v>#NUM!</v>
      </c>
      <c r="T151" s="1">
        <f t="shared" si="56"/>
        <v>2.11851443268988</v>
      </c>
      <c r="U151" s="1" t="e">
        <f t="shared" si="56"/>
        <v>#NUM!</v>
      </c>
      <c r="V151" s="1" t="e">
        <f t="shared" si="56"/>
        <v>#NUM!</v>
      </c>
      <c r="W151" s="1" t="e">
        <f t="shared" si="56"/>
        <v>#NUM!</v>
      </c>
      <c r="X151" s="1" t="e">
        <f t="shared" si="56"/>
        <v>#NUM!</v>
      </c>
      <c r="Y151" s="1" t="e">
        <f t="shared" si="56"/>
        <v>#NUM!</v>
      </c>
      <c r="Z151" s="1" t="e">
        <f t="shared" si="56"/>
        <v>#NUM!</v>
      </c>
      <c r="AA151" s="1">
        <f t="shared" si="56"/>
        <v>0.331088675505485</v>
      </c>
      <c r="AB151" s="1" t="e">
        <f t="shared" si="56"/>
        <v>#NUM!</v>
      </c>
      <c r="AC151" s="1" t="e">
        <f t="shared" si="56"/>
        <v>#NUM!</v>
      </c>
      <c r="AD151" s="1" t="e">
        <f t="shared" si="56"/>
        <v>#NUM!</v>
      </c>
      <c r="AE151" s="1" t="e">
        <f t="shared" si="56"/>
        <v>#NUM!</v>
      </c>
      <c r="AF151" s="1" t="e">
        <f t="shared" si="56"/>
        <v>#NUM!</v>
      </c>
    </row>
    <row r="152" s="1" customFormat="1" spans="1:32">
      <c r="A152" s="1" t="s">
        <v>12</v>
      </c>
      <c r="B152" s="1"/>
      <c r="C152" s="1" t="e">
        <f t="shared" ref="C152:AF152" si="57">LOG(C140,2)</f>
        <v>#NUM!</v>
      </c>
      <c r="D152" s="1" t="e">
        <f t="shared" si="57"/>
        <v>#NUM!</v>
      </c>
      <c r="E152" s="1" t="e">
        <f t="shared" si="57"/>
        <v>#NUM!</v>
      </c>
      <c r="F152" s="1" t="e">
        <f t="shared" si="57"/>
        <v>#NUM!</v>
      </c>
      <c r="G152" s="1">
        <f t="shared" si="57"/>
        <v>-1.29945888169866</v>
      </c>
      <c r="H152" s="1">
        <f t="shared" si="57"/>
        <v>0.320402748341996</v>
      </c>
      <c r="I152" s="1">
        <f t="shared" si="57"/>
        <v>-0.0220072259899874</v>
      </c>
      <c r="J152" s="1" t="e">
        <f t="shared" si="57"/>
        <v>#NUM!</v>
      </c>
      <c r="K152" s="1" t="e">
        <f t="shared" si="57"/>
        <v>#NUM!</v>
      </c>
      <c r="L152" s="1" t="e">
        <f t="shared" si="57"/>
        <v>#NUM!</v>
      </c>
      <c r="M152" s="1" t="e">
        <f t="shared" si="57"/>
        <v>#NUM!</v>
      </c>
      <c r="N152" s="1" t="e">
        <f t="shared" si="57"/>
        <v>#NUM!</v>
      </c>
      <c r="O152" s="1" t="e">
        <f t="shared" si="57"/>
        <v>#NUM!</v>
      </c>
      <c r="P152" s="1" t="e">
        <f t="shared" si="57"/>
        <v>#NUM!</v>
      </c>
      <c r="Q152" s="1" t="e">
        <f t="shared" si="57"/>
        <v>#NUM!</v>
      </c>
      <c r="R152" s="1" t="e">
        <f t="shared" si="57"/>
        <v>#NUM!</v>
      </c>
      <c r="S152" s="1" t="e">
        <f t="shared" si="57"/>
        <v>#NUM!</v>
      </c>
      <c r="T152" s="1">
        <f t="shared" si="57"/>
        <v>0.426253101491757</v>
      </c>
      <c r="U152" s="1" t="e">
        <f t="shared" si="57"/>
        <v>#NUM!</v>
      </c>
      <c r="V152" s="1" t="e">
        <f t="shared" si="57"/>
        <v>#NUM!</v>
      </c>
      <c r="W152" s="1" t="e">
        <f t="shared" si="57"/>
        <v>#NUM!</v>
      </c>
      <c r="X152" s="1" t="e">
        <f t="shared" si="57"/>
        <v>#NUM!</v>
      </c>
      <c r="Y152" s="1" t="e">
        <f t="shared" si="57"/>
        <v>#NUM!</v>
      </c>
      <c r="Z152" s="1" t="e">
        <f t="shared" si="57"/>
        <v>#NUM!</v>
      </c>
      <c r="AA152" s="1">
        <f t="shared" si="57"/>
        <v>-1.84542334720507</v>
      </c>
      <c r="AB152" s="1" t="e">
        <f t="shared" si="57"/>
        <v>#NUM!</v>
      </c>
      <c r="AC152" s="1" t="e">
        <f t="shared" si="57"/>
        <v>#NUM!</v>
      </c>
      <c r="AD152" s="1" t="e">
        <f t="shared" si="57"/>
        <v>#NUM!</v>
      </c>
      <c r="AE152" s="1" t="e">
        <f t="shared" si="57"/>
        <v>#NUM!</v>
      </c>
      <c r="AF152" s="1" t="e">
        <f t="shared" si="57"/>
        <v>#NUM!</v>
      </c>
    </row>
    <row r="153" s="1" customFormat="1" spans="1:32">
      <c r="A153" s="1" t="s">
        <v>13</v>
      </c>
      <c r="B153" s="1"/>
      <c r="C153" s="1" t="e">
        <f t="shared" ref="C153:AF153" si="58">LOG(C141,2)</f>
        <v>#NUM!</v>
      </c>
      <c r="D153" s="1" t="e">
        <f t="shared" si="58"/>
        <v>#NUM!</v>
      </c>
      <c r="E153" s="1" t="e">
        <f t="shared" si="58"/>
        <v>#NUM!</v>
      </c>
      <c r="F153" s="1" t="e">
        <f t="shared" si="58"/>
        <v>#NUM!</v>
      </c>
      <c r="G153" s="1">
        <f t="shared" si="58"/>
        <v>-2.28023037260951</v>
      </c>
      <c r="H153" s="1" t="e">
        <f t="shared" si="58"/>
        <v>#NUM!</v>
      </c>
      <c r="I153" s="1" t="e">
        <f t="shared" si="58"/>
        <v>#NUM!</v>
      </c>
      <c r="J153" s="1">
        <f t="shared" si="58"/>
        <v>-1.57310135347559</v>
      </c>
      <c r="K153" s="1" t="e">
        <f t="shared" si="58"/>
        <v>#NUM!</v>
      </c>
      <c r="L153" s="1" t="e">
        <f t="shared" si="58"/>
        <v>#NUM!</v>
      </c>
      <c r="M153" s="1" t="e">
        <f t="shared" si="58"/>
        <v>#NUM!</v>
      </c>
      <c r="N153" s="1" t="e">
        <f t="shared" si="58"/>
        <v>#NUM!</v>
      </c>
      <c r="O153" s="1" t="e">
        <f t="shared" si="58"/>
        <v>#NUM!</v>
      </c>
      <c r="P153" s="1" t="e">
        <f t="shared" si="58"/>
        <v>#NUM!</v>
      </c>
      <c r="Q153" s="1" t="e">
        <f t="shared" si="58"/>
        <v>#NUM!</v>
      </c>
      <c r="R153" s="1" t="e">
        <f t="shared" si="58"/>
        <v>#NUM!</v>
      </c>
      <c r="S153" s="1" t="e">
        <f t="shared" si="58"/>
        <v>#NUM!</v>
      </c>
      <c r="T153" s="1">
        <f t="shared" si="58"/>
        <v>0.386116724584454</v>
      </c>
      <c r="U153" s="1" t="e">
        <f t="shared" si="58"/>
        <v>#NUM!</v>
      </c>
      <c r="V153" s="1" t="e">
        <f t="shared" si="58"/>
        <v>#NUM!</v>
      </c>
      <c r="W153" s="1" t="e">
        <f t="shared" si="58"/>
        <v>#NUM!</v>
      </c>
      <c r="X153" s="1" t="e">
        <f t="shared" si="58"/>
        <v>#NUM!</v>
      </c>
      <c r="Y153" s="1" t="e">
        <f t="shared" si="58"/>
        <v>#NUM!</v>
      </c>
      <c r="Z153" s="1" t="e">
        <f t="shared" si="58"/>
        <v>#NUM!</v>
      </c>
      <c r="AA153" s="1">
        <f t="shared" si="58"/>
        <v>-0.963315625022891</v>
      </c>
      <c r="AB153" s="1" t="e">
        <f t="shared" si="58"/>
        <v>#NUM!</v>
      </c>
      <c r="AC153" s="1" t="e">
        <f t="shared" si="58"/>
        <v>#NUM!</v>
      </c>
      <c r="AD153" s="1" t="e">
        <f t="shared" si="58"/>
        <v>#NUM!</v>
      </c>
      <c r="AE153" s="1" t="e">
        <f t="shared" si="58"/>
        <v>#NUM!</v>
      </c>
      <c r="AF153" s="1" t="e">
        <f t="shared" si="58"/>
        <v>#NUM!</v>
      </c>
    </row>
    <row r="154" s="1" customFormat="1" spans="1:32">
      <c r="A154" s="1" t="s">
        <v>14</v>
      </c>
      <c r="B154" s="1"/>
      <c r="C154" s="1">
        <f t="shared" ref="C154:AF154" si="59">LOG(C142,2)</f>
        <v>1.26037365767649</v>
      </c>
      <c r="D154" s="1" t="e">
        <f t="shared" si="59"/>
        <v>#NUM!</v>
      </c>
      <c r="E154" s="1" t="e">
        <f t="shared" si="59"/>
        <v>#NUM!</v>
      </c>
      <c r="F154" s="1" t="e">
        <f t="shared" si="59"/>
        <v>#NUM!</v>
      </c>
      <c r="G154" s="1">
        <f t="shared" si="59"/>
        <v>-0.338285305792685</v>
      </c>
      <c r="H154" s="1">
        <f t="shared" si="59"/>
        <v>1.03702217630722</v>
      </c>
      <c r="I154" s="1" t="e">
        <f t="shared" si="59"/>
        <v>#NUM!</v>
      </c>
      <c r="J154" s="1">
        <f t="shared" si="59"/>
        <v>-1.1710492019484</v>
      </c>
      <c r="K154" s="1" t="e">
        <f t="shared" si="59"/>
        <v>#NUM!</v>
      </c>
      <c r="L154" s="1">
        <f t="shared" si="59"/>
        <v>0.635474575738641</v>
      </c>
      <c r="M154" s="1">
        <f t="shared" si="59"/>
        <v>1.70028438790177</v>
      </c>
      <c r="N154" s="1" t="e">
        <f t="shared" si="59"/>
        <v>#NUM!</v>
      </c>
      <c r="O154" s="1" t="e">
        <f t="shared" si="59"/>
        <v>#NUM!</v>
      </c>
      <c r="P154" s="1" t="e">
        <f t="shared" si="59"/>
        <v>#NUM!</v>
      </c>
      <c r="Q154" s="1" t="e">
        <f t="shared" si="59"/>
        <v>#NUM!</v>
      </c>
      <c r="R154" s="1" t="e">
        <f t="shared" si="59"/>
        <v>#NUM!</v>
      </c>
      <c r="S154" s="1" t="e">
        <f t="shared" si="59"/>
        <v>#NUM!</v>
      </c>
      <c r="T154" s="1">
        <f t="shared" si="59"/>
        <v>2.2648298953018</v>
      </c>
      <c r="U154" s="1">
        <f t="shared" si="59"/>
        <v>3.46250811270701</v>
      </c>
      <c r="V154" s="1" t="e">
        <f t="shared" si="59"/>
        <v>#NUM!</v>
      </c>
      <c r="W154" s="1">
        <f t="shared" si="59"/>
        <v>0.497900849602574</v>
      </c>
      <c r="X154" s="1" t="e">
        <f t="shared" si="59"/>
        <v>#NUM!</v>
      </c>
      <c r="Y154" s="1" t="e">
        <f t="shared" si="59"/>
        <v>#NUM!</v>
      </c>
      <c r="Z154" s="1" t="e">
        <f t="shared" si="59"/>
        <v>#NUM!</v>
      </c>
      <c r="AA154" s="1">
        <f t="shared" si="59"/>
        <v>0.543632743270151</v>
      </c>
      <c r="AB154" s="1" t="e">
        <f t="shared" si="59"/>
        <v>#NUM!</v>
      </c>
      <c r="AC154" s="1" t="e">
        <f t="shared" si="59"/>
        <v>#NUM!</v>
      </c>
      <c r="AD154" s="1" t="e">
        <f t="shared" si="59"/>
        <v>#NUM!</v>
      </c>
      <c r="AE154" s="1" t="e">
        <f t="shared" si="59"/>
        <v>#NUM!</v>
      </c>
      <c r="AF154" s="1" t="e">
        <f t="shared" si="59"/>
        <v>#NUM!</v>
      </c>
    </row>
    <row r="155" s="1" customFormat="1" spans="1:32">
      <c r="A155" s="1" t="s">
        <v>15</v>
      </c>
      <c r="B155" s="1"/>
      <c r="C155" s="1" t="e">
        <f t="shared" ref="C155:AF155" si="60">LOG(C143,2)</f>
        <v>#NUM!</v>
      </c>
      <c r="D155" s="1" t="e">
        <f t="shared" si="60"/>
        <v>#NUM!</v>
      </c>
      <c r="E155" s="1" t="e">
        <f t="shared" si="60"/>
        <v>#NUM!</v>
      </c>
      <c r="F155" s="1" t="e">
        <f t="shared" si="60"/>
        <v>#NUM!</v>
      </c>
      <c r="G155" s="1">
        <f t="shared" si="60"/>
        <v>-0.0886848118631949</v>
      </c>
      <c r="H155" s="1">
        <f t="shared" si="60"/>
        <v>1.27850077674415</v>
      </c>
      <c r="I155" s="1" t="e">
        <f t="shared" si="60"/>
        <v>#NUM!</v>
      </c>
      <c r="J155" s="1">
        <f t="shared" si="60"/>
        <v>-1.49357471960551</v>
      </c>
      <c r="K155" s="1" t="e">
        <f t="shared" si="60"/>
        <v>#NUM!</v>
      </c>
      <c r="L155" s="1">
        <f t="shared" si="60"/>
        <v>0.706120194527902</v>
      </c>
      <c r="M155" s="1" t="e">
        <f t="shared" si="60"/>
        <v>#NUM!</v>
      </c>
      <c r="N155" s="1" t="e">
        <f t="shared" si="60"/>
        <v>#NUM!</v>
      </c>
      <c r="O155" s="1" t="e">
        <f t="shared" si="60"/>
        <v>#NUM!</v>
      </c>
      <c r="P155" s="1" t="e">
        <f t="shared" si="60"/>
        <v>#NUM!</v>
      </c>
      <c r="Q155" s="1" t="e">
        <f t="shared" si="60"/>
        <v>#NUM!</v>
      </c>
      <c r="R155" s="1" t="e">
        <f t="shared" si="60"/>
        <v>#NUM!</v>
      </c>
      <c r="S155" s="1" t="e">
        <f t="shared" si="60"/>
        <v>#NUM!</v>
      </c>
      <c r="T155" s="1">
        <f t="shared" si="60"/>
        <v>0.641237093298602</v>
      </c>
      <c r="U155" s="1" t="e">
        <f t="shared" si="60"/>
        <v>#NUM!</v>
      </c>
      <c r="V155" s="1" t="e">
        <f t="shared" si="60"/>
        <v>#NUM!</v>
      </c>
      <c r="W155" s="1" t="e">
        <f t="shared" si="60"/>
        <v>#NUM!</v>
      </c>
      <c r="X155" s="1" t="e">
        <f t="shared" si="60"/>
        <v>#NUM!</v>
      </c>
      <c r="Y155" s="1" t="e">
        <f t="shared" si="60"/>
        <v>#NUM!</v>
      </c>
      <c r="Z155" s="1" t="e">
        <f t="shared" si="60"/>
        <v>#NUM!</v>
      </c>
      <c r="AA155" s="1">
        <f t="shared" si="60"/>
        <v>-0.295819663701731</v>
      </c>
      <c r="AB155" s="1" t="e">
        <f t="shared" si="60"/>
        <v>#NUM!</v>
      </c>
      <c r="AC155" s="1" t="e">
        <f t="shared" si="60"/>
        <v>#NUM!</v>
      </c>
      <c r="AD155" s="1" t="e">
        <f t="shared" si="60"/>
        <v>#NUM!</v>
      </c>
      <c r="AE155" s="1">
        <f t="shared" si="60"/>
        <v>0.121982600324006</v>
      </c>
      <c r="AF155" s="1" t="e">
        <f t="shared" si="60"/>
        <v>#NUM!</v>
      </c>
    </row>
    <row r="156" s="1" customFormat="1" spans="1:32">
      <c r="A156" s="1" t="s">
        <v>16</v>
      </c>
      <c r="B156" s="1"/>
      <c r="C156" s="1" t="e">
        <f t="shared" ref="C156:AF156" si="61">LOG(C144,2)</f>
        <v>#NUM!</v>
      </c>
      <c r="D156" s="1">
        <f t="shared" si="61"/>
        <v>2.09675705929411</v>
      </c>
      <c r="E156" s="1" t="e">
        <f t="shared" si="61"/>
        <v>#NUM!</v>
      </c>
      <c r="F156" s="1" t="e">
        <f t="shared" si="61"/>
        <v>#NUM!</v>
      </c>
      <c r="G156" s="1">
        <f t="shared" si="61"/>
        <v>-0.12533750069736</v>
      </c>
      <c r="H156" s="1">
        <f t="shared" si="61"/>
        <v>-0.0175043534652005</v>
      </c>
      <c r="I156" s="1" t="e">
        <f t="shared" si="61"/>
        <v>#NUM!</v>
      </c>
      <c r="J156" s="1">
        <f t="shared" si="61"/>
        <v>-1.55401860713653</v>
      </c>
      <c r="K156" s="1" t="e">
        <f t="shared" si="61"/>
        <v>#NUM!</v>
      </c>
      <c r="L156" s="1">
        <f t="shared" si="61"/>
        <v>1.08481657230576</v>
      </c>
      <c r="M156" s="1">
        <f t="shared" si="61"/>
        <v>2.18806953817451</v>
      </c>
      <c r="N156" s="1" t="e">
        <f t="shared" si="61"/>
        <v>#NUM!</v>
      </c>
      <c r="O156" s="1" t="e">
        <f t="shared" si="61"/>
        <v>#NUM!</v>
      </c>
      <c r="P156" s="1" t="e">
        <f t="shared" si="61"/>
        <v>#NUM!</v>
      </c>
      <c r="Q156" s="1" t="e">
        <f t="shared" si="61"/>
        <v>#NUM!</v>
      </c>
      <c r="R156" s="1" t="e">
        <f t="shared" si="61"/>
        <v>#NUM!</v>
      </c>
      <c r="S156" s="1" t="e">
        <f t="shared" si="61"/>
        <v>#NUM!</v>
      </c>
      <c r="T156" s="1">
        <f t="shared" si="61"/>
        <v>-0.412492507313286</v>
      </c>
      <c r="U156" s="1" t="e">
        <f t="shared" si="61"/>
        <v>#NUM!</v>
      </c>
      <c r="V156" s="1" t="e">
        <f t="shared" si="61"/>
        <v>#NUM!</v>
      </c>
      <c r="W156" s="1">
        <f t="shared" si="61"/>
        <v>-2.06207362229428</v>
      </c>
      <c r="X156" s="1" t="e">
        <f t="shared" si="61"/>
        <v>#NUM!</v>
      </c>
      <c r="Y156" s="1" t="e">
        <f t="shared" si="61"/>
        <v>#NUM!</v>
      </c>
      <c r="Z156" s="1" t="e">
        <f t="shared" si="61"/>
        <v>#NUM!</v>
      </c>
      <c r="AA156" s="1">
        <f t="shared" si="61"/>
        <v>-0.22650926756678</v>
      </c>
      <c r="AB156" s="1" t="e">
        <f t="shared" si="61"/>
        <v>#NUM!</v>
      </c>
      <c r="AC156" s="1" t="e">
        <f t="shared" si="61"/>
        <v>#NUM!</v>
      </c>
      <c r="AD156" s="1" t="e">
        <f t="shared" si="61"/>
        <v>#NUM!</v>
      </c>
      <c r="AE156" s="1">
        <f t="shared" si="61"/>
        <v>-0.423463745677171</v>
      </c>
      <c r="AF156" s="1" t="e">
        <f t="shared" si="61"/>
        <v>#NUM!</v>
      </c>
    </row>
    <row r="158" s="1" customFormat="1" spans="1:32">
      <c r="A158" s="1" t="s">
        <v>63</v>
      </c>
      <c r="B158" s="1"/>
      <c r="C158" s="3" t="s">
        <v>96</v>
      </c>
      <c r="D158" s="3" t="s">
        <v>97</v>
      </c>
      <c r="E158" s="3" t="s">
        <v>98</v>
      </c>
      <c r="F158" s="3" t="s">
        <v>99</v>
      </c>
      <c r="G158" s="3" t="s">
        <v>100</v>
      </c>
      <c r="H158" s="3" t="s">
        <v>101</v>
      </c>
      <c r="I158" s="3" t="s">
        <v>102</v>
      </c>
      <c r="J158" s="3" t="s">
        <v>103</v>
      </c>
      <c r="K158" s="3" t="s">
        <v>104</v>
      </c>
      <c r="L158" s="3" t="s">
        <v>105</v>
      </c>
      <c r="M158" s="3" t="s">
        <v>106</v>
      </c>
      <c r="N158" s="3" t="s">
        <v>107</v>
      </c>
      <c r="O158" s="3" t="s">
        <v>108</v>
      </c>
      <c r="P158" s="3" t="s">
        <v>109</v>
      </c>
      <c r="Q158" s="3" t="s">
        <v>110</v>
      </c>
      <c r="R158" s="3" t="s">
        <v>111</v>
      </c>
      <c r="S158" s="3" t="s">
        <v>112</v>
      </c>
      <c r="T158" s="3" t="s">
        <v>41</v>
      </c>
      <c r="U158" s="3" t="s">
        <v>113</v>
      </c>
      <c r="V158" s="3" t="s">
        <v>114</v>
      </c>
      <c r="W158" s="3" t="s">
        <v>115</v>
      </c>
      <c r="X158" s="3" t="s">
        <v>116</v>
      </c>
      <c r="Y158" s="3" t="s">
        <v>117</v>
      </c>
      <c r="Z158" s="3" t="s">
        <v>118</v>
      </c>
      <c r="AA158" s="3" t="s">
        <v>119</v>
      </c>
      <c r="AB158" s="3" t="s">
        <v>120</v>
      </c>
      <c r="AC158" s="3" t="s">
        <v>121</v>
      </c>
      <c r="AD158" s="3" t="s">
        <v>56</v>
      </c>
      <c r="AE158" s="3" t="s">
        <v>122</v>
      </c>
      <c r="AF158" s="3" t="s">
        <v>123</v>
      </c>
    </row>
    <row r="159" s="1" customFormat="1" spans="1:32">
      <c r="A159" s="1" t="s">
        <v>7</v>
      </c>
      <c r="B159" s="1">
        <v>7</v>
      </c>
      <c r="C159" s="1" t="e">
        <f t="shared" ref="C159:AF159" si="62">C147-3.3*((C122+0.5)^(-0.5))-2*((C122+0.5)^(-1.5))</f>
        <v>#NUM!</v>
      </c>
      <c r="D159" s="1">
        <f t="shared" si="62"/>
        <v>0.819211811724195</v>
      </c>
      <c r="E159" s="1" t="e">
        <f t="shared" si="62"/>
        <v>#NUM!</v>
      </c>
      <c r="F159" s="1" t="e">
        <f t="shared" si="62"/>
        <v>#NUM!</v>
      </c>
      <c r="G159" s="1">
        <f t="shared" si="62"/>
        <v>-1.1887446431699</v>
      </c>
      <c r="H159" s="1">
        <f t="shared" si="62"/>
        <v>-1.75525670153355</v>
      </c>
      <c r="I159" s="1" t="e">
        <f t="shared" si="62"/>
        <v>#NUM!</v>
      </c>
      <c r="J159" s="1">
        <f t="shared" si="62"/>
        <v>-2.21583526177098</v>
      </c>
      <c r="K159" s="1" t="e">
        <f t="shared" si="62"/>
        <v>#NUM!</v>
      </c>
      <c r="L159" s="1">
        <f t="shared" si="62"/>
        <v>0.225389483376326</v>
      </c>
      <c r="M159" s="1">
        <f t="shared" si="62"/>
        <v>0.213399146153503</v>
      </c>
      <c r="N159" s="1" t="e">
        <f t="shared" si="62"/>
        <v>#NUM!</v>
      </c>
      <c r="O159" s="1" t="e">
        <f t="shared" si="62"/>
        <v>#NUM!</v>
      </c>
      <c r="P159" s="1" t="e">
        <f t="shared" si="62"/>
        <v>#NUM!</v>
      </c>
      <c r="Q159" s="1">
        <f t="shared" si="62"/>
        <v>1.16538290642473</v>
      </c>
      <c r="R159" s="1">
        <f t="shared" si="62"/>
        <v>2.77666020705256</v>
      </c>
      <c r="S159" s="1" t="e">
        <f t="shared" si="62"/>
        <v>#NUM!</v>
      </c>
      <c r="T159" s="1">
        <f t="shared" si="62"/>
        <v>0.95103898241231</v>
      </c>
      <c r="U159" s="1" t="e">
        <f t="shared" si="62"/>
        <v>#NUM!</v>
      </c>
      <c r="V159" s="1" t="e">
        <f t="shared" si="62"/>
        <v>#NUM!</v>
      </c>
      <c r="W159" s="1">
        <f t="shared" si="62"/>
        <v>-2.59790979453707</v>
      </c>
      <c r="X159" s="1" t="e">
        <f t="shared" si="62"/>
        <v>#NUM!</v>
      </c>
      <c r="Y159" s="1" t="e">
        <f t="shared" si="62"/>
        <v>#NUM!</v>
      </c>
      <c r="Z159" s="1" t="e">
        <f t="shared" si="62"/>
        <v>#NUM!</v>
      </c>
      <c r="AA159" s="1">
        <f t="shared" si="62"/>
        <v>0.172820810509743</v>
      </c>
      <c r="AB159" s="1" t="e">
        <f t="shared" si="62"/>
        <v>#NUM!</v>
      </c>
      <c r="AC159" s="1" t="e">
        <f t="shared" si="62"/>
        <v>#NUM!</v>
      </c>
      <c r="AD159" s="1" t="e">
        <f t="shared" si="62"/>
        <v>#NUM!</v>
      </c>
      <c r="AE159" s="1">
        <f t="shared" si="62"/>
        <v>-3.18153973847079</v>
      </c>
      <c r="AF159" s="1" t="e">
        <f t="shared" si="62"/>
        <v>#NUM!</v>
      </c>
    </row>
    <row r="160" s="1" customFormat="1" spans="1:32">
      <c r="A160" s="1" t="s">
        <v>8</v>
      </c>
      <c r="B160" s="1">
        <v>1</v>
      </c>
      <c r="C160" s="1" t="e">
        <f t="shared" ref="C160:AF160" si="63">C148-3.3*((C123+0.5)^(-0.5))-2*((C123+0.5)^(-1.5))</f>
        <v>#NUM!</v>
      </c>
      <c r="D160" s="1">
        <f t="shared" si="63"/>
        <v>-0.0601593543467703</v>
      </c>
      <c r="E160" s="1" t="e">
        <f t="shared" si="63"/>
        <v>#NUM!</v>
      </c>
      <c r="F160" s="1" t="e">
        <f t="shared" si="63"/>
        <v>#NUM!</v>
      </c>
      <c r="G160" s="1">
        <f t="shared" si="63"/>
        <v>-0.903477891973481</v>
      </c>
      <c r="H160" s="1">
        <f t="shared" si="63"/>
        <v>-0.894027247830062</v>
      </c>
      <c r="I160" s="1">
        <f t="shared" si="63"/>
        <v>-3.73622550293396</v>
      </c>
      <c r="J160" s="1">
        <f t="shared" si="63"/>
        <v>-2.03859465462105</v>
      </c>
      <c r="K160" s="1" t="e">
        <f t="shared" si="63"/>
        <v>#NUM!</v>
      </c>
      <c r="L160" s="1">
        <f t="shared" si="63"/>
        <v>-0.155011624865401</v>
      </c>
      <c r="M160" s="1">
        <f t="shared" si="63"/>
        <v>0.885763079309547</v>
      </c>
      <c r="N160" s="1" t="e">
        <f t="shared" si="63"/>
        <v>#NUM!</v>
      </c>
      <c r="O160" s="1" t="e">
        <f t="shared" si="63"/>
        <v>#NUM!</v>
      </c>
      <c r="P160" s="1" t="e">
        <f t="shared" si="63"/>
        <v>#NUM!</v>
      </c>
      <c r="Q160" s="1">
        <f t="shared" si="63"/>
        <v>-0.235979647638632</v>
      </c>
      <c r="R160" s="1">
        <f t="shared" si="63"/>
        <v>-1.17571302026139</v>
      </c>
      <c r="S160" s="1">
        <f t="shared" si="63"/>
        <v>-0.833454601827622</v>
      </c>
      <c r="T160" s="1">
        <f t="shared" si="63"/>
        <v>-1.13724602898798</v>
      </c>
      <c r="U160" s="1">
        <f t="shared" si="63"/>
        <v>-0.140607946071618</v>
      </c>
      <c r="V160" s="1" t="e">
        <f t="shared" si="63"/>
        <v>#NUM!</v>
      </c>
      <c r="W160" s="1">
        <f t="shared" si="63"/>
        <v>-1.37026765757976</v>
      </c>
      <c r="X160" s="1" t="e">
        <f t="shared" si="63"/>
        <v>#NUM!</v>
      </c>
      <c r="Y160" s="1" t="e">
        <f t="shared" si="63"/>
        <v>#NUM!</v>
      </c>
      <c r="Z160" s="1" t="e">
        <f t="shared" si="63"/>
        <v>#NUM!</v>
      </c>
      <c r="AA160" s="1">
        <f t="shared" si="63"/>
        <v>-0.144326040997774</v>
      </c>
      <c r="AB160" s="1" t="e">
        <f t="shared" si="63"/>
        <v>#NUM!</v>
      </c>
      <c r="AC160" s="1" t="e">
        <f t="shared" si="63"/>
        <v>#NUM!</v>
      </c>
      <c r="AD160" s="1" t="e">
        <f t="shared" si="63"/>
        <v>#NUM!</v>
      </c>
      <c r="AE160" s="1">
        <f t="shared" si="63"/>
        <v>-1.28883448177043</v>
      </c>
      <c r="AF160" s="1" t="e">
        <f t="shared" si="63"/>
        <v>#NUM!</v>
      </c>
    </row>
    <row r="161" s="1" customFormat="1" spans="1:32">
      <c r="A161" s="1" t="s">
        <v>9</v>
      </c>
      <c r="B161" s="1">
        <v>2</v>
      </c>
      <c r="C161" s="1" t="e">
        <f t="shared" ref="C161:AF161" si="64">C149-3.3*((C124+0.5)^(-0.5))-2*((C124+0.5)^(-1.5))</f>
        <v>#NUM!</v>
      </c>
      <c r="D161" s="1">
        <f t="shared" si="64"/>
        <v>0.295121295699462</v>
      </c>
      <c r="E161" s="1" t="e">
        <f t="shared" si="64"/>
        <v>#NUM!</v>
      </c>
      <c r="F161" s="1" t="e">
        <f t="shared" si="64"/>
        <v>#NUM!</v>
      </c>
      <c r="G161" s="1">
        <f t="shared" si="64"/>
        <v>-1.20548123770016</v>
      </c>
      <c r="H161" s="1">
        <f t="shared" si="64"/>
        <v>-0.909083005232284</v>
      </c>
      <c r="I161" s="1">
        <f t="shared" si="64"/>
        <v>-1.15647660096937</v>
      </c>
      <c r="J161" s="1">
        <f t="shared" si="64"/>
        <v>-3.10317957227132</v>
      </c>
      <c r="K161" s="1" t="e">
        <f t="shared" si="64"/>
        <v>#NUM!</v>
      </c>
      <c r="L161" s="1">
        <f t="shared" si="64"/>
        <v>0.678455357529118</v>
      </c>
      <c r="M161" s="1" t="e">
        <f t="shared" si="64"/>
        <v>#NUM!</v>
      </c>
      <c r="N161" s="1" t="e">
        <f t="shared" si="64"/>
        <v>#NUM!</v>
      </c>
      <c r="O161" s="1" t="e">
        <f t="shared" si="64"/>
        <v>#NUM!</v>
      </c>
      <c r="P161" s="1" t="e">
        <f t="shared" si="64"/>
        <v>#NUM!</v>
      </c>
      <c r="Q161" s="1" t="e">
        <f t="shared" si="64"/>
        <v>#NUM!</v>
      </c>
      <c r="R161" s="1" t="e">
        <f t="shared" si="64"/>
        <v>#NUM!</v>
      </c>
      <c r="S161" s="1" t="e">
        <f t="shared" si="64"/>
        <v>#NUM!</v>
      </c>
      <c r="T161" s="1">
        <f t="shared" si="64"/>
        <v>-1.05309196286074</v>
      </c>
      <c r="U161" s="1">
        <f t="shared" si="64"/>
        <v>-1.24120361342128</v>
      </c>
      <c r="V161" s="1" t="e">
        <f t="shared" si="64"/>
        <v>#NUM!</v>
      </c>
      <c r="W161" s="1" t="e">
        <f t="shared" si="64"/>
        <v>#NUM!</v>
      </c>
      <c r="X161" s="1" t="e">
        <f t="shared" si="64"/>
        <v>#NUM!</v>
      </c>
      <c r="Y161" s="1" t="e">
        <f t="shared" si="64"/>
        <v>#NUM!</v>
      </c>
      <c r="Z161" s="1" t="e">
        <f t="shared" si="64"/>
        <v>#NUM!</v>
      </c>
      <c r="AA161" s="1">
        <f t="shared" si="64"/>
        <v>-1.15116182264815</v>
      </c>
      <c r="AB161" s="1" t="e">
        <f t="shared" si="64"/>
        <v>#NUM!</v>
      </c>
      <c r="AC161" s="1" t="e">
        <f t="shared" si="64"/>
        <v>#NUM!</v>
      </c>
      <c r="AD161" s="1" t="e">
        <f t="shared" si="64"/>
        <v>#NUM!</v>
      </c>
      <c r="AE161" s="1">
        <f t="shared" si="64"/>
        <v>-3.39201711113849</v>
      </c>
      <c r="AF161" s="1" t="e">
        <f t="shared" si="64"/>
        <v>#NUM!</v>
      </c>
    </row>
    <row r="162" s="1" customFormat="1" spans="1:32">
      <c r="A162" s="1" t="s">
        <v>10</v>
      </c>
      <c r="B162" s="1">
        <v>1</v>
      </c>
      <c r="C162" s="1" t="e">
        <f t="shared" ref="C162:AF162" si="65">C150-3.3*((C125+0.5)^(-0.5))-2*((C125+0.5)^(-1.5))</f>
        <v>#NUM!</v>
      </c>
      <c r="D162" s="1" t="e">
        <f t="shared" si="65"/>
        <v>#NUM!</v>
      </c>
      <c r="E162" s="1" t="e">
        <f t="shared" si="65"/>
        <v>#NUM!</v>
      </c>
      <c r="F162" s="1" t="e">
        <f t="shared" si="65"/>
        <v>#NUM!</v>
      </c>
      <c r="G162" s="1">
        <f t="shared" si="65"/>
        <v>-1.57132781750407</v>
      </c>
      <c r="H162" s="1">
        <f t="shared" si="65"/>
        <v>-0.663775610564388</v>
      </c>
      <c r="I162" s="1" t="e">
        <f t="shared" si="65"/>
        <v>#NUM!</v>
      </c>
      <c r="J162" s="1">
        <f t="shared" si="65"/>
        <v>-2.05830418101919</v>
      </c>
      <c r="K162" s="1" t="e">
        <f t="shared" si="65"/>
        <v>#NUM!</v>
      </c>
      <c r="L162" s="1">
        <f t="shared" si="65"/>
        <v>-0.562998491835899</v>
      </c>
      <c r="M162" s="1">
        <f t="shared" si="65"/>
        <v>-0.284713092027006</v>
      </c>
      <c r="N162" s="1" t="e">
        <f t="shared" si="65"/>
        <v>#NUM!</v>
      </c>
      <c r="O162" s="1" t="e">
        <f t="shared" si="65"/>
        <v>#NUM!</v>
      </c>
      <c r="P162" s="1" t="e">
        <f t="shared" si="65"/>
        <v>#NUM!</v>
      </c>
      <c r="Q162" s="1">
        <f t="shared" si="65"/>
        <v>-2.37593134751515</v>
      </c>
      <c r="R162" s="1" t="e">
        <f t="shared" si="65"/>
        <v>#NUM!</v>
      </c>
      <c r="S162" s="1">
        <f t="shared" si="65"/>
        <v>-0.416484853187948</v>
      </c>
      <c r="T162" s="1">
        <f t="shared" si="65"/>
        <v>-0.637527211521296</v>
      </c>
      <c r="U162" s="1">
        <f t="shared" si="65"/>
        <v>1.01186342716777</v>
      </c>
      <c r="V162" s="1" t="e">
        <f t="shared" si="65"/>
        <v>#NUM!</v>
      </c>
      <c r="W162" s="1">
        <f t="shared" si="65"/>
        <v>-1.33860569835993</v>
      </c>
      <c r="X162" s="1" t="e">
        <f t="shared" si="65"/>
        <v>#NUM!</v>
      </c>
      <c r="Y162" s="1" t="e">
        <f t="shared" si="65"/>
        <v>#NUM!</v>
      </c>
      <c r="Z162" s="1" t="e">
        <f t="shared" si="65"/>
        <v>#NUM!</v>
      </c>
      <c r="AA162" s="1">
        <f t="shared" si="65"/>
        <v>-1.18971759688635</v>
      </c>
      <c r="AB162" s="1" t="e">
        <f t="shared" si="65"/>
        <v>#NUM!</v>
      </c>
      <c r="AC162" s="1" t="e">
        <f t="shared" si="65"/>
        <v>#NUM!</v>
      </c>
      <c r="AD162" s="1" t="e">
        <f t="shared" si="65"/>
        <v>#NUM!</v>
      </c>
      <c r="AE162" s="1">
        <f t="shared" si="65"/>
        <v>-4.94801794111221</v>
      </c>
      <c r="AF162" s="1" t="e">
        <f t="shared" si="65"/>
        <v>#NUM!</v>
      </c>
    </row>
    <row r="163" s="1" customFormat="1" spans="1:32">
      <c r="A163" s="1" t="s">
        <v>11</v>
      </c>
      <c r="B163" s="1">
        <v>5</v>
      </c>
      <c r="C163" s="1">
        <f t="shared" ref="C163:AF163" si="66">C151-3.3*((C126+0.5)^(-0.5))-2*((C126+0.5)^(-1.5))</f>
        <v>0.395645854536363</v>
      </c>
      <c r="D163" s="1" t="e">
        <f t="shared" si="66"/>
        <v>#NUM!</v>
      </c>
      <c r="E163" s="1" t="e">
        <f t="shared" si="66"/>
        <v>#NUM!</v>
      </c>
      <c r="F163" s="1" t="e">
        <f t="shared" si="66"/>
        <v>#NUM!</v>
      </c>
      <c r="G163" s="1">
        <f t="shared" si="66"/>
        <v>-1.33470844730025</v>
      </c>
      <c r="H163" s="1">
        <f t="shared" si="66"/>
        <v>-1.07303392585718</v>
      </c>
      <c r="I163" s="1" t="e">
        <f t="shared" si="66"/>
        <v>#NUM!</v>
      </c>
      <c r="J163" s="1" t="e">
        <f t="shared" si="66"/>
        <v>#NUM!</v>
      </c>
      <c r="K163" s="1" t="e">
        <f t="shared" si="66"/>
        <v>#NUM!</v>
      </c>
      <c r="L163" s="1">
        <f t="shared" si="66"/>
        <v>2.58772142852472</v>
      </c>
      <c r="M163" s="1" t="e">
        <f t="shared" si="66"/>
        <v>#NUM!</v>
      </c>
      <c r="N163" s="1" t="e">
        <f t="shared" si="66"/>
        <v>#NUM!</v>
      </c>
      <c r="O163" s="1" t="e">
        <f t="shared" si="66"/>
        <v>#NUM!</v>
      </c>
      <c r="P163" s="1" t="e">
        <f t="shared" si="66"/>
        <v>#NUM!</v>
      </c>
      <c r="Q163" s="1">
        <f t="shared" si="66"/>
        <v>1.94011842509991</v>
      </c>
      <c r="R163" s="1">
        <f t="shared" si="66"/>
        <v>2.42636466910686</v>
      </c>
      <c r="S163" s="1" t="e">
        <f t="shared" si="66"/>
        <v>#NUM!</v>
      </c>
      <c r="T163" s="1">
        <f t="shared" si="66"/>
        <v>1.09411336340498</v>
      </c>
      <c r="U163" s="1" t="e">
        <f t="shared" si="66"/>
        <v>#NUM!</v>
      </c>
      <c r="V163" s="1" t="e">
        <f t="shared" si="66"/>
        <v>#NUM!</v>
      </c>
      <c r="W163" s="1" t="e">
        <f t="shared" si="66"/>
        <v>#NUM!</v>
      </c>
      <c r="X163" s="1" t="e">
        <f t="shared" si="66"/>
        <v>#NUM!</v>
      </c>
      <c r="Y163" s="1" t="e">
        <f t="shared" si="66"/>
        <v>#NUM!</v>
      </c>
      <c r="Z163" s="1" t="e">
        <f t="shared" si="66"/>
        <v>#NUM!</v>
      </c>
      <c r="AA163" s="1">
        <f t="shared" si="66"/>
        <v>-0.807876460223132</v>
      </c>
      <c r="AB163" s="1" t="e">
        <f t="shared" si="66"/>
        <v>#NUM!</v>
      </c>
      <c r="AC163" s="1" t="e">
        <f t="shared" si="66"/>
        <v>#NUM!</v>
      </c>
      <c r="AD163" s="1" t="e">
        <f t="shared" si="66"/>
        <v>#NUM!</v>
      </c>
      <c r="AE163" s="1" t="e">
        <f t="shared" si="66"/>
        <v>#NUM!</v>
      </c>
      <c r="AF163" s="1" t="e">
        <f t="shared" si="66"/>
        <v>#NUM!</v>
      </c>
    </row>
    <row r="164" s="1" customFormat="1" spans="1:32">
      <c r="A164" s="1" t="s">
        <v>12</v>
      </c>
      <c r="B164" s="1">
        <v>0</v>
      </c>
      <c r="C164" s="1" t="e">
        <f t="shared" ref="C164:AF164" si="67">C152-3.3*((C127+0.5)^(-0.5))-2*((C127+0.5)^(-1.5))</f>
        <v>#NUM!</v>
      </c>
      <c r="D164" s="1" t="e">
        <f t="shared" si="67"/>
        <v>#NUM!</v>
      </c>
      <c r="E164" s="1" t="e">
        <f t="shared" si="67"/>
        <v>#NUM!</v>
      </c>
      <c r="F164" s="1" t="e">
        <f t="shared" si="67"/>
        <v>#NUM!</v>
      </c>
      <c r="G164" s="1">
        <f t="shared" si="67"/>
        <v>-1.825763599767</v>
      </c>
      <c r="H164" s="1">
        <f t="shared" si="67"/>
        <v>-1.09465059596275</v>
      </c>
      <c r="I164" s="1">
        <f t="shared" si="67"/>
        <v>-2.09137284194047</v>
      </c>
      <c r="J164" s="1" t="e">
        <f t="shared" si="67"/>
        <v>#NUM!</v>
      </c>
      <c r="K164" s="1" t="e">
        <f t="shared" si="67"/>
        <v>#NUM!</v>
      </c>
      <c r="L164" s="1" t="e">
        <f t="shared" si="67"/>
        <v>#NUM!</v>
      </c>
      <c r="M164" s="1" t="e">
        <f t="shared" si="67"/>
        <v>#NUM!</v>
      </c>
      <c r="N164" s="1" t="e">
        <f t="shared" si="67"/>
        <v>#NUM!</v>
      </c>
      <c r="O164" s="1" t="e">
        <f t="shared" si="67"/>
        <v>#NUM!</v>
      </c>
      <c r="P164" s="1" t="e">
        <f t="shared" si="67"/>
        <v>#NUM!</v>
      </c>
      <c r="Q164" s="1" t="e">
        <f t="shared" si="67"/>
        <v>#NUM!</v>
      </c>
      <c r="R164" s="1" t="e">
        <f t="shared" si="67"/>
        <v>#NUM!</v>
      </c>
      <c r="S164" s="1" t="e">
        <f t="shared" si="67"/>
        <v>#NUM!</v>
      </c>
      <c r="T164" s="1">
        <f t="shared" si="67"/>
        <v>-0.598147967793137</v>
      </c>
      <c r="U164" s="1" t="e">
        <f t="shared" si="67"/>
        <v>#NUM!</v>
      </c>
      <c r="V164" s="1" t="e">
        <f t="shared" si="67"/>
        <v>#NUM!</v>
      </c>
      <c r="W164" s="1" t="e">
        <f t="shared" si="67"/>
        <v>#NUM!</v>
      </c>
      <c r="X164" s="1" t="e">
        <f t="shared" si="67"/>
        <v>#NUM!</v>
      </c>
      <c r="Y164" s="1" t="e">
        <f t="shared" si="67"/>
        <v>#NUM!</v>
      </c>
      <c r="Z164" s="1" t="e">
        <f t="shared" si="67"/>
        <v>#NUM!</v>
      </c>
      <c r="AA164" s="1">
        <f t="shared" si="67"/>
        <v>-3.14778587282846</v>
      </c>
      <c r="AB164" s="1" t="e">
        <f t="shared" si="67"/>
        <v>#NUM!</v>
      </c>
      <c r="AC164" s="1" t="e">
        <f t="shared" si="67"/>
        <v>#NUM!</v>
      </c>
      <c r="AD164" s="1" t="e">
        <f t="shared" si="67"/>
        <v>#NUM!</v>
      </c>
      <c r="AE164" s="1" t="e">
        <f t="shared" si="67"/>
        <v>#NUM!</v>
      </c>
      <c r="AF164" s="1" t="e">
        <f t="shared" si="67"/>
        <v>#NUM!</v>
      </c>
    </row>
    <row r="165" s="1" customFormat="1" spans="1:32">
      <c r="A165" s="1" t="s">
        <v>13</v>
      </c>
      <c r="B165" s="1">
        <v>0</v>
      </c>
      <c r="C165" s="1" t="e">
        <f t="shared" ref="C165:AF165" si="68">C153-3.3*((C128+0.5)^(-0.5))-2*((C128+0.5)^(-1.5))</f>
        <v>#NUM!</v>
      </c>
      <c r="D165" s="1" t="e">
        <f t="shared" si="68"/>
        <v>#NUM!</v>
      </c>
      <c r="E165" s="1" t="e">
        <f t="shared" si="68"/>
        <v>#NUM!</v>
      </c>
      <c r="F165" s="1" t="e">
        <f t="shared" si="68"/>
        <v>#NUM!</v>
      </c>
      <c r="G165" s="1">
        <f t="shared" si="68"/>
        <v>-3.41919550833813</v>
      </c>
      <c r="H165" s="1" t="e">
        <f t="shared" si="68"/>
        <v>#NUM!</v>
      </c>
      <c r="I165" s="1" t="e">
        <f t="shared" si="68"/>
        <v>#NUM!</v>
      </c>
      <c r="J165" s="1">
        <f t="shared" si="68"/>
        <v>-2.87546387909898</v>
      </c>
      <c r="K165" s="1" t="e">
        <f t="shared" si="68"/>
        <v>#NUM!</v>
      </c>
      <c r="L165" s="1" t="e">
        <f t="shared" si="68"/>
        <v>#NUM!</v>
      </c>
      <c r="M165" s="1" t="e">
        <f t="shared" si="68"/>
        <v>#NUM!</v>
      </c>
      <c r="N165" s="1" t="e">
        <f t="shared" si="68"/>
        <v>#NUM!</v>
      </c>
      <c r="O165" s="1" t="e">
        <f t="shared" si="68"/>
        <v>#NUM!</v>
      </c>
      <c r="P165" s="1" t="e">
        <f t="shared" si="68"/>
        <v>#NUM!</v>
      </c>
      <c r="Q165" s="1" t="e">
        <f t="shared" si="68"/>
        <v>#NUM!</v>
      </c>
      <c r="R165" s="1" t="e">
        <f t="shared" si="68"/>
        <v>#NUM!</v>
      </c>
      <c r="S165" s="1" t="e">
        <f t="shared" si="68"/>
        <v>#NUM!</v>
      </c>
      <c r="T165" s="1">
        <f t="shared" si="68"/>
        <v>-1.17606306980302</v>
      </c>
      <c r="U165" s="1" t="e">
        <f t="shared" si="68"/>
        <v>#NUM!</v>
      </c>
      <c r="V165" s="1" t="e">
        <f t="shared" si="68"/>
        <v>#NUM!</v>
      </c>
      <c r="W165" s="1" t="e">
        <f t="shared" si="68"/>
        <v>#NUM!</v>
      </c>
      <c r="X165" s="1" t="e">
        <f t="shared" si="68"/>
        <v>#NUM!</v>
      </c>
      <c r="Y165" s="1" t="e">
        <f t="shared" si="68"/>
        <v>#NUM!</v>
      </c>
      <c r="Z165" s="1" t="e">
        <f t="shared" si="68"/>
        <v>#NUM!</v>
      </c>
      <c r="AA165" s="1">
        <f t="shared" si="68"/>
        <v>-2.37836896932763</v>
      </c>
      <c r="AB165" s="1" t="e">
        <f t="shared" si="68"/>
        <v>#NUM!</v>
      </c>
      <c r="AC165" s="1" t="e">
        <f t="shared" si="68"/>
        <v>#NUM!</v>
      </c>
      <c r="AD165" s="1" t="e">
        <f t="shared" si="68"/>
        <v>#NUM!</v>
      </c>
      <c r="AE165" s="1" t="e">
        <f t="shared" si="68"/>
        <v>#NUM!</v>
      </c>
      <c r="AF165" s="1" t="e">
        <f t="shared" si="68"/>
        <v>#NUM!</v>
      </c>
    </row>
    <row r="166" s="1" customFormat="1" spans="1:32">
      <c r="A166" s="1" t="s">
        <v>14</v>
      </c>
      <c r="B166" s="1">
        <v>5</v>
      </c>
      <c r="C166" s="1">
        <f t="shared" ref="C166:AF166" si="69">C154-3.3*((C129+0.5)^(-0.5))-2*((C129+0.5)^(-1.5))</f>
        <v>-0.808991958274</v>
      </c>
      <c r="D166" s="1" t="e">
        <f t="shared" si="69"/>
        <v>#NUM!</v>
      </c>
      <c r="E166" s="1" t="e">
        <f t="shared" si="69"/>
        <v>#NUM!</v>
      </c>
      <c r="F166" s="1" t="e">
        <f t="shared" si="69"/>
        <v>#NUM!</v>
      </c>
      <c r="G166" s="1">
        <f t="shared" si="69"/>
        <v>-0.608364465342581</v>
      </c>
      <c r="H166" s="1">
        <f t="shared" si="69"/>
        <v>0.266493138199588</v>
      </c>
      <c r="I166" s="1" t="e">
        <f t="shared" si="69"/>
        <v>#NUM!</v>
      </c>
      <c r="J166" s="1">
        <f t="shared" si="69"/>
        <v>-1.69735392001674</v>
      </c>
      <c r="K166" s="1" t="e">
        <f t="shared" si="69"/>
        <v>#NUM!</v>
      </c>
      <c r="L166" s="1">
        <f t="shared" si="69"/>
        <v>-0.0628195531114615</v>
      </c>
      <c r="M166" s="1">
        <f t="shared" si="69"/>
        <v>0.79743946679044</v>
      </c>
      <c r="N166" s="1" t="e">
        <f t="shared" si="69"/>
        <v>#NUM!</v>
      </c>
      <c r="O166" s="1" t="e">
        <f t="shared" si="69"/>
        <v>#NUM!</v>
      </c>
      <c r="P166" s="1" t="e">
        <f t="shared" si="69"/>
        <v>#NUM!</v>
      </c>
      <c r="Q166" s="1" t="e">
        <f t="shared" si="69"/>
        <v>#NUM!</v>
      </c>
      <c r="R166" s="1" t="e">
        <f t="shared" si="69"/>
        <v>#NUM!</v>
      </c>
      <c r="S166" s="1" t="e">
        <f t="shared" si="69"/>
        <v>#NUM!</v>
      </c>
      <c r="T166" s="1">
        <f t="shared" si="69"/>
        <v>1.8845439258943</v>
      </c>
      <c r="U166" s="1">
        <f t="shared" si="69"/>
        <v>2.73074989827065</v>
      </c>
      <c r="V166" s="1" t="e">
        <f t="shared" si="69"/>
        <v>#NUM!</v>
      </c>
      <c r="W166" s="1">
        <f t="shared" si="69"/>
        <v>-0.804461676020821</v>
      </c>
      <c r="X166" s="1" t="e">
        <f t="shared" si="69"/>
        <v>#NUM!</v>
      </c>
      <c r="Y166" s="1" t="e">
        <f t="shared" si="69"/>
        <v>#NUM!</v>
      </c>
      <c r="Z166" s="1" t="e">
        <f t="shared" si="69"/>
        <v>#NUM!</v>
      </c>
      <c r="AA166" s="1">
        <f t="shared" si="69"/>
        <v>0.158194756609234</v>
      </c>
      <c r="AB166" s="1" t="e">
        <f t="shared" si="69"/>
        <v>#NUM!</v>
      </c>
      <c r="AC166" s="1" t="e">
        <f t="shared" si="69"/>
        <v>#NUM!</v>
      </c>
      <c r="AD166" s="1" t="e">
        <f t="shared" si="69"/>
        <v>#NUM!</v>
      </c>
      <c r="AE166" s="1" t="e">
        <f t="shared" si="69"/>
        <v>#NUM!</v>
      </c>
      <c r="AF166" s="1" t="e">
        <f t="shared" si="69"/>
        <v>#NUM!</v>
      </c>
    </row>
    <row r="167" s="1" customFormat="1" spans="1:32">
      <c r="A167" s="1" t="s">
        <v>15</v>
      </c>
      <c r="B167" s="1">
        <v>0</v>
      </c>
      <c r="C167" s="1" t="e">
        <f t="shared" ref="C167:AF167" si="70">C155-3.3*((C130+0.5)^(-0.5))-2*((C130+0.5)^(-1.5))</f>
        <v>#NUM!</v>
      </c>
      <c r="D167" s="1" t="e">
        <f t="shared" si="70"/>
        <v>#NUM!</v>
      </c>
      <c r="E167" s="1" t="e">
        <f t="shared" si="70"/>
        <v>#NUM!</v>
      </c>
      <c r="F167" s="1" t="e">
        <f t="shared" si="70"/>
        <v>#NUM!</v>
      </c>
      <c r="G167" s="1">
        <f t="shared" si="70"/>
        <v>-0.652000072939536</v>
      </c>
      <c r="H167" s="1">
        <f t="shared" si="70"/>
        <v>-0.283679017643325</v>
      </c>
      <c r="I167" s="1" t="e">
        <f t="shared" si="70"/>
        <v>#NUM!</v>
      </c>
      <c r="J167" s="1">
        <f t="shared" si="70"/>
        <v>-2.90862806391026</v>
      </c>
      <c r="K167" s="1" t="e">
        <f t="shared" si="70"/>
        <v>#NUM!</v>
      </c>
      <c r="L167" s="1">
        <f t="shared" si="70"/>
        <v>-0.856059599859571</v>
      </c>
      <c r="M167" s="1" t="e">
        <f t="shared" si="70"/>
        <v>#NUM!</v>
      </c>
      <c r="N167" s="1" t="e">
        <f t="shared" si="70"/>
        <v>#NUM!</v>
      </c>
      <c r="O167" s="1" t="e">
        <f t="shared" si="70"/>
        <v>#NUM!</v>
      </c>
      <c r="P167" s="1" t="e">
        <f t="shared" si="70"/>
        <v>#NUM!</v>
      </c>
      <c r="Q167" s="1" t="e">
        <f t="shared" si="70"/>
        <v>#NUM!</v>
      </c>
      <c r="R167" s="1" t="e">
        <f t="shared" si="70"/>
        <v>#NUM!</v>
      </c>
      <c r="S167" s="1" t="e">
        <f t="shared" si="70"/>
        <v>#NUM!</v>
      </c>
      <c r="T167" s="1">
        <f t="shared" si="70"/>
        <v>-0.920942701088871</v>
      </c>
      <c r="U167" s="1" t="e">
        <f t="shared" si="70"/>
        <v>#NUM!</v>
      </c>
      <c r="V167" s="1" t="e">
        <f t="shared" si="70"/>
        <v>#NUM!</v>
      </c>
      <c r="W167" s="1" t="e">
        <f t="shared" si="70"/>
        <v>#NUM!</v>
      </c>
      <c r="X167" s="1" t="e">
        <f t="shared" si="70"/>
        <v>#NUM!</v>
      </c>
      <c r="Y167" s="1" t="e">
        <f t="shared" si="70"/>
        <v>#NUM!</v>
      </c>
      <c r="Z167" s="1" t="e">
        <f t="shared" si="70"/>
        <v>#NUM!</v>
      </c>
      <c r="AA167" s="1">
        <f t="shared" si="70"/>
        <v>-1.50841554217994</v>
      </c>
      <c r="AB167" s="1" t="e">
        <f t="shared" si="70"/>
        <v>#NUM!</v>
      </c>
      <c r="AC167" s="1" t="e">
        <f t="shared" si="70"/>
        <v>#NUM!</v>
      </c>
      <c r="AD167" s="1" t="e">
        <f t="shared" si="70"/>
        <v>#NUM!</v>
      </c>
      <c r="AE167" s="1">
        <f t="shared" si="70"/>
        <v>-1.94738301562648</v>
      </c>
      <c r="AF167" s="1" t="e">
        <f t="shared" si="70"/>
        <v>#NUM!</v>
      </c>
    </row>
    <row r="168" s="1" customFormat="1" spans="1:32">
      <c r="A168" s="1" t="s">
        <v>16</v>
      </c>
      <c r="B168" s="1">
        <v>3</v>
      </c>
      <c r="C168" s="1" t="e">
        <f t="shared" ref="C168:AF168" si="71">C156-3.3*((C131+0.5)^(-0.5))-2*((C131+0.5)^(-1.5))</f>
        <v>#NUM!</v>
      </c>
      <c r="D168" s="1">
        <f t="shared" si="71"/>
        <v>1.42772795476516</v>
      </c>
      <c r="E168" s="1" t="e">
        <f t="shared" si="71"/>
        <v>#NUM!</v>
      </c>
      <c r="F168" s="1" t="e">
        <f t="shared" si="71"/>
        <v>#NUM!</v>
      </c>
      <c r="G168" s="1">
        <f t="shared" si="71"/>
        <v>-0.40800288681829</v>
      </c>
      <c r="H168" s="1">
        <f t="shared" si="71"/>
        <v>-1.3198668790886</v>
      </c>
      <c r="I168" s="1" t="e">
        <f t="shared" si="71"/>
        <v>#NUM!</v>
      </c>
      <c r="J168" s="1">
        <f t="shared" si="71"/>
        <v>-2.23721157298266</v>
      </c>
      <c r="K168" s="1" t="e">
        <f t="shared" si="71"/>
        <v>#NUM!</v>
      </c>
      <c r="L168" s="1">
        <f t="shared" si="71"/>
        <v>0.415787467776813</v>
      </c>
      <c r="M168" s="1">
        <f t="shared" si="71"/>
        <v>1.34582533626138</v>
      </c>
      <c r="N168" s="1" t="e">
        <f t="shared" si="71"/>
        <v>#NUM!</v>
      </c>
      <c r="O168" s="1" t="e">
        <f t="shared" si="71"/>
        <v>#NUM!</v>
      </c>
      <c r="P168" s="1" t="e">
        <f t="shared" si="71"/>
        <v>#NUM!</v>
      </c>
      <c r="Q168" s="1" t="e">
        <f t="shared" si="71"/>
        <v>#NUM!</v>
      </c>
      <c r="R168" s="1" t="e">
        <f t="shared" si="71"/>
        <v>#NUM!</v>
      </c>
      <c r="S168" s="1" t="e">
        <f t="shared" si="71"/>
        <v>#NUM!</v>
      </c>
      <c r="T168" s="1">
        <f t="shared" si="71"/>
        <v>-1.5514576430419</v>
      </c>
      <c r="U168" s="1" t="e">
        <f t="shared" si="71"/>
        <v>#NUM!</v>
      </c>
      <c r="V168" s="1" t="e">
        <f t="shared" si="71"/>
        <v>#NUM!</v>
      </c>
      <c r="W168" s="1">
        <f t="shared" si="71"/>
        <v>-4.13143923824476</v>
      </c>
      <c r="X168" s="1" t="e">
        <f t="shared" si="71"/>
        <v>#NUM!</v>
      </c>
      <c r="Y168" s="1" t="e">
        <f t="shared" si="71"/>
        <v>#NUM!</v>
      </c>
      <c r="Z168" s="1" t="e">
        <f t="shared" si="71"/>
        <v>#NUM!</v>
      </c>
      <c r="AA168" s="1">
        <f t="shared" si="71"/>
        <v>-0.798208218803887</v>
      </c>
      <c r="AB168" s="1" t="e">
        <f t="shared" si="71"/>
        <v>#NUM!</v>
      </c>
      <c r="AC168" s="1" t="e">
        <f t="shared" si="71"/>
        <v>#NUM!</v>
      </c>
      <c r="AD168" s="1" t="e">
        <f t="shared" si="71"/>
        <v>#NUM!</v>
      </c>
      <c r="AE168" s="1">
        <f t="shared" si="71"/>
        <v>-1.63605962415538</v>
      </c>
      <c r="AF168" s="1" t="e">
        <f t="shared" si="71"/>
        <v>#NUM!</v>
      </c>
    </row>
    <row r="177" s="1" customFormat="1" spans="1:2">
      <c r="A177" s="2" t="s">
        <v>2</v>
      </c>
      <c r="B177" s="2"/>
    </row>
    <row r="178" s="1" customFormat="1" spans="3:61">
      <c r="C178" s="3" t="s">
        <v>124</v>
      </c>
      <c r="D178" s="3" t="s">
        <v>125</v>
      </c>
      <c r="E178" s="3" t="s">
        <v>126</v>
      </c>
      <c r="F178" s="3" t="s">
        <v>127</v>
      </c>
      <c r="G178" s="3" t="s">
        <v>128</v>
      </c>
      <c r="H178" s="3" t="s">
        <v>129</v>
      </c>
      <c r="I178" s="3" t="s">
        <v>130</v>
      </c>
      <c r="J178" s="3" t="s">
        <v>131</v>
      </c>
      <c r="K178" s="3" t="s">
        <v>132</v>
      </c>
      <c r="L178" s="3" t="s">
        <v>133</v>
      </c>
      <c r="M178" s="3" t="s">
        <v>134</v>
      </c>
      <c r="N178" s="3" t="s">
        <v>135</v>
      </c>
      <c r="O178" s="3" t="s">
        <v>136</v>
      </c>
      <c r="P178" s="3" t="s">
        <v>137</v>
      </c>
      <c r="Q178" s="3" t="s">
        <v>138</v>
      </c>
      <c r="R178" s="3" t="s">
        <v>139</v>
      </c>
      <c r="S178" s="3" t="s">
        <v>140</v>
      </c>
      <c r="T178" s="3" t="s">
        <v>141</v>
      </c>
      <c r="U178" s="3" t="s">
        <v>142</v>
      </c>
      <c r="V178" s="3" t="s">
        <v>143</v>
      </c>
      <c r="W178" s="3" t="s">
        <v>144</v>
      </c>
      <c r="X178" s="3" t="s">
        <v>145</v>
      </c>
      <c r="Y178" s="3" t="s">
        <v>146</v>
      </c>
      <c r="Z178" s="3" t="s">
        <v>147</v>
      </c>
      <c r="AA178" s="3" t="s">
        <v>148</v>
      </c>
      <c r="AB178" s="3" t="s">
        <v>149</v>
      </c>
      <c r="AC178" s="3" t="s">
        <v>150</v>
      </c>
      <c r="AD178" s="3" t="s">
        <v>151</v>
      </c>
      <c r="AE178" s="3" t="s">
        <v>152</v>
      </c>
      <c r="AF178" s="3" t="s">
        <v>153</v>
      </c>
      <c r="AG178" s="3" t="s">
        <v>154</v>
      </c>
      <c r="AH178" s="3" t="s">
        <v>155</v>
      </c>
      <c r="AI178" s="3" t="s">
        <v>156</v>
      </c>
      <c r="AJ178" s="3" t="s">
        <v>157</v>
      </c>
      <c r="AK178" s="3" t="s">
        <v>158</v>
      </c>
      <c r="AL178" s="3" t="s">
        <v>159</v>
      </c>
      <c r="AM178" s="3" t="s">
        <v>160</v>
      </c>
      <c r="AN178" s="3" t="s">
        <v>161</v>
      </c>
      <c r="AO178" s="3" t="s">
        <v>126</v>
      </c>
      <c r="AP178" s="3" t="s">
        <v>162</v>
      </c>
      <c r="AQ178" s="3" t="s">
        <v>163</v>
      </c>
      <c r="AR178" s="3" t="s">
        <v>164</v>
      </c>
      <c r="AS178" s="3" t="s">
        <v>165</v>
      </c>
      <c r="AT178" s="3" t="s">
        <v>166</v>
      </c>
      <c r="AU178" s="3" t="s">
        <v>167</v>
      </c>
      <c r="AV178" s="3" t="s">
        <v>168</v>
      </c>
      <c r="AW178" s="3" t="s">
        <v>169</v>
      </c>
      <c r="AX178" s="3" t="s">
        <v>170</v>
      </c>
      <c r="AY178" s="3" t="s">
        <v>171</v>
      </c>
      <c r="AZ178" s="3" t="s">
        <v>45</v>
      </c>
      <c r="BA178" s="3" t="s">
        <v>172</v>
      </c>
      <c r="BB178" s="3" t="s">
        <v>173</v>
      </c>
      <c r="BC178" s="3" t="s">
        <v>174</v>
      </c>
      <c r="BD178" s="3" t="s">
        <v>175</v>
      </c>
      <c r="BE178" s="3" t="s">
        <v>176</v>
      </c>
      <c r="BF178" s="3" t="s">
        <v>177</v>
      </c>
      <c r="BG178" s="3" t="s">
        <v>57</v>
      </c>
      <c r="BH178" s="3" t="s">
        <v>178</v>
      </c>
      <c r="BI178" s="3" t="s">
        <v>179</v>
      </c>
    </row>
    <row r="179" s="1" customFormat="1" spans="1:59">
      <c r="A179" s="1" t="s">
        <v>7</v>
      </c>
      <c r="B179" s="1"/>
      <c r="C179" s="1">
        <v>16</v>
      </c>
      <c r="D179" s="1">
        <v>39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>
        <v>120</v>
      </c>
      <c r="P179" s="1"/>
      <c r="Q179" s="1"/>
      <c r="R179" s="1"/>
      <c r="S179" s="1">
        <v>17</v>
      </c>
      <c r="T179" s="1"/>
      <c r="U179" s="1"/>
      <c r="V179" s="1"/>
      <c r="W179" s="1"/>
      <c r="X179" s="1"/>
      <c r="Y179" s="1"/>
      <c r="Z179" s="1"/>
      <c r="AA179" s="1"/>
      <c r="AB179" s="1"/>
      <c r="AC179" s="1">
        <v>4</v>
      </c>
      <c r="AD179" s="1"/>
      <c r="AE179" s="1"/>
      <c r="AF179" s="1"/>
      <c r="AG179" s="1"/>
      <c r="AH179" s="1"/>
      <c r="AI179" s="1"/>
      <c r="AJ179" s="1"/>
      <c r="AK179" s="1">
        <v>11</v>
      </c>
      <c r="AL179" s="1">
        <v>53</v>
      </c>
      <c r="AM179" s="1">
        <v>10</v>
      </c>
      <c r="AN179" s="1">
        <v>18</v>
      </c>
      <c r="AO179" s="1"/>
      <c r="AP179" s="1"/>
      <c r="AQ179" s="1">
        <v>18</v>
      </c>
      <c r="AR179" s="1"/>
      <c r="AS179" s="1"/>
      <c r="AT179" s="1"/>
      <c r="AU179" s="1"/>
      <c r="AV179" s="1"/>
      <c r="AW179" s="1"/>
      <c r="AX179" s="1"/>
      <c r="AY179" s="1"/>
      <c r="AZ179" s="1">
        <v>3</v>
      </c>
      <c r="BA179" s="1"/>
      <c r="BB179" s="1"/>
      <c r="BC179" s="1"/>
      <c r="BD179" s="1">
        <v>40</v>
      </c>
      <c r="BE179" s="1"/>
      <c r="BF179" s="1"/>
      <c r="BG179" s="1">
        <v>13</v>
      </c>
    </row>
    <row r="180" s="1" customFormat="1" spans="1:59">
      <c r="A180" s="1" t="s">
        <v>8</v>
      </c>
      <c r="B180" s="1"/>
      <c r="C180" s="1">
        <v>20</v>
      </c>
      <c r="D180" s="1">
        <v>66</v>
      </c>
      <c r="E180" s="1">
        <v>7</v>
      </c>
      <c r="F180" s="1"/>
      <c r="G180" s="1">
        <v>5</v>
      </c>
      <c r="H180" s="1"/>
      <c r="I180" s="1">
        <v>19</v>
      </c>
      <c r="J180" s="1"/>
      <c r="K180" s="1"/>
      <c r="L180" s="1"/>
      <c r="M180" s="1"/>
      <c r="N180" s="1"/>
      <c r="O180" s="1">
        <v>240</v>
      </c>
      <c r="P180" s="1">
        <v>6</v>
      </c>
      <c r="Q180" s="1"/>
      <c r="R180" s="1"/>
      <c r="S180" s="1">
        <v>37</v>
      </c>
      <c r="T180" s="1"/>
      <c r="U180" s="1"/>
      <c r="V180" s="1"/>
      <c r="W180" s="1">
        <v>11</v>
      </c>
      <c r="X180" s="1"/>
      <c r="Y180" s="1"/>
      <c r="Z180" s="1"/>
      <c r="AA180" s="1"/>
      <c r="AB180" s="1"/>
      <c r="AC180" s="1">
        <v>10</v>
      </c>
      <c r="AD180" s="1"/>
      <c r="AE180" s="1"/>
      <c r="AF180" s="1"/>
      <c r="AG180" s="1"/>
      <c r="AH180" s="1"/>
      <c r="AI180" s="1"/>
      <c r="AJ180" s="1">
        <v>4</v>
      </c>
      <c r="AK180" s="1">
        <v>32</v>
      </c>
      <c r="AL180" s="1">
        <v>71</v>
      </c>
      <c r="AM180" s="1">
        <v>4</v>
      </c>
      <c r="AN180" s="1">
        <v>108</v>
      </c>
      <c r="AO180" s="1">
        <v>7</v>
      </c>
      <c r="AP180" s="1"/>
      <c r="AQ180" s="1">
        <v>11</v>
      </c>
      <c r="AR180" s="1">
        <v>6</v>
      </c>
      <c r="AS180" s="1"/>
      <c r="AT180" s="1"/>
      <c r="AU180" s="1"/>
      <c r="AV180" s="1"/>
      <c r="AW180" s="1">
        <v>3</v>
      </c>
      <c r="AX180" s="1"/>
      <c r="AY180" s="1"/>
      <c r="AZ180" s="1">
        <v>6</v>
      </c>
      <c r="BA180" s="1"/>
      <c r="BB180" s="1"/>
      <c r="BC180" s="1"/>
      <c r="BD180" s="1">
        <v>42</v>
      </c>
      <c r="BE180" s="1"/>
      <c r="BF180" s="1"/>
      <c r="BG180" s="1">
        <v>13</v>
      </c>
    </row>
    <row r="181" s="1" customFormat="1" spans="1:56">
      <c r="A181" s="1" t="s">
        <v>9</v>
      </c>
      <c r="B181" s="1"/>
      <c r="C181" s="1">
        <v>9</v>
      </c>
      <c r="D181" s="1">
        <v>35</v>
      </c>
      <c r="E181" s="1"/>
      <c r="F181" s="1"/>
      <c r="G181" s="1">
        <v>5</v>
      </c>
      <c r="H181" s="1"/>
      <c r="I181" s="1"/>
      <c r="J181" s="1"/>
      <c r="K181" s="1"/>
      <c r="L181" s="1"/>
      <c r="M181" s="1"/>
      <c r="N181" s="1"/>
      <c r="O181" s="1">
        <v>110</v>
      </c>
      <c r="P181" s="1">
        <v>4</v>
      </c>
      <c r="Q181" s="1"/>
      <c r="R181" s="1"/>
      <c r="S181" s="1">
        <v>13</v>
      </c>
      <c r="T181" s="1"/>
      <c r="U181" s="1"/>
      <c r="V181" s="1"/>
      <c r="W181" s="1">
        <v>3</v>
      </c>
      <c r="X181" s="1"/>
      <c r="Y181" s="1"/>
      <c r="Z181" s="1"/>
      <c r="AA181" s="1"/>
      <c r="AB181" s="1"/>
      <c r="AC181" s="1">
        <v>9</v>
      </c>
      <c r="AD181" s="1"/>
      <c r="AE181" s="1"/>
      <c r="AF181" s="1"/>
      <c r="AG181" s="1"/>
      <c r="AH181" s="1"/>
      <c r="AI181" s="1"/>
      <c r="AJ181" s="1"/>
      <c r="AK181" s="1">
        <v>12</v>
      </c>
      <c r="AL181" s="1">
        <v>17</v>
      </c>
      <c r="AM181" s="1"/>
      <c r="AN181" s="1">
        <v>36</v>
      </c>
      <c r="AO181" s="1"/>
      <c r="AP181" s="1"/>
      <c r="AQ181" s="1">
        <v>3</v>
      </c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>
        <v>11</v>
      </c>
    </row>
    <row r="182" s="1" customFormat="1" spans="1:59">
      <c r="A182" s="1" t="s">
        <v>10</v>
      </c>
      <c r="B182" s="1"/>
      <c r="C182" s="1">
        <v>6</v>
      </c>
      <c r="D182" s="1">
        <v>21</v>
      </c>
      <c r="E182" s="1">
        <v>5</v>
      </c>
      <c r="F182" s="1"/>
      <c r="G182" s="1">
        <v>3</v>
      </c>
      <c r="H182" s="1"/>
      <c r="I182" s="1">
        <v>12</v>
      </c>
      <c r="J182" s="1"/>
      <c r="K182" s="1"/>
      <c r="L182" s="1"/>
      <c r="M182" s="1"/>
      <c r="N182" s="1"/>
      <c r="O182" s="1">
        <v>162</v>
      </c>
      <c r="P182" s="1"/>
      <c r="Q182" s="1"/>
      <c r="R182" s="1"/>
      <c r="S182" s="1">
        <v>9</v>
      </c>
      <c r="T182" s="1"/>
      <c r="U182" s="1"/>
      <c r="V182" s="1"/>
      <c r="W182" s="1">
        <v>3</v>
      </c>
      <c r="X182" s="1"/>
      <c r="Y182" s="1"/>
      <c r="Z182" s="1"/>
      <c r="AA182" s="1"/>
      <c r="AB182" s="1"/>
      <c r="AC182" s="1">
        <v>5</v>
      </c>
      <c r="AD182" s="1"/>
      <c r="AE182" s="1"/>
      <c r="AF182" s="1"/>
      <c r="AG182" s="1"/>
      <c r="AH182" s="1"/>
      <c r="AI182" s="1"/>
      <c r="AJ182" s="1"/>
      <c r="AK182" s="1">
        <v>12</v>
      </c>
      <c r="AL182" s="1">
        <v>59</v>
      </c>
      <c r="AM182" s="1">
        <v>12</v>
      </c>
      <c r="AN182" s="1">
        <v>29</v>
      </c>
      <c r="AO182" s="1">
        <v>5</v>
      </c>
      <c r="AP182" s="1"/>
      <c r="AQ182" s="1">
        <v>28</v>
      </c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>
        <v>21</v>
      </c>
      <c r="BE182" s="1"/>
      <c r="BF182" s="1"/>
      <c r="BG182" s="1">
        <v>17</v>
      </c>
    </row>
    <row r="183" s="1" customFormat="1" spans="1:56">
      <c r="A183" s="1" t="s">
        <v>11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>
        <v>27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>
        <v>16</v>
      </c>
      <c r="AM183" s="1">
        <v>4</v>
      </c>
      <c r="AN183" s="1">
        <v>4</v>
      </c>
      <c r="AO183" s="1"/>
      <c r="AP183" s="1"/>
      <c r="AQ183" s="1">
        <v>6</v>
      </c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>
        <v>5</v>
      </c>
    </row>
    <row r="184" s="1" customFormat="1" spans="1:56">
      <c r="A184" s="1" t="s">
        <v>12</v>
      </c>
      <c r="B184" s="1"/>
      <c r="C184" s="1"/>
      <c r="D184" s="1">
        <v>14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>
        <v>34</v>
      </c>
      <c r="P184" s="1"/>
      <c r="Q184" s="1"/>
      <c r="R184" s="1"/>
      <c r="S184" s="1">
        <v>4</v>
      </c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>
        <v>16</v>
      </c>
      <c r="AM184" s="1">
        <v>3</v>
      </c>
      <c r="AN184" s="1">
        <v>13</v>
      </c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>
        <v>13</v>
      </c>
    </row>
    <row r="185" s="1" customFormat="1" spans="1:38">
      <c r="A185" s="1" t="s">
        <v>13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>
        <v>9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>
        <v>7</v>
      </c>
    </row>
    <row r="186" s="1" customFormat="1" spans="1:56">
      <c r="A186" s="1" t="s">
        <v>14</v>
      </c>
      <c r="B186" s="1"/>
      <c r="C186" s="1">
        <v>6</v>
      </c>
      <c r="D186" s="1">
        <v>34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>
        <v>166</v>
      </c>
      <c r="P186" s="1"/>
      <c r="Q186" s="1"/>
      <c r="R186" s="1"/>
      <c r="S186" s="1"/>
      <c r="T186" s="1"/>
      <c r="U186" s="1"/>
      <c r="V186" s="1"/>
      <c r="W186" s="1">
        <v>8</v>
      </c>
      <c r="X186" s="1"/>
      <c r="Y186" s="1"/>
      <c r="Z186" s="1"/>
      <c r="AA186" s="1"/>
      <c r="AB186" s="1"/>
      <c r="AC186" s="1">
        <v>13</v>
      </c>
      <c r="AD186" s="1"/>
      <c r="AE186" s="1"/>
      <c r="AF186" s="1"/>
      <c r="AG186" s="1"/>
      <c r="AH186" s="1"/>
      <c r="AI186" s="1"/>
      <c r="AJ186" s="1"/>
      <c r="AK186" s="1">
        <v>29</v>
      </c>
      <c r="AL186" s="1">
        <v>173</v>
      </c>
      <c r="AM186" s="1">
        <v>39</v>
      </c>
      <c r="AN186" s="1">
        <v>23</v>
      </c>
      <c r="AO186" s="1"/>
      <c r="AP186" s="1"/>
      <c r="AQ186" s="1">
        <v>62</v>
      </c>
      <c r="AR186" s="1"/>
      <c r="AS186" s="1"/>
      <c r="AT186" s="1"/>
      <c r="AU186" s="1"/>
      <c r="AV186" s="1"/>
      <c r="AW186" s="1">
        <v>3</v>
      </c>
      <c r="AX186" s="1"/>
      <c r="AY186" s="1"/>
      <c r="AZ186" s="1"/>
      <c r="BA186" s="1"/>
      <c r="BB186" s="1"/>
      <c r="BC186" s="1"/>
      <c r="BD186" s="1">
        <v>35</v>
      </c>
    </row>
    <row r="187" s="1" customFormat="1" spans="1:56">
      <c r="A187" s="1" t="s">
        <v>15</v>
      </c>
      <c r="B187" s="1"/>
      <c r="C187" s="1">
        <v>3</v>
      </c>
      <c r="D187" s="1">
        <v>3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>
        <v>14</v>
      </c>
      <c r="P187" s="1"/>
      <c r="Q187" s="1"/>
      <c r="R187" s="1"/>
      <c r="S187" s="1">
        <v>16</v>
      </c>
      <c r="T187" s="1"/>
      <c r="U187" s="1"/>
      <c r="V187" s="1"/>
      <c r="W187" s="1"/>
      <c r="X187" s="1"/>
      <c r="Y187" s="1"/>
      <c r="Z187" s="1"/>
      <c r="AA187" s="1"/>
      <c r="AB187" s="1"/>
      <c r="AC187" s="1">
        <v>3</v>
      </c>
      <c r="AD187" s="1"/>
      <c r="AE187" s="1"/>
      <c r="AF187" s="1"/>
      <c r="AG187" s="1"/>
      <c r="AH187" s="1"/>
      <c r="AI187" s="1"/>
      <c r="AJ187" s="1"/>
      <c r="AK187" s="1"/>
      <c r="AL187" s="1"/>
      <c r="AM187" s="1">
        <v>7</v>
      </c>
      <c r="AN187" s="1">
        <v>3</v>
      </c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>
        <v>6</v>
      </c>
    </row>
    <row r="188" s="1" customFormat="1" spans="1:56">
      <c r="A188" s="1" t="s">
        <v>16</v>
      </c>
      <c r="B188" s="1"/>
      <c r="C188" s="1">
        <v>23</v>
      </c>
      <c r="D188" s="1">
        <v>30</v>
      </c>
      <c r="E188" s="1"/>
      <c r="F188" s="1"/>
      <c r="G188" s="1">
        <v>4</v>
      </c>
      <c r="H188" s="1"/>
      <c r="I188" s="1"/>
      <c r="J188" s="1"/>
      <c r="K188" s="1"/>
      <c r="L188" s="1"/>
      <c r="M188" s="1"/>
      <c r="N188" s="1"/>
      <c r="O188" s="1">
        <v>55</v>
      </c>
      <c r="P188" s="1"/>
      <c r="Q188" s="1"/>
      <c r="R188" s="1"/>
      <c r="S188" s="1">
        <v>8</v>
      </c>
      <c r="T188" s="1"/>
      <c r="U188" s="1"/>
      <c r="V188" s="1"/>
      <c r="W188" s="1">
        <v>5</v>
      </c>
      <c r="X188" s="1"/>
      <c r="Y188" s="1"/>
      <c r="Z188" s="1"/>
      <c r="AA188" s="1"/>
      <c r="AB188" s="1"/>
      <c r="AC188" s="1">
        <v>4</v>
      </c>
      <c r="AD188" s="1"/>
      <c r="AE188" s="1"/>
      <c r="AF188" s="1"/>
      <c r="AG188" s="1"/>
      <c r="AH188" s="1"/>
      <c r="AI188" s="1"/>
      <c r="AJ188" s="1"/>
      <c r="AK188" s="1">
        <v>3</v>
      </c>
      <c r="AL188" s="1"/>
      <c r="AM188" s="1">
        <v>14</v>
      </c>
      <c r="AN188" s="1">
        <v>8</v>
      </c>
      <c r="AO188" s="1"/>
      <c r="AP188" s="1"/>
      <c r="AQ188" s="1">
        <v>3</v>
      </c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>
        <v>22</v>
      </c>
    </row>
    <row r="189" s="1" customFormat="1" spans="3:61">
      <c r="C189" s="1">
        <v>1944</v>
      </c>
      <c r="D189" s="1">
        <v>7159</v>
      </c>
      <c r="E189" s="1">
        <v>1428</v>
      </c>
      <c r="F189" s="1">
        <v>11</v>
      </c>
      <c r="G189" s="1">
        <v>167</v>
      </c>
      <c r="H189" s="1">
        <v>48</v>
      </c>
      <c r="I189" s="1">
        <v>2175</v>
      </c>
      <c r="J189" s="1">
        <v>18</v>
      </c>
      <c r="K189" s="1">
        <v>251</v>
      </c>
      <c r="L189" s="1">
        <v>15</v>
      </c>
      <c r="M189" s="1">
        <v>16</v>
      </c>
      <c r="N189" s="1">
        <v>351</v>
      </c>
      <c r="O189" s="1">
        <v>23820</v>
      </c>
      <c r="P189" s="1">
        <v>1095</v>
      </c>
      <c r="Q189" s="1">
        <v>1031</v>
      </c>
      <c r="R189" s="1">
        <v>4</v>
      </c>
      <c r="S189" s="1">
        <v>5504</v>
      </c>
      <c r="T189" s="1">
        <v>74</v>
      </c>
      <c r="U189" s="1">
        <v>56</v>
      </c>
      <c r="V189" s="1">
        <v>68</v>
      </c>
      <c r="W189" s="1">
        <v>844</v>
      </c>
      <c r="X189" s="1">
        <v>7</v>
      </c>
      <c r="Y189" s="1">
        <v>0</v>
      </c>
      <c r="Z189" s="1">
        <v>0</v>
      </c>
      <c r="AA189" s="1">
        <v>1</v>
      </c>
      <c r="AB189" s="1">
        <v>3</v>
      </c>
      <c r="AC189" s="1">
        <v>477</v>
      </c>
      <c r="AD189" s="1">
        <v>8</v>
      </c>
      <c r="AE189" s="1">
        <v>41</v>
      </c>
      <c r="AF189" s="1">
        <v>2</v>
      </c>
      <c r="AG189" s="1">
        <v>13</v>
      </c>
      <c r="AH189" s="1">
        <v>16</v>
      </c>
      <c r="AI189" s="1">
        <v>8</v>
      </c>
      <c r="AJ189" s="1">
        <v>88</v>
      </c>
      <c r="AK189" s="1">
        <v>348</v>
      </c>
      <c r="AL189" s="1">
        <v>1334</v>
      </c>
      <c r="AM189" s="1">
        <v>233</v>
      </c>
      <c r="AN189" s="1">
        <v>5423</v>
      </c>
      <c r="AO189" s="1">
        <v>1428</v>
      </c>
      <c r="AP189" s="1">
        <v>10</v>
      </c>
      <c r="AQ189" s="1">
        <v>1092</v>
      </c>
      <c r="AR189" s="1">
        <v>570</v>
      </c>
      <c r="AS189" s="1">
        <v>63</v>
      </c>
      <c r="AT189" s="1">
        <v>19</v>
      </c>
      <c r="AU189" s="1">
        <v>2</v>
      </c>
      <c r="AV189" s="1">
        <v>1</v>
      </c>
      <c r="AW189" s="1">
        <v>32</v>
      </c>
      <c r="AX189" s="1">
        <v>0</v>
      </c>
      <c r="AY189" s="1">
        <v>9</v>
      </c>
      <c r="AZ189" s="1">
        <v>532</v>
      </c>
      <c r="BA189" s="1">
        <v>3</v>
      </c>
      <c r="BB189" s="1">
        <v>37</v>
      </c>
      <c r="BC189" s="1">
        <v>4</v>
      </c>
      <c r="BD189" s="1">
        <v>1809</v>
      </c>
      <c r="BE189" s="1">
        <v>68</v>
      </c>
      <c r="BF189" s="1">
        <v>205</v>
      </c>
      <c r="BG189" s="1">
        <v>1063</v>
      </c>
      <c r="BH189" s="1">
        <v>1</v>
      </c>
      <c r="BI189" s="1">
        <v>20</v>
      </c>
    </row>
    <row r="191" s="1" customFormat="1" spans="1:61">
      <c r="A191" s="1" t="s">
        <v>18</v>
      </c>
      <c r="B191" s="1"/>
      <c r="C191" s="3" t="s">
        <v>124</v>
      </c>
      <c r="D191" s="3" t="s">
        <v>125</v>
      </c>
      <c r="E191" s="3" t="s">
        <v>126</v>
      </c>
      <c r="F191" s="3" t="s">
        <v>127</v>
      </c>
      <c r="G191" s="3" t="s">
        <v>128</v>
      </c>
      <c r="H191" s="3" t="s">
        <v>129</v>
      </c>
      <c r="I191" s="3" t="s">
        <v>130</v>
      </c>
      <c r="J191" s="3" t="s">
        <v>131</v>
      </c>
      <c r="K191" s="3" t="s">
        <v>132</v>
      </c>
      <c r="L191" s="3" t="s">
        <v>133</v>
      </c>
      <c r="M191" s="3" t="s">
        <v>134</v>
      </c>
      <c r="N191" s="3" t="s">
        <v>135</v>
      </c>
      <c r="O191" s="3" t="s">
        <v>136</v>
      </c>
      <c r="P191" s="3" t="s">
        <v>137</v>
      </c>
      <c r="Q191" s="3" t="s">
        <v>138</v>
      </c>
      <c r="R191" s="3" t="s">
        <v>139</v>
      </c>
      <c r="S191" s="3" t="s">
        <v>140</v>
      </c>
      <c r="T191" s="3" t="s">
        <v>141</v>
      </c>
      <c r="U191" s="3" t="s">
        <v>142</v>
      </c>
      <c r="V191" s="3" t="s">
        <v>143</v>
      </c>
      <c r="W191" s="3" t="s">
        <v>144</v>
      </c>
      <c r="X191" s="3" t="s">
        <v>145</v>
      </c>
      <c r="Y191" s="3" t="s">
        <v>146</v>
      </c>
      <c r="Z191" s="3" t="s">
        <v>147</v>
      </c>
      <c r="AA191" s="3" t="s">
        <v>148</v>
      </c>
      <c r="AB191" s="3" t="s">
        <v>149</v>
      </c>
      <c r="AC191" s="3" t="s">
        <v>150</v>
      </c>
      <c r="AD191" s="3" t="s">
        <v>151</v>
      </c>
      <c r="AE191" s="3" t="s">
        <v>152</v>
      </c>
      <c r="AF191" s="3" t="s">
        <v>153</v>
      </c>
      <c r="AG191" s="3" t="s">
        <v>154</v>
      </c>
      <c r="AH191" s="3" t="s">
        <v>155</v>
      </c>
      <c r="AI191" s="3" t="s">
        <v>156</v>
      </c>
      <c r="AJ191" s="3" t="s">
        <v>157</v>
      </c>
      <c r="AK191" s="3" t="s">
        <v>158</v>
      </c>
      <c r="AL191" s="3" t="s">
        <v>159</v>
      </c>
      <c r="AM191" s="3" t="s">
        <v>160</v>
      </c>
      <c r="AN191" s="3" t="s">
        <v>161</v>
      </c>
      <c r="AO191" s="3" t="s">
        <v>126</v>
      </c>
      <c r="AP191" s="3" t="s">
        <v>162</v>
      </c>
      <c r="AQ191" s="3" t="s">
        <v>163</v>
      </c>
      <c r="AR191" s="3" t="s">
        <v>164</v>
      </c>
      <c r="AS191" s="3" t="s">
        <v>165</v>
      </c>
      <c r="AT191" s="3" t="s">
        <v>166</v>
      </c>
      <c r="AU191" s="3" t="s">
        <v>167</v>
      </c>
      <c r="AV191" s="3" t="s">
        <v>168</v>
      </c>
      <c r="AW191" s="3" t="s">
        <v>169</v>
      </c>
      <c r="AX191" s="3" t="s">
        <v>170</v>
      </c>
      <c r="AY191" s="3" t="s">
        <v>171</v>
      </c>
      <c r="AZ191" s="3" t="s">
        <v>45</v>
      </c>
      <c r="BA191" s="3" t="s">
        <v>172</v>
      </c>
      <c r="BB191" s="3" t="s">
        <v>173</v>
      </c>
      <c r="BC191" s="3" t="s">
        <v>174</v>
      </c>
      <c r="BD191" s="3" t="s">
        <v>175</v>
      </c>
      <c r="BE191" s="3" t="s">
        <v>176</v>
      </c>
      <c r="BF191" s="3" t="s">
        <v>177</v>
      </c>
      <c r="BG191" s="3" t="s">
        <v>57</v>
      </c>
      <c r="BH191" s="3" t="s">
        <v>178</v>
      </c>
      <c r="BI191" s="3" t="s">
        <v>179</v>
      </c>
    </row>
    <row r="192" s="1" customFormat="1" spans="1:59">
      <c r="A192" s="1" t="s">
        <v>7</v>
      </c>
      <c r="B192" s="1"/>
      <c r="C192" s="1">
        <f>(C179+0.5)/(21748*1944/2361487+0.5)</f>
        <v>0.896584483224598</v>
      </c>
      <c r="D192" s="1">
        <f>(D179+0.5)/(21748*7159/2361487+0.5)</f>
        <v>0.594606721592868</v>
      </c>
      <c r="O192" s="1">
        <f>(O179+0.5)/(21748*23820/2361487+0.5)</f>
        <v>0.548053277768655</v>
      </c>
      <c r="S192" s="1">
        <f>(S179+0.5)/(21748*5504/2361487+0.5)</f>
        <v>0.341871518712602</v>
      </c>
      <c r="AC192" s="1">
        <f>(AC179+0.5)/(21748*477/2361487+0.5)</f>
        <v>0.919698400788712</v>
      </c>
      <c r="AK192" s="1">
        <f>(AK179+0.5)/(21748*348/2361487+0.5)</f>
        <v>3.10400652185281</v>
      </c>
      <c r="AL192" s="1">
        <f>(AL179+0.5)/(21748*1334/2361487+0.5)</f>
        <v>4.18445768231995</v>
      </c>
      <c r="AM192" s="1">
        <f>(AM179+0.5)/(21748*233/2361487+0.5)</f>
        <v>3.96855063458027</v>
      </c>
      <c r="AN192" s="1">
        <f>(AN179+0.5)/(21748*5423/2361487+0.5)</f>
        <v>0.366751640397356</v>
      </c>
      <c r="AQ192" s="1">
        <f>(AQ179+0.5)/(21748*1092/2361487+0.5)</f>
        <v>1.75243808459592</v>
      </c>
      <c r="AZ192" s="1">
        <f>(AZ179+0.5)/(21748*532/2361487+0.5)</f>
        <v>0.648216787191616</v>
      </c>
      <c r="BD192" s="1">
        <f>(BD179+0.5)/(21748*1809/2361487+0.5)</f>
        <v>2.36015392096249</v>
      </c>
      <c r="BG192" s="1">
        <f>(BG179+0.5)/(21748*1063/2361487+0.5)</f>
        <v>1.31199836782517</v>
      </c>
    </row>
    <row r="193" s="1" customFormat="1" spans="1:59">
      <c r="A193" s="1" t="s">
        <v>8</v>
      </c>
      <c r="B193" s="1"/>
      <c r="C193" s="1">
        <f>(C180+0.5)/(40850*1944/2361487+0.5)</f>
        <v>0.600677444725804</v>
      </c>
      <c r="D193" s="1">
        <f>(D180+0.5)/(40850*7159/2361487+0.5)</f>
        <v>0.534826420204661</v>
      </c>
      <c r="E193" s="1">
        <f>(E180+0.5)/(40850*1428/2361487+0.5)</f>
        <v>0.297593688171363</v>
      </c>
      <c r="G193" s="1">
        <f>(G180+0.5)/(40850*167/2361487+0.5)</f>
        <v>1.62297587680948</v>
      </c>
      <c r="I193" s="1">
        <f>(I180+0.5)/(40850*2175/2361487+0.5)</f>
        <v>0.511487899240486</v>
      </c>
      <c r="O193" s="1">
        <f>(O180+0.5)/(40850*23820/2361487+0.5)</f>
        <v>0.582961866246627</v>
      </c>
      <c r="P193" s="1">
        <f>(P180+0.5)/(40850*1095/2361487+0.5)</f>
        <v>0.334331652704785</v>
      </c>
      <c r="S193" s="1">
        <f>(S180+0.5)/(40850*5504/2361487+0.5)</f>
        <v>0.391806468817983</v>
      </c>
      <c r="W193" s="1">
        <f>(W180+0.5)/(40850*844/2361487+0.5)</f>
        <v>0.761596029249251</v>
      </c>
      <c r="AC193" s="1">
        <f>(AC180+0.5)/(40850*477/2361487+0.5)</f>
        <v>1.19981521996298</v>
      </c>
      <c r="AJ193" s="1">
        <f>(AJ180+0.5)/(40850*88/2361487+0.5)</f>
        <v>2.22523185057366</v>
      </c>
      <c r="AK193" s="1">
        <f>(AK180+0.5)/(40850*348/2361487+0.5)</f>
        <v>4.98477645323446</v>
      </c>
      <c r="AL193" s="1">
        <f>(AL180+0.5)/(40850*1334/2361487+0.5)</f>
        <v>3.03273285440975</v>
      </c>
      <c r="AM193" s="1">
        <f>(AM180+0.5)/(40850*233/2361487+0.5)</f>
        <v>0.993260735427784</v>
      </c>
      <c r="AN193" s="1">
        <f>(AN180+0.5)/(40850*5423/2361487+0.5)</f>
        <v>1.15046922831162</v>
      </c>
      <c r="AO193" s="1">
        <f>(AO180+0.5)/(40850*1428/2361487+0.5)</f>
        <v>0.297593688171363</v>
      </c>
      <c r="AQ193" s="1">
        <f>(AQ180+0.5)/(40850*1092/2361487+0.5)</f>
        <v>0.59309297014027</v>
      </c>
      <c r="AR193" s="1">
        <f>(AR180+0.5)/(40850*570/2361487+0.5)</f>
        <v>0.627407019267967</v>
      </c>
      <c r="AW193" s="1">
        <f>(AW180+0.5)/(40850*32/2361487+0.5)</f>
        <v>3.32210297380145</v>
      </c>
      <c r="AZ193" s="1">
        <f>(AZ180+0.5)/(40850*532/2361487+0.5)</f>
        <v>0.669912423080867</v>
      </c>
      <c r="BD193" s="1">
        <f>(BD180+0.5)/(40580*1809/2361487+0.5)</f>
        <v>1.34553219750537</v>
      </c>
      <c r="BG193" s="1">
        <f>(BG180+0.5)/(40580*1063/2361487+0.5)</f>
        <v>0.71935985200898</v>
      </c>
    </row>
    <row r="194" s="1" customFormat="1" spans="1:56">
      <c r="A194" s="1" t="s">
        <v>9</v>
      </c>
      <c r="B194" s="1"/>
      <c r="C194" s="1">
        <f>(C181+0.5)/(25243*1944/2361487+0.5)</f>
        <v>0.446422422736189</v>
      </c>
      <c r="D194" s="1">
        <f>(D181+0.5)/(25243*7159/2361487+0.5)</f>
        <v>0.460884648469673</v>
      </c>
      <c r="G194" s="1">
        <f>(G181+0.5)/(25243*167/2361487+0.5)</f>
        <v>2.40685646313523</v>
      </c>
      <c r="O194" s="1">
        <f>(O181+0.5)/(25243*23820/2361487+0.5)</f>
        <v>0.433124877768089</v>
      </c>
      <c r="P194" s="1">
        <f>(P181+0.5)/(25243*1095/2361487+0.5)</f>
        <v>0.368702891282557</v>
      </c>
      <c r="S194" s="1">
        <f>(S181+0.5)/(25243*5504/2361487+0.5)</f>
        <v>0.227522698503108</v>
      </c>
      <c r="W194" s="1">
        <f>(W181+0.5)/(25243*844/2361487+0.5)</f>
        <v>0.367573822195755</v>
      </c>
      <c r="AC194" s="1">
        <f>(AC181+0.5)/(25243*477/2361487+0.5)</f>
        <v>1.69677149709214</v>
      </c>
      <c r="AK194" s="1">
        <f>(AK181+0.5)/(25243*348/2361487+0.5)</f>
        <v>2.96213513732517</v>
      </c>
      <c r="AL194" s="1">
        <f>(AL181+0.5)/(25243*1334/2361487+0.5)</f>
        <v>1.18565871595893</v>
      </c>
      <c r="AN194" s="1">
        <f>(AN181+0.5)/(25243*5423/2361487+0.5)</f>
        <v>0.624263564054175</v>
      </c>
      <c r="AQ194" s="1">
        <f>(AQ181+0.5)/(25243*1092/2361487+0.5)</f>
        <v>0.287524382220969</v>
      </c>
      <c r="BD194" s="1">
        <f>(BD181+0.5)/(25243*1809/2361487+0.5)</f>
        <v>0.579718409714283</v>
      </c>
    </row>
    <row r="195" s="1" customFormat="1" spans="1:59">
      <c r="A195" s="1" t="s">
        <v>10</v>
      </c>
      <c r="B195" s="1"/>
      <c r="C195" s="1">
        <f>(C182+0.5)/(25397*1944/2361487+0.5)</f>
        <v>0.303638039823204</v>
      </c>
      <c r="D195" s="1">
        <f>(D182+0.5)/(25397*7159/2361487+0.5)</f>
        <v>0.277445696340946</v>
      </c>
      <c r="E195" s="1">
        <f>(E182+0.5)/(25397*1428/2361487+0.5)</f>
        <v>0.346835521189248</v>
      </c>
      <c r="G195" s="1">
        <f>(G182+0.5)/(25397*167/2361487+0.5)</f>
        <v>1.5243710280766</v>
      </c>
      <c r="I195" s="1">
        <f>(I182+0.5)/(25397*2175/2361487+0.5)</f>
        <v>0.523200928421226</v>
      </c>
      <c r="O195" s="1">
        <f>(O182+0.5)/(25397*23820/2361487+0.5)</f>
        <v>0.63309360428082</v>
      </c>
      <c r="S195" s="1">
        <f>(S182+0.5)/(25397*5504/2361487+0.5)</f>
        <v>0.159145845920825</v>
      </c>
      <c r="W195" s="1">
        <f>(W182+0.5)/(25397*844/2361487+0.5)</f>
        <v>0.365461327797148</v>
      </c>
      <c r="AC195" s="1">
        <f>(AC182+0.5)/(25397*477/2361487+0.5)</f>
        <v>0.976913771884217</v>
      </c>
      <c r="AK195" s="1">
        <f>(AK182+0.5)/(25397*348/2361487+0.5)</f>
        <v>2.94629040844256</v>
      </c>
      <c r="AL195" s="1">
        <f>(AL182+0.5)/(25397*1334/2361487+0.5)</f>
        <v>4.00761859378922</v>
      </c>
      <c r="AM195" s="1">
        <f>(AM182+0.5)/(25397*233/2361487+0.5)</f>
        <v>4.15857575771023</v>
      </c>
      <c r="AN195" s="1">
        <f>(AN182+0.5)/(25397*5423/2361487+0.5)</f>
        <v>0.501508395719376</v>
      </c>
      <c r="AO195" s="1">
        <f>(AO182+0.5)/(25397*1428/2361487+0.5)</f>
        <v>0.346835521189248</v>
      </c>
      <c r="AQ195" s="1">
        <f>(AQ182+0.5)/(25397*1092/2361487+0.5)</f>
        <v>2.32765293120429</v>
      </c>
      <c r="BD195" s="1">
        <f>(BD182+0.5)/(25397*1809/2361487+0.5)</f>
        <v>1.07741406637965</v>
      </c>
      <c r="BG195" s="1">
        <f>(BG182+0.5)/(25397*1063/2361487+0.5)</f>
        <v>1.46661872932423</v>
      </c>
    </row>
    <row r="196" s="1" customFormat="1" spans="1:56">
      <c r="A196" s="1" t="s">
        <v>11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>
        <f>(O183+0.5)/(1940*23820/2361487+0.5)</f>
        <v>1.37030549553635</v>
      </c>
      <c r="AL196" s="1">
        <f>(AL183+0.5)/(1940*1334/2361487+0.5)</f>
        <v>10.3389761226905</v>
      </c>
      <c r="AM196" s="1">
        <f>(AM183+0.5)/(1940*233/2361487+0.5)</f>
        <v>6.50840829060669</v>
      </c>
      <c r="AN196" s="1">
        <f>(AN183+0.5)/(1940*5423/2361487+0.5)</f>
        <v>0.908158395386999</v>
      </c>
      <c r="AQ196" s="1">
        <f>(AQ183+0.5)/(1940*1092/2361487+0.5)</f>
        <v>4.65250853723611</v>
      </c>
      <c r="BD196" s="1">
        <f>(BD183+0.5)/(1940*1809/2361487+0.5)</f>
        <v>2.76921427822908</v>
      </c>
    </row>
    <row r="197" s="1" customFormat="1" spans="1:56">
      <c r="A197" s="1" t="s">
        <v>12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>
        <f>(O184+0.5)/(7277*23820/2361487+0.5)</f>
        <v>0.466833730918293</v>
      </c>
      <c r="S197" s="1">
        <f>(S184+0.5)/(7277*5504/2361487+0.5)</f>
        <v>0.257720779743068</v>
      </c>
      <c r="AL197" s="1">
        <f>(AL184+0.5)/(7277*1334/2361487+0.5)</f>
        <v>3.57858189757841</v>
      </c>
      <c r="AM197" s="1">
        <f>(AM184+0.5)/(7277*233/2361487+0.5)</f>
        <v>2.87356987808403</v>
      </c>
      <c r="AN197" s="1">
        <f>(AN184+0.5)/(7277*5423/2361487+0.5)</f>
        <v>0.784375099991906</v>
      </c>
      <c r="BD197" s="1">
        <f>(BD184+0.5)/(7277*1809/2361487+0.5)</f>
        <v>2.22240765867216</v>
      </c>
    </row>
    <row r="198" s="1" customFormat="1" spans="1:38">
      <c r="A198" s="1" t="s">
        <v>13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>
        <f>(O185+0.5)/(3349*23820/2361487+0.5)</f>
        <v>0.277122164437157</v>
      </c>
      <c r="AL198" s="1">
        <f>(AL185+0.5)/(3349*1334/2361487+0.5)</f>
        <v>3.13565545584922</v>
      </c>
    </row>
    <row r="199" s="1" customFormat="1" spans="1:56">
      <c r="A199" s="1" t="s">
        <v>14</v>
      </c>
      <c r="B199" s="1"/>
      <c r="C199" s="1">
        <f>(C186+0.5)/(13923*1944/2361487+0.5)</f>
        <v>0.543407630575866</v>
      </c>
      <c r="D199" s="1">
        <f>(D186+0.5)/(13923*7159/2361487+0.5)</f>
        <v>0.807802262604408</v>
      </c>
      <c r="O199" s="1">
        <f>(O186+0.5)/(13923*23820/2361487+0.5)</f>
        <v>1.18135864550864</v>
      </c>
      <c r="W199" s="1">
        <f>(W186+0.5)/(13923*844/2361487+0.5)</f>
        <v>1.55219757286627</v>
      </c>
      <c r="AC199" s="1">
        <f>(AC186+0.5)/(13923*477/2361487+0.5)</f>
        <v>4.07568593742699</v>
      </c>
      <c r="AK199" s="1">
        <f>(AK186+0.5)/(13923*348/2361487+0.5)</f>
        <v>11.5606494248415</v>
      </c>
      <c r="AL199" s="1">
        <f>(AL186+0.5)/(13923*1334/2361487+0.5)</f>
        <v>20.7409874255756</v>
      </c>
      <c r="AM199" s="1">
        <f>(AM186+0.5)/(13923*233/2361487+0.5)</f>
        <v>21.0808813500716</v>
      </c>
      <c r="AN199" s="1">
        <f>(AN186+0.5)/(13923*5423/2361487+0.5)</f>
        <v>0.723672421810096</v>
      </c>
      <c r="AQ199" s="1">
        <f>(AQ186+0.5)/(13923*1092/2361487+0.5)</f>
        <v>9.00799540570251</v>
      </c>
      <c r="AW199" s="1">
        <f>(AW186+0.5)/(13923*32/2361487+0.5)</f>
        <v>5.08227798481134</v>
      </c>
      <c r="BD199" s="1">
        <f>(BD186+0.5)/(13923*1809/2361487+0.5)</f>
        <v>3.17940441378661</v>
      </c>
    </row>
    <row r="200" s="1" customFormat="1" spans="1:56">
      <c r="A200" s="1" t="s">
        <v>15</v>
      </c>
      <c r="B200" s="1"/>
      <c r="C200" s="1">
        <f>(C187+0.5)/(2733*1944/2361487+0.5)</f>
        <v>1.27280444548101</v>
      </c>
      <c r="D200" s="1">
        <f>(D187+0.5)/(2733*7159/2361487+0.5)</f>
        <v>0.398394329820071</v>
      </c>
      <c r="O200" s="1">
        <f>(O187+0.5)/(2733*23820/2361487+0.5)</f>
        <v>0.516613554631998</v>
      </c>
      <c r="S200" s="1">
        <f>(S187+0.5)/(2733*5504/2361487+0.5)</f>
        <v>2.40178228362259</v>
      </c>
      <c r="AC200" s="1">
        <f>(AC187+0.5)/(2733*477/2361487+0.5)</f>
        <v>3.32686204570991</v>
      </c>
      <c r="AM200" s="1">
        <f>(AM187+0.5)/(2733*233/2361487+0.5)</f>
        <v>9.74461392024627</v>
      </c>
      <c r="AN200" s="1">
        <f>(AN187+0.5)/(2733*5423/2361487+0.5)</f>
        <v>0.516517092371312</v>
      </c>
      <c r="BD200" s="1">
        <f>(BD187+0.5)/(2733*1809/2361487+0.5)</f>
        <v>2.50617401667875</v>
      </c>
    </row>
    <row r="201" s="1" customFormat="1" spans="1:56">
      <c r="A201" s="1" t="s">
        <v>16</v>
      </c>
      <c r="B201" s="1"/>
      <c r="C201" s="1">
        <f>(C188+0.5)/(10967*1944/2361487+0.5)</f>
        <v>2.4663771394632</v>
      </c>
      <c r="D201" s="1">
        <f>(D188+0.5)/(10967*7159/2361487+0.5)</f>
        <v>0.90377956374395</v>
      </c>
      <c r="G201" s="1">
        <f>(G188+0.5)/(10967*167/2361487+0.5)</f>
        <v>3.52784570912106</v>
      </c>
      <c r="O201" s="1">
        <f>(O188+0.5)/(10967*23820/2361487+0.5)</f>
        <v>0.499448151116894</v>
      </c>
      <c r="S201" s="1">
        <f>(S188+0.5)/(10967*5504/2361487+0.5)</f>
        <v>0.32615574693522</v>
      </c>
      <c r="W201" s="1">
        <f>(W188+0.5)/(10967*844/2361487+0.5)</f>
        <v>1.2444489338612</v>
      </c>
      <c r="AC201" s="1">
        <f>(AC188+0.5)/(10967*477/2361487+0.5)</f>
        <v>1.65731243866483</v>
      </c>
      <c r="AK201" s="1">
        <f>(AK188+0.5)/(10967*348/2361487+0.5)</f>
        <v>1.65394742858561</v>
      </c>
      <c r="AM201" s="1">
        <f>(AM188+0.5)/(10967*233/2361487+0.5)</f>
        <v>9.1651664878015</v>
      </c>
      <c r="AN201" s="1">
        <f>(AN188+0.5)/(10967*5423/2361487+0.5)</f>
        <v>0.33093250046911</v>
      </c>
      <c r="AQ201" s="1">
        <f>(AQ188+0.5)/(40850*1092/2361487+0.5)</f>
        <v>0.180506556129647</v>
      </c>
      <c r="BD201" s="1">
        <f>(BD188+0.5)/(10967*1809/2361487+0.5)</f>
        <v>2.52775166315641</v>
      </c>
    </row>
    <row r="203" s="1" customFormat="1" spans="1:61">
      <c r="A203" s="1" t="s">
        <v>22</v>
      </c>
      <c r="B203" s="1"/>
      <c r="C203" s="3" t="s">
        <v>124</v>
      </c>
      <c r="D203" s="3" t="s">
        <v>125</v>
      </c>
      <c r="E203" s="3" t="s">
        <v>126</v>
      </c>
      <c r="F203" s="3" t="s">
        <v>127</v>
      </c>
      <c r="G203" s="3" t="s">
        <v>128</v>
      </c>
      <c r="H203" s="3" t="s">
        <v>129</v>
      </c>
      <c r="I203" s="3" t="s">
        <v>130</v>
      </c>
      <c r="J203" s="3" t="s">
        <v>131</v>
      </c>
      <c r="K203" s="3" t="s">
        <v>132</v>
      </c>
      <c r="L203" s="3" t="s">
        <v>133</v>
      </c>
      <c r="M203" s="3" t="s">
        <v>134</v>
      </c>
      <c r="N203" s="3" t="s">
        <v>135</v>
      </c>
      <c r="O203" s="3" t="s">
        <v>136</v>
      </c>
      <c r="P203" s="3" t="s">
        <v>137</v>
      </c>
      <c r="Q203" s="3" t="s">
        <v>138</v>
      </c>
      <c r="R203" s="3" t="s">
        <v>139</v>
      </c>
      <c r="S203" s="3" t="s">
        <v>140</v>
      </c>
      <c r="T203" s="3" t="s">
        <v>141</v>
      </c>
      <c r="U203" s="3" t="s">
        <v>142</v>
      </c>
      <c r="V203" s="3" t="s">
        <v>143</v>
      </c>
      <c r="W203" s="3" t="s">
        <v>144</v>
      </c>
      <c r="X203" s="3" t="s">
        <v>145</v>
      </c>
      <c r="Y203" s="3" t="s">
        <v>146</v>
      </c>
      <c r="Z203" s="3" t="s">
        <v>147</v>
      </c>
      <c r="AA203" s="3" t="s">
        <v>148</v>
      </c>
      <c r="AB203" s="3" t="s">
        <v>149</v>
      </c>
      <c r="AC203" s="3" t="s">
        <v>150</v>
      </c>
      <c r="AD203" s="3" t="s">
        <v>151</v>
      </c>
      <c r="AE203" s="3" t="s">
        <v>152</v>
      </c>
      <c r="AF203" s="3" t="s">
        <v>153</v>
      </c>
      <c r="AG203" s="3" t="s">
        <v>154</v>
      </c>
      <c r="AH203" s="3" t="s">
        <v>155</v>
      </c>
      <c r="AI203" s="3" t="s">
        <v>156</v>
      </c>
      <c r="AJ203" s="3" t="s">
        <v>157</v>
      </c>
      <c r="AK203" s="3" t="s">
        <v>158</v>
      </c>
      <c r="AL203" s="3" t="s">
        <v>159</v>
      </c>
      <c r="AM203" s="3" t="s">
        <v>160</v>
      </c>
      <c r="AN203" s="3" t="s">
        <v>161</v>
      </c>
      <c r="AO203" s="3" t="s">
        <v>126</v>
      </c>
      <c r="AP203" s="3" t="s">
        <v>162</v>
      </c>
      <c r="AQ203" s="3" t="s">
        <v>163</v>
      </c>
      <c r="AR203" s="3" t="s">
        <v>164</v>
      </c>
      <c r="AS203" s="3" t="s">
        <v>165</v>
      </c>
      <c r="AT203" s="3" t="s">
        <v>166</v>
      </c>
      <c r="AU203" s="3" t="s">
        <v>167</v>
      </c>
      <c r="AV203" s="3" t="s">
        <v>168</v>
      </c>
      <c r="AW203" s="3" t="s">
        <v>169</v>
      </c>
      <c r="AX203" s="3" t="s">
        <v>170</v>
      </c>
      <c r="AY203" s="3" t="s">
        <v>171</v>
      </c>
      <c r="AZ203" s="3" t="s">
        <v>45</v>
      </c>
      <c r="BA203" s="3" t="s">
        <v>172</v>
      </c>
      <c r="BB203" s="3" t="s">
        <v>173</v>
      </c>
      <c r="BC203" s="3" t="s">
        <v>174</v>
      </c>
      <c r="BD203" s="3" t="s">
        <v>175</v>
      </c>
      <c r="BE203" s="3" t="s">
        <v>176</v>
      </c>
      <c r="BF203" s="3" t="s">
        <v>177</v>
      </c>
      <c r="BG203" s="3" t="s">
        <v>57</v>
      </c>
      <c r="BH203" s="3" t="s">
        <v>178</v>
      </c>
      <c r="BI203" s="3" t="s">
        <v>179</v>
      </c>
    </row>
    <row r="204" s="1" customFormat="1" spans="1:61">
      <c r="A204" s="1" t="s">
        <v>7</v>
      </c>
      <c r="B204" s="1"/>
      <c r="C204" s="1">
        <f t="shared" ref="C204:BI204" si="72">LOG(C192,2)</f>
        <v>-0.157488563342429</v>
      </c>
      <c r="D204" s="1">
        <f t="shared" si="72"/>
        <v>-0.749992322940347</v>
      </c>
      <c r="E204" s="1" t="e">
        <f t="shared" si="72"/>
        <v>#NUM!</v>
      </c>
      <c r="F204" s="1" t="e">
        <f t="shared" si="72"/>
        <v>#NUM!</v>
      </c>
      <c r="G204" s="1" t="e">
        <f t="shared" si="72"/>
        <v>#NUM!</v>
      </c>
      <c r="H204" s="1" t="e">
        <f t="shared" si="72"/>
        <v>#NUM!</v>
      </c>
      <c r="I204" s="1" t="e">
        <f t="shared" si="72"/>
        <v>#NUM!</v>
      </c>
      <c r="J204" s="1" t="e">
        <f t="shared" si="72"/>
        <v>#NUM!</v>
      </c>
      <c r="K204" s="1" t="e">
        <f t="shared" si="72"/>
        <v>#NUM!</v>
      </c>
      <c r="L204" s="1" t="e">
        <f t="shared" si="72"/>
        <v>#NUM!</v>
      </c>
      <c r="M204" s="1" t="e">
        <f t="shared" si="72"/>
        <v>#NUM!</v>
      </c>
      <c r="N204" s="1" t="e">
        <f t="shared" si="72"/>
        <v>#NUM!</v>
      </c>
      <c r="O204" s="1">
        <f t="shared" si="72"/>
        <v>-0.867611946525561</v>
      </c>
      <c r="P204" s="1" t="e">
        <f t="shared" si="72"/>
        <v>#NUM!</v>
      </c>
      <c r="Q204" s="1" t="e">
        <f t="shared" si="72"/>
        <v>#NUM!</v>
      </c>
      <c r="R204" s="1" t="e">
        <f t="shared" si="72"/>
        <v>#NUM!</v>
      </c>
      <c r="S204" s="1">
        <f t="shared" si="72"/>
        <v>-1.548473857912</v>
      </c>
      <c r="T204" s="1" t="e">
        <f t="shared" si="72"/>
        <v>#NUM!</v>
      </c>
      <c r="U204" s="1" t="e">
        <f t="shared" si="72"/>
        <v>#NUM!</v>
      </c>
      <c r="V204" s="1" t="e">
        <f t="shared" si="72"/>
        <v>#NUM!</v>
      </c>
      <c r="W204" s="1" t="e">
        <f t="shared" si="72"/>
        <v>#NUM!</v>
      </c>
      <c r="X204" s="1" t="e">
        <f t="shared" si="72"/>
        <v>#NUM!</v>
      </c>
      <c r="Y204" s="1" t="e">
        <f t="shared" si="72"/>
        <v>#NUM!</v>
      </c>
      <c r="Z204" s="1" t="e">
        <f t="shared" si="72"/>
        <v>#NUM!</v>
      </c>
      <c r="AA204" s="1" t="e">
        <f t="shared" si="72"/>
        <v>#NUM!</v>
      </c>
      <c r="AB204" s="1" t="e">
        <f t="shared" si="72"/>
        <v>#NUM!</v>
      </c>
      <c r="AC204" s="1">
        <f t="shared" si="72"/>
        <v>-0.120767263090541</v>
      </c>
      <c r="AD204" s="1" t="e">
        <f t="shared" si="72"/>
        <v>#NUM!</v>
      </c>
      <c r="AE204" s="1" t="e">
        <f t="shared" si="72"/>
        <v>#NUM!</v>
      </c>
      <c r="AF204" s="1" t="e">
        <f t="shared" si="72"/>
        <v>#NUM!</v>
      </c>
      <c r="AG204" s="1" t="e">
        <f t="shared" si="72"/>
        <v>#NUM!</v>
      </c>
      <c r="AH204" s="1" t="e">
        <f t="shared" si="72"/>
        <v>#NUM!</v>
      </c>
      <c r="AI204" s="1" t="e">
        <f t="shared" si="72"/>
        <v>#NUM!</v>
      </c>
      <c r="AJ204" s="1" t="e">
        <f t="shared" si="72"/>
        <v>#NUM!</v>
      </c>
      <c r="AK204" s="1">
        <f t="shared" si="72"/>
        <v>1.63413158878626</v>
      </c>
      <c r="AL204" s="1">
        <f t="shared" si="72"/>
        <v>2.06504065748864</v>
      </c>
      <c r="AM204" s="1">
        <f t="shared" si="72"/>
        <v>1.98861221288824</v>
      </c>
      <c r="AN204" s="1">
        <f t="shared" si="72"/>
        <v>-1.44712467612479</v>
      </c>
      <c r="AO204" s="1" t="e">
        <f t="shared" si="72"/>
        <v>#NUM!</v>
      </c>
      <c r="AP204" s="1" t="e">
        <f t="shared" si="72"/>
        <v>#NUM!</v>
      </c>
      <c r="AQ204" s="1">
        <f t="shared" si="72"/>
        <v>0.809363473266212</v>
      </c>
      <c r="AR204" s="1" t="e">
        <f t="shared" si="72"/>
        <v>#NUM!</v>
      </c>
      <c r="AS204" s="1" t="e">
        <f t="shared" si="72"/>
        <v>#NUM!</v>
      </c>
      <c r="AT204" s="1" t="e">
        <f t="shared" si="72"/>
        <v>#NUM!</v>
      </c>
      <c r="AU204" s="1" t="e">
        <f t="shared" si="72"/>
        <v>#NUM!</v>
      </c>
      <c r="AV204" s="1" t="e">
        <f t="shared" si="72"/>
        <v>#NUM!</v>
      </c>
      <c r="AW204" s="1" t="e">
        <f t="shared" si="72"/>
        <v>#NUM!</v>
      </c>
      <c r="AX204" s="1" t="e">
        <f t="shared" si="72"/>
        <v>#NUM!</v>
      </c>
      <c r="AY204" s="1" t="e">
        <f t="shared" si="72"/>
        <v>#NUM!</v>
      </c>
      <c r="AZ204" s="1">
        <f t="shared" si="72"/>
        <v>-0.62545171155884</v>
      </c>
      <c r="BA204" s="1" t="e">
        <f t="shared" si="72"/>
        <v>#NUM!</v>
      </c>
      <c r="BB204" s="1" t="e">
        <f t="shared" si="72"/>
        <v>#NUM!</v>
      </c>
      <c r="BC204" s="1" t="e">
        <f t="shared" si="72"/>
        <v>#NUM!</v>
      </c>
      <c r="BD204" s="1">
        <f t="shared" si="72"/>
        <v>1.23888095016682</v>
      </c>
      <c r="BE204" s="1" t="e">
        <f t="shared" si="72"/>
        <v>#NUM!</v>
      </c>
      <c r="BF204" s="1" t="e">
        <f t="shared" si="72"/>
        <v>#NUM!</v>
      </c>
      <c r="BG204" s="1">
        <f t="shared" si="72"/>
        <v>0.391765925190751</v>
      </c>
      <c r="BH204" s="1" t="e">
        <f t="shared" si="72"/>
        <v>#NUM!</v>
      </c>
      <c r="BI204" s="1" t="e">
        <f t="shared" si="72"/>
        <v>#NUM!</v>
      </c>
    </row>
    <row r="205" s="1" customFormat="1" spans="1:61">
      <c r="A205" s="1" t="s">
        <v>8</v>
      </c>
      <c r="B205" s="1"/>
      <c r="C205" s="1">
        <f t="shared" ref="C205:BI205" si="73">LOG(C193,2)</f>
        <v>-0.735337602811165</v>
      </c>
      <c r="D205" s="1">
        <f t="shared" si="73"/>
        <v>-0.902857359155492</v>
      </c>
      <c r="E205" s="1">
        <f t="shared" si="73"/>
        <v>-1.74858416703161</v>
      </c>
      <c r="F205" s="1" t="e">
        <f t="shared" si="73"/>
        <v>#NUM!</v>
      </c>
      <c r="G205" s="1">
        <f t="shared" si="73"/>
        <v>0.698641556468768</v>
      </c>
      <c r="H205" s="1" t="e">
        <f t="shared" si="73"/>
        <v>#NUM!</v>
      </c>
      <c r="I205" s="1">
        <f t="shared" si="73"/>
        <v>-0.96722798573249</v>
      </c>
      <c r="J205" s="1" t="e">
        <f t="shared" si="73"/>
        <v>#NUM!</v>
      </c>
      <c r="K205" s="1" t="e">
        <f t="shared" si="73"/>
        <v>#NUM!</v>
      </c>
      <c r="L205" s="1" t="e">
        <f t="shared" si="73"/>
        <v>#NUM!</v>
      </c>
      <c r="M205" s="1" t="e">
        <f t="shared" si="73"/>
        <v>#NUM!</v>
      </c>
      <c r="N205" s="1" t="e">
        <f t="shared" si="73"/>
        <v>#NUM!</v>
      </c>
      <c r="O205" s="1">
        <f t="shared" si="73"/>
        <v>-0.778526580546025</v>
      </c>
      <c r="P205" s="1">
        <f t="shared" si="73"/>
        <v>-1.58064814693627</v>
      </c>
      <c r="Q205" s="1" t="e">
        <f t="shared" si="73"/>
        <v>#NUM!</v>
      </c>
      <c r="R205" s="1" t="e">
        <f t="shared" si="73"/>
        <v>#NUM!</v>
      </c>
      <c r="S205" s="1">
        <f t="shared" si="73"/>
        <v>-1.35178687784699</v>
      </c>
      <c r="T205" s="1" t="e">
        <f t="shared" si="73"/>
        <v>#NUM!</v>
      </c>
      <c r="U205" s="1" t="e">
        <f t="shared" si="73"/>
        <v>#NUM!</v>
      </c>
      <c r="V205" s="1" t="e">
        <f t="shared" si="73"/>
        <v>#NUM!</v>
      </c>
      <c r="W205" s="1">
        <f t="shared" si="73"/>
        <v>-0.392902138034241</v>
      </c>
      <c r="X205" s="1" t="e">
        <f t="shared" si="73"/>
        <v>#NUM!</v>
      </c>
      <c r="Y205" s="1" t="e">
        <f t="shared" si="73"/>
        <v>#NUM!</v>
      </c>
      <c r="Z205" s="1" t="e">
        <f t="shared" si="73"/>
        <v>#NUM!</v>
      </c>
      <c r="AA205" s="1" t="e">
        <f t="shared" si="73"/>
        <v>#NUM!</v>
      </c>
      <c r="AB205" s="1" t="e">
        <f t="shared" si="73"/>
        <v>#NUM!</v>
      </c>
      <c r="AC205" s="1">
        <f t="shared" si="73"/>
        <v>0.262812237692369</v>
      </c>
      <c r="AD205" s="1" t="e">
        <f t="shared" si="73"/>
        <v>#NUM!</v>
      </c>
      <c r="AE205" s="1" t="e">
        <f t="shared" si="73"/>
        <v>#NUM!</v>
      </c>
      <c r="AF205" s="1" t="e">
        <f t="shared" si="73"/>
        <v>#NUM!</v>
      </c>
      <c r="AG205" s="1" t="e">
        <f t="shared" si="73"/>
        <v>#NUM!</v>
      </c>
      <c r="AH205" s="1" t="e">
        <f t="shared" si="73"/>
        <v>#NUM!</v>
      </c>
      <c r="AI205" s="1" t="e">
        <f t="shared" si="73"/>
        <v>#NUM!</v>
      </c>
      <c r="AJ205" s="1">
        <f t="shared" si="73"/>
        <v>1.1539556606843</v>
      </c>
      <c r="AK205" s="1">
        <f t="shared" si="73"/>
        <v>2.31752880712265</v>
      </c>
      <c r="AL205" s="1">
        <f t="shared" si="73"/>
        <v>1.60061842028565</v>
      </c>
      <c r="AM205" s="1">
        <f t="shared" si="73"/>
        <v>-0.0097556134557126</v>
      </c>
      <c r="AN205" s="1">
        <f t="shared" si="73"/>
        <v>0.202222396203529</v>
      </c>
      <c r="AO205" s="1">
        <f t="shared" si="73"/>
        <v>-1.74858416703161</v>
      </c>
      <c r="AP205" s="1" t="e">
        <f t="shared" si="73"/>
        <v>#NUM!</v>
      </c>
      <c r="AQ205" s="1">
        <f t="shared" si="73"/>
        <v>-0.75366982308876</v>
      </c>
      <c r="AR205" s="1">
        <f t="shared" si="73"/>
        <v>-0.672526425115411</v>
      </c>
      <c r="AS205" s="1" t="e">
        <f t="shared" si="73"/>
        <v>#NUM!</v>
      </c>
      <c r="AT205" s="1" t="e">
        <f t="shared" si="73"/>
        <v>#NUM!</v>
      </c>
      <c r="AU205" s="1" t="e">
        <f t="shared" si="73"/>
        <v>#NUM!</v>
      </c>
      <c r="AV205" s="1" t="e">
        <f t="shared" si="73"/>
        <v>#NUM!</v>
      </c>
      <c r="AW205" s="1">
        <f t="shared" si="73"/>
        <v>1.73209679259296</v>
      </c>
      <c r="AX205" s="1" t="e">
        <f t="shared" si="73"/>
        <v>#NUM!</v>
      </c>
      <c r="AY205" s="1" t="e">
        <f t="shared" si="73"/>
        <v>#NUM!</v>
      </c>
      <c r="AZ205" s="1">
        <f t="shared" si="73"/>
        <v>-0.577955588936592</v>
      </c>
      <c r="BA205" s="1" t="e">
        <f t="shared" si="73"/>
        <v>#NUM!</v>
      </c>
      <c r="BB205" s="1" t="e">
        <f t="shared" si="73"/>
        <v>#NUM!</v>
      </c>
      <c r="BC205" s="1" t="e">
        <f t="shared" si="73"/>
        <v>#NUM!</v>
      </c>
      <c r="BD205" s="1">
        <f t="shared" si="73"/>
        <v>0.428176913925596</v>
      </c>
      <c r="BE205" s="1" t="e">
        <f t="shared" si="73"/>
        <v>#NUM!</v>
      </c>
      <c r="BF205" s="1" t="e">
        <f t="shared" si="73"/>
        <v>#NUM!</v>
      </c>
      <c r="BG205" s="1">
        <f t="shared" si="73"/>
        <v>-0.475214451015726</v>
      </c>
      <c r="BH205" s="1" t="e">
        <f t="shared" si="73"/>
        <v>#NUM!</v>
      </c>
      <c r="BI205" s="1" t="e">
        <f t="shared" si="73"/>
        <v>#NUM!</v>
      </c>
    </row>
    <row r="206" s="1" customFormat="1" spans="1:61">
      <c r="A206" s="1" t="s">
        <v>9</v>
      </c>
      <c r="B206" s="1"/>
      <c r="C206" s="1">
        <f t="shared" ref="C206:BI206" si="74">LOG(C194,2)</f>
        <v>-1.16351860276086</v>
      </c>
      <c r="D206" s="1">
        <f t="shared" si="74"/>
        <v>-1.11752238090237</v>
      </c>
      <c r="E206" s="1" t="e">
        <f t="shared" si="74"/>
        <v>#NUM!</v>
      </c>
      <c r="F206" s="1" t="e">
        <f t="shared" si="74"/>
        <v>#NUM!</v>
      </c>
      <c r="G206" s="1">
        <f t="shared" si="74"/>
        <v>1.26715010687363</v>
      </c>
      <c r="H206" s="1" t="e">
        <f t="shared" si="74"/>
        <v>#NUM!</v>
      </c>
      <c r="I206" s="1" t="e">
        <f t="shared" si="74"/>
        <v>#NUM!</v>
      </c>
      <c r="J206" s="1" t="e">
        <f t="shared" si="74"/>
        <v>#NUM!</v>
      </c>
      <c r="K206" s="1" t="e">
        <f t="shared" si="74"/>
        <v>#NUM!</v>
      </c>
      <c r="L206" s="1" t="e">
        <f t="shared" si="74"/>
        <v>#NUM!</v>
      </c>
      <c r="M206" s="1" t="e">
        <f t="shared" si="74"/>
        <v>#NUM!</v>
      </c>
      <c r="N206" s="1" t="e">
        <f t="shared" si="74"/>
        <v>#NUM!</v>
      </c>
      <c r="O206" s="1">
        <f t="shared" si="74"/>
        <v>-1.20714505477955</v>
      </c>
      <c r="P206" s="1">
        <f t="shared" si="74"/>
        <v>-1.43946936513138</v>
      </c>
      <c r="Q206" s="1" t="e">
        <f t="shared" si="74"/>
        <v>#NUM!</v>
      </c>
      <c r="R206" s="1" t="e">
        <f t="shared" si="74"/>
        <v>#NUM!</v>
      </c>
      <c r="S206" s="1">
        <f t="shared" si="74"/>
        <v>-2.13591761382072</v>
      </c>
      <c r="T206" s="1" t="e">
        <f t="shared" si="74"/>
        <v>#NUM!</v>
      </c>
      <c r="U206" s="1" t="e">
        <f t="shared" si="74"/>
        <v>#NUM!</v>
      </c>
      <c r="V206" s="1" t="e">
        <f t="shared" si="74"/>
        <v>#NUM!</v>
      </c>
      <c r="W206" s="1">
        <f t="shared" si="74"/>
        <v>-1.44389407018958</v>
      </c>
      <c r="X206" s="1" t="e">
        <f t="shared" si="74"/>
        <v>#NUM!</v>
      </c>
      <c r="Y206" s="1" t="e">
        <f t="shared" si="74"/>
        <v>#NUM!</v>
      </c>
      <c r="Z206" s="1" t="e">
        <f t="shared" si="74"/>
        <v>#NUM!</v>
      </c>
      <c r="AA206" s="1" t="e">
        <f t="shared" si="74"/>
        <v>#NUM!</v>
      </c>
      <c r="AB206" s="1" t="e">
        <f t="shared" si="74"/>
        <v>#NUM!</v>
      </c>
      <c r="AC206" s="1">
        <f t="shared" si="74"/>
        <v>0.762792291334003</v>
      </c>
      <c r="AD206" s="1" t="e">
        <f t="shared" si="74"/>
        <v>#NUM!</v>
      </c>
      <c r="AE206" s="1" t="e">
        <f t="shared" si="74"/>
        <v>#NUM!</v>
      </c>
      <c r="AF206" s="1" t="e">
        <f t="shared" si="74"/>
        <v>#NUM!</v>
      </c>
      <c r="AG206" s="1" t="e">
        <f t="shared" si="74"/>
        <v>#NUM!</v>
      </c>
      <c r="AH206" s="1" t="e">
        <f t="shared" si="74"/>
        <v>#NUM!</v>
      </c>
      <c r="AI206" s="1" t="e">
        <f t="shared" si="74"/>
        <v>#NUM!</v>
      </c>
      <c r="AJ206" s="1" t="e">
        <f t="shared" si="74"/>
        <v>#NUM!</v>
      </c>
      <c r="AK206" s="1">
        <f t="shared" si="74"/>
        <v>1.56663746017489</v>
      </c>
      <c r="AL206" s="1">
        <f t="shared" si="74"/>
        <v>0.245688799387006</v>
      </c>
      <c r="AM206" s="1" t="e">
        <f t="shared" si="74"/>
        <v>#NUM!</v>
      </c>
      <c r="AN206" s="1">
        <f t="shared" si="74"/>
        <v>-0.679772831387307</v>
      </c>
      <c r="AO206" s="1" t="e">
        <f t="shared" si="74"/>
        <v>#NUM!</v>
      </c>
      <c r="AP206" s="1" t="e">
        <f t="shared" si="74"/>
        <v>#NUM!</v>
      </c>
      <c r="AQ206" s="1">
        <f t="shared" si="74"/>
        <v>-1.7982437923338</v>
      </c>
      <c r="AR206" s="1" t="e">
        <f t="shared" si="74"/>
        <v>#NUM!</v>
      </c>
      <c r="AS206" s="1" t="e">
        <f t="shared" si="74"/>
        <v>#NUM!</v>
      </c>
      <c r="AT206" s="1" t="e">
        <f t="shared" si="74"/>
        <v>#NUM!</v>
      </c>
      <c r="AU206" s="1" t="e">
        <f t="shared" si="74"/>
        <v>#NUM!</v>
      </c>
      <c r="AV206" s="1" t="e">
        <f t="shared" si="74"/>
        <v>#NUM!</v>
      </c>
      <c r="AW206" s="1" t="e">
        <f t="shared" si="74"/>
        <v>#NUM!</v>
      </c>
      <c r="AX206" s="1" t="e">
        <f t="shared" si="74"/>
        <v>#NUM!</v>
      </c>
      <c r="AY206" s="1" t="e">
        <f t="shared" si="74"/>
        <v>#NUM!</v>
      </c>
      <c r="AZ206" s="1" t="e">
        <f t="shared" si="74"/>
        <v>#NUM!</v>
      </c>
      <c r="BA206" s="1" t="e">
        <f t="shared" si="74"/>
        <v>#NUM!</v>
      </c>
      <c r="BB206" s="1" t="e">
        <f t="shared" si="74"/>
        <v>#NUM!</v>
      </c>
      <c r="BC206" s="1" t="e">
        <f t="shared" si="74"/>
        <v>#NUM!</v>
      </c>
      <c r="BD206" s="1">
        <f t="shared" si="74"/>
        <v>-0.786575793884601</v>
      </c>
      <c r="BE206" s="1" t="e">
        <f t="shared" si="74"/>
        <v>#NUM!</v>
      </c>
      <c r="BF206" s="1" t="e">
        <f t="shared" si="74"/>
        <v>#NUM!</v>
      </c>
      <c r="BG206" s="1" t="e">
        <f t="shared" si="74"/>
        <v>#NUM!</v>
      </c>
      <c r="BH206" s="1" t="e">
        <f t="shared" si="74"/>
        <v>#NUM!</v>
      </c>
      <c r="BI206" s="1" t="e">
        <f t="shared" si="74"/>
        <v>#NUM!</v>
      </c>
    </row>
    <row r="207" s="1" customFormat="1" spans="1:61">
      <c r="A207" s="1" t="s">
        <v>10</v>
      </c>
      <c r="B207" s="1"/>
      <c r="C207" s="1">
        <f t="shared" ref="C207:BI207" si="75">LOG(C195,2)</f>
        <v>-1.71957555174113</v>
      </c>
      <c r="D207" s="1">
        <f t="shared" si="75"/>
        <v>-1.84972267040158</v>
      </c>
      <c r="E207" s="1">
        <f t="shared" si="75"/>
        <v>-1.52767643502631</v>
      </c>
      <c r="F207" s="1" t="e">
        <f t="shared" si="75"/>
        <v>#NUM!</v>
      </c>
      <c r="G207" s="1">
        <f t="shared" si="75"/>
        <v>0.608214093919097</v>
      </c>
      <c r="H207" s="1" t="e">
        <f t="shared" si="75"/>
        <v>#NUM!</v>
      </c>
      <c r="I207" s="1">
        <f t="shared" si="75"/>
        <v>-0.934562993983496</v>
      </c>
      <c r="J207" s="1" t="e">
        <f t="shared" si="75"/>
        <v>#NUM!</v>
      </c>
      <c r="K207" s="1" t="e">
        <f t="shared" si="75"/>
        <v>#NUM!</v>
      </c>
      <c r="L207" s="1" t="e">
        <f t="shared" si="75"/>
        <v>#NUM!</v>
      </c>
      <c r="M207" s="1" t="e">
        <f t="shared" si="75"/>
        <v>#NUM!</v>
      </c>
      <c r="N207" s="1" t="e">
        <f t="shared" si="75"/>
        <v>#NUM!</v>
      </c>
      <c r="O207" s="1">
        <f t="shared" si="75"/>
        <v>-0.659509273830756</v>
      </c>
      <c r="P207" s="1" t="e">
        <f t="shared" si="75"/>
        <v>#NUM!</v>
      </c>
      <c r="Q207" s="1" t="e">
        <f t="shared" si="75"/>
        <v>#NUM!</v>
      </c>
      <c r="R207" s="1" t="e">
        <f t="shared" si="75"/>
        <v>#NUM!</v>
      </c>
      <c r="S207" s="1">
        <f t="shared" si="75"/>
        <v>-2.6515785951403</v>
      </c>
      <c r="T207" s="1" t="e">
        <f t="shared" si="75"/>
        <v>#NUM!</v>
      </c>
      <c r="U207" s="1" t="e">
        <f t="shared" si="75"/>
        <v>#NUM!</v>
      </c>
      <c r="V207" s="1" t="e">
        <f t="shared" si="75"/>
        <v>#NUM!</v>
      </c>
      <c r="W207" s="1">
        <f t="shared" si="75"/>
        <v>-1.45220934301079</v>
      </c>
      <c r="X207" s="1" t="e">
        <f t="shared" si="75"/>
        <v>#NUM!</v>
      </c>
      <c r="Y207" s="1" t="e">
        <f t="shared" si="75"/>
        <v>#NUM!</v>
      </c>
      <c r="Z207" s="1" t="e">
        <f t="shared" si="75"/>
        <v>#NUM!</v>
      </c>
      <c r="AA207" s="1" t="e">
        <f t="shared" si="75"/>
        <v>#NUM!</v>
      </c>
      <c r="AB207" s="1" t="e">
        <f t="shared" si="75"/>
        <v>#NUM!</v>
      </c>
      <c r="AC207" s="1">
        <f t="shared" si="75"/>
        <v>-0.0336968677653885</v>
      </c>
      <c r="AD207" s="1" t="e">
        <f t="shared" si="75"/>
        <v>#NUM!</v>
      </c>
      <c r="AE207" s="1" t="e">
        <f t="shared" si="75"/>
        <v>#NUM!</v>
      </c>
      <c r="AF207" s="1" t="e">
        <f t="shared" si="75"/>
        <v>#NUM!</v>
      </c>
      <c r="AG207" s="1" t="e">
        <f t="shared" si="75"/>
        <v>#NUM!</v>
      </c>
      <c r="AH207" s="1" t="e">
        <f t="shared" si="75"/>
        <v>#NUM!</v>
      </c>
      <c r="AI207" s="1" t="e">
        <f t="shared" si="75"/>
        <v>#NUM!</v>
      </c>
      <c r="AJ207" s="1" t="e">
        <f t="shared" si="75"/>
        <v>#NUM!</v>
      </c>
      <c r="AK207" s="1">
        <f t="shared" si="75"/>
        <v>1.5588996402077</v>
      </c>
      <c r="AL207" s="1">
        <f t="shared" si="75"/>
        <v>2.00274521336549</v>
      </c>
      <c r="AM207" s="1">
        <f t="shared" si="75"/>
        <v>2.05608951415807</v>
      </c>
      <c r="AN207" s="1">
        <f t="shared" si="75"/>
        <v>-0.995654241784062</v>
      </c>
      <c r="AO207" s="1">
        <f t="shared" si="75"/>
        <v>-1.52767643502631</v>
      </c>
      <c r="AP207" s="1" t="e">
        <f t="shared" si="75"/>
        <v>#NUM!</v>
      </c>
      <c r="AQ207" s="1">
        <f t="shared" si="75"/>
        <v>1.21887595869357</v>
      </c>
      <c r="AR207" s="1" t="e">
        <f t="shared" si="75"/>
        <v>#NUM!</v>
      </c>
      <c r="AS207" s="1" t="e">
        <f t="shared" si="75"/>
        <v>#NUM!</v>
      </c>
      <c r="AT207" s="1" t="e">
        <f t="shared" si="75"/>
        <v>#NUM!</v>
      </c>
      <c r="AU207" s="1" t="e">
        <f t="shared" si="75"/>
        <v>#NUM!</v>
      </c>
      <c r="AV207" s="1" t="e">
        <f t="shared" si="75"/>
        <v>#NUM!</v>
      </c>
      <c r="AW207" s="1" t="e">
        <f t="shared" si="75"/>
        <v>#NUM!</v>
      </c>
      <c r="AX207" s="1" t="e">
        <f t="shared" si="75"/>
        <v>#NUM!</v>
      </c>
      <c r="AY207" s="1" t="e">
        <f t="shared" si="75"/>
        <v>#NUM!</v>
      </c>
      <c r="AZ207" s="1" t="e">
        <f t="shared" si="75"/>
        <v>#NUM!</v>
      </c>
      <c r="BA207" s="1" t="e">
        <f t="shared" si="75"/>
        <v>#NUM!</v>
      </c>
      <c r="BB207" s="1" t="e">
        <f t="shared" si="75"/>
        <v>#NUM!</v>
      </c>
      <c r="BC207" s="1" t="e">
        <f t="shared" si="75"/>
        <v>#NUM!</v>
      </c>
      <c r="BD207" s="1">
        <f t="shared" si="75"/>
        <v>0.107572805785923</v>
      </c>
      <c r="BE207" s="1" t="e">
        <f t="shared" si="75"/>
        <v>#NUM!</v>
      </c>
      <c r="BF207" s="1" t="e">
        <f t="shared" si="75"/>
        <v>#NUM!</v>
      </c>
      <c r="BG207" s="1">
        <f t="shared" si="75"/>
        <v>0.552493868417562</v>
      </c>
      <c r="BH207" s="1" t="e">
        <f t="shared" si="75"/>
        <v>#NUM!</v>
      </c>
      <c r="BI207" s="1" t="e">
        <f t="shared" si="75"/>
        <v>#NUM!</v>
      </c>
    </row>
    <row r="208" s="1" customFormat="1" spans="1:61">
      <c r="A208" s="1" t="s">
        <v>11</v>
      </c>
      <c r="B208" s="1"/>
      <c r="C208" s="1" t="e">
        <f t="shared" ref="C208:BI208" si="76">LOG(C196,2)</f>
        <v>#NUM!</v>
      </c>
      <c r="D208" s="1" t="e">
        <f t="shared" si="76"/>
        <v>#NUM!</v>
      </c>
      <c r="E208" s="1" t="e">
        <f t="shared" si="76"/>
        <v>#NUM!</v>
      </c>
      <c r="F208" s="1" t="e">
        <f t="shared" si="76"/>
        <v>#NUM!</v>
      </c>
      <c r="G208" s="1" t="e">
        <f t="shared" si="76"/>
        <v>#NUM!</v>
      </c>
      <c r="H208" s="1" t="e">
        <f t="shared" si="76"/>
        <v>#NUM!</v>
      </c>
      <c r="I208" s="1" t="e">
        <f t="shared" si="76"/>
        <v>#NUM!</v>
      </c>
      <c r="J208" s="1" t="e">
        <f t="shared" si="76"/>
        <v>#NUM!</v>
      </c>
      <c r="K208" s="1" t="e">
        <f t="shared" si="76"/>
        <v>#NUM!</v>
      </c>
      <c r="L208" s="1" t="e">
        <f t="shared" si="76"/>
        <v>#NUM!</v>
      </c>
      <c r="M208" s="1" t="e">
        <f t="shared" si="76"/>
        <v>#NUM!</v>
      </c>
      <c r="N208" s="1" t="e">
        <f t="shared" si="76"/>
        <v>#NUM!</v>
      </c>
      <c r="O208" s="1">
        <f t="shared" si="76"/>
        <v>0.454497563085636</v>
      </c>
      <c r="P208" s="1" t="e">
        <f t="shared" si="76"/>
        <v>#NUM!</v>
      </c>
      <c r="Q208" s="1" t="e">
        <f t="shared" si="76"/>
        <v>#NUM!</v>
      </c>
      <c r="R208" s="1" t="e">
        <f t="shared" si="76"/>
        <v>#NUM!</v>
      </c>
      <c r="S208" s="1" t="e">
        <f t="shared" si="76"/>
        <v>#NUM!</v>
      </c>
      <c r="T208" s="1" t="e">
        <f t="shared" si="76"/>
        <v>#NUM!</v>
      </c>
      <c r="U208" s="1" t="e">
        <f t="shared" si="76"/>
        <v>#NUM!</v>
      </c>
      <c r="V208" s="1" t="e">
        <f t="shared" si="76"/>
        <v>#NUM!</v>
      </c>
      <c r="W208" s="1" t="e">
        <f t="shared" si="76"/>
        <v>#NUM!</v>
      </c>
      <c r="X208" s="1" t="e">
        <f t="shared" si="76"/>
        <v>#NUM!</v>
      </c>
      <c r="Y208" s="1" t="e">
        <f t="shared" si="76"/>
        <v>#NUM!</v>
      </c>
      <c r="Z208" s="1" t="e">
        <f t="shared" si="76"/>
        <v>#NUM!</v>
      </c>
      <c r="AA208" s="1" t="e">
        <f t="shared" si="76"/>
        <v>#NUM!</v>
      </c>
      <c r="AB208" s="1" t="e">
        <f t="shared" si="76"/>
        <v>#NUM!</v>
      </c>
      <c r="AC208" s="1" t="e">
        <f t="shared" si="76"/>
        <v>#NUM!</v>
      </c>
      <c r="AD208" s="1" t="e">
        <f t="shared" si="76"/>
        <v>#NUM!</v>
      </c>
      <c r="AE208" s="1" t="e">
        <f t="shared" si="76"/>
        <v>#NUM!</v>
      </c>
      <c r="AF208" s="1" t="e">
        <f t="shared" si="76"/>
        <v>#NUM!</v>
      </c>
      <c r="AG208" s="1" t="e">
        <f t="shared" si="76"/>
        <v>#NUM!</v>
      </c>
      <c r="AH208" s="1" t="e">
        <f t="shared" si="76"/>
        <v>#NUM!</v>
      </c>
      <c r="AI208" s="1" t="e">
        <f t="shared" si="76"/>
        <v>#NUM!</v>
      </c>
      <c r="AJ208" s="1" t="e">
        <f t="shared" si="76"/>
        <v>#NUM!</v>
      </c>
      <c r="AK208" s="1" t="e">
        <f t="shared" si="76"/>
        <v>#NUM!</v>
      </c>
      <c r="AL208" s="1">
        <f t="shared" si="76"/>
        <v>3.37002141633752</v>
      </c>
      <c r="AM208" s="1">
        <f t="shared" si="76"/>
        <v>2.70230475813354</v>
      </c>
      <c r="AN208" s="1">
        <f t="shared" si="76"/>
        <v>-0.138984149452705</v>
      </c>
      <c r="AO208" s="1" t="e">
        <f t="shared" si="76"/>
        <v>#NUM!</v>
      </c>
      <c r="AP208" s="1" t="e">
        <f t="shared" si="76"/>
        <v>#NUM!</v>
      </c>
      <c r="AQ208" s="1">
        <f t="shared" si="76"/>
        <v>2.21800879759596</v>
      </c>
      <c r="AR208" s="1" t="e">
        <f t="shared" si="76"/>
        <v>#NUM!</v>
      </c>
      <c r="AS208" s="1" t="e">
        <f t="shared" si="76"/>
        <v>#NUM!</v>
      </c>
      <c r="AT208" s="1" t="e">
        <f t="shared" si="76"/>
        <v>#NUM!</v>
      </c>
      <c r="AU208" s="1" t="e">
        <f t="shared" si="76"/>
        <v>#NUM!</v>
      </c>
      <c r="AV208" s="1" t="e">
        <f t="shared" si="76"/>
        <v>#NUM!</v>
      </c>
      <c r="AW208" s="1" t="e">
        <f t="shared" si="76"/>
        <v>#NUM!</v>
      </c>
      <c r="AX208" s="1" t="e">
        <f t="shared" si="76"/>
        <v>#NUM!</v>
      </c>
      <c r="AY208" s="1" t="e">
        <f t="shared" si="76"/>
        <v>#NUM!</v>
      </c>
      <c r="AZ208" s="1" t="e">
        <f t="shared" si="76"/>
        <v>#NUM!</v>
      </c>
      <c r="BA208" s="1" t="e">
        <f t="shared" si="76"/>
        <v>#NUM!</v>
      </c>
      <c r="BB208" s="1" t="e">
        <f t="shared" si="76"/>
        <v>#NUM!</v>
      </c>
      <c r="BC208" s="1" t="e">
        <f t="shared" si="76"/>
        <v>#NUM!</v>
      </c>
      <c r="BD208" s="1">
        <f t="shared" si="76"/>
        <v>1.46947669190557</v>
      </c>
      <c r="BE208" s="1" t="e">
        <f t="shared" si="76"/>
        <v>#NUM!</v>
      </c>
      <c r="BF208" s="1" t="e">
        <f t="shared" si="76"/>
        <v>#NUM!</v>
      </c>
      <c r="BG208" s="1" t="e">
        <f t="shared" si="76"/>
        <v>#NUM!</v>
      </c>
      <c r="BH208" s="1" t="e">
        <f t="shared" si="76"/>
        <v>#NUM!</v>
      </c>
      <c r="BI208" s="1" t="e">
        <f t="shared" si="76"/>
        <v>#NUM!</v>
      </c>
    </row>
    <row r="209" s="1" customFormat="1" spans="1:61">
      <c r="A209" s="1" t="s">
        <v>12</v>
      </c>
      <c r="B209" s="1"/>
      <c r="C209" s="1" t="e">
        <f t="shared" ref="C209:BI209" si="77">LOG(C197,2)</f>
        <v>#NUM!</v>
      </c>
      <c r="D209" s="1" t="e">
        <f t="shared" si="77"/>
        <v>#NUM!</v>
      </c>
      <c r="E209" s="1" t="e">
        <f t="shared" si="77"/>
        <v>#NUM!</v>
      </c>
      <c r="F209" s="1" t="e">
        <f t="shared" si="77"/>
        <v>#NUM!</v>
      </c>
      <c r="G209" s="1" t="e">
        <f t="shared" si="77"/>
        <v>#NUM!</v>
      </c>
      <c r="H209" s="1" t="e">
        <f t="shared" si="77"/>
        <v>#NUM!</v>
      </c>
      <c r="I209" s="1" t="e">
        <f t="shared" si="77"/>
        <v>#NUM!</v>
      </c>
      <c r="J209" s="1" t="e">
        <f t="shared" si="77"/>
        <v>#NUM!</v>
      </c>
      <c r="K209" s="1" t="e">
        <f t="shared" si="77"/>
        <v>#NUM!</v>
      </c>
      <c r="L209" s="1" t="e">
        <f t="shared" si="77"/>
        <v>#NUM!</v>
      </c>
      <c r="M209" s="1" t="e">
        <f t="shared" si="77"/>
        <v>#NUM!</v>
      </c>
      <c r="N209" s="1" t="e">
        <f t="shared" si="77"/>
        <v>#NUM!</v>
      </c>
      <c r="O209" s="1">
        <f t="shared" si="77"/>
        <v>-1.0990192886184</v>
      </c>
      <c r="P209" s="1" t="e">
        <f t="shared" si="77"/>
        <v>#NUM!</v>
      </c>
      <c r="Q209" s="1" t="e">
        <f t="shared" si="77"/>
        <v>#NUM!</v>
      </c>
      <c r="R209" s="1" t="e">
        <f t="shared" si="77"/>
        <v>#NUM!</v>
      </c>
      <c r="S209" s="1">
        <f t="shared" si="77"/>
        <v>-1.9561192300854</v>
      </c>
      <c r="T209" s="1" t="e">
        <f t="shared" si="77"/>
        <v>#NUM!</v>
      </c>
      <c r="U209" s="1" t="e">
        <f t="shared" si="77"/>
        <v>#NUM!</v>
      </c>
      <c r="V209" s="1" t="e">
        <f t="shared" si="77"/>
        <v>#NUM!</v>
      </c>
      <c r="W209" s="1" t="e">
        <f t="shared" si="77"/>
        <v>#NUM!</v>
      </c>
      <c r="X209" s="1" t="e">
        <f t="shared" si="77"/>
        <v>#NUM!</v>
      </c>
      <c r="Y209" s="1" t="e">
        <f t="shared" si="77"/>
        <v>#NUM!</v>
      </c>
      <c r="Z209" s="1" t="e">
        <f t="shared" si="77"/>
        <v>#NUM!</v>
      </c>
      <c r="AA209" s="1" t="e">
        <f t="shared" si="77"/>
        <v>#NUM!</v>
      </c>
      <c r="AB209" s="1" t="e">
        <f t="shared" si="77"/>
        <v>#NUM!</v>
      </c>
      <c r="AC209" s="1" t="e">
        <f t="shared" si="77"/>
        <v>#NUM!</v>
      </c>
      <c r="AD209" s="1" t="e">
        <f t="shared" si="77"/>
        <v>#NUM!</v>
      </c>
      <c r="AE209" s="1" t="e">
        <f t="shared" si="77"/>
        <v>#NUM!</v>
      </c>
      <c r="AF209" s="1" t="e">
        <f t="shared" si="77"/>
        <v>#NUM!</v>
      </c>
      <c r="AG209" s="1" t="e">
        <f t="shared" si="77"/>
        <v>#NUM!</v>
      </c>
      <c r="AH209" s="1" t="e">
        <f t="shared" si="77"/>
        <v>#NUM!</v>
      </c>
      <c r="AI209" s="1" t="e">
        <f t="shared" si="77"/>
        <v>#NUM!</v>
      </c>
      <c r="AJ209" s="1" t="e">
        <f t="shared" si="77"/>
        <v>#NUM!</v>
      </c>
      <c r="AK209" s="1" t="e">
        <f t="shared" si="77"/>
        <v>#NUM!</v>
      </c>
      <c r="AL209" s="1">
        <f t="shared" si="77"/>
        <v>1.83938799680659</v>
      </c>
      <c r="AM209" s="1">
        <f t="shared" si="77"/>
        <v>1.52284413236091</v>
      </c>
      <c r="AN209" s="1">
        <f t="shared" si="77"/>
        <v>-0.35038435702224</v>
      </c>
      <c r="AO209" s="1" t="e">
        <f t="shared" si="77"/>
        <v>#NUM!</v>
      </c>
      <c r="AP209" s="1" t="e">
        <f t="shared" si="77"/>
        <v>#NUM!</v>
      </c>
      <c r="AQ209" s="1" t="e">
        <f t="shared" si="77"/>
        <v>#NUM!</v>
      </c>
      <c r="AR209" s="1" t="e">
        <f t="shared" si="77"/>
        <v>#NUM!</v>
      </c>
      <c r="AS209" s="1" t="e">
        <f t="shared" si="77"/>
        <v>#NUM!</v>
      </c>
      <c r="AT209" s="1" t="e">
        <f t="shared" si="77"/>
        <v>#NUM!</v>
      </c>
      <c r="AU209" s="1" t="e">
        <f t="shared" si="77"/>
        <v>#NUM!</v>
      </c>
      <c r="AV209" s="1" t="e">
        <f t="shared" si="77"/>
        <v>#NUM!</v>
      </c>
      <c r="AW209" s="1" t="e">
        <f t="shared" si="77"/>
        <v>#NUM!</v>
      </c>
      <c r="AX209" s="1" t="e">
        <f t="shared" si="77"/>
        <v>#NUM!</v>
      </c>
      <c r="AY209" s="1" t="e">
        <f t="shared" si="77"/>
        <v>#NUM!</v>
      </c>
      <c r="AZ209" s="1" t="e">
        <f t="shared" si="77"/>
        <v>#NUM!</v>
      </c>
      <c r="BA209" s="1" t="e">
        <f t="shared" si="77"/>
        <v>#NUM!</v>
      </c>
      <c r="BB209" s="1" t="e">
        <f t="shared" si="77"/>
        <v>#NUM!</v>
      </c>
      <c r="BC209" s="1" t="e">
        <f t="shared" si="77"/>
        <v>#NUM!</v>
      </c>
      <c r="BD209" s="1">
        <f t="shared" si="77"/>
        <v>1.1521234761334</v>
      </c>
      <c r="BE209" s="1" t="e">
        <f t="shared" si="77"/>
        <v>#NUM!</v>
      </c>
      <c r="BF209" s="1" t="e">
        <f t="shared" si="77"/>
        <v>#NUM!</v>
      </c>
      <c r="BG209" s="1" t="e">
        <f t="shared" si="77"/>
        <v>#NUM!</v>
      </c>
      <c r="BH209" s="1" t="e">
        <f t="shared" si="77"/>
        <v>#NUM!</v>
      </c>
      <c r="BI209" s="1" t="e">
        <f t="shared" si="77"/>
        <v>#NUM!</v>
      </c>
    </row>
    <row r="210" s="1" customFormat="1" spans="1:61">
      <c r="A210" s="1" t="s">
        <v>13</v>
      </c>
      <c r="B210" s="1"/>
      <c r="C210" s="1" t="e">
        <f t="shared" ref="C210:BI210" si="78">LOG(C198,2)</f>
        <v>#NUM!</v>
      </c>
      <c r="D210" s="1" t="e">
        <f t="shared" si="78"/>
        <v>#NUM!</v>
      </c>
      <c r="E210" s="1" t="e">
        <f t="shared" si="78"/>
        <v>#NUM!</v>
      </c>
      <c r="F210" s="1" t="e">
        <f t="shared" si="78"/>
        <v>#NUM!</v>
      </c>
      <c r="G210" s="1" t="e">
        <f t="shared" si="78"/>
        <v>#NUM!</v>
      </c>
      <c r="H210" s="1" t="e">
        <f t="shared" si="78"/>
        <v>#NUM!</v>
      </c>
      <c r="I210" s="1" t="e">
        <f t="shared" si="78"/>
        <v>#NUM!</v>
      </c>
      <c r="J210" s="1" t="e">
        <f t="shared" si="78"/>
        <v>#NUM!</v>
      </c>
      <c r="K210" s="1" t="e">
        <f t="shared" si="78"/>
        <v>#NUM!</v>
      </c>
      <c r="L210" s="1" t="e">
        <f t="shared" si="78"/>
        <v>#NUM!</v>
      </c>
      <c r="M210" s="1" t="e">
        <f t="shared" si="78"/>
        <v>#NUM!</v>
      </c>
      <c r="N210" s="1" t="e">
        <f t="shared" si="78"/>
        <v>#NUM!</v>
      </c>
      <c r="O210" s="1">
        <f t="shared" si="78"/>
        <v>-1.85140599162926</v>
      </c>
      <c r="P210" s="1" t="e">
        <f t="shared" si="78"/>
        <v>#NUM!</v>
      </c>
      <c r="Q210" s="1" t="e">
        <f t="shared" si="78"/>
        <v>#NUM!</v>
      </c>
      <c r="R210" s="1" t="e">
        <f t="shared" si="78"/>
        <v>#NUM!</v>
      </c>
      <c r="S210" s="1" t="e">
        <f t="shared" si="78"/>
        <v>#NUM!</v>
      </c>
      <c r="T210" s="1" t="e">
        <f t="shared" si="78"/>
        <v>#NUM!</v>
      </c>
      <c r="U210" s="1" t="e">
        <f t="shared" si="78"/>
        <v>#NUM!</v>
      </c>
      <c r="V210" s="1" t="e">
        <f t="shared" si="78"/>
        <v>#NUM!</v>
      </c>
      <c r="W210" s="1" t="e">
        <f t="shared" si="78"/>
        <v>#NUM!</v>
      </c>
      <c r="X210" s="1" t="e">
        <f t="shared" si="78"/>
        <v>#NUM!</v>
      </c>
      <c r="Y210" s="1" t="e">
        <f t="shared" si="78"/>
        <v>#NUM!</v>
      </c>
      <c r="Z210" s="1" t="e">
        <f t="shared" si="78"/>
        <v>#NUM!</v>
      </c>
      <c r="AA210" s="1" t="e">
        <f t="shared" si="78"/>
        <v>#NUM!</v>
      </c>
      <c r="AB210" s="1" t="e">
        <f t="shared" si="78"/>
        <v>#NUM!</v>
      </c>
      <c r="AC210" s="1" t="e">
        <f t="shared" si="78"/>
        <v>#NUM!</v>
      </c>
      <c r="AD210" s="1" t="e">
        <f t="shared" si="78"/>
        <v>#NUM!</v>
      </c>
      <c r="AE210" s="1" t="e">
        <f t="shared" si="78"/>
        <v>#NUM!</v>
      </c>
      <c r="AF210" s="1" t="e">
        <f t="shared" si="78"/>
        <v>#NUM!</v>
      </c>
      <c r="AG210" s="1" t="e">
        <f t="shared" si="78"/>
        <v>#NUM!</v>
      </c>
      <c r="AH210" s="1" t="e">
        <f t="shared" si="78"/>
        <v>#NUM!</v>
      </c>
      <c r="AI210" s="1" t="e">
        <f t="shared" si="78"/>
        <v>#NUM!</v>
      </c>
      <c r="AJ210" s="1" t="e">
        <f t="shared" si="78"/>
        <v>#NUM!</v>
      </c>
      <c r="AK210" s="1" t="e">
        <f t="shared" si="78"/>
        <v>#NUM!</v>
      </c>
      <c r="AL210" s="1">
        <f t="shared" si="78"/>
        <v>1.64876704559926</v>
      </c>
      <c r="AM210" s="1" t="e">
        <f t="shared" si="78"/>
        <v>#NUM!</v>
      </c>
      <c r="AN210" s="1" t="e">
        <f t="shared" si="78"/>
        <v>#NUM!</v>
      </c>
      <c r="AO210" s="1" t="e">
        <f t="shared" si="78"/>
        <v>#NUM!</v>
      </c>
      <c r="AP210" s="1" t="e">
        <f t="shared" si="78"/>
        <v>#NUM!</v>
      </c>
      <c r="AQ210" s="1" t="e">
        <f t="shared" si="78"/>
        <v>#NUM!</v>
      </c>
      <c r="AR210" s="1" t="e">
        <f t="shared" si="78"/>
        <v>#NUM!</v>
      </c>
      <c r="AS210" s="1" t="e">
        <f t="shared" si="78"/>
        <v>#NUM!</v>
      </c>
      <c r="AT210" s="1" t="e">
        <f t="shared" si="78"/>
        <v>#NUM!</v>
      </c>
      <c r="AU210" s="1" t="e">
        <f t="shared" si="78"/>
        <v>#NUM!</v>
      </c>
      <c r="AV210" s="1" t="e">
        <f t="shared" si="78"/>
        <v>#NUM!</v>
      </c>
      <c r="AW210" s="1" t="e">
        <f t="shared" si="78"/>
        <v>#NUM!</v>
      </c>
      <c r="AX210" s="1" t="e">
        <f t="shared" si="78"/>
        <v>#NUM!</v>
      </c>
      <c r="AY210" s="1" t="e">
        <f t="shared" si="78"/>
        <v>#NUM!</v>
      </c>
      <c r="AZ210" s="1" t="e">
        <f t="shared" si="78"/>
        <v>#NUM!</v>
      </c>
      <c r="BA210" s="1" t="e">
        <f t="shared" si="78"/>
        <v>#NUM!</v>
      </c>
      <c r="BB210" s="1" t="e">
        <f t="shared" si="78"/>
        <v>#NUM!</v>
      </c>
      <c r="BC210" s="1" t="e">
        <f t="shared" si="78"/>
        <v>#NUM!</v>
      </c>
      <c r="BD210" s="1" t="e">
        <f t="shared" si="78"/>
        <v>#NUM!</v>
      </c>
      <c r="BE210" s="1" t="e">
        <f t="shared" si="78"/>
        <v>#NUM!</v>
      </c>
      <c r="BF210" s="1" t="e">
        <f t="shared" si="78"/>
        <v>#NUM!</v>
      </c>
      <c r="BG210" s="1" t="e">
        <f t="shared" si="78"/>
        <v>#NUM!</v>
      </c>
      <c r="BH210" s="1" t="e">
        <f t="shared" si="78"/>
        <v>#NUM!</v>
      </c>
      <c r="BI210" s="1" t="e">
        <f t="shared" si="78"/>
        <v>#NUM!</v>
      </c>
    </row>
    <row r="211" s="1" customFormat="1" spans="1:61">
      <c r="A211" s="1" t="s">
        <v>14</v>
      </c>
      <c r="B211" s="1"/>
      <c r="C211" s="1">
        <f t="shared" ref="C211:BI211" si="79">LOG(C199,2)</f>
        <v>-0.879893270739566</v>
      </c>
      <c r="D211" s="1">
        <f t="shared" si="79"/>
        <v>-0.307925907940709</v>
      </c>
      <c r="E211" s="1" t="e">
        <f t="shared" si="79"/>
        <v>#NUM!</v>
      </c>
      <c r="F211" s="1" t="e">
        <f t="shared" si="79"/>
        <v>#NUM!</v>
      </c>
      <c r="G211" s="1" t="e">
        <f t="shared" si="79"/>
        <v>#NUM!</v>
      </c>
      <c r="H211" s="1" t="e">
        <f t="shared" si="79"/>
        <v>#NUM!</v>
      </c>
      <c r="I211" s="1" t="e">
        <f t="shared" si="79"/>
        <v>#NUM!</v>
      </c>
      <c r="J211" s="1" t="e">
        <f t="shared" si="79"/>
        <v>#NUM!</v>
      </c>
      <c r="K211" s="1" t="e">
        <f t="shared" si="79"/>
        <v>#NUM!</v>
      </c>
      <c r="L211" s="1" t="e">
        <f t="shared" si="79"/>
        <v>#NUM!</v>
      </c>
      <c r="M211" s="1" t="e">
        <f t="shared" si="79"/>
        <v>#NUM!</v>
      </c>
      <c r="N211" s="1" t="e">
        <f t="shared" si="79"/>
        <v>#NUM!</v>
      </c>
      <c r="O211" s="1">
        <f t="shared" si="79"/>
        <v>0.240447015157013</v>
      </c>
      <c r="P211" s="1" t="e">
        <f t="shared" si="79"/>
        <v>#NUM!</v>
      </c>
      <c r="Q211" s="1" t="e">
        <f t="shared" si="79"/>
        <v>#NUM!</v>
      </c>
      <c r="R211" s="1" t="e">
        <f t="shared" si="79"/>
        <v>#NUM!</v>
      </c>
      <c r="S211" s="1" t="e">
        <f t="shared" si="79"/>
        <v>#NUM!</v>
      </c>
      <c r="T211" s="1" t="e">
        <f t="shared" si="79"/>
        <v>#NUM!</v>
      </c>
      <c r="U211" s="1" t="e">
        <f t="shared" si="79"/>
        <v>#NUM!</v>
      </c>
      <c r="V211" s="1" t="e">
        <f t="shared" si="79"/>
        <v>#NUM!</v>
      </c>
      <c r="W211" s="1">
        <f t="shared" si="79"/>
        <v>0.634312203950935</v>
      </c>
      <c r="X211" s="1" t="e">
        <f t="shared" si="79"/>
        <v>#NUM!</v>
      </c>
      <c r="Y211" s="1" t="e">
        <f t="shared" si="79"/>
        <v>#NUM!</v>
      </c>
      <c r="Z211" s="1" t="e">
        <f t="shared" si="79"/>
        <v>#NUM!</v>
      </c>
      <c r="AA211" s="1" t="e">
        <f t="shared" si="79"/>
        <v>#NUM!</v>
      </c>
      <c r="AB211" s="1" t="e">
        <f t="shared" si="79"/>
        <v>#NUM!</v>
      </c>
      <c r="AC211" s="1">
        <f t="shared" si="79"/>
        <v>2.0270428851707</v>
      </c>
      <c r="AD211" s="1" t="e">
        <f t="shared" si="79"/>
        <v>#NUM!</v>
      </c>
      <c r="AE211" s="1" t="e">
        <f t="shared" si="79"/>
        <v>#NUM!</v>
      </c>
      <c r="AF211" s="1" t="e">
        <f t="shared" si="79"/>
        <v>#NUM!</v>
      </c>
      <c r="AG211" s="1" t="e">
        <f t="shared" si="79"/>
        <v>#NUM!</v>
      </c>
      <c r="AH211" s="1" t="e">
        <f t="shared" si="79"/>
        <v>#NUM!</v>
      </c>
      <c r="AI211" s="1" t="e">
        <f t="shared" si="79"/>
        <v>#NUM!</v>
      </c>
      <c r="AJ211" s="1" t="e">
        <f t="shared" si="79"/>
        <v>#NUM!</v>
      </c>
      <c r="AK211" s="1">
        <f t="shared" si="79"/>
        <v>3.5311505390652</v>
      </c>
      <c r="AL211" s="1">
        <f t="shared" si="79"/>
        <v>4.37441267370923</v>
      </c>
      <c r="AM211" s="1">
        <f t="shared" si="79"/>
        <v>4.39786327935762</v>
      </c>
      <c r="AN211" s="1">
        <f t="shared" si="79"/>
        <v>-0.466591301414064</v>
      </c>
      <c r="AO211" s="1" t="e">
        <f t="shared" si="79"/>
        <v>#NUM!</v>
      </c>
      <c r="AP211" s="1" t="e">
        <f t="shared" si="79"/>
        <v>#NUM!</v>
      </c>
      <c r="AQ211" s="1">
        <f t="shared" si="79"/>
        <v>3.17120609160865</v>
      </c>
      <c r="AR211" s="1" t="e">
        <f t="shared" si="79"/>
        <v>#NUM!</v>
      </c>
      <c r="AS211" s="1" t="e">
        <f t="shared" si="79"/>
        <v>#NUM!</v>
      </c>
      <c r="AT211" s="1" t="e">
        <f t="shared" si="79"/>
        <v>#NUM!</v>
      </c>
      <c r="AU211" s="1" t="e">
        <f t="shared" si="79"/>
        <v>#NUM!</v>
      </c>
      <c r="AV211" s="1" t="e">
        <f t="shared" si="79"/>
        <v>#NUM!</v>
      </c>
      <c r="AW211" s="1">
        <f t="shared" si="79"/>
        <v>2.34547528848465</v>
      </c>
      <c r="AX211" s="1" t="e">
        <f t="shared" si="79"/>
        <v>#NUM!</v>
      </c>
      <c r="AY211" s="1" t="e">
        <f t="shared" si="79"/>
        <v>#NUM!</v>
      </c>
      <c r="AZ211" s="1" t="e">
        <f t="shared" si="79"/>
        <v>#NUM!</v>
      </c>
      <c r="BA211" s="1" t="e">
        <f t="shared" si="79"/>
        <v>#NUM!</v>
      </c>
      <c r="BB211" s="1" t="e">
        <f t="shared" si="79"/>
        <v>#NUM!</v>
      </c>
      <c r="BC211" s="1" t="e">
        <f t="shared" si="79"/>
        <v>#NUM!</v>
      </c>
      <c r="BD211" s="1">
        <f t="shared" si="79"/>
        <v>1.66875653602804</v>
      </c>
      <c r="BE211" s="1" t="e">
        <f t="shared" si="79"/>
        <v>#NUM!</v>
      </c>
      <c r="BF211" s="1" t="e">
        <f t="shared" si="79"/>
        <v>#NUM!</v>
      </c>
      <c r="BG211" s="1" t="e">
        <f t="shared" si="79"/>
        <v>#NUM!</v>
      </c>
      <c r="BH211" s="1" t="e">
        <f t="shared" si="79"/>
        <v>#NUM!</v>
      </c>
      <c r="BI211" s="1" t="e">
        <f t="shared" si="79"/>
        <v>#NUM!</v>
      </c>
    </row>
    <row r="212" s="1" customFormat="1" spans="1:61">
      <c r="A212" s="1" t="s">
        <v>15</v>
      </c>
      <c r="B212" s="1"/>
      <c r="C212" s="1">
        <f t="shared" ref="C212:BI212" si="80">LOG(C200,2)</f>
        <v>0.348010779642535</v>
      </c>
      <c r="D212" s="1">
        <f t="shared" si="80"/>
        <v>-1.32773098061058</v>
      </c>
      <c r="E212" s="1" t="e">
        <f t="shared" si="80"/>
        <v>#NUM!</v>
      </c>
      <c r="F212" s="1" t="e">
        <f t="shared" si="80"/>
        <v>#NUM!</v>
      </c>
      <c r="G212" s="1" t="e">
        <f t="shared" si="80"/>
        <v>#NUM!</v>
      </c>
      <c r="H212" s="1" t="e">
        <f t="shared" si="80"/>
        <v>#NUM!</v>
      </c>
      <c r="I212" s="1" t="e">
        <f t="shared" si="80"/>
        <v>#NUM!</v>
      </c>
      <c r="J212" s="1" t="e">
        <f t="shared" si="80"/>
        <v>#NUM!</v>
      </c>
      <c r="K212" s="1" t="e">
        <f t="shared" si="80"/>
        <v>#NUM!</v>
      </c>
      <c r="L212" s="1" t="e">
        <f t="shared" si="80"/>
        <v>#NUM!</v>
      </c>
      <c r="M212" s="1" t="e">
        <f t="shared" si="80"/>
        <v>#NUM!</v>
      </c>
      <c r="N212" s="1" t="e">
        <f t="shared" si="80"/>
        <v>#NUM!</v>
      </c>
      <c r="O212" s="1">
        <f t="shared" si="80"/>
        <v>-0.952842598268802</v>
      </c>
      <c r="P212" s="1" t="e">
        <f t="shared" si="80"/>
        <v>#NUM!</v>
      </c>
      <c r="Q212" s="1" t="e">
        <f t="shared" si="80"/>
        <v>#NUM!</v>
      </c>
      <c r="R212" s="1" t="e">
        <f t="shared" si="80"/>
        <v>#NUM!</v>
      </c>
      <c r="S212" s="1">
        <f t="shared" si="80"/>
        <v>1.26410537978054</v>
      </c>
      <c r="T212" s="1" t="e">
        <f t="shared" si="80"/>
        <v>#NUM!</v>
      </c>
      <c r="U212" s="1" t="e">
        <f t="shared" si="80"/>
        <v>#NUM!</v>
      </c>
      <c r="V212" s="1" t="e">
        <f t="shared" si="80"/>
        <v>#NUM!</v>
      </c>
      <c r="W212" s="1" t="e">
        <f t="shared" si="80"/>
        <v>#NUM!</v>
      </c>
      <c r="X212" s="1" t="e">
        <f t="shared" si="80"/>
        <v>#NUM!</v>
      </c>
      <c r="Y212" s="1" t="e">
        <f t="shared" si="80"/>
        <v>#NUM!</v>
      </c>
      <c r="Z212" s="1" t="e">
        <f t="shared" si="80"/>
        <v>#NUM!</v>
      </c>
      <c r="AA212" s="1" t="e">
        <f t="shared" si="80"/>
        <v>#NUM!</v>
      </c>
      <c r="AB212" s="1" t="e">
        <f t="shared" si="80"/>
        <v>#NUM!</v>
      </c>
      <c r="AC212" s="1">
        <f t="shared" si="80"/>
        <v>1.73416204352868</v>
      </c>
      <c r="AD212" s="1" t="e">
        <f t="shared" si="80"/>
        <v>#NUM!</v>
      </c>
      <c r="AE212" s="1" t="e">
        <f t="shared" si="80"/>
        <v>#NUM!</v>
      </c>
      <c r="AF212" s="1" t="e">
        <f t="shared" si="80"/>
        <v>#NUM!</v>
      </c>
      <c r="AG212" s="1" t="e">
        <f t="shared" si="80"/>
        <v>#NUM!</v>
      </c>
      <c r="AH212" s="1" t="e">
        <f t="shared" si="80"/>
        <v>#NUM!</v>
      </c>
      <c r="AI212" s="1" t="e">
        <f t="shared" si="80"/>
        <v>#NUM!</v>
      </c>
      <c r="AJ212" s="1" t="e">
        <f t="shared" si="80"/>
        <v>#NUM!</v>
      </c>
      <c r="AK212" s="1" t="e">
        <f t="shared" si="80"/>
        <v>#NUM!</v>
      </c>
      <c r="AL212" s="1" t="e">
        <f t="shared" si="80"/>
        <v>#NUM!</v>
      </c>
      <c r="AM212" s="1">
        <f t="shared" si="80"/>
        <v>3.2846050273118</v>
      </c>
      <c r="AN212" s="1">
        <f t="shared" si="80"/>
        <v>-0.953112003935806</v>
      </c>
      <c r="AO212" s="1" t="e">
        <f t="shared" si="80"/>
        <v>#NUM!</v>
      </c>
      <c r="AP212" s="1" t="e">
        <f t="shared" si="80"/>
        <v>#NUM!</v>
      </c>
      <c r="AQ212" s="1" t="e">
        <f t="shared" si="80"/>
        <v>#NUM!</v>
      </c>
      <c r="AR212" s="1" t="e">
        <f t="shared" si="80"/>
        <v>#NUM!</v>
      </c>
      <c r="AS212" s="1" t="e">
        <f t="shared" si="80"/>
        <v>#NUM!</v>
      </c>
      <c r="AT212" s="1" t="e">
        <f t="shared" si="80"/>
        <v>#NUM!</v>
      </c>
      <c r="AU212" s="1" t="e">
        <f t="shared" si="80"/>
        <v>#NUM!</v>
      </c>
      <c r="AV212" s="1" t="e">
        <f t="shared" si="80"/>
        <v>#NUM!</v>
      </c>
      <c r="AW212" s="1" t="e">
        <f t="shared" si="80"/>
        <v>#NUM!</v>
      </c>
      <c r="AX212" s="1" t="e">
        <f t="shared" si="80"/>
        <v>#NUM!</v>
      </c>
      <c r="AY212" s="1" t="e">
        <f t="shared" si="80"/>
        <v>#NUM!</v>
      </c>
      <c r="AZ212" s="1" t="e">
        <f t="shared" si="80"/>
        <v>#NUM!</v>
      </c>
      <c r="BA212" s="1" t="e">
        <f t="shared" si="80"/>
        <v>#NUM!</v>
      </c>
      <c r="BB212" s="1" t="e">
        <f t="shared" si="80"/>
        <v>#NUM!</v>
      </c>
      <c r="BC212" s="1" t="e">
        <f t="shared" si="80"/>
        <v>#NUM!</v>
      </c>
      <c r="BD212" s="1">
        <f t="shared" si="80"/>
        <v>1.3254865919476</v>
      </c>
      <c r="BE212" s="1" t="e">
        <f t="shared" si="80"/>
        <v>#NUM!</v>
      </c>
      <c r="BF212" s="1" t="e">
        <f t="shared" si="80"/>
        <v>#NUM!</v>
      </c>
      <c r="BG212" s="1" t="e">
        <f t="shared" si="80"/>
        <v>#NUM!</v>
      </c>
      <c r="BH212" s="1" t="e">
        <f t="shared" si="80"/>
        <v>#NUM!</v>
      </c>
      <c r="BI212" s="1" t="e">
        <f t="shared" si="80"/>
        <v>#NUM!</v>
      </c>
    </row>
    <row r="213" s="1" customFormat="1" spans="1:61">
      <c r="A213" s="1" t="s">
        <v>16</v>
      </c>
      <c r="B213" s="1"/>
      <c r="C213" s="1">
        <f t="shared" ref="C213:BI213" si="81">LOG(C201,2)</f>
        <v>1.3023934224624</v>
      </c>
      <c r="D213" s="1">
        <f t="shared" si="81"/>
        <v>-0.145957159718005</v>
      </c>
      <c r="E213" s="1" t="e">
        <f t="shared" si="81"/>
        <v>#NUM!</v>
      </c>
      <c r="F213" s="1" t="e">
        <f t="shared" si="81"/>
        <v>#NUM!</v>
      </c>
      <c r="G213" s="1">
        <f t="shared" si="81"/>
        <v>1.81878746578391</v>
      </c>
      <c r="H213" s="1" t="e">
        <f t="shared" si="81"/>
        <v>#NUM!</v>
      </c>
      <c r="I213" s="1" t="e">
        <f t="shared" si="81"/>
        <v>#NUM!</v>
      </c>
      <c r="J213" s="1" t="e">
        <f t="shared" si="81"/>
        <v>#NUM!</v>
      </c>
      <c r="K213" s="1" t="e">
        <f t="shared" si="81"/>
        <v>#NUM!</v>
      </c>
      <c r="L213" s="1" t="e">
        <f t="shared" si="81"/>
        <v>#NUM!</v>
      </c>
      <c r="M213" s="1" t="e">
        <f t="shared" si="81"/>
        <v>#NUM!</v>
      </c>
      <c r="N213" s="1" t="e">
        <f t="shared" si="81"/>
        <v>#NUM!</v>
      </c>
      <c r="O213" s="1">
        <f t="shared" si="81"/>
        <v>-1.00159317864963</v>
      </c>
      <c r="P213" s="1" t="e">
        <f t="shared" si="81"/>
        <v>#NUM!</v>
      </c>
      <c r="Q213" s="1" t="e">
        <f t="shared" si="81"/>
        <v>#NUM!</v>
      </c>
      <c r="R213" s="1" t="e">
        <f t="shared" si="81"/>
        <v>#NUM!</v>
      </c>
      <c r="S213" s="1">
        <f t="shared" si="81"/>
        <v>-1.61636704554169</v>
      </c>
      <c r="T213" s="1" t="e">
        <f t="shared" si="81"/>
        <v>#NUM!</v>
      </c>
      <c r="U213" s="1" t="e">
        <f t="shared" si="81"/>
        <v>#NUM!</v>
      </c>
      <c r="V213" s="1" t="e">
        <f t="shared" si="81"/>
        <v>#NUM!</v>
      </c>
      <c r="W213" s="1">
        <f t="shared" si="81"/>
        <v>0.315507030337611</v>
      </c>
      <c r="X213" s="1" t="e">
        <f t="shared" si="81"/>
        <v>#NUM!</v>
      </c>
      <c r="Y213" s="1" t="e">
        <f t="shared" si="81"/>
        <v>#NUM!</v>
      </c>
      <c r="Z213" s="1" t="e">
        <f t="shared" si="81"/>
        <v>#NUM!</v>
      </c>
      <c r="AA213" s="1" t="e">
        <f t="shared" si="81"/>
        <v>#NUM!</v>
      </c>
      <c r="AB213" s="1" t="e">
        <f t="shared" si="81"/>
        <v>#NUM!</v>
      </c>
      <c r="AC213" s="1">
        <f t="shared" si="81"/>
        <v>0.72884560691744</v>
      </c>
      <c r="AD213" s="1" t="e">
        <f t="shared" si="81"/>
        <v>#NUM!</v>
      </c>
      <c r="AE213" s="1" t="e">
        <f t="shared" si="81"/>
        <v>#NUM!</v>
      </c>
      <c r="AF213" s="1" t="e">
        <f t="shared" si="81"/>
        <v>#NUM!</v>
      </c>
      <c r="AG213" s="1" t="e">
        <f t="shared" si="81"/>
        <v>#NUM!</v>
      </c>
      <c r="AH213" s="1" t="e">
        <f t="shared" si="81"/>
        <v>#NUM!</v>
      </c>
      <c r="AI213" s="1" t="e">
        <f t="shared" si="81"/>
        <v>#NUM!</v>
      </c>
      <c r="AJ213" s="1" t="e">
        <f t="shared" si="81"/>
        <v>#NUM!</v>
      </c>
      <c r="AK213" s="1">
        <f t="shared" si="81"/>
        <v>0.725913378569527</v>
      </c>
      <c r="AL213" s="1" t="e">
        <f t="shared" si="81"/>
        <v>#NUM!</v>
      </c>
      <c r="AM213" s="1">
        <f t="shared" si="81"/>
        <v>3.19616108796036</v>
      </c>
      <c r="AN213" s="1">
        <f t="shared" si="81"/>
        <v>-1.59539111099419</v>
      </c>
      <c r="AO213" s="1" t="e">
        <f t="shared" si="81"/>
        <v>#NUM!</v>
      </c>
      <c r="AP213" s="1" t="e">
        <f t="shared" si="81"/>
        <v>#NUM!</v>
      </c>
      <c r="AQ213" s="1">
        <f t="shared" si="81"/>
        <v>-2.46987685708817</v>
      </c>
      <c r="AR213" s="1" t="e">
        <f t="shared" si="81"/>
        <v>#NUM!</v>
      </c>
      <c r="AS213" s="1" t="e">
        <f t="shared" si="81"/>
        <v>#NUM!</v>
      </c>
      <c r="AT213" s="1" t="e">
        <f t="shared" si="81"/>
        <v>#NUM!</v>
      </c>
      <c r="AU213" s="1" t="e">
        <f t="shared" si="81"/>
        <v>#NUM!</v>
      </c>
      <c r="AV213" s="1" t="e">
        <f t="shared" si="81"/>
        <v>#NUM!</v>
      </c>
      <c r="AW213" s="1" t="e">
        <f t="shared" si="81"/>
        <v>#NUM!</v>
      </c>
      <c r="AX213" s="1" t="e">
        <f t="shared" si="81"/>
        <v>#NUM!</v>
      </c>
      <c r="AY213" s="1" t="e">
        <f t="shared" si="81"/>
        <v>#NUM!</v>
      </c>
      <c r="AZ213" s="1" t="e">
        <f t="shared" si="81"/>
        <v>#NUM!</v>
      </c>
      <c r="BA213" s="1" t="e">
        <f t="shared" si="81"/>
        <v>#NUM!</v>
      </c>
      <c r="BB213" s="1" t="e">
        <f t="shared" si="81"/>
        <v>#NUM!</v>
      </c>
      <c r="BC213" s="1" t="e">
        <f t="shared" si="81"/>
        <v>#NUM!</v>
      </c>
      <c r="BD213" s="1">
        <f t="shared" si="81"/>
        <v>1.3378547341118</v>
      </c>
      <c r="BE213" s="1" t="e">
        <f t="shared" si="81"/>
        <v>#NUM!</v>
      </c>
      <c r="BF213" s="1" t="e">
        <f t="shared" si="81"/>
        <v>#NUM!</v>
      </c>
      <c r="BG213" s="1" t="e">
        <f t="shared" si="81"/>
        <v>#NUM!</v>
      </c>
      <c r="BH213" s="1" t="e">
        <f t="shared" si="81"/>
        <v>#NUM!</v>
      </c>
      <c r="BI213" s="1" t="e">
        <f t="shared" si="81"/>
        <v>#NUM!</v>
      </c>
    </row>
    <row r="215" s="1" customFormat="1" spans="1:61">
      <c r="A215" s="1" t="s">
        <v>63</v>
      </c>
      <c r="B215" s="1"/>
      <c r="C215" s="3" t="s">
        <v>124</v>
      </c>
      <c r="D215" s="3" t="s">
        <v>125</v>
      </c>
      <c r="E215" s="3" t="s">
        <v>126</v>
      </c>
      <c r="F215" s="3" t="s">
        <v>127</v>
      </c>
      <c r="G215" s="3" t="s">
        <v>128</v>
      </c>
      <c r="H215" s="3" t="s">
        <v>129</v>
      </c>
      <c r="I215" s="3" t="s">
        <v>130</v>
      </c>
      <c r="J215" s="3" t="s">
        <v>131</v>
      </c>
      <c r="K215" s="3" t="s">
        <v>132</v>
      </c>
      <c r="L215" s="3" t="s">
        <v>133</v>
      </c>
      <c r="M215" s="3" t="s">
        <v>134</v>
      </c>
      <c r="N215" s="3" t="s">
        <v>135</v>
      </c>
      <c r="O215" s="3" t="s">
        <v>136</v>
      </c>
      <c r="P215" s="3" t="s">
        <v>137</v>
      </c>
      <c r="Q215" s="3" t="s">
        <v>138</v>
      </c>
      <c r="R215" s="3" t="s">
        <v>139</v>
      </c>
      <c r="S215" s="3" t="s">
        <v>140</v>
      </c>
      <c r="T215" s="3" t="s">
        <v>141</v>
      </c>
      <c r="U215" s="3" t="s">
        <v>142</v>
      </c>
      <c r="V215" s="3" t="s">
        <v>143</v>
      </c>
      <c r="W215" s="3" t="s">
        <v>144</v>
      </c>
      <c r="X215" s="3" t="s">
        <v>145</v>
      </c>
      <c r="Y215" s="3" t="s">
        <v>146</v>
      </c>
      <c r="Z215" s="3" t="s">
        <v>147</v>
      </c>
      <c r="AA215" s="3" t="s">
        <v>148</v>
      </c>
      <c r="AB215" s="3" t="s">
        <v>149</v>
      </c>
      <c r="AC215" s="3" t="s">
        <v>150</v>
      </c>
      <c r="AD215" s="3" t="s">
        <v>151</v>
      </c>
      <c r="AE215" s="3" t="s">
        <v>152</v>
      </c>
      <c r="AF215" s="3" t="s">
        <v>153</v>
      </c>
      <c r="AG215" s="3" t="s">
        <v>154</v>
      </c>
      <c r="AH215" s="3" t="s">
        <v>155</v>
      </c>
      <c r="AI215" s="3" t="s">
        <v>156</v>
      </c>
      <c r="AJ215" s="3" t="s">
        <v>157</v>
      </c>
      <c r="AK215" s="5" t="s">
        <v>158</v>
      </c>
      <c r="AL215" s="5" t="s">
        <v>159</v>
      </c>
      <c r="AM215" s="5" t="s">
        <v>160</v>
      </c>
      <c r="AN215" s="3" t="s">
        <v>161</v>
      </c>
      <c r="AO215" s="3" t="s">
        <v>126</v>
      </c>
      <c r="AP215" s="3" t="s">
        <v>162</v>
      </c>
      <c r="AQ215" s="3" t="s">
        <v>163</v>
      </c>
      <c r="AR215" s="3" t="s">
        <v>164</v>
      </c>
      <c r="AS215" s="3" t="s">
        <v>165</v>
      </c>
      <c r="AT215" s="3" t="s">
        <v>166</v>
      </c>
      <c r="AU215" s="3" t="s">
        <v>167</v>
      </c>
      <c r="AV215" s="3" t="s">
        <v>168</v>
      </c>
      <c r="AW215" s="3" t="s">
        <v>169</v>
      </c>
      <c r="AX215" s="3" t="s">
        <v>170</v>
      </c>
      <c r="AY215" s="3" t="s">
        <v>171</v>
      </c>
      <c r="AZ215" s="3" t="s">
        <v>45</v>
      </c>
      <c r="BA215" s="3" t="s">
        <v>172</v>
      </c>
      <c r="BB215" s="3" t="s">
        <v>173</v>
      </c>
      <c r="BC215" s="3" t="s">
        <v>174</v>
      </c>
      <c r="BD215" s="3" t="s">
        <v>175</v>
      </c>
      <c r="BE215" s="3" t="s">
        <v>176</v>
      </c>
      <c r="BF215" s="3" t="s">
        <v>177</v>
      </c>
      <c r="BG215" s="3" t="s">
        <v>57</v>
      </c>
      <c r="BH215" s="3" t="s">
        <v>178</v>
      </c>
      <c r="BI215" s="3" t="s">
        <v>179</v>
      </c>
    </row>
    <row r="216" s="1" customFormat="1" spans="1:61">
      <c r="A216" s="1" t="s">
        <v>7</v>
      </c>
      <c r="B216" s="1">
        <v>5</v>
      </c>
      <c r="C216" s="1">
        <f t="shared" ref="C216:BI216" si="82">C204-3.3*((C179+0.5)^(-0.5))-2*((C179+0.5)^(-1.5))</f>
        <v>-0.999732765255561</v>
      </c>
      <c r="D216" s="1">
        <f t="shared" si="82"/>
        <v>-1.28311640679178</v>
      </c>
      <c r="E216" s="1" t="e">
        <f t="shared" si="82"/>
        <v>#NUM!</v>
      </c>
      <c r="F216" s="1" t="e">
        <f t="shared" si="82"/>
        <v>#NUM!</v>
      </c>
      <c r="G216" s="1" t="e">
        <f t="shared" si="82"/>
        <v>#NUM!</v>
      </c>
      <c r="H216" s="1" t="e">
        <f t="shared" si="82"/>
        <v>#NUM!</v>
      </c>
      <c r="I216" s="1" t="e">
        <f t="shared" si="82"/>
        <v>#NUM!</v>
      </c>
      <c r="J216" s="1" t="e">
        <f t="shared" si="82"/>
        <v>#NUM!</v>
      </c>
      <c r="K216" s="1" t="e">
        <f t="shared" si="82"/>
        <v>#NUM!</v>
      </c>
      <c r="L216" s="1" t="e">
        <f t="shared" si="82"/>
        <v>#NUM!</v>
      </c>
      <c r="M216" s="1" t="e">
        <f t="shared" si="82"/>
        <v>#NUM!</v>
      </c>
      <c r="N216" s="1" t="e">
        <f t="shared" si="82"/>
        <v>#NUM!</v>
      </c>
      <c r="O216" s="1">
        <f t="shared" si="82"/>
        <v>-1.16974570061382</v>
      </c>
      <c r="P216" s="1" t="e">
        <f t="shared" si="82"/>
        <v>#NUM!</v>
      </c>
      <c r="Q216" s="1" t="e">
        <f t="shared" si="82"/>
        <v>#NUM!</v>
      </c>
      <c r="R216" s="1" t="e">
        <f t="shared" si="82"/>
        <v>#NUM!</v>
      </c>
      <c r="S216" s="1">
        <f t="shared" si="82"/>
        <v>-2.3646442511432</v>
      </c>
      <c r="T216" s="1" t="e">
        <f t="shared" si="82"/>
        <v>#NUM!</v>
      </c>
      <c r="U216" s="1" t="e">
        <f t="shared" si="82"/>
        <v>#NUM!</v>
      </c>
      <c r="V216" s="1" t="e">
        <f t="shared" si="82"/>
        <v>#NUM!</v>
      </c>
      <c r="W216" s="1" t="e">
        <f t="shared" si="82"/>
        <v>#NUM!</v>
      </c>
      <c r="X216" s="1" t="e">
        <f t="shared" si="82"/>
        <v>#NUM!</v>
      </c>
      <c r="Y216" s="1" t="e">
        <f t="shared" si="82"/>
        <v>#NUM!</v>
      </c>
      <c r="Z216" s="1" t="e">
        <f t="shared" si="82"/>
        <v>#NUM!</v>
      </c>
      <c r="AA216" s="1" t="e">
        <f t="shared" si="82"/>
        <v>#NUM!</v>
      </c>
      <c r="AB216" s="1" t="e">
        <f t="shared" si="82"/>
        <v>#NUM!</v>
      </c>
      <c r="AC216" s="1">
        <f t="shared" si="82"/>
        <v>-1.88591530205251</v>
      </c>
      <c r="AD216" s="1" t="e">
        <f t="shared" si="82"/>
        <v>#NUM!</v>
      </c>
      <c r="AE216" s="1" t="e">
        <f t="shared" si="82"/>
        <v>#NUM!</v>
      </c>
      <c r="AF216" s="1" t="e">
        <f t="shared" si="82"/>
        <v>#NUM!</v>
      </c>
      <c r="AG216" s="1" t="e">
        <f t="shared" si="82"/>
        <v>#NUM!</v>
      </c>
      <c r="AH216" s="1" t="e">
        <f t="shared" si="82"/>
        <v>#NUM!</v>
      </c>
      <c r="AI216" s="1" t="e">
        <f t="shared" si="82"/>
        <v>#NUM!</v>
      </c>
      <c r="AJ216" s="1" t="e">
        <f t="shared" si="82"/>
        <v>#NUM!</v>
      </c>
      <c r="AK216" s="1">
        <f t="shared" si="82"/>
        <v>0.609730519501364</v>
      </c>
      <c r="AL216" s="1">
        <f t="shared" si="82"/>
        <v>1.60876302283349</v>
      </c>
      <c r="AM216" s="1">
        <f t="shared" si="82"/>
        <v>0.911427874581449</v>
      </c>
      <c r="AN216" s="1">
        <f t="shared" si="82"/>
        <v>-2.23949371642726</v>
      </c>
      <c r="AO216" s="1" t="e">
        <f t="shared" si="82"/>
        <v>#NUM!</v>
      </c>
      <c r="AP216" s="1" t="e">
        <f t="shared" si="82"/>
        <v>#NUM!</v>
      </c>
      <c r="AQ216" s="1">
        <f t="shared" si="82"/>
        <v>0.0169944329637468</v>
      </c>
      <c r="AR216" s="1" t="e">
        <f t="shared" si="82"/>
        <v>#NUM!</v>
      </c>
      <c r="AS216" s="1" t="e">
        <f t="shared" si="82"/>
        <v>#NUM!</v>
      </c>
      <c r="AT216" s="1" t="e">
        <f t="shared" si="82"/>
        <v>#NUM!</v>
      </c>
      <c r="AU216" s="1" t="e">
        <f t="shared" si="82"/>
        <v>#NUM!</v>
      </c>
      <c r="AV216" s="1" t="e">
        <f t="shared" si="82"/>
        <v>#NUM!</v>
      </c>
      <c r="AW216" s="1" t="e">
        <f t="shared" si="82"/>
        <v>#NUM!</v>
      </c>
      <c r="AX216" s="1" t="e">
        <f t="shared" si="82"/>
        <v>#NUM!</v>
      </c>
      <c r="AY216" s="1" t="e">
        <f t="shared" si="82"/>
        <v>#NUM!</v>
      </c>
      <c r="AZ216" s="1">
        <f t="shared" si="82"/>
        <v>-2.69481732750933</v>
      </c>
      <c r="BA216" s="1" t="e">
        <f t="shared" si="82"/>
        <v>#NUM!</v>
      </c>
      <c r="BB216" s="1" t="e">
        <f t="shared" si="82"/>
        <v>#NUM!</v>
      </c>
      <c r="BC216" s="1" t="e">
        <f t="shared" si="82"/>
        <v>#NUM!</v>
      </c>
      <c r="BD216" s="1">
        <f t="shared" si="82"/>
        <v>0.71257623209848</v>
      </c>
      <c r="BE216" s="1" t="e">
        <f t="shared" si="82"/>
        <v>#NUM!</v>
      </c>
      <c r="BF216" s="1" t="e">
        <f t="shared" si="82"/>
        <v>#NUM!</v>
      </c>
      <c r="BG216" s="1">
        <f t="shared" si="82"/>
        <v>-0.546701132640993</v>
      </c>
      <c r="BH216" s="1" t="e">
        <f t="shared" si="82"/>
        <v>#NUM!</v>
      </c>
      <c r="BI216" s="1" t="e">
        <f t="shared" si="82"/>
        <v>#NUM!</v>
      </c>
    </row>
    <row r="217" s="1" customFormat="1" spans="1:61">
      <c r="A217" s="1" t="s">
        <v>8</v>
      </c>
      <c r="B217" s="1">
        <v>2</v>
      </c>
      <c r="C217" s="1">
        <f t="shared" ref="C217:BI217" si="83">C205-3.3*((C180+0.5)^(-0.5))-2*((C180+0.5)^(-1.5))</f>
        <v>-1.48573328974902</v>
      </c>
      <c r="D217" s="1">
        <f t="shared" si="83"/>
        <v>-1.31121737939292</v>
      </c>
      <c r="E217" s="1">
        <f t="shared" si="83"/>
        <v>-3.050946692655</v>
      </c>
      <c r="F217" s="1" t="e">
        <f t="shared" si="83"/>
        <v>#NUM!</v>
      </c>
      <c r="G217" s="1">
        <f t="shared" si="83"/>
        <v>-0.863538237918705</v>
      </c>
      <c r="H217" s="1" t="e">
        <f t="shared" si="83"/>
        <v>#NUM!</v>
      </c>
      <c r="I217" s="1">
        <f t="shared" si="83"/>
        <v>-1.73775702384012</v>
      </c>
      <c r="J217" s="1" t="e">
        <f t="shared" si="83"/>
        <v>#NUM!</v>
      </c>
      <c r="K217" s="1" t="e">
        <f t="shared" si="83"/>
        <v>#NUM!</v>
      </c>
      <c r="L217" s="1" t="e">
        <f t="shared" si="83"/>
        <v>#NUM!</v>
      </c>
      <c r="M217" s="1" t="e">
        <f t="shared" si="83"/>
        <v>#NUM!</v>
      </c>
      <c r="N217" s="1" t="e">
        <f t="shared" si="83"/>
        <v>#NUM!</v>
      </c>
      <c r="O217" s="1">
        <f t="shared" si="83"/>
        <v>-0.991855358756576</v>
      </c>
      <c r="P217" s="1">
        <f t="shared" si="83"/>
        <v>-2.99570149124101</v>
      </c>
      <c r="Q217" s="1" t="e">
        <f t="shared" si="83"/>
        <v>#NUM!</v>
      </c>
      <c r="R217" s="1" t="e">
        <f t="shared" si="83"/>
        <v>#NUM!</v>
      </c>
      <c r="S217" s="1">
        <f t="shared" si="83"/>
        <v>-1.89938391812252</v>
      </c>
      <c r="T217" s="1" t="e">
        <f t="shared" si="83"/>
        <v>#NUM!</v>
      </c>
      <c r="U217" s="1" t="e">
        <f t="shared" si="83"/>
        <v>#NUM!</v>
      </c>
      <c r="V217" s="1" t="e">
        <f t="shared" si="83"/>
        <v>#NUM!</v>
      </c>
      <c r="W217" s="1">
        <f t="shared" si="83"/>
        <v>-1.41730320731914</v>
      </c>
      <c r="X217" s="1" t="e">
        <f t="shared" si="83"/>
        <v>#NUM!</v>
      </c>
      <c r="Y217" s="1" t="e">
        <f t="shared" si="83"/>
        <v>#NUM!</v>
      </c>
      <c r="Z217" s="1" t="e">
        <f t="shared" si="83"/>
        <v>#NUM!</v>
      </c>
      <c r="AA217" s="1" t="e">
        <f t="shared" si="83"/>
        <v>#NUM!</v>
      </c>
      <c r="AB217" s="1" t="e">
        <f t="shared" si="83"/>
        <v>#NUM!</v>
      </c>
      <c r="AC217" s="1">
        <f t="shared" si="83"/>
        <v>-0.814372100614425</v>
      </c>
      <c r="AD217" s="1" t="e">
        <f t="shared" si="83"/>
        <v>#NUM!</v>
      </c>
      <c r="AE217" s="1" t="e">
        <f t="shared" si="83"/>
        <v>#NUM!</v>
      </c>
      <c r="AF217" s="1" t="e">
        <f t="shared" si="83"/>
        <v>#NUM!</v>
      </c>
      <c r="AG217" s="1" t="e">
        <f t="shared" si="83"/>
        <v>#NUM!</v>
      </c>
      <c r="AH217" s="1" t="e">
        <f t="shared" si="83"/>
        <v>#NUM!</v>
      </c>
      <c r="AI217" s="1" t="e">
        <f t="shared" si="83"/>
        <v>#NUM!</v>
      </c>
      <c r="AJ217" s="1">
        <f t="shared" si="83"/>
        <v>-0.61119237827767</v>
      </c>
      <c r="AK217" s="1">
        <f t="shared" si="83"/>
        <v>1.72787595414239</v>
      </c>
      <c r="AL217" s="1">
        <f t="shared" si="83"/>
        <v>1.20704419755669</v>
      </c>
      <c r="AM217" s="1">
        <f t="shared" si="83"/>
        <v>-1.77490365241769</v>
      </c>
      <c r="AN217" s="1">
        <f t="shared" si="83"/>
        <v>-0.116357383766004</v>
      </c>
      <c r="AO217" s="1">
        <f t="shared" si="83"/>
        <v>-3.050946692655</v>
      </c>
      <c r="AP217" s="1" t="e">
        <f t="shared" si="83"/>
        <v>#NUM!</v>
      </c>
      <c r="AQ217" s="1">
        <f t="shared" si="83"/>
        <v>-1.77807089237365</v>
      </c>
      <c r="AR217" s="1">
        <f t="shared" si="83"/>
        <v>-2.08757976942015</v>
      </c>
      <c r="AS217" s="1" t="e">
        <f t="shared" si="83"/>
        <v>#NUM!</v>
      </c>
      <c r="AT217" s="1" t="e">
        <f t="shared" si="83"/>
        <v>#NUM!</v>
      </c>
      <c r="AU217" s="1" t="e">
        <f t="shared" si="83"/>
        <v>#NUM!</v>
      </c>
      <c r="AV217" s="1" t="e">
        <f t="shared" si="83"/>
        <v>#NUM!</v>
      </c>
      <c r="AW217" s="1">
        <f t="shared" si="83"/>
        <v>-0.337268823357526</v>
      </c>
      <c r="AX217" s="1" t="e">
        <f t="shared" si="83"/>
        <v>#NUM!</v>
      </c>
      <c r="AY217" s="1" t="e">
        <f t="shared" si="83"/>
        <v>#NUM!</v>
      </c>
      <c r="AZ217" s="1">
        <f t="shared" si="83"/>
        <v>-1.99300893324133</v>
      </c>
      <c r="BA217" s="1" t="e">
        <f t="shared" si="83"/>
        <v>#NUM!</v>
      </c>
      <c r="BB217" s="1" t="e">
        <f t="shared" si="83"/>
        <v>#NUM!</v>
      </c>
      <c r="BC217" s="1" t="e">
        <f t="shared" si="83"/>
        <v>#NUM!</v>
      </c>
      <c r="BD217" s="1">
        <f t="shared" si="83"/>
        <v>-0.0852384727263498</v>
      </c>
      <c r="BE217" s="1" t="e">
        <f t="shared" si="83"/>
        <v>#NUM!</v>
      </c>
      <c r="BF217" s="1" t="e">
        <f t="shared" si="83"/>
        <v>#NUM!</v>
      </c>
      <c r="BG217" s="1">
        <f t="shared" si="83"/>
        <v>-1.41368150884747</v>
      </c>
      <c r="BH217" s="1" t="e">
        <f t="shared" si="83"/>
        <v>#NUM!</v>
      </c>
      <c r="BI217" s="1" t="e">
        <f t="shared" si="83"/>
        <v>#NUM!</v>
      </c>
    </row>
    <row r="218" s="1" customFormat="1" spans="1:61">
      <c r="A218" s="1" t="s">
        <v>9</v>
      </c>
      <c r="B218" s="1">
        <v>1</v>
      </c>
      <c r="C218" s="1">
        <f t="shared" ref="C218:BI218" si="84">C206-3.3*((C181+0.5)^(-0.5))-2*((C181+0.5)^(-1.5))</f>
        <v>-2.30248373848947</v>
      </c>
      <c r="D218" s="1">
        <f t="shared" si="84"/>
        <v>-1.68083764197871</v>
      </c>
      <c r="E218" s="1" t="e">
        <f t="shared" si="84"/>
        <v>#NUM!</v>
      </c>
      <c r="F218" s="1" t="e">
        <f t="shared" si="84"/>
        <v>#NUM!</v>
      </c>
      <c r="G218" s="1">
        <f t="shared" si="84"/>
        <v>-0.295029687513842</v>
      </c>
      <c r="H218" s="1" t="e">
        <f t="shared" si="84"/>
        <v>#NUM!</v>
      </c>
      <c r="I218" s="1" t="e">
        <f t="shared" si="84"/>
        <v>#NUM!</v>
      </c>
      <c r="J218" s="1" t="e">
        <f t="shared" si="84"/>
        <v>#NUM!</v>
      </c>
      <c r="K218" s="1" t="e">
        <f t="shared" si="84"/>
        <v>#NUM!</v>
      </c>
      <c r="L218" s="1" t="e">
        <f t="shared" si="84"/>
        <v>#NUM!</v>
      </c>
      <c r="M218" s="1" t="e">
        <f t="shared" si="84"/>
        <v>#NUM!</v>
      </c>
      <c r="N218" s="1" t="e">
        <f t="shared" si="84"/>
        <v>#NUM!</v>
      </c>
      <c r="O218" s="1">
        <f t="shared" si="84"/>
        <v>-1.52279685628497</v>
      </c>
      <c r="P218" s="1">
        <f t="shared" si="84"/>
        <v>-3.20461740409335</v>
      </c>
      <c r="Q218" s="1" t="e">
        <f t="shared" si="84"/>
        <v>#NUM!</v>
      </c>
      <c r="R218" s="1" t="e">
        <f t="shared" si="84"/>
        <v>#NUM!</v>
      </c>
      <c r="S218" s="1">
        <f t="shared" si="84"/>
        <v>-3.07438467165246</v>
      </c>
      <c r="T218" s="1" t="e">
        <f t="shared" si="84"/>
        <v>#NUM!</v>
      </c>
      <c r="U218" s="1" t="e">
        <f t="shared" si="84"/>
        <v>#NUM!</v>
      </c>
      <c r="V218" s="1" t="e">
        <f t="shared" si="84"/>
        <v>#NUM!</v>
      </c>
      <c r="W218" s="1">
        <f t="shared" si="84"/>
        <v>-3.51325968614006</v>
      </c>
      <c r="X218" s="1" t="e">
        <f t="shared" si="84"/>
        <v>#NUM!</v>
      </c>
      <c r="Y218" s="1" t="e">
        <f t="shared" si="84"/>
        <v>#NUM!</v>
      </c>
      <c r="Z218" s="1" t="e">
        <f t="shared" si="84"/>
        <v>#NUM!</v>
      </c>
      <c r="AA218" s="1" t="e">
        <f t="shared" si="84"/>
        <v>#NUM!</v>
      </c>
      <c r="AB218" s="1" t="e">
        <f t="shared" si="84"/>
        <v>#NUM!</v>
      </c>
      <c r="AC218" s="1">
        <f t="shared" si="84"/>
        <v>-0.376172844394614</v>
      </c>
      <c r="AD218" s="1" t="e">
        <f t="shared" si="84"/>
        <v>#NUM!</v>
      </c>
      <c r="AE218" s="1" t="e">
        <f t="shared" si="84"/>
        <v>#NUM!</v>
      </c>
      <c r="AF218" s="1" t="e">
        <f t="shared" si="84"/>
        <v>#NUM!</v>
      </c>
      <c r="AG218" s="1" t="e">
        <f t="shared" si="84"/>
        <v>#NUM!</v>
      </c>
      <c r="AH218" s="1" t="e">
        <f t="shared" si="84"/>
        <v>#NUM!</v>
      </c>
      <c r="AI218" s="1" t="e">
        <f t="shared" si="84"/>
        <v>#NUM!</v>
      </c>
      <c r="AJ218" s="1" t="e">
        <f t="shared" si="84"/>
        <v>#NUM!</v>
      </c>
      <c r="AK218" s="1">
        <f t="shared" si="84"/>
        <v>0.588001675012706</v>
      </c>
      <c r="AL218" s="1">
        <f t="shared" si="84"/>
        <v>-0.570481593844195</v>
      </c>
      <c r="AM218" s="1" t="e">
        <f t="shared" si="84"/>
        <v>#NUM!</v>
      </c>
      <c r="AN218" s="1">
        <f t="shared" si="84"/>
        <v>-1.23506237143859</v>
      </c>
      <c r="AO218" s="1" t="e">
        <f t="shared" si="84"/>
        <v>#NUM!</v>
      </c>
      <c r="AP218" s="1" t="e">
        <f t="shared" si="84"/>
        <v>#NUM!</v>
      </c>
      <c r="AQ218" s="1">
        <f t="shared" si="84"/>
        <v>-3.86760940828428</v>
      </c>
      <c r="AR218" s="1" t="e">
        <f t="shared" si="84"/>
        <v>#NUM!</v>
      </c>
      <c r="AS218" s="1" t="e">
        <f t="shared" si="84"/>
        <v>#NUM!</v>
      </c>
      <c r="AT218" s="1" t="e">
        <f t="shared" si="84"/>
        <v>#NUM!</v>
      </c>
      <c r="AU218" s="1" t="e">
        <f t="shared" si="84"/>
        <v>#NUM!</v>
      </c>
      <c r="AV218" s="1" t="e">
        <f t="shared" si="84"/>
        <v>#NUM!</v>
      </c>
      <c r="AW218" s="1" t="e">
        <f t="shared" si="84"/>
        <v>#NUM!</v>
      </c>
      <c r="AX218" s="1" t="e">
        <f t="shared" si="84"/>
        <v>#NUM!</v>
      </c>
      <c r="AY218" s="1" t="e">
        <f t="shared" si="84"/>
        <v>#NUM!</v>
      </c>
      <c r="AZ218" s="1" t="e">
        <f t="shared" si="84"/>
        <v>#NUM!</v>
      </c>
      <c r="BA218" s="1" t="e">
        <f t="shared" si="84"/>
        <v>#NUM!</v>
      </c>
      <c r="BB218" s="1" t="e">
        <f t="shared" si="84"/>
        <v>#NUM!</v>
      </c>
      <c r="BC218" s="1" t="e">
        <f t="shared" si="84"/>
        <v>#NUM!</v>
      </c>
      <c r="BD218" s="1">
        <f t="shared" si="84"/>
        <v>-1.81097686316949</v>
      </c>
      <c r="BE218" s="1" t="e">
        <f t="shared" si="84"/>
        <v>#NUM!</v>
      </c>
      <c r="BF218" s="1" t="e">
        <f t="shared" si="84"/>
        <v>#NUM!</v>
      </c>
      <c r="BG218" s="1" t="e">
        <f t="shared" si="84"/>
        <v>#NUM!</v>
      </c>
      <c r="BH218" s="1" t="e">
        <f t="shared" si="84"/>
        <v>#NUM!</v>
      </c>
      <c r="BI218" s="1" t="e">
        <f t="shared" si="84"/>
        <v>#NUM!</v>
      </c>
    </row>
    <row r="219" s="1" customFormat="1" spans="1:61">
      <c r="A219" s="1" t="s">
        <v>10</v>
      </c>
      <c r="B219" s="1">
        <v>4</v>
      </c>
      <c r="C219" s="1">
        <f t="shared" ref="C219:BI219" si="85">C207-3.3*((C182+0.5)^(-0.5))-2*((C182+0.5)^(-1.5))</f>
        <v>-3.13462889604587</v>
      </c>
      <c r="D219" s="1">
        <f t="shared" si="85"/>
        <v>-2.58148088483793</v>
      </c>
      <c r="E219" s="1">
        <f t="shared" si="85"/>
        <v>-3.08985622941379</v>
      </c>
      <c r="F219" s="1" t="e">
        <f t="shared" si="85"/>
        <v>#NUM!</v>
      </c>
      <c r="G219" s="1">
        <f t="shared" si="85"/>
        <v>-1.46115152203139</v>
      </c>
      <c r="H219" s="1" t="e">
        <f t="shared" si="85"/>
        <v>#NUM!</v>
      </c>
      <c r="I219" s="1">
        <f t="shared" si="85"/>
        <v>-1.91319877914568</v>
      </c>
      <c r="J219" s="1" t="e">
        <f t="shared" si="85"/>
        <v>#NUM!</v>
      </c>
      <c r="K219" s="1" t="e">
        <f t="shared" si="85"/>
        <v>#NUM!</v>
      </c>
      <c r="L219" s="1" t="e">
        <f t="shared" si="85"/>
        <v>#NUM!</v>
      </c>
      <c r="M219" s="1" t="e">
        <f t="shared" si="85"/>
        <v>#NUM!</v>
      </c>
      <c r="N219" s="1" t="e">
        <f t="shared" si="85"/>
        <v>#NUM!</v>
      </c>
      <c r="O219" s="1">
        <f t="shared" si="85"/>
        <v>-0.919348067032301</v>
      </c>
      <c r="P219" s="1" t="e">
        <f t="shared" si="85"/>
        <v>#NUM!</v>
      </c>
      <c r="Q219" s="1" t="e">
        <f t="shared" si="85"/>
        <v>#NUM!</v>
      </c>
      <c r="R219" s="1" t="e">
        <f t="shared" si="85"/>
        <v>#NUM!</v>
      </c>
      <c r="S219" s="1">
        <f t="shared" si="85"/>
        <v>-3.79054373086892</v>
      </c>
      <c r="T219" s="1" t="e">
        <f t="shared" si="85"/>
        <v>#NUM!</v>
      </c>
      <c r="U219" s="1" t="e">
        <f t="shared" si="85"/>
        <v>#NUM!</v>
      </c>
      <c r="V219" s="1" t="e">
        <f t="shared" si="85"/>
        <v>#NUM!</v>
      </c>
      <c r="W219" s="1">
        <f t="shared" si="85"/>
        <v>-3.52157495896127</v>
      </c>
      <c r="X219" s="1" t="e">
        <f t="shared" si="85"/>
        <v>#NUM!</v>
      </c>
      <c r="Y219" s="1" t="e">
        <f t="shared" si="85"/>
        <v>#NUM!</v>
      </c>
      <c r="Z219" s="1" t="e">
        <f t="shared" si="85"/>
        <v>#NUM!</v>
      </c>
      <c r="AA219" s="1" t="e">
        <f t="shared" si="85"/>
        <v>#NUM!</v>
      </c>
      <c r="AB219" s="1" t="e">
        <f t="shared" si="85"/>
        <v>#NUM!</v>
      </c>
      <c r="AC219" s="1">
        <f t="shared" si="85"/>
        <v>-1.59587666215286</v>
      </c>
      <c r="AD219" s="1" t="e">
        <f t="shared" si="85"/>
        <v>#NUM!</v>
      </c>
      <c r="AE219" s="1" t="e">
        <f t="shared" si="85"/>
        <v>#NUM!</v>
      </c>
      <c r="AF219" s="1" t="e">
        <f t="shared" si="85"/>
        <v>#NUM!</v>
      </c>
      <c r="AG219" s="1" t="e">
        <f t="shared" si="85"/>
        <v>#NUM!</v>
      </c>
      <c r="AH219" s="1" t="e">
        <f t="shared" si="85"/>
        <v>#NUM!</v>
      </c>
      <c r="AI219" s="1" t="e">
        <f t="shared" si="85"/>
        <v>#NUM!</v>
      </c>
      <c r="AJ219" s="1" t="e">
        <f t="shared" si="85"/>
        <v>#NUM!</v>
      </c>
      <c r="AK219" s="1">
        <f t="shared" si="85"/>
        <v>0.580263855045521</v>
      </c>
      <c r="AL219" s="1">
        <f t="shared" si="85"/>
        <v>1.57057308372995</v>
      </c>
      <c r="AM219" s="1">
        <f t="shared" si="85"/>
        <v>1.07745372899589</v>
      </c>
      <c r="AN219" s="1">
        <f t="shared" si="85"/>
        <v>-1.61571585729727</v>
      </c>
      <c r="AO219" s="1">
        <f t="shared" si="85"/>
        <v>-3.08985622941379</v>
      </c>
      <c r="AP219" s="1" t="e">
        <f t="shared" si="85"/>
        <v>#NUM!</v>
      </c>
      <c r="AQ219" s="1">
        <f t="shared" si="85"/>
        <v>0.587584259027453</v>
      </c>
      <c r="AR219" s="1" t="e">
        <f t="shared" si="85"/>
        <v>#NUM!</v>
      </c>
      <c r="AS219" s="1" t="e">
        <f t="shared" si="85"/>
        <v>#NUM!</v>
      </c>
      <c r="AT219" s="1" t="e">
        <f t="shared" si="85"/>
        <v>#NUM!</v>
      </c>
      <c r="AU219" s="1" t="e">
        <f t="shared" si="85"/>
        <v>#NUM!</v>
      </c>
      <c r="AV219" s="1" t="e">
        <f t="shared" si="85"/>
        <v>#NUM!</v>
      </c>
      <c r="AW219" s="1" t="e">
        <f t="shared" si="85"/>
        <v>#NUM!</v>
      </c>
      <c r="AX219" s="1" t="e">
        <f t="shared" si="85"/>
        <v>#NUM!</v>
      </c>
      <c r="AY219" s="1" t="e">
        <f t="shared" si="85"/>
        <v>#NUM!</v>
      </c>
      <c r="AZ219" s="1" t="e">
        <f t="shared" si="85"/>
        <v>#NUM!</v>
      </c>
      <c r="BA219" s="1" t="e">
        <f t="shared" si="85"/>
        <v>#NUM!</v>
      </c>
      <c r="BB219" s="1" t="e">
        <f t="shared" si="85"/>
        <v>#NUM!</v>
      </c>
      <c r="BC219" s="1" t="e">
        <f t="shared" si="85"/>
        <v>#NUM!</v>
      </c>
      <c r="BD219" s="1">
        <f t="shared" si="85"/>
        <v>-0.624185408650434</v>
      </c>
      <c r="BE219" s="1" t="e">
        <f t="shared" si="85"/>
        <v>#NUM!</v>
      </c>
      <c r="BF219" s="1" t="e">
        <f t="shared" si="85"/>
        <v>#NUM!</v>
      </c>
      <c r="BG219" s="1">
        <f t="shared" si="85"/>
        <v>-0.263676524813639</v>
      </c>
      <c r="BH219" s="1" t="e">
        <f t="shared" si="85"/>
        <v>#NUM!</v>
      </c>
      <c r="BI219" s="1" t="e">
        <f t="shared" si="85"/>
        <v>#NUM!</v>
      </c>
    </row>
    <row r="220" s="1" customFormat="1" spans="1:61">
      <c r="A220" s="1" t="s">
        <v>11</v>
      </c>
      <c r="B220" s="1">
        <v>3</v>
      </c>
      <c r="C220" s="1" t="e">
        <f t="shared" ref="C220:BI220" si="86">C208-3.3*((C183+0.5)^(-0.5))-2*((C183+0.5)^(-1.5))</f>
        <v>#NUM!</v>
      </c>
      <c r="D220" s="1" t="e">
        <f t="shared" si="86"/>
        <v>#NUM!</v>
      </c>
      <c r="E220" s="1" t="e">
        <f t="shared" si="86"/>
        <v>#NUM!</v>
      </c>
      <c r="F220" s="1" t="e">
        <f t="shared" si="86"/>
        <v>#NUM!</v>
      </c>
      <c r="G220" s="1" t="e">
        <f t="shared" si="86"/>
        <v>#NUM!</v>
      </c>
      <c r="H220" s="1" t="e">
        <f t="shared" si="86"/>
        <v>#NUM!</v>
      </c>
      <c r="I220" s="1" t="e">
        <f t="shared" si="86"/>
        <v>#NUM!</v>
      </c>
      <c r="J220" s="1" t="e">
        <f t="shared" si="86"/>
        <v>#NUM!</v>
      </c>
      <c r="K220" s="1" t="e">
        <f t="shared" si="86"/>
        <v>#NUM!</v>
      </c>
      <c r="L220" s="1" t="e">
        <f t="shared" si="86"/>
        <v>#NUM!</v>
      </c>
      <c r="M220" s="1" t="e">
        <f t="shared" si="86"/>
        <v>#NUM!</v>
      </c>
      <c r="N220" s="1" t="e">
        <f t="shared" si="86"/>
        <v>#NUM!</v>
      </c>
      <c r="O220" s="1">
        <f t="shared" si="86"/>
        <v>-0.188656292569118</v>
      </c>
      <c r="P220" s="1" t="e">
        <f t="shared" si="86"/>
        <v>#NUM!</v>
      </c>
      <c r="Q220" s="1" t="e">
        <f t="shared" si="86"/>
        <v>#NUM!</v>
      </c>
      <c r="R220" s="1" t="e">
        <f t="shared" si="86"/>
        <v>#NUM!</v>
      </c>
      <c r="S220" s="1" t="e">
        <f t="shared" si="86"/>
        <v>#NUM!</v>
      </c>
      <c r="T220" s="1" t="e">
        <f t="shared" si="86"/>
        <v>#NUM!</v>
      </c>
      <c r="U220" s="1" t="e">
        <f t="shared" si="86"/>
        <v>#NUM!</v>
      </c>
      <c r="V220" s="1" t="e">
        <f t="shared" si="86"/>
        <v>#NUM!</v>
      </c>
      <c r="W220" s="1" t="e">
        <f t="shared" si="86"/>
        <v>#NUM!</v>
      </c>
      <c r="X220" s="1" t="e">
        <f t="shared" si="86"/>
        <v>#NUM!</v>
      </c>
      <c r="Y220" s="1" t="e">
        <f t="shared" si="86"/>
        <v>#NUM!</v>
      </c>
      <c r="Z220" s="1" t="e">
        <f t="shared" si="86"/>
        <v>#NUM!</v>
      </c>
      <c r="AA220" s="1" t="e">
        <f t="shared" si="86"/>
        <v>#NUM!</v>
      </c>
      <c r="AB220" s="1" t="e">
        <f t="shared" si="86"/>
        <v>#NUM!</v>
      </c>
      <c r="AC220" s="1" t="e">
        <f t="shared" si="86"/>
        <v>#NUM!</v>
      </c>
      <c r="AD220" s="1" t="e">
        <f t="shared" si="86"/>
        <v>#NUM!</v>
      </c>
      <c r="AE220" s="1" t="e">
        <f t="shared" si="86"/>
        <v>#NUM!</v>
      </c>
      <c r="AF220" s="1" t="e">
        <f t="shared" si="86"/>
        <v>#NUM!</v>
      </c>
      <c r="AG220" s="1" t="e">
        <f t="shared" si="86"/>
        <v>#NUM!</v>
      </c>
      <c r="AH220" s="1" t="e">
        <f t="shared" si="86"/>
        <v>#NUM!</v>
      </c>
      <c r="AI220" s="1" t="e">
        <f t="shared" si="86"/>
        <v>#NUM!</v>
      </c>
      <c r="AJ220" s="1" t="e">
        <f t="shared" si="86"/>
        <v>#NUM!</v>
      </c>
      <c r="AK220" s="1" t="e">
        <f t="shared" si="86"/>
        <v>#NUM!</v>
      </c>
      <c r="AL220" s="1">
        <f t="shared" si="86"/>
        <v>2.52777721442439</v>
      </c>
      <c r="AM220" s="1">
        <f t="shared" si="86"/>
        <v>0.937156719171563</v>
      </c>
      <c r="AN220" s="1">
        <f t="shared" si="86"/>
        <v>-1.90413218841468</v>
      </c>
      <c r="AO220" s="1" t="e">
        <f t="shared" si="86"/>
        <v>#NUM!</v>
      </c>
      <c r="AP220" s="1" t="e">
        <f t="shared" si="86"/>
        <v>#NUM!</v>
      </c>
      <c r="AQ220" s="1">
        <f t="shared" si="86"/>
        <v>0.802955453291215</v>
      </c>
      <c r="AR220" s="1" t="e">
        <f t="shared" si="86"/>
        <v>#NUM!</v>
      </c>
      <c r="AS220" s="1" t="e">
        <f t="shared" si="86"/>
        <v>#NUM!</v>
      </c>
      <c r="AT220" s="1" t="e">
        <f t="shared" si="86"/>
        <v>#NUM!</v>
      </c>
      <c r="AU220" s="1" t="e">
        <f t="shared" si="86"/>
        <v>#NUM!</v>
      </c>
      <c r="AV220" s="1" t="e">
        <f t="shared" si="86"/>
        <v>#NUM!</v>
      </c>
      <c r="AW220" s="1" t="e">
        <f t="shared" si="86"/>
        <v>#NUM!</v>
      </c>
      <c r="AX220" s="1" t="e">
        <f t="shared" si="86"/>
        <v>#NUM!</v>
      </c>
      <c r="AY220" s="1" t="e">
        <f t="shared" si="86"/>
        <v>#NUM!</v>
      </c>
      <c r="AZ220" s="1" t="e">
        <f t="shared" si="86"/>
        <v>#NUM!</v>
      </c>
      <c r="BA220" s="1" t="e">
        <f t="shared" si="86"/>
        <v>#NUM!</v>
      </c>
      <c r="BB220" s="1" t="e">
        <f t="shared" si="86"/>
        <v>#NUM!</v>
      </c>
      <c r="BC220" s="1" t="e">
        <f t="shared" si="86"/>
        <v>#NUM!</v>
      </c>
      <c r="BD220" s="1">
        <f t="shared" si="86"/>
        <v>-0.0927031024819076</v>
      </c>
      <c r="BE220" s="1" t="e">
        <f t="shared" si="86"/>
        <v>#NUM!</v>
      </c>
      <c r="BF220" s="1" t="e">
        <f t="shared" si="86"/>
        <v>#NUM!</v>
      </c>
      <c r="BG220" s="1" t="e">
        <f t="shared" si="86"/>
        <v>#NUM!</v>
      </c>
      <c r="BH220" s="1" t="e">
        <f t="shared" si="86"/>
        <v>#NUM!</v>
      </c>
      <c r="BI220" s="1" t="e">
        <f t="shared" si="86"/>
        <v>#NUM!</v>
      </c>
    </row>
    <row r="221" s="1" customFormat="1" spans="1:61">
      <c r="A221" s="1" t="s">
        <v>12</v>
      </c>
      <c r="B221" s="1">
        <v>2</v>
      </c>
      <c r="C221" s="1" t="e">
        <f t="shared" ref="C221:BI221" si="87">C209-3.3*((C184+0.5)^(-0.5))-2*((C184+0.5)^(-1.5))</f>
        <v>#NUM!</v>
      </c>
      <c r="D221" s="1" t="e">
        <f t="shared" si="87"/>
        <v>#NUM!</v>
      </c>
      <c r="E221" s="1" t="e">
        <f t="shared" si="87"/>
        <v>#NUM!</v>
      </c>
      <c r="F221" s="1" t="e">
        <f t="shared" si="87"/>
        <v>#NUM!</v>
      </c>
      <c r="G221" s="1" t="e">
        <f t="shared" si="87"/>
        <v>#NUM!</v>
      </c>
      <c r="H221" s="1" t="e">
        <f t="shared" si="87"/>
        <v>#NUM!</v>
      </c>
      <c r="I221" s="1" t="e">
        <f t="shared" si="87"/>
        <v>#NUM!</v>
      </c>
      <c r="J221" s="1" t="e">
        <f t="shared" si="87"/>
        <v>#NUM!</v>
      </c>
      <c r="K221" s="1" t="e">
        <f t="shared" si="87"/>
        <v>#NUM!</v>
      </c>
      <c r="L221" s="1" t="e">
        <f t="shared" si="87"/>
        <v>#NUM!</v>
      </c>
      <c r="M221" s="1" t="e">
        <f t="shared" si="87"/>
        <v>#NUM!</v>
      </c>
      <c r="N221" s="1" t="e">
        <f t="shared" si="87"/>
        <v>#NUM!</v>
      </c>
      <c r="O221" s="1">
        <f t="shared" si="87"/>
        <v>-1.67071823985551</v>
      </c>
      <c r="P221" s="1" t="e">
        <f t="shared" si="87"/>
        <v>#NUM!</v>
      </c>
      <c r="Q221" s="1" t="e">
        <f t="shared" si="87"/>
        <v>#NUM!</v>
      </c>
      <c r="R221" s="1" t="e">
        <f t="shared" si="87"/>
        <v>#NUM!</v>
      </c>
      <c r="S221" s="1">
        <f t="shared" si="87"/>
        <v>-3.72126726904737</v>
      </c>
      <c r="T221" s="1" t="e">
        <f t="shared" si="87"/>
        <v>#NUM!</v>
      </c>
      <c r="U221" s="1" t="e">
        <f t="shared" si="87"/>
        <v>#NUM!</v>
      </c>
      <c r="V221" s="1" t="e">
        <f t="shared" si="87"/>
        <v>#NUM!</v>
      </c>
      <c r="W221" s="1" t="e">
        <f t="shared" si="87"/>
        <v>#NUM!</v>
      </c>
      <c r="X221" s="1" t="e">
        <f t="shared" si="87"/>
        <v>#NUM!</v>
      </c>
      <c r="Y221" s="1" t="e">
        <f t="shared" si="87"/>
        <v>#NUM!</v>
      </c>
      <c r="Z221" s="1" t="e">
        <f t="shared" si="87"/>
        <v>#NUM!</v>
      </c>
      <c r="AA221" s="1" t="e">
        <f t="shared" si="87"/>
        <v>#NUM!</v>
      </c>
      <c r="AB221" s="1" t="e">
        <f t="shared" si="87"/>
        <v>#NUM!</v>
      </c>
      <c r="AC221" s="1" t="e">
        <f t="shared" si="87"/>
        <v>#NUM!</v>
      </c>
      <c r="AD221" s="1" t="e">
        <f t="shared" si="87"/>
        <v>#NUM!</v>
      </c>
      <c r="AE221" s="1" t="e">
        <f t="shared" si="87"/>
        <v>#NUM!</v>
      </c>
      <c r="AF221" s="1" t="e">
        <f t="shared" si="87"/>
        <v>#NUM!</v>
      </c>
      <c r="AG221" s="1" t="e">
        <f t="shared" si="87"/>
        <v>#NUM!</v>
      </c>
      <c r="AH221" s="1" t="e">
        <f t="shared" si="87"/>
        <v>#NUM!</v>
      </c>
      <c r="AI221" s="1" t="e">
        <f t="shared" si="87"/>
        <v>#NUM!</v>
      </c>
      <c r="AJ221" s="1" t="e">
        <f t="shared" si="87"/>
        <v>#NUM!</v>
      </c>
      <c r="AK221" s="1" t="e">
        <f t="shared" si="87"/>
        <v>#NUM!</v>
      </c>
      <c r="AL221" s="1">
        <f t="shared" si="87"/>
        <v>0.997143794893461</v>
      </c>
      <c r="AM221" s="1">
        <f t="shared" si="87"/>
        <v>-0.546521483589575</v>
      </c>
      <c r="AN221" s="1">
        <f t="shared" si="87"/>
        <v>-1.28885141485398</v>
      </c>
      <c r="AO221" s="1" t="e">
        <f t="shared" si="87"/>
        <v>#NUM!</v>
      </c>
      <c r="AP221" s="1" t="e">
        <f t="shared" si="87"/>
        <v>#NUM!</v>
      </c>
      <c r="AQ221" s="1" t="e">
        <f t="shared" si="87"/>
        <v>#NUM!</v>
      </c>
      <c r="AR221" s="1" t="e">
        <f t="shared" si="87"/>
        <v>#NUM!</v>
      </c>
      <c r="AS221" s="1" t="e">
        <f t="shared" si="87"/>
        <v>#NUM!</v>
      </c>
      <c r="AT221" s="1" t="e">
        <f t="shared" si="87"/>
        <v>#NUM!</v>
      </c>
      <c r="AU221" s="1" t="e">
        <f t="shared" si="87"/>
        <v>#NUM!</v>
      </c>
      <c r="AV221" s="1" t="e">
        <f t="shared" si="87"/>
        <v>#NUM!</v>
      </c>
      <c r="AW221" s="1" t="e">
        <f t="shared" si="87"/>
        <v>#NUM!</v>
      </c>
      <c r="AX221" s="1" t="e">
        <f t="shared" si="87"/>
        <v>#NUM!</v>
      </c>
      <c r="AY221" s="1" t="e">
        <f t="shared" si="87"/>
        <v>#NUM!</v>
      </c>
      <c r="AZ221" s="1" t="e">
        <f t="shared" si="87"/>
        <v>#NUM!</v>
      </c>
      <c r="BA221" s="1" t="e">
        <f t="shared" si="87"/>
        <v>#NUM!</v>
      </c>
      <c r="BB221" s="1" t="e">
        <f t="shared" si="87"/>
        <v>#NUM!</v>
      </c>
      <c r="BC221" s="1" t="e">
        <f t="shared" si="87"/>
        <v>#NUM!</v>
      </c>
      <c r="BD221" s="1">
        <f t="shared" si="87"/>
        <v>0.213656418301653</v>
      </c>
      <c r="BE221" s="1" t="e">
        <f t="shared" si="87"/>
        <v>#NUM!</v>
      </c>
      <c r="BF221" s="1" t="e">
        <f t="shared" si="87"/>
        <v>#NUM!</v>
      </c>
      <c r="BG221" s="1" t="e">
        <f t="shared" si="87"/>
        <v>#NUM!</v>
      </c>
      <c r="BH221" s="1" t="e">
        <f t="shared" si="87"/>
        <v>#NUM!</v>
      </c>
      <c r="BI221" s="1" t="e">
        <f t="shared" si="87"/>
        <v>#NUM!</v>
      </c>
    </row>
    <row r="222" s="1" customFormat="1" spans="1:61">
      <c r="A222" s="1" t="s">
        <v>13</v>
      </c>
      <c r="B222" s="1">
        <v>1</v>
      </c>
      <c r="C222" s="1" t="e">
        <f t="shared" ref="C222:BI222" si="88">C210-3.3*((C185+0.5)^(-0.5))-2*((C185+0.5)^(-1.5))</f>
        <v>#NUM!</v>
      </c>
      <c r="D222" s="1" t="e">
        <f t="shared" si="88"/>
        <v>#NUM!</v>
      </c>
      <c r="E222" s="1" t="e">
        <f t="shared" si="88"/>
        <v>#NUM!</v>
      </c>
      <c r="F222" s="1" t="e">
        <f t="shared" si="88"/>
        <v>#NUM!</v>
      </c>
      <c r="G222" s="1" t="e">
        <f t="shared" si="88"/>
        <v>#NUM!</v>
      </c>
      <c r="H222" s="1" t="e">
        <f t="shared" si="88"/>
        <v>#NUM!</v>
      </c>
      <c r="I222" s="1" t="e">
        <f t="shared" si="88"/>
        <v>#NUM!</v>
      </c>
      <c r="J222" s="1" t="e">
        <f t="shared" si="88"/>
        <v>#NUM!</v>
      </c>
      <c r="K222" s="1" t="e">
        <f t="shared" si="88"/>
        <v>#NUM!</v>
      </c>
      <c r="L222" s="1" t="e">
        <f t="shared" si="88"/>
        <v>#NUM!</v>
      </c>
      <c r="M222" s="1" t="e">
        <f t="shared" si="88"/>
        <v>#NUM!</v>
      </c>
      <c r="N222" s="1" t="e">
        <f t="shared" si="88"/>
        <v>#NUM!</v>
      </c>
      <c r="O222" s="1">
        <f t="shared" si="88"/>
        <v>-2.99037112735788</v>
      </c>
      <c r="P222" s="1" t="e">
        <f t="shared" si="88"/>
        <v>#NUM!</v>
      </c>
      <c r="Q222" s="1" t="e">
        <f t="shared" si="88"/>
        <v>#NUM!</v>
      </c>
      <c r="R222" s="1" t="e">
        <f t="shared" si="88"/>
        <v>#NUM!</v>
      </c>
      <c r="S222" s="1" t="e">
        <f t="shared" si="88"/>
        <v>#NUM!</v>
      </c>
      <c r="T222" s="1" t="e">
        <f t="shared" si="88"/>
        <v>#NUM!</v>
      </c>
      <c r="U222" s="1" t="e">
        <f t="shared" si="88"/>
        <v>#NUM!</v>
      </c>
      <c r="V222" s="1" t="e">
        <f t="shared" si="88"/>
        <v>#NUM!</v>
      </c>
      <c r="W222" s="1" t="e">
        <f t="shared" si="88"/>
        <v>#NUM!</v>
      </c>
      <c r="X222" s="1" t="e">
        <f t="shared" si="88"/>
        <v>#NUM!</v>
      </c>
      <c r="Y222" s="1" t="e">
        <f t="shared" si="88"/>
        <v>#NUM!</v>
      </c>
      <c r="Z222" s="1" t="e">
        <f t="shared" si="88"/>
        <v>#NUM!</v>
      </c>
      <c r="AA222" s="1" t="e">
        <f t="shared" si="88"/>
        <v>#NUM!</v>
      </c>
      <c r="AB222" s="1" t="e">
        <f t="shared" si="88"/>
        <v>#NUM!</v>
      </c>
      <c r="AC222" s="1" t="e">
        <f t="shared" si="88"/>
        <v>#NUM!</v>
      </c>
      <c r="AD222" s="1" t="e">
        <f t="shared" si="88"/>
        <v>#NUM!</v>
      </c>
      <c r="AE222" s="1" t="e">
        <f t="shared" si="88"/>
        <v>#NUM!</v>
      </c>
      <c r="AF222" s="1" t="e">
        <f t="shared" si="88"/>
        <v>#NUM!</v>
      </c>
      <c r="AG222" s="1" t="e">
        <f t="shared" si="88"/>
        <v>#NUM!</v>
      </c>
      <c r="AH222" s="1" t="e">
        <f t="shared" si="88"/>
        <v>#NUM!</v>
      </c>
      <c r="AI222" s="1" t="e">
        <f t="shared" si="88"/>
        <v>#NUM!</v>
      </c>
      <c r="AJ222" s="1" t="e">
        <f t="shared" si="88"/>
        <v>#NUM!</v>
      </c>
      <c r="AK222" s="1" t="e">
        <f t="shared" si="88"/>
        <v>#NUM!</v>
      </c>
      <c r="AL222" s="1">
        <f t="shared" si="88"/>
        <v>0.346404519975867</v>
      </c>
      <c r="AM222" s="1" t="e">
        <f t="shared" si="88"/>
        <v>#NUM!</v>
      </c>
      <c r="AN222" s="1" t="e">
        <f t="shared" si="88"/>
        <v>#NUM!</v>
      </c>
      <c r="AO222" s="1" t="e">
        <f t="shared" si="88"/>
        <v>#NUM!</v>
      </c>
      <c r="AP222" s="1" t="e">
        <f t="shared" si="88"/>
        <v>#NUM!</v>
      </c>
      <c r="AQ222" s="1" t="e">
        <f t="shared" si="88"/>
        <v>#NUM!</v>
      </c>
      <c r="AR222" s="1" t="e">
        <f t="shared" si="88"/>
        <v>#NUM!</v>
      </c>
      <c r="AS222" s="1" t="e">
        <f t="shared" si="88"/>
        <v>#NUM!</v>
      </c>
      <c r="AT222" s="1" t="e">
        <f t="shared" si="88"/>
        <v>#NUM!</v>
      </c>
      <c r="AU222" s="1" t="e">
        <f t="shared" si="88"/>
        <v>#NUM!</v>
      </c>
      <c r="AV222" s="1" t="e">
        <f t="shared" si="88"/>
        <v>#NUM!</v>
      </c>
      <c r="AW222" s="1" t="e">
        <f t="shared" si="88"/>
        <v>#NUM!</v>
      </c>
      <c r="AX222" s="1" t="e">
        <f t="shared" si="88"/>
        <v>#NUM!</v>
      </c>
      <c r="AY222" s="1" t="e">
        <f t="shared" si="88"/>
        <v>#NUM!</v>
      </c>
      <c r="AZ222" s="1" t="e">
        <f t="shared" si="88"/>
        <v>#NUM!</v>
      </c>
      <c r="BA222" s="1" t="e">
        <f t="shared" si="88"/>
        <v>#NUM!</v>
      </c>
      <c r="BB222" s="1" t="e">
        <f t="shared" si="88"/>
        <v>#NUM!</v>
      </c>
      <c r="BC222" s="1" t="e">
        <f t="shared" si="88"/>
        <v>#NUM!</v>
      </c>
      <c r="BD222" s="1" t="e">
        <f t="shared" si="88"/>
        <v>#NUM!</v>
      </c>
      <c r="BE222" s="1" t="e">
        <f t="shared" si="88"/>
        <v>#NUM!</v>
      </c>
      <c r="BF222" s="1" t="e">
        <f t="shared" si="88"/>
        <v>#NUM!</v>
      </c>
      <c r="BG222" s="1" t="e">
        <f t="shared" si="88"/>
        <v>#NUM!</v>
      </c>
      <c r="BH222" s="1" t="e">
        <f t="shared" si="88"/>
        <v>#NUM!</v>
      </c>
      <c r="BI222" s="1" t="e">
        <f t="shared" si="88"/>
        <v>#NUM!</v>
      </c>
    </row>
    <row r="223" s="1" customFormat="1" spans="1:61">
      <c r="A223" s="1" t="s">
        <v>14</v>
      </c>
      <c r="B223" s="1">
        <v>7</v>
      </c>
      <c r="C223" s="1">
        <f t="shared" ref="C223:BI223" si="89">C211-3.3*((C186+0.5)^(-0.5))-2*((C186+0.5)^(-1.5))</f>
        <v>-2.29494661504431</v>
      </c>
      <c r="D223" s="1">
        <f t="shared" si="89"/>
        <v>-0.879624859177816</v>
      </c>
      <c r="E223" s="1" t="e">
        <f t="shared" si="89"/>
        <v>#NUM!</v>
      </c>
      <c r="F223" s="1" t="e">
        <f t="shared" si="89"/>
        <v>#NUM!</v>
      </c>
      <c r="G223" s="1" t="e">
        <f t="shared" si="89"/>
        <v>#NUM!</v>
      </c>
      <c r="H223" s="1" t="e">
        <f t="shared" si="89"/>
        <v>#NUM!</v>
      </c>
      <c r="I223" s="1" t="e">
        <f t="shared" si="89"/>
        <v>#NUM!</v>
      </c>
      <c r="J223" s="1" t="e">
        <f t="shared" si="89"/>
        <v>#NUM!</v>
      </c>
      <c r="K223" s="1" t="e">
        <f t="shared" si="89"/>
        <v>#NUM!</v>
      </c>
      <c r="L223" s="1" t="e">
        <f t="shared" si="89"/>
        <v>#NUM!</v>
      </c>
      <c r="M223" s="1" t="e">
        <f t="shared" si="89"/>
        <v>#NUM!</v>
      </c>
      <c r="N223" s="1" t="e">
        <f t="shared" si="89"/>
        <v>#NUM!</v>
      </c>
      <c r="O223" s="1">
        <f t="shared" si="89"/>
        <v>-0.0162287021013623</v>
      </c>
      <c r="P223" s="1" t="e">
        <f t="shared" si="89"/>
        <v>#NUM!</v>
      </c>
      <c r="Q223" s="1" t="e">
        <f t="shared" si="89"/>
        <v>#NUM!</v>
      </c>
      <c r="R223" s="1" t="e">
        <f t="shared" si="89"/>
        <v>#NUM!</v>
      </c>
      <c r="S223" s="1" t="e">
        <f t="shared" si="89"/>
        <v>#NUM!</v>
      </c>
      <c r="T223" s="1" t="e">
        <f t="shared" si="89"/>
        <v>#NUM!</v>
      </c>
      <c r="U223" s="1" t="e">
        <f t="shared" si="89"/>
        <v>#NUM!</v>
      </c>
      <c r="V223" s="1" t="e">
        <f t="shared" si="89"/>
        <v>#NUM!</v>
      </c>
      <c r="W223" s="1">
        <f t="shared" si="89"/>
        <v>-0.578283674527275</v>
      </c>
      <c r="X223" s="1" t="e">
        <f t="shared" si="89"/>
        <v>#NUM!</v>
      </c>
      <c r="Y223" s="1" t="e">
        <f t="shared" si="89"/>
        <v>#NUM!</v>
      </c>
      <c r="Z223" s="1" t="e">
        <f t="shared" si="89"/>
        <v>#NUM!</v>
      </c>
      <c r="AA223" s="1" t="e">
        <f t="shared" si="89"/>
        <v>#NUM!</v>
      </c>
      <c r="AB223" s="1" t="e">
        <f t="shared" si="89"/>
        <v>#NUM!</v>
      </c>
      <c r="AC223" s="1">
        <f t="shared" si="89"/>
        <v>1.08857582733895</v>
      </c>
      <c r="AD223" s="1" t="e">
        <f t="shared" si="89"/>
        <v>#NUM!</v>
      </c>
      <c r="AE223" s="1" t="e">
        <f t="shared" si="89"/>
        <v>#NUM!</v>
      </c>
      <c r="AF223" s="1" t="e">
        <f t="shared" si="89"/>
        <v>#NUM!</v>
      </c>
      <c r="AG223" s="1" t="e">
        <f t="shared" si="89"/>
        <v>#NUM!</v>
      </c>
      <c r="AH223" s="1" t="e">
        <f t="shared" si="89"/>
        <v>#NUM!</v>
      </c>
      <c r="AI223" s="1" t="e">
        <f t="shared" si="89"/>
        <v>#NUM!</v>
      </c>
      <c r="AJ223" s="1" t="e">
        <f t="shared" si="89"/>
        <v>#NUM!</v>
      </c>
      <c r="AK223" s="7">
        <f t="shared" si="89"/>
        <v>2.91108892355199</v>
      </c>
      <c r="AL223" s="7">
        <f t="shared" si="89"/>
        <v>4.12300495323514</v>
      </c>
      <c r="AM223" s="7">
        <f t="shared" si="89"/>
        <v>3.86473919550618</v>
      </c>
      <c r="AN223" s="1">
        <f t="shared" si="89"/>
        <v>-1.16488543026417</v>
      </c>
      <c r="AO223" s="1" t="e">
        <f t="shared" si="89"/>
        <v>#NUM!</v>
      </c>
      <c r="AP223" s="1" t="e">
        <f t="shared" si="89"/>
        <v>#NUM!</v>
      </c>
      <c r="AQ223" s="1">
        <f t="shared" si="89"/>
        <v>2.74973772506141</v>
      </c>
      <c r="AR223" s="1" t="e">
        <f t="shared" si="89"/>
        <v>#NUM!</v>
      </c>
      <c r="AS223" s="1" t="e">
        <f t="shared" si="89"/>
        <v>#NUM!</v>
      </c>
      <c r="AT223" s="1" t="e">
        <f t="shared" si="89"/>
        <v>#NUM!</v>
      </c>
      <c r="AU223" s="1" t="e">
        <f t="shared" si="89"/>
        <v>#NUM!</v>
      </c>
      <c r="AV223" s="1" t="e">
        <f t="shared" si="89"/>
        <v>#NUM!</v>
      </c>
      <c r="AW223" s="1">
        <f t="shared" si="89"/>
        <v>0.27610967253416</v>
      </c>
      <c r="AX223" s="1" t="e">
        <f t="shared" si="89"/>
        <v>#NUM!</v>
      </c>
      <c r="AY223" s="1" t="e">
        <f t="shared" si="89"/>
        <v>#NUM!</v>
      </c>
      <c r="AZ223" s="1" t="e">
        <f t="shared" si="89"/>
        <v>#NUM!</v>
      </c>
      <c r="BA223" s="1" t="e">
        <f t="shared" si="89"/>
        <v>#NUM!</v>
      </c>
      <c r="BB223" s="1" t="e">
        <f t="shared" si="89"/>
        <v>#NUM!</v>
      </c>
      <c r="BC223" s="1" t="e">
        <f t="shared" si="89"/>
        <v>#NUM!</v>
      </c>
      <c r="BD223" s="1">
        <f t="shared" si="89"/>
        <v>1.1054412749517</v>
      </c>
      <c r="BE223" s="1" t="e">
        <f t="shared" si="89"/>
        <v>#NUM!</v>
      </c>
      <c r="BF223" s="1" t="e">
        <f t="shared" si="89"/>
        <v>#NUM!</v>
      </c>
      <c r="BG223" s="1" t="e">
        <f t="shared" si="89"/>
        <v>#NUM!</v>
      </c>
      <c r="BH223" s="1" t="e">
        <f t="shared" si="89"/>
        <v>#NUM!</v>
      </c>
      <c r="BI223" s="1" t="e">
        <f t="shared" si="89"/>
        <v>#NUM!</v>
      </c>
    </row>
    <row r="224" s="1" customFormat="1" spans="1:61">
      <c r="A224" s="1" t="s">
        <v>15</v>
      </c>
      <c r="B224" s="1">
        <v>2</v>
      </c>
      <c r="C224" s="1">
        <f t="shared" ref="C224:BI224" si="90">C212-3.3*((C187+0.5)^(-0.5))-2*((C187+0.5)^(-1.5))</f>
        <v>-1.72135483630795</v>
      </c>
      <c r="D224" s="1">
        <f t="shared" si="90"/>
        <v>-3.39709659656107</v>
      </c>
      <c r="E224" s="1" t="e">
        <f t="shared" si="90"/>
        <v>#NUM!</v>
      </c>
      <c r="F224" s="1" t="e">
        <f t="shared" si="90"/>
        <v>#NUM!</v>
      </c>
      <c r="G224" s="1" t="e">
        <f t="shared" si="90"/>
        <v>#NUM!</v>
      </c>
      <c r="H224" s="1" t="e">
        <f t="shared" si="90"/>
        <v>#NUM!</v>
      </c>
      <c r="I224" s="1" t="e">
        <f t="shared" si="90"/>
        <v>#NUM!</v>
      </c>
      <c r="J224" s="1" t="e">
        <f t="shared" si="90"/>
        <v>#NUM!</v>
      </c>
      <c r="K224" s="1" t="e">
        <f t="shared" si="90"/>
        <v>#NUM!</v>
      </c>
      <c r="L224" s="1" t="e">
        <f t="shared" si="90"/>
        <v>#NUM!</v>
      </c>
      <c r="M224" s="1" t="e">
        <f t="shared" si="90"/>
        <v>#NUM!</v>
      </c>
      <c r="N224" s="1" t="e">
        <f t="shared" si="90"/>
        <v>#NUM!</v>
      </c>
      <c r="O224" s="1">
        <f t="shared" si="90"/>
        <v>-1.85568751938014</v>
      </c>
      <c r="P224" s="1" t="e">
        <f t="shared" si="90"/>
        <v>#NUM!</v>
      </c>
      <c r="Q224" s="1" t="e">
        <f t="shared" si="90"/>
        <v>#NUM!</v>
      </c>
      <c r="R224" s="1" t="e">
        <f t="shared" si="90"/>
        <v>#NUM!</v>
      </c>
      <c r="S224" s="1">
        <f t="shared" si="90"/>
        <v>0.421861177867405</v>
      </c>
      <c r="T224" s="1" t="e">
        <f t="shared" si="90"/>
        <v>#NUM!</v>
      </c>
      <c r="U224" s="1" t="e">
        <f t="shared" si="90"/>
        <v>#NUM!</v>
      </c>
      <c r="V224" s="1" t="e">
        <f t="shared" si="90"/>
        <v>#NUM!</v>
      </c>
      <c r="W224" s="1" t="e">
        <f t="shared" si="90"/>
        <v>#NUM!</v>
      </c>
      <c r="X224" s="1" t="e">
        <f t="shared" si="90"/>
        <v>#NUM!</v>
      </c>
      <c r="Y224" s="1" t="e">
        <f t="shared" si="90"/>
        <v>#NUM!</v>
      </c>
      <c r="Z224" s="1" t="e">
        <f t="shared" si="90"/>
        <v>#NUM!</v>
      </c>
      <c r="AA224" s="1" t="e">
        <f t="shared" si="90"/>
        <v>#NUM!</v>
      </c>
      <c r="AB224" s="1" t="e">
        <f t="shared" si="90"/>
        <v>#NUM!</v>
      </c>
      <c r="AC224" s="1">
        <f t="shared" si="90"/>
        <v>-0.335203572421803</v>
      </c>
      <c r="AD224" s="1" t="e">
        <f t="shared" si="90"/>
        <v>#NUM!</v>
      </c>
      <c r="AE224" s="1" t="e">
        <f t="shared" si="90"/>
        <v>#NUM!</v>
      </c>
      <c r="AF224" s="1" t="e">
        <f t="shared" si="90"/>
        <v>#NUM!</v>
      </c>
      <c r="AG224" s="1" t="e">
        <f t="shared" si="90"/>
        <v>#NUM!</v>
      </c>
      <c r="AH224" s="1" t="e">
        <f t="shared" si="90"/>
        <v>#NUM!</v>
      </c>
      <c r="AI224" s="1" t="e">
        <f t="shared" si="90"/>
        <v>#NUM!</v>
      </c>
      <c r="AJ224" s="1" t="e">
        <f t="shared" si="90"/>
        <v>#NUM!</v>
      </c>
      <c r="AK224" s="1" t="e">
        <f t="shared" si="90"/>
        <v>#NUM!</v>
      </c>
      <c r="AL224" s="1" t="e">
        <f t="shared" si="90"/>
        <v>#NUM!</v>
      </c>
      <c r="AM224" s="1">
        <f t="shared" si="90"/>
        <v>1.9822425016884</v>
      </c>
      <c r="AN224" s="1">
        <f t="shared" si="90"/>
        <v>-3.02247761988629</v>
      </c>
      <c r="AO224" s="1" t="e">
        <f t="shared" si="90"/>
        <v>#NUM!</v>
      </c>
      <c r="AP224" s="1" t="e">
        <f t="shared" si="90"/>
        <v>#NUM!</v>
      </c>
      <c r="AQ224" s="1" t="e">
        <f t="shared" si="90"/>
        <v>#NUM!</v>
      </c>
      <c r="AR224" s="1" t="e">
        <f t="shared" si="90"/>
        <v>#NUM!</v>
      </c>
      <c r="AS224" s="1" t="e">
        <f t="shared" si="90"/>
        <v>#NUM!</v>
      </c>
      <c r="AT224" s="1" t="e">
        <f t="shared" si="90"/>
        <v>#NUM!</v>
      </c>
      <c r="AU224" s="1" t="e">
        <f t="shared" si="90"/>
        <v>#NUM!</v>
      </c>
      <c r="AV224" s="1" t="e">
        <f t="shared" si="90"/>
        <v>#NUM!</v>
      </c>
      <c r="AW224" s="1" t="e">
        <f t="shared" si="90"/>
        <v>#NUM!</v>
      </c>
      <c r="AX224" s="1" t="e">
        <f t="shared" si="90"/>
        <v>#NUM!</v>
      </c>
      <c r="AY224" s="1" t="e">
        <f t="shared" si="90"/>
        <v>#NUM!</v>
      </c>
      <c r="AZ224" s="1" t="e">
        <f t="shared" si="90"/>
        <v>#NUM!</v>
      </c>
      <c r="BA224" s="1" t="e">
        <f t="shared" si="90"/>
        <v>#NUM!</v>
      </c>
      <c r="BB224" s="1" t="e">
        <f t="shared" si="90"/>
        <v>#NUM!</v>
      </c>
      <c r="BC224" s="1" t="e">
        <f t="shared" si="90"/>
        <v>#NUM!</v>
      </c>
      <c r="BD224" s="1">
        <f t="shared" si="90"/>
        <v>-0.0895667523571397</v>
      </c>
      <c r="BE224" s="1" t="e">
        <f t="shared" si="90"/>
        <v>#NUM!</v>
      </c>
      <c r="BF224" s="1" t="e">
        <f t="shared" si="90"/>
        <v>#NUM!</v>
      </c>
      <c r="BG224" s="1" t="e">
        <f t="shared" si="90"/>
        <v>#NUM!</v>
      </c>
      <c r="BH224" s="1" t="e">
        <f t="shared" si="90"/>
        <v>#NUM!</v>
      </c>
      <c r="BI224" s="1" t="e">
        <f t="shared" si="90"/>
        <v>#NUM!</v>
      </c>
    </row>
    <row r="225" s="1" customFormat="1" spans="1:61">
      <c r="A225" s="1" t="s">
        <v>16</v>
      </c>
      <c r="B225" s="1">
        <v>4</v>
      </c>
      <c r="C225" s="1">
        <f t="shared" ref="C225:BI225" si="91">C213-3.3*((C188+0.5)^(-0.5))-2*((C188+0.5)^(-1.5))</f>
        <v>0.604099293612294</v>
      </c>
      <c r="D225" s="1">
        <f t="shared" si="91"/>
        <v>-0.755366624063219</v>
      </c>
      <c r="E225" s="1" t="e">
        <f t="shared" si="91"/>
        <v>#NUM!</v>
      </c>
      <c r="F225" s="1" t="e">
        <f t="shared" si="91"/>
        <v>#NUM!</v>
      </c>
      <c r="G225" s="1">
        <f t="shared" si="91"/>
        <v>0.0536394268219407</v>
      </c>
      <c r="H225" s="1" t="e">
        <f t="shared" si="91"/>
        <v>#NUM!</v>
      </c>
      <c r="I225" s="1" t="e">
        <f t="shared" si="91"/>
        <v>#NUM!</v>
      </c>
      <c r="J225" s="1" t="e">
        <f t="shared" si="91"/>
        <v>#NUM!</v>
      </c>
      <c r="K225" s="1" t="e">
        <f t="shared" si="91"/>
        <v>#NUM!</v>
      </c>
      <c r="L225" s="1" t="e">
        <f t="shared" si="91"/>
        <v>#NUM!</v>
      </c>
      <c r="M225" s="1" t="e">
        <f t="shared" si="91"/>
        <v>#NUM!</v>
      </c>
      <c r="N225" s="1" t="e">
        <f t="shared" si="91"/>
        <v>#NUM!</v>
      </c>
      <c r="O225" s="1">
        <f t="shared" si="91"/>
        <v>-1.44939333584918</v>
      </c>
      <c r="P225" s="1" t="e">
        <f t="shared" si="91"/>
        <v>#NUM!</v>
      </c>
      <c r="Q225" s="1" t="e">
        <f t="shared" si="91"/>
        <v>#NUM!</v>
      </c>
      <c r="R225" s="1" t="e">
        <f t="shared" si="91"/>
        <v>#NUM!</v>
      </c>
      <c r="S225" s="1">
        <f t="shared" si="91"/>
        <v>-2.8289629240199</v>
      </c>
      <c r="T225" s="1" t="e">
        <f t="shared" si="91"/>
        <v>#NUM!</v>
      </c>
      <c r="U225" s="1" t="e">
        <f t="shared" si="91"/>
        <v>#NUM!</v>
      </c>
      <c r="V225" s="1" t="e">
        <f t="shared" si="91"/>
        <v>#NUM!</v>
      </c>
      <c r="W225" s="1">
        <f t="shared" si="91"/>
        <v>-1.24667276404986</v>
      </c>
      <c r="X225" s="1" t="e">
        <f t="shared" si="91"/>
        <v>#NUM!</v>
      </c>
      <c r="Y225" s="1" t="e">
        <f t="shared" si="91"/>
        <v>#NUM!</v>
      </c>
      <c r="Z225" s="1" t="e">
        <f t="shared" si="91"/>
        <v>#NUM!</v>
      </c>
      <c r="AA225" s="1" t="e">
        <f t="shared" si="91"/>
        <v>#NUM!</v>
      </c>
      <c r="AB225" s="1" t="e">
        <f t="shared" si="91"/>
        <v>#NUM!</v>
      </c>
      <c r="AC225" s="1">
        <f t="shared" si="91"/>
        <v>-1.03630243204453</v>
      </c>
      <c r="AD225" s="1" t="e">
        <f t="shared" si="91"/>
        <v>#NUM!</v>
      </c>
      <c r="AE225" s="1" t="e">
        <f t="shared" si="91"/>
        <v>#NUM!</v>
      </c>
      <c r="AF225" s="1" t="e">
        <f t="shared" si="91"/>
        <v>#NUM!</v>
      </c>
      <c r="AG225" s="1" t="e">
        <f t="shared" si="91"/>
        <v>#NUM!</v>
      </c>
      <c r="AH225" s="1" t="e">
        <f t="shared" si="91"/>
        <v>#NUM!</v>
      </c>
      <c r="AI225" s="1" t="e">
        <f t="shared" si="91"/>
        <v>#NUM!</v>
      </c>
      <c r="AJ225" s="1" t="e">
        <f t="shared" si="91"/>
        <v>#NUM!</v>
      </c>
      <c r="AK225" s="1">
        <f t="shared" si="91"/>
        <v>-1.34345223738096</v>
      </c>
      <c r="AL225" s="1" t="e">
        <f t="shared" si="91"/>
        <v>#NUM!</v>
      </c>
      <c r="AM225" s="1">
        <f t="shared" si="91"/>
        <v>2.29331616684903</v>
      </c>
      <c r="AN225" s="1">
        <f t="shared" si="91"/>
        <v>-2.8079869894724</v>
      </c>
      <c r="AO225" s="1" t="e">
        <f t="shared" si="91"/>
        <v>#NUM!</v>
      </c>
      <c r="AP225" s="1" t="e">
        <f t="shared" si="91"/>
        <v>#NUM!</v>
      </c>
      <c r="AQ225" s="1">
        <f t="shared" si="91"/>
        <v>-4.53924247303866</v>
      </c>
      <c r="AR225" s="1" t="e">
        <f t="shared" si="91"/>
        <v>#NUM!</v>
      </c>
      <c r="AS225" s="1" t="e">
        <f t="shared" si="91"/>
        <v>#NUM!</v>
      </c>
      <c r="AT225" s="1" t="e">
        <f t="shared" si="91"/>
        <v>#NUM!</v>
      </c>
      <c r="AU225" s="1" t="e">
        <f t="shared" si="91"/>
        <v>#NUM!</v>
      </c>
      <c r="AV225" s="1" t="e">
        <f t="shared" si="91"/>
        <v>#NUM!</v>
      </c>
      <c r="AW225" s="1" t="e">
        <f t="shared" si="91"/>
        <v>#NUM!</v>
      </c>
      <c r="AX225" s="1" t="e">
        <f t="shared" si="91"/>
        <v>#NUM!</v>
      </c>
      <c r="AY225" s="1" t="e">
        <f t="shared" si="91"/>
        <v>#NUM!</v>
      </c>
      <c r="AZ225" s="1" t="e">
        <f t="shared" si="91"/>
        <v>#NUM!</v>
      </c>
      <c r="BA225" s="1" t="e">
        <f t="shared" si="91"/>
        <v>#NUM!</v>
      </c>
      <c r="BB225" s="1" t="e">
        <f t="shared" si="91"/>
        <v>#NUM!</v>
      </c>
      <c r="BC225" s="1" t="e">
        <f t="shared" si="91"/>
        <v>#NUM!</v>
      </c>
      <c r="BD225" s="1">
        <f t="shared" si="91"/>
        <v>0.623414225703389</v>
      </c>
      <c r="BE225" s="1" t="e">
        <f t="shared" si="91"/>
        <v>#NUM!</v>
      </c>
      <c r="BF225" s="1" t="e">
        <f t="shared" si="91"/>
        <v>#NUM!</v>
      </c>
      <c r="BG225" s="1" t="e">
        <f t="shared" si="91"/>
        <v>#NUM!</v>
      </c>
      <c r="BH225" s="1" t="e">
        <f t="shared" si="91"/>
        <v>#NUM!</v>
      </c>
      <c r="BI225" s="1" t="e">
        <f t="shared" si="91"/>
        <v>#NUM!</v>
      </c>
    </row>
    <row r="241" s="1" customFormat="1" spans="1:2">
      <c r="A241" s="2" t="s">
        <v>180</v>
      </c>
      <c r="B241" s="2"/>
    </row>
    <row r="242" s="1" customFormat="1" spans="3:61">
      <c r="C242" s="3" t="s">
        <v>181</v>
      </c>
      <c r="D242" s="3" t="s">
        <v>182</v>
      </c>
      <c r="E242" s="3" t="s">
        <v>183</v>
      </c>
      <c r="F242" s="3" t="s">
        <v>184</v>
      </c>
      <c r="G242" s="3" t="s">
        <v>85</v>
      </c>
      <c r="H242" s="3" t="s">
        <v>93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="1" customFormat="1" spans="1:8">
      <c r="A243" s="1" t="s">
        <v>7</v>
      </c>
      <c r="B243" s="1"/>
      <c r="C243" s="1">
        <v>7</v>
      </c>
      <c r="D243" s="1">
        <v>469</v>
      </c>
      <c r="E243" s="1">
        <v>28</v>
      </c>
      <c r="F243" s="1"/>
      <c r="G243" s="1">
        <v>69</v>
      </c>
      <c r="H243" s="1">
        <v>30</v>
      </c>
    </row>
    <row r="244" s="1" customFormat="1" spans="1:8">
      <c r="A244" s="1" t="s">
        <v>8</v>
      </c>
      <c r="B244" s="1"/>
      <c r="C244" s="1">
        <v>11</v>
      </c>
      <c r="D244" s="1">
        <v>690</v>
      </c>
      <c r="E244" s="1">
        <v>33</v>
      </c>
      <c r="F244" s="1"/>
      <c r="G244" s="1">
        <v>43</v>
      </c>
      <c r="H244" s="1">
        <v>60</v>
      </c>
    </row>
    <row r="245" s="1" customFormat="1" spans="1:8">
      <c r="A245" s="1" t="s">
        <v>9</v>
      </c>
      <c r="B245" s="1"/>
      <c r="C245" s="1">
        <v>3</v>
      </c>
      <c r="D245" s="1">
        <v>266</v>
      </c>
      <c r="E245" s="1">
        <v>19</v>
      </c>
      <c r="F245" s="1"/>
      <c r="G245" s="1">
        <v>55</v>
      </c>
      <c r="H245" s="1">
        <v>27</v>
      </c>
    </row>
    <row r="246" s="1" customFormat="1" spans="1:8">
      <c r="A246" s="1" t="s">
        <v>10</v>
      </c>
      <c r="B246" s="1"/>
      <c r="C246" s="1"/>
      <c r="D246" s="1">
        <v>361</v>
      </c>
      <c r="E246" s="1">
        <v>17</v>
      </c>
      <c r="F246" s="1"/>
      <c r="G246" s="1">
        <v>20</v>
      </c>
      <c r="H246" s="1">
        <v>15</v>
      </c>
    </row>
    <row r="247" s="1" customFormat="1" spans="1:8">
      <c r="A247" s="1" t="s">
        <v>11</v>
      </c>
      <c r="B247" s="1"/>
      <c r="C247" s="1"/>
      <c r="D247" s="1">
        <v>70</v>
      </c>
      <c r="E247" s="1"/>
      <c r="F247" s="1"/>
      <c r="G247" s="1">
        <v>2</v>
      </c>
      <c r="H247" s="1">
        <v>6</v>
      </c>
    </row>
    <row r="248" s="1" customFormat="1" spans="1:7">
      <c r="A248" s="1" t="s">
        <v>12</v>
      </c>
      <c r="B248" s="1"/>
      <c r="C248" s="1"/>
      <c r="D248" s="1">
        <v>49</v>
      </c>
      <c r="E248" s="1">
        <v>6</v>
      </c>
      <c r="F248" s="1"/>
      <c r="G248" s="1">
        <v>10</v>
      </c>
    </row>
    <row r="249" s="1" customFormat="1" spans="1:8">
      <c r="A249" s="1" t="s">
        <v>13</v>
      </c>
      <c r="B249" s="1"/>
      <c r="C249" s="1"/>
      <c r="D249" s="1">
        <v>35</v>
      </c>
      <c r="E249" s="1">
        <v>3</v>
      </c>
      <c r="F249" s="1"/>
      <c r="G249" s="1">
        <v>5</v>
      </c>
      <c r="H249" s="1">
        <v>11</v>
      </c>
    </row>
    <row r="250" s="1" customFormat="1" spans="1:8">
      <c r="A250" s="1" t="s">
        <v>14</v>
      </c>
      <c r="B250" s="1"/>
      <c r="C250" s="1">
        <v>4</v>
      </c>
      <c r="D250" s="1">
        <v>305</v>
      </c>
      <c r="E250" s="1">
        <v>14</v>
      </c>
      <c r="F250" s="1"/>
      <c r="G250" s="1">
        <v>18</v>
      </c>
      <c r="H250" s="1">
        <v>9</v>
      </c>
    </row>
    <row r="251" s="1" customFormat="1" spans="1:8">
      <c r="A251" s="1" t="s">
        <v>15</v>
      </c>
      <c r="B251" s="1"/>
      <c r="C251" s="1"/>
      <c r="D251" s="1">
        <v>77</v>
      </c>
      <c r="E251" s="1">
        <v>8</v>
      </c>
      <c r="F251" s="1"/>
      <c r="G251" s="1">
        <v>23</v>
      </c>
      <c r="H251" s="1">
        <v>6</v>
      </c>
    </row>
    <row r="252" s="1" customFormat="1" spans="1:8">
      <c r="A252" s="1" t="s">
        <v>16</v>
      </c>
      <c r="B252" s="1"/>
      <c r="C252" s="1">
        <v>3</v>
      </c>
      <c r="D252" s="1">
        <v>204</v>
      </c>
      <c r="E252" s="1">
        <v>5</v>
      </c>
      <c r="F252" s="1"/>
      <c r="G252" s="1">
        <v>51</v>
      </c>
      <c r="H252" s="1">
        <v>14</v>
      </c>
    </row>
    <row r="253" s="1" customFormat="1" spans="3:8">
      <c r="C253" s="1">
        <v>61</v>
      </c>
      <c r="D253" s="1">
        <v>7633</v>
      </c>
      <c r="E253" s="1">
        <v>574</v>
      </c>
      <c r="F253" s="1">
        <v>5</v>
      </c>
      <c r="G253" s="1">
        <v>1362</v>
      </c>
      <c r="H253" s="1">
        <v>2739</v>
      </c>
    </row>
    <row r="255" s="1" customFormat="1" spans="1:61">
      <c r="A255" s="1" t="s">
        <v>18</v>
      </c>
      <c r="B255" s="1"/>
      <c r="C255" s="3" t="s">
        <v>181</v>
      </c>
      <c r="D255" s="3" t="s">
        <v>182</v>
      </c>
      <c r="E255" s="3" t="s">
        <v>183</v>
      </c>
      <c r="F255" s="3" t="s">
        <v>184</v>
      </c>
      <c r="G255" s="3" t="s">
        <v>85</v>
      </c>
      <c r="H255" s="3" t="s">
        <v>93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</row>
    <row r="256" s="1" customFormat="1" spans="1:8">
      <c r="A256" s="1" t="s">
        <v>7</v>
      </c>
      <c r="B256" s="1"/>
      <c r="C256" s="1">
        <f>(C243+0.5)/(21748*61/2361487+0.5)</f>
        <v>7.06363317123131</v>
      </c>
      <c r="D256" s="1">
        <f>(D243+0.5)/(21748*7633/2361487+0.5)</f>
        <v>6.63175465074689</v>
      </c>
      <c r="E256" s="1">
        <f>(E243+0.5)/(21748*574/2361487+0.5)</f>
        <v>4.9254910067044</v>
      </c>
      <c r="G256" s="1">
        <f>(G243+0.5)/(21748*1362/2361487+0.5)</f>
        <v>5.32841720681994</v>
      </c>
      <c r="H256" s="1">
        <f>(H243+0.5)/(21748*2739/2361487+0.5)</f>
        <v>1.185631499094</v>
      </c>
    </row>
    <row r="257" s="1" customFormat="1" spans="1:8">
      <c r="A257" s="1" t="s">
        <v>8</v>
      </c>
      <c r="B257" s="1"/>
      <c r="C257" s="1">
        <f>(C244+0.5)/(40850*61/2361487+0.5)</f>
        <v>7.39452937004871</v>
      </c>
      <c r="D257" s="1">
        <f>(D244+0.5)/(40850*7633/2361487+0.5)</f>
        <v>5.20979283400446</v>
      </c>
      <c r="E257" s="1">
        <f>(E244+0.5)/(40850*574/2361487+0.5)</f>
        <v>3.21210603823958</v>
      </c>
      <c r="G257" s="1">
        <f>(G244+0.5)/(40850*1362/2361487+0.5)</f>
        <v>1.80794612052335</v>
      </c>
      <c r="H257" s="1">
        <f>(H244+0.5)/(40850*2739/2361487+0.5)</f>
        <v>1.26356559330794</v>
      </c>
    </row>
    <row r="258" s="1" customFormat="1" spans="1:8">
      <c r="A258" s="1" t="s">
        <v>9</v>
      </c>
      <c r="B258" s="1"/>
      <c r="C258" s="1">
        <f>(C245+0.5)/(25243*61/2361487+0.5)</f>
        <v>3.03804538503286</v>
      </c>
      <c r="D258" s="1">
        <f>(D245+0.5)/(25243*7633/2361487+0.5)</f>
        <v>3.24633477476885</v>
      </c>
      <c r="E258" s="1">
        <f>(E245+0.5)/(25243*574/2361487+0.5)</f>
        <v>2.93863011097064</v>
      </c>
      <c r="G258" s="1">
        <f>(G245+0.5)/(25243*1362/2361487+0.5)</f>
        <v>3.68549572961334</v>
      </c>
      <c r="H258" s="1">
        <f>(H245+0.5)/(25243*2739/2361487+0.5)</f>
        <v>0.923487955548275</v>
      </c>
    </row>
    <row r="259" s="1" customFormat="1" spans="1:8">
      <c r="A259" s="1" t="s">
        <v>10</v>
      </c>
      <c r="B259" s="1"/>
      <c r="C259" s="1"/>
      <c r="D259" s="1">
        <f>(D246+0.5)/(25397*7633/2361487+0.5)</f>
        <v>4.37702452738166</v>
      </c>
      <c r="E259" s="1">
        <f>(E246+0.5)/(25397*574/2361487+0.5)</f>
        <v>2.62243892969953</v>
      </c>
      <c r="G259" s="1">
        <f>(G246+0.5)/(25397*1362/2361487+0.5)</f>
        <v>1.35332711841557</v>
      </c>
      <c r="H259" s="1">
        <f>(H246+0.5)/(25397*2739/2361487+0.5)</f>
        <v>0.517407843149256</v>
      </c>
    </row>
    <row r="260" s="1" customFormat="1" spans="1:8">
      <c r="A260" s="1" t="s">
        <v>11</v>
      </c>
      <c r="B260" s="1"/>
      <c r="C260" s="1"/>
      <c r="D260" s="1">
        <f>(D247+0.5)/(1940*7633/2361487+0.5)</f>
        <v>10.4126146778017</v>
      </c>
      <c r="G260" s="1">
        <f>(G247+0.5)/(1940*1362/2361487+0.5)</f>
        <v>1.54425352080624</v>
      </c>
      <c r="H260" s="1">
        <f>(H247+0.5)/(1940*2739/2361487+0.5)</f>
        <v>2.36352199243549</v>
      </c>
    </row>
    <row r="261" s="1" customFormat="1" spans="1:7">
      <c r="A261" s="1" t="s">
        <v>12</v>
      </c>
      <c r="B261" s="1"/>
      <c r="C261" s="1"/>
      <c r="D261" s="1">
        <f>(D248+0.5)/(7277*7633/2361487+0.5)</f>
        <v>2.06066763694928</v>
      </c>
      <c r="E261" s="1">
        <f>(E248+0.5)/(7277*574/2361487+0.5)</f>
        <v>2.86495074463746</v>
      </c>
      <c r="G261" s="1">
        <f>(G248+0.5)/(7277*1362/2361487+0.5)</f>
        <v>2.23544666243089</v>
      </c>
    </row>
    <row r="262" s="1" customFormat="1" spans="1:8">
      <c r="A262" s="1" t="s">
        <v>13</v>
      </c>
      <c r="B262" s="1"/>
      <c r="C262" s="1"/>
      <c r="D262" s="1">
        <f>(D249+0.5)/(3349*3349/2361487+0.5)</f>
        <v>6.76259327750568</v>
      </c>
      <c r="E262" s="1">
        <f>(E249+0.5)/(3349*574/2361487+0.5)</f>
        <v>2.66355764832209</v>
      </c>
      <c r="G262" s="1">
        <f>(G249+0.5)/(3349*1362/2361487+0.5)</f>
        <v>2.26192862292184</v>
      </c>
      <c r="H262" s="1">
        <f>(H249+0.5)/(3349*2739/2361487+0.5)</f>
        <v>2.6229483029398</v>
      </c>
    </row>
    <row r="263" s="1" customFormat="1" spans="1:8">
      <c r="A263" s="1" t="s">
        <v>14</v>
      </c>
      <c r="B263" s="1"/>
      <c r="C263" s="1">
        <f>(C250+0.5)/(13923*61/2361487+0.5)</f>
        <v>5.23470349078211</v>
      </c>
      <c r="D263" s="1">
        <f>(D250+0.5)/(13923*7633/2361487+0.5)</f>
        <v>6.7138268271875</v>
      </c>
      <c r="E263" s="1">
        <f>(E250+0.5)/(13923*574/2361487+0.5)</f>
        <v>3.73304896661456</v>
      </c>
      <c r="G263" s="1">
        <f>(G250+0.5)/(13923*1362/2361487+0.5)</f>
        <v>2.16877445021176</v>
      </c>
      <c r="H263" s="1">
        <f>(H250+0.5)/(13923*2739/2361487+0.5)</f>
        <v>0.570612918729284</v>
      </c>
    </row>
    <row r="264" s="1" customFormat="1" spans="1:8">
      <c r="A264" s="1" t="s">
        <v>15</v>
      </c>
      <c r="B264" s="1"/>
      <c r="C264" s="1"/>
      <c r="D264" s="1">
        <f>(D251+0.5)/(2733*7633/2361487+0.5)</f>
        <v>8.30312419860825</v>
      </c>
      <c r="E264" s="1">
        <f>(E251+0.5)/(2733*574/2361487+0.5)</f>
        <v>7.30050749494769</v>
      </c>
      <c r="G264" s="1">
        <f>(G251+0.5)/(2733*1362/2361487+0.5)</f>
        <v>11.3183625344795</v>
      </c>
      <c r="H264" s="1">
        <f>(H251+0.5)/(2733*2739/2361487+0.5)</f>
        <v>1.77116351420576</v>
      </c>
    </row>
    <row r="265" s="1" customFormat="1" spans="1:8">
      <c r="A265" s="1" t="s">
        <v>16</v>
      </c>
      <c r="B265" s="1"/>
      <c r="C265" s="1">
        <f>(C252+0.5)/(10967*61/2361487+0.5)</f>
        <v>4.46832903495942</v>
      </c>
      <c r="D265" s="1">
        <f>(D252+0.5)/(10967*7633/2361487+0.5)</f>
        <v>5.68869762999464</v>
      </c>
      <c r="E265" s="1">
        <f>(E252+0.5)/(10967*574/2361487+0.5)</f>
        <v>1.73736267609567</v>
      </c>
      <c r="G265" s="1">
        <f>(G252+0.5)/(10967*1362/2361487+0.5)</f>
        <v>7.54548383549303</v>
      </c>
      <c r="H265" s="1">
        <f>(H252+0.5)/(10967*2739/2361487+0.5)</f>
        <v>1.0968054866858</v>
      </c>
    </row>
    <row r="267" s="1" customFormat="1" spans="1:61">
      <c r="A267" s="1" t="s">
        <v>22</v>
      </c>
      <c r="B267" s="1"/>
      <c r="C267" s="3" t="s">
        <v>181</v>
      </c>
      <c r="D267" s="3" t="s">
        <v>182</v>
      </c>
      <c r="E267" s="3" t="s">
        <v>183</v>
      </c>
      <c r="F267" s="3" t="s">
        <v>184</v>
      </c>
      <c r="G267" s="3" t="s">
        <v>85</v>
      </c>
      <c r="H267" s="3" t="s">
        <v>93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</row>
    <row r="268" s="1" customFormat="1" spans="1:8">
      <c r="A268" s="1" t="s">
        <v>7</v>
      </c>
      <c r="B268" s="1"/>
      <c r="C268" s="1">
        <f t="shared" ref="C268:H268" si="92">LOG(C256,2)</f>
        <v>2.82041042285798</v>
      </c>
      <c r="D268" s="1">
        <f t="shared" si="92"/>
        <v>2.72939063368856</v>
      </c>
      <c r="E268" s="1">
        <f t="shared" si="92"/>
        <v>2.30026754946822</v>
      </c>
      <c r="F268" s="1" t="e">
        <f t="shared" si="92"/>
        <v>#NUM!</v>
      </c>
      <c r="G268" s="1">
        <f t="shared" si="92"/>
        <v>2.41370704762042</v>
      </c>
      <c r="H268" s="1">
        <f t="shared" si="92"/>
        <v>0.245655681858139</v>
      </c>
    </row>
    <row r="269" s="1" customFormat="1" spans="1:8">
      <c r="A269" s="1" t="s">
        <v>8</v>
      </c>
      <c r="B269" s="1"/>
      <c r="C269" s="1">
        <f t="shared" ref="C269:H269" si="93">LOG(C257,2)</f>
        <v>2.88645832891957</v>
      </c>
      <c r="D269" s="1">
        <f t="shared" si="93"/>
        <v>2.38122600526833</v>
      </c>
      <c r="E269" s="1">
        <f t="shared" si="93"/>
        <v>1.68351951997766</v>
      </c>
      <c r="F269" s="1" t="e">
        <f t="shared" si="93"/>
        <v>#NUM!</v>
      </c>
      <c r="G269" s="1">
        <f t="shared" si="93"/>
        <v>0.854351683941143</v>
      </c>
      <c r="H269" s="1">
        <f t="shared" si="93"/>
        <v>0.33750055837357</v>
      </c>
    </row>
    <row r="270" s="1" customFormat="1" spans="1:8">
      <c r="A270" s="1" t="s">
        <v>9</v>
      </c>
      <c r="B270" s="1"/>
      <c r="C270" s="1">
        <f t="shared" ref="C270:H270" si="94">LOG(C258,2)</f>
        <v>1.60314342226684</v>
      </c>
      <c r="D270" s="1">
        <f t="shared" si="94"/>
        <v>1.69881178392615</v>
      </c>
      <c r="E270" s="1">
        <f t="shared" si="94"/>
        <v>1.5551437765967</v>
      </c>
      <c r="F270" s="1" t="e">
        <f t="shared" si="94"/>
        <v>#NUM!</v>
      </c>
      <c r="G270" s="1">
        <f t="shared" si="94"/>
        <v>1.88185868677038</v>
      </c>
      <c r="H270" s="1">
        <f t="shared" si="94"/>
        <v>-0.114834949688407</v>
      </c>
    </row>
    <row r="271" s="1" customFormat="1" spans="1:8">
      <c r="A271" s="1" t="s">
        <v>10</v>
      </c>
      <c r="B271" s="1"/>
      <c r="C271" s="1" t="e">
        <f t="shared" ref="C271:H271" si="95">LOG(C259,2)</f>
        <v>#NUM!</v>
      </c>
      <c r="D271" s="1">
        <f t="shared" si="95"/>
        <v>2.12995046838014</v>
      </c>
      <c r="E271" s="1">
        <f t="shared" si="95"/>
        <v>1.39090917629329</v>
      </c>
      <c r="F271" s="1" t="e">
        <f t="shared" si="95"/>
        <v>#NUM!</v>
      </c>
      <c r="G271" s="1">
        <f t="shared" si="95"/>
        <v>0.436510601380212</v>
      </c>
      <c r="H271" s="1">
        <f t="shared" si="95"/>
        <v>-0.950626171543535</v>
      </c>
    </row>
    <row r="272" s="1" customFormat="1" spans="1:8">
      <c r="A272" s="1" t="s">
        <v>11</v>
      </c>
      <c r="B272" s="1"/>
      <c r="C272" s="1" t="e">
        <f t="shared" ref="C272:H272" si="96">LOG(C260,2)</f>
        <v>#NUM!</v>
      </c>
      <c r="D272" s="1">
        <f t="shared" si="96"/>
        <v>3.38026047947552</v>
      </c>
      <c r="E272" s="1" t="e">
        <f t="shared" si="96"/>
        <v>#NUM!</v>
      </c>
      <c r="F272" s="1" t="e">
        <f t="shared" si="96"/>
        <v>#NUM!</v>
      </c>
      <c r="G272" s="1">
        <f t="shared" si="96"/>
        <v>0.626909619954016</v>
      </c>
      <c r="H272" s="1">
        <f t="shared" si="96"/>
        <v>1.24093828895296</v>
      </c>
    </row>
    <row r="273" s="1" customFormat="1" spans="1:8">
      <c r="A273" s="1" t="s">
        <v>12</v>
      </c>
      <c r="B273" s="1"/>
      <c r="C273" s="1" t="e">
        <f t="shared" ref="C273:H273" si="97">LOG(C261,2)</f>
        <v>#NUM!</v>
      </c>
      <c r="D273" s="1">
        <f t="shared" si="97"/>
        <v>1.04311183278018</v>
      </c>
      <c r="E273" s="1">
        <f t="shared" si="97"/>
        <v>1.51851033581355</v>
      </c>
      <c r="F273" s="1" t="e">
        <f t="shared" si="97"/>
        <v>#NUM!</v>
      </c>
      <c r="G273" s="1">
        <f t="shared" si="97"/>
        <v>1.16056312370903</v>
      </c>
      <c r="H273" s="1" t="e">
        <f t="shared" si="97"/>
        <v>#NUM!</v>
      </c>
    </row>
    <row r="274" s="1" customFormat="1" spans="1:8">
      <c r="A274" s="1" t="s">
        <v>13</v>
      </c>
      <c r="B274" s="1"/>
      <c r="C274" s="1" t="e">
        <f t="shared" ref="C274:H274" si="98">LOG(C262,2)</f>
        <v>#NUM!</v>
      </c>
      <c r="D274" s="1">
        <f t="shared" si="98"/>
        <v>2.7575765883948</v>
      </c>
      <c r="E274" s="1">
        <f t="shared" si="98"/>
        <v>1.413354505997</v>
      </c>
      <c r="F274" s="1" t="e">
        <f t="shared" si="98"/>
        <v>#NUM!</v>
      </c>
      <c r="G274" s="1">
        <f t="shared" si="98"/>
        <v>1.1775534045791</v>
      </c>
      <c r="H274" s="1">
        <f t="shared" si="98"/>
        <v>1.39118937305186</v>
      </c>
    </row>
    <row r="275" s="1" customFormat="1" spans="1:8">
      <c r="A275" s="1" t="s">
        <v>14</v>
      </c>
      <c r="B275" s="1"/>
      <c r="C275" s="1">
        <f t="shared" ref="C275:H275" si="99">LOG(C263,2)</f>
        <v>2.38810782092052</v>
      </c>
      <c r="D275" s="1">
        <f t="shared" si="99"/>
        <v>2.74713532542095</v>
      </c>
      <c r="E275" s="1">
        <f t="shared" si="99"/>
        <v>1.90035443267759</v>
      </c>
      <c r="F275" s="1" t="e">
        <f t="shared" si="99"/>
        <v>#NUM!</v>
      </c>
      <c r="G275" s="1">
        <f t="shared" si="99"/>
        <v>1.11688002235968</v>
      </c>
      <c r="H275" s="1">
        <f t="shared" si="99"/>
        <v>-0.809415684848749</v>
      </c>
    </row>
    <row r="276" s="1" customFormat="1" spans="1:8">
      <c r="A276" s="1" t="s">
        <v>15</v>
      </c>
      <c r="B276" s="1"/>
      <c r="C276" s="1" t="e">
        <f t="shared" ref="C276:H276" si="100">LOG(C264,2)</f>
        <v>#NUM!</v>
      </c>
      <c r="D276" s="1">
        <f t="shared" si="100"/>
        <v>3.05365427835871</v>
      </c>
      <c r="E276" s="1">
        <f t="shared" si="100"/>
        <v>2.86799675645781</v>
      </c>
      <c r="F276" s="1" t="e">
        <f t="shared" si="100"/>
        <v>#NUM!</v>
      </c>
      <c r="G276" s="1">
        <f t="shared" si="100"/>
        <v>3.50059334861694</v>
      </c>
      <c r="H276" s="1">
        <f t="shared" si="100"/>
        <v>0.824697408162222</v>
      </c>
    </row>
    <row r="277" s="1" customFormat="1" spans="1:8">
      <c r="A277" s="1" t="s">
        <v>16</v>
      </c>
      <c r="B277" s="1"/>
      <c r="C277" s="1">
        <f t="shared" ref="C277:H277" si="101">LOG(C265,2)</f>
        <v>2.15973542566593</v>
      </c>
      <c r="D277" s="1">
        <f t="shared" si="101"/>
        <v>2.50809839984083</v>
      </c>
      <c r="E277" s="1">
        <f t="shared" si="101"/>
        <v>0.796898949435977</v>
      </c>
      <c r="F277" s="1" t="e">
        <f t="shared" si="101"/>
        <v>#NUM!</v>
      </c>
      <c r="G277" s="1">
        <f t="shared" si="101"/>
        <v>2.91561341297016</v>
      </c>
      <c r="H277" s="1">
        <f t="shared" si="101"/>
        <v>0.133307693219744</v>
      </c>
    </row>
    <row r="279" s="1" customFormat="1" spans="1:61">
      <c r="A279" s="1" t="s">
        <v>63</v>
      </c>
      <c r="B279" s="1"/>
      <c r="C279" s="3" t="s">
        <v>181</v>
      </c>
      <c r="D279" s="3" t="s">
        <v>182</v>
      </c>
      <c r="E279" s="3" t="s">
        <v>183</v>
      </c>
      <c r="F279" s="3" t="s">
        <v>184</v>
      </c>
      <c r="G279" s="3" t="s">
        <v>85</v>
      </c>
      <c r="H279" s="3" t="s">
        <v>93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</row>
    <row r="280" s="1" customFormat="1" spans="1:8">
      <c r="A280" s="1" t="s">
        <v>7</v>
      </c>
      <c r="B280" s="1">
        <v>4</v>
      </c>
      <c r="C280" s="1">
        <f t="shared" ref="C280:H280" si="102">C268-3.3*((C243+0.5)^(-0.5))-2*((C243+0.5)^(-1.5))</f>
        <v>1.51804789723459</v>
      </c>
      <c r="D280" s="1">
        <f t="shared" si="102"/>
        <v>2.57689535599981</v>
      </c>
      <c r="E280" s="1">
        <f t="shared" si="102"/>
        <v>1.6689758498021</v>
      </c>
      <c r="F280" s="1" t="e">
        <f t="shared" si="102"/>
        <v>#NUM!</v>
      </c>
      <c r="G280" s="1">
        <f t="shared" si="102"/>
        <v>2.01441349570041</v>
      </c>
      <c r="H280" s="1">
        <f t="shared" si="102"/>
        <v>-0.363753782487075</v>
      </c>
    </row>
    <row r="281" s="1" customFormat="1" spans="1:8">
      <c r="A281" s="1" t="s">
        <v>8</v>
      </c>
      <c r="B281" s="1">
        <v>4</v>
      </c>
      <c r="C281" s="1">
        <f t="shared" ref="C281:H281" si="103">C269-3.3*((C244+0.5)^(-0.5))-2*((C244+0.5)^(-1.5))</f>
        <v>1.86205725963468</v>
      </c>
      <c r="D281" s="1">
        <f t="shared" si="103"/>
        <v>2.25553241917974</v>
      </c>
      <c r="E281" s="1">
        <f t="shared" si="103"/>
        <v>1.10305151222135</v>
      </c>
      <c r="F281" s="1" t="e">
        <f t="shared" si="103"/>
        <v>#NUM!</v>
      </c>
      <c r="G281" s="1">
        <f t="shared" si="103"/>
        <v>0.347035958686387</v>
      </c>
      <c r="H281" s="1">
        <f t="shared" si="103"/>
        <v>-0.0910135886625454</v>
      </c>
    </row>
    <row r="282" s="1" customFormat="1" spans="1:8">
      <c r="A282" s="1" t="s">
        <v>9</v>
      </c>
      <c r="B282" s="1">
        <v>3</v>
      </c>
      <c r="C282" s="1">
        <f t="shared" ref="C282:H282" si="104">C270-3.3*((C245+0.5)^(-0.5))-2*((C245+0.5)^(-1.5))</f>
        <v>-0.466222193683643</v>
      </c>
      <c r="D282" s="1">
        <f t="shared" si="104"/>
        <v>1.49620598938392</v>
      </c>
      <c r="E282" s="1">
        <f t="shared" si="104"/>
        <v>0.784614738489065</v>
      </c>
      <c r="F282" s="1" t="e">
        <f t="shared" si="104"/>
        <v>#NUM!</v>
      </c>
      <c r="G282" s="1">
        <f t="shared" si="104"/>
        <v>1.43405852957082</v>
      </c>
      <c r="H282" s="1">
        <f t="shared" si="104"/>
        <v>-0.757988805343161</v>
      </c>
    </row>
    <row r="283" s="1" customFormat="1" spans="1:8">
      <c r="A283" s="1" t="s">
        <v>10</v>
      </c>
      <c r="B283" s="1">
        <v>2</v>
      </c>
      <c r="C283" s="1" t="e">
        <f t="shared" ref="C283:H283" si="105">C271-3.3*((C246+0.5)^(-0.5))-2*((C246+0.5)^(-1.5))</f>
        <v>#NUM!</v>
      </c>
      <c r="D283" s="1">
        <f t="shared" si="105"/>
        <v>1.95609543002703</v>
      </c>
      <c r="E283" s="1">
        <f t="shared" si="105"/>
        <v>0.574738783062091</v>
      </c>
      <c r="F283" s="1" t="e">
        <f t="shared" si="105"/>
        <v>#NUM!</v>
      </c>
      <c r="G283" s="1">
        <f t="shared" si="105"/>
        <v>-0.313885085557648</v>
      </c>
      <c r="H283" s="1">
        <f t="shared" si="105"/>
        <v>-1.82160123606742</v>
      </c>
    </row>
    <row r="284" s="1" customFormat="1" spans="1:8">
      <c r="A284" s="1" t="s">
        <v>11</v>
      </c>
      <c r="B284" s="1">
        <v>1</v>
      </c>
      <c r="C284" s="1" t="e">
        <f t="shared" ref="C284:H284" si="106">C272-3.3*((C247+0.5)^(-0.5))-2*((C247+0.5)^(-1.5))</f>
        <v>#NUM!</v>
      </c>
      <c r="D284" s="1">
        <f t="shared" si="106"/>
        <v>2.98385752468329</v>
      </c>
      <c r="E284" s="1" t="e">
        <f t="shared" si="106"/>
        <v>#NUM!</v>
      </c>
      <c r="F284" s="1" t="e">
        <f t="shared" si="106"/>
        <v>#NUM!</v>
      </c>
      <c r="G284" s="1">
        <f t="shared" si="106"/>
        <v>-1.96615806138405</v>
      </c>
      <c r="H284" s="1">
        <f t="shared" si="106"/>
        <v>-0.174115055351782</v>
      </c>
    </row>
    <row r="285" s="1" customFormat="1" spans="1:8">
      <c r="A285" s="1" t="s">
        <v>12</v>
      </c>
      <c r="B285" s="1">
        <v>3</v>
      </c>
      <c r="C285" s="1" t="e">
        <f t="shared" ref="C285:H285" si="107">C273-3.3*((C248+0.5)^(-0.5))-2*((C248+0.5)^(-1.5))</f>
        <v>#NUM!</v>
      </c>
      <c r="D285" s="1">
        <f t="shared" si="107"/>
        <v>0.568327476559302</v>
      </c>
      <c r="E285" s="1">
        <f t="shared" si="107"/>
        <v>0.103456991508807</v>
      </c>
      <c r="F285" s="1" t="e">
        <f t="shared" si="107"/>
        <v>#NUM!</v>
      </c>
      <c r="G285" s="1">
        <f t="shared" si="107"/>
        <v>0.0833787854022321</v>
      </c>
      <c r="H285" s="1" t="e">
        <f t="shared" si="107"/>
        <v>#NUM!</v>
      </c>
    </row>
    <row r="286" s="1" customFormat="1" spans="1:8">
      <c r="A286" s="1" t="s">
        <v>13</v>
      </c>
      <c r="B286" s="1">
        <v>2</v>
      </c>
      <c r="C286" s="1" t="e">
        <f t="shared" ref="C286:H286" si="108">C274-3.3*((C249+0.5)^(-0.5))-2*((C249+0.5)^(-1.5))</f>
        <v>#NUM!</v>
      </c>
      <c r="D286" s="1">
        <f t="shared" si="108"/>
        <v>2.19426132731846</v>
      </c>
      <c r="E286" s="1">
        <f t="shared" si="108"/>
        <v>-0.656011109953485</v>
      </c>
      <c r="F286" s="1" t="e">
        <f t="shared" si="108"/>
        <v>#NUM!</v>
      </c>
      <c r="G286" s="1">
        <f t="shared" si="108"/>
        <v>-0.384626389808372</v>
      </c>
      <c r="H286" s="1">
        <f t="shared" si="108"/>
        <v>0.366788303766964</v>
      </c>
    </row>
    <row r="287" s="1" customFormat="1" spans="1:8">
      <c r="A287" s="1" t="s">
        <v>14</v>
      </c>
      <c r="B287" s="1">
        <v>4</v>
      </c>
      <c r="C287" s="1">
        <f t="shared" ref="C287:H287" si="109">C275-3.3*((C250+0.5)^(-0.5))-2*((C250+0.5)^(-1.5))</f>
        <v>0.62295978195855</v>
      </c>
      <c r="D287" s="1">
        <f t="shared" si="109"/>
        <v>2.55795801517457</v>
      </c>
      <c r="E287" s="1">
        <f t="shared" si="109"/>
        <v>0.99750951156626</v>
      </c>
      <c r="F287" s="1" t="e">
        <f t="shared" si="109"/>
        <v>#NUM!</v>
      </c>
      <c r="G287" s="1">
        <f t="shared" si="109"/>
        <v>0.324510982057216</v>
      </c>
      <c r="H287" s="1">
        <f t="shared" si="109"/>
        <v>-1.94838082057737</v>
      </c>
    </row>
    <row r="288" s="1" customFormat="1" spans="1:8">
      <c r="A288" s="1" t="s">
        <v>15</v>
      </c>
      <c r="B288" s="1">
        <v>3</v>
      </c>
      <c r="C288" s="1" t="e">
        <f t="shared" ref="C288:H288" si="110">C276-3.3*((C251+0.5)^(-0.5))-2*((C251+0.5)^(-1.5))</f>
        <v>#NUM!</v>
      </c>
      <c r="D288" s="1">
        <f t="shared" si="110"/>
        <v>2.67586805183695</v>
      </c>
      <c r="E288" s="1">
        <f t="shared" si="110"/>
        <v>1.6554008779796</v>
      </c>
      <c r="F288" s="1" t="e">
        <f t="shared" si="110"/>
        <v>#NUM!</v>
      </c>
      <c r="G288" s="1">
        <f t="shared" si="110"/>
        <v>2.80229921976684</v>
      </c>
      <c r="H288" s="1">
        <f t="shared" si="110"/>
        <v>-0.590355936142522</v>
      </c>
    </row>
    <row r="289" s="1" customFormat="1" spans="1:8">
      <c r="A289" s="1" t="s">
        <v>16</v>
      </c>
      <c r="B289" s="1">
        <v>3</v>
      </c>
      <c r="C289" s="1">
        <f t="shared" ref="C289:H289" si="111">C277-3.3*((C252+0.5)^(-0.5))-2*((C252+0.5)^(-1.5))</f>
        <v>0.0903698097154449</v>
      </c>
      <c r="D289" s="1">
        <f t="shared" si="111"/>
        <v>2.27665091547749</v>
      </c>
      <c r="E289" s="1">
        <f t="shared" si="111"/>
        <v>-0.765280844951496</v>
      </c>
      <c r="F289" s="1" t="e">
        <f t="shared" si="111"/>
        <v>#NUM!</v>
      </c>
      <c r="G289" s="1">
        <f t="shared" si="111"/>
        <v>2.45035810498008</v>
      </c>
      <c r="H289" s="1">
        <f t="shared" si="111"/>
        <v>-0.76953722789159</v>
      </c>
    </row>
    <row r="290" s="1" customFormat="1" spans="2:2">
      <c r="B290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liz、﹏</cp:lastModifiedBy>
  <dcterms:created xsi:type="dcterms:W3CDTF">2021-11-15T02:49:40Z</dcterms:created>
  <dcterms:modified xsi:type="dcterms:W3CDTF">2021-11-15T02:53:50Z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AB8BD68308004EF088899D68736BFF4F</vt:lpwstr>
  </property>
  <property fmtid="{D5CDD505-2E9C-101B-9397-08002B2CF9AE}" pid="3" name="KSOProductBuildVer">
    <vt:lpwstr>2052-11.1.0.11045</vt:lpwstr>
  </property>
</Properties>
</file>