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apple/OneDrive - University of North Carolina at Chapel Hill/Data/2 OAE-2/Ce Model/Frontiers in earth sciences/"/>
    </mc:Choice>
  </mc:AlternateContent>
  <xr:revisionPtr revIDLastSave="0" documentId="8_{6CE9F9BF-4269-8F47-9CB0-7494A5B87AD3}" xr6:coauthVersionLast="47" xr6:coauthVersionMax="47" xr10:uidLastSave="{00000000-0000-0000-0000-000000000000}"/>
  <bookViews>
    <workbookView xWindow="4300" yWindow="2760" windowWidth="27640" windowHeight="16940" xr2:uid="{EF01EE95-E741-F644-9CB0-6F711E64AAB5}"/>
  </bookViews>
  <sheets>
    <sheet name="Table S2" sheetId="1" r:id="rId1"/>
    <sheet name="Table S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2" l="1"/>
  <c r="M4" i="2" s="1"/>
  <c r="N4" i="2" s="1"/>
  <c r="O4" i="2"/>
  <c r="P4" i="2"/>
  <c r="AB4" i="2" s="1"/>
  <c r="Q4" i="2"/>
  <c r="R4" i="2" s="1"/>
  <c r="T4" i="2"/>
  <c r="Y4" i="2" s="1"/>
  <c r="V4" i="2"/>
  <c r="W4" i="2"/>
  <c r="AF4" i="2" s="1"/>
  <c r="X4" i="2"/>
  <c r="AE4" i="2"/>
  <c r="AG4" i="2"/>
  <c r="L5" i="2"/>
  <c r="O5" i="2" s="1"/>
  <c r="P5" i="2" s="1"/>
  <c r="Q5" i="2"/>
  <c r="R5" i="2"/>
  <c r="T5" i="2"/>
  <c r="U5" i="2" s="1"/>
  <c r="V5" i="2"/>
  <c r="W5" i="2"/>
  <c r="AF5" i="2" s="1"/>
  <c r="X5" i="2"/>
  <c r="Y5" i="2"/>
  <c r="Z5" i="2"/>
  <c r="L6" i="2"/>
  <c r="M6" i="2"/>
  <c r="N6" i="2"/>
  <c r="O6" i="2"/>
  <c r="P6" i="2" s="1"/>
  <c r="Q6" i="2"/>
  <c r="R6" i="2" s="1"/>
  <c r="T6" i="2"/>
  <c r="U6" i="2" s="1"/>
  <c r="V6" i="2"/>
  <c r="W6" i="2"/>
  <c r="AF6" i="2" s="1"/>
  <c r="X6" i="2"/>
  <c r="Y6" i="2"/>
  <c r="Z6" i="2"/>
  <c r="AA6" i="2"/>
  <c r="AC6" i="2"/>
  <c r="L7" i="2"/>
  <c r="M7" i="2" s="1"/>
  <c r="N7" i="2" s="1"/>
  <c r="O7" i="2"/>
  <c r="P7" i="2"/>
  <c r="AB7" i="2" s="1"/>
  <c r="Q7" i="2"/>
  <c r="R7" i="2"/>
  <c r="T7" i="2"/>
  <c r="V7" i="2" s="1"/>
  <c r="U7" i="2"/>
  <c r="AE7" i="2"/>
  <c r="AG7" i="2"/>
  <c r="L8" i="2"/>
  <c r="M8" i="2" s="1"/>
  <c r="N8" i="2" s="1"/>
  <c r="O8" i="2"/>
  <c r="P8" i="2" s="1"/>
  <c r="Q8" i="2"/>
  <c r="R8" i="2"/>
  <c r="T8" i="2"/>
  <c r="Y8" i="2" s="1"/>
  <c r="U8" i="2"/>
  <c r="V8" i="2"/>
  <c r="W8" i="2"/>
  <c r="AF8" i="2" s="1"/>
  <c r="X8" i="2"/>
  <c r="L9" i="2"/>
  <c r="O9" i="2" s="1"/>
  <c r="P9" i="2" s="1"/>
  <c r="Q9" i="2"/>
  <c r="R9" i="2"/>
  <c r="T9" i="2"/>
  <c r="U9" i="2"/>
  <c r="V9" i="2"/>
  <c r="W9" i="2"/>
  <c r="AF9" i="2" s="1"/>
  <c r="X9" i="2"/>
  <c r="Y9" i="2"/>
  <c r="Z9" i="2"/>
  <c r="L10" i="2"/>
  <c r="M10" i="2"/>
  <c r="N10" i="2"/>
  <c r="O10" i="2"/>
  <c r="P10" i="2" s="1"/>
  <c r="Q10" i="2"/>
  <c r="R10" i="2" s="1"/>
  <c r="T10" i="2"/>
  <c r="U10" i="2"/>
  <c r="V10" i="2"/>
  <c r="W10" i="2"/>
  <c r="AF10" i="2" s="1"/>
  <c r="X10" i="2"/>
  <c r="Y10" i="2"/>
  <c r="Z10" i="2"/>
  <c r="AA10" i="2"/>
  <c r="AC10" i="2"/>
  <c r="L11" i="2"/>
  <c r="M11" i="2" s="1"/>
  <c r="N11" i="2" s="1"/>
  <c r="O11" i="2"/>
  <c r="P11" i="2"/>
  <c r="AB11" i="2" s="1"/>
  <c r="Q11" i="2"/>
  <c r="R11" i="2"/>
  <c r="T11" i="2"/>
  <c r="V11" i="2" s="1"/>
  <c r="U11" i="2"/>
  <c r="AE11" i="2"/>
  <c r="AG11" i="2"/>
  <c r="L12" i="2"/>
  <c r="M12" i="2" s="1"/>
  <c r="N12" i="2" s="1"/>
  <c r="O12" i="2"/>
  <c r="P12" i="2" s="1"/>
  <c r="Q12" i="2"/>
  <c r="R12" i="2"/>
  <c r="T12" i="2"/>
  <c r="Y12" i="2" s="1"/>
  <c r="U12" i="2"/>
  <c r="V12" i="2"/>
  <c r="W12" i="2"/>
  <c r="AF12" i="2" s="1"/>
  <c r="X12" i="2"/>
  <c r="L13" i="2"/>
  <c r="O13" i="2" s="1"/>
  <c r="P13" i="2" s="1"/>
  <c r="Q13" i="2"/>
  <c r="R13" i="2"/>
  <c r="T13" i="2"/>
  <c r="U13" i="2"/>
  <c r="V13" i="2"/>
  <c r="W13" i="2"/>
  <c r="AF13" i="2" s="1"/>
  <c r="X13" i="2"/>
  <c r="Y13" i="2"/>
  <c r="Z13" i="2"/>
  <c r="L14" i="2"/>
  <c r="M14" i="2"/>
  <c r="N14" i="2"/>
  <c r="O14" i="2"/>
  <c r="P14" i="2" s="1"/>
  <c r="Q14" i="2"/>
  <c r="R14" i="2" s="1"/>
  <c r="T14" i="2"/>
  <c r="U14" i="2" s="1"/>
  <c r="V14" i="2"/>
  <c r="W14" i="2"/>
  <c r="AF14" i="2" s="1"/>
  <c r="X14" i="2"/>
  <c r="Y14" i="2"/>
  <c r="Z14" i="2"/>
  <c r="AA14" i="2"/>
  <c r="AC14" i="2"/>
  <c r="L15" i="2"/>
  <c r="M15" i="2" s="1"/>
  <c r="N15" i="2" s="1"/>
  <c r="O15" i="2"/>
  <c r="P15" i="2"/>
  <c r="AB15" i="2" s="1"/>
  <c r="Q15" i="2"/>
  <c r="R15" i="2"/>
  <c r="T15" i="2"/>
  <c r="V15" i="2" s="1"/>
  <c r="U15" i="2"/>
  <c r="AE15" i="2"/>
  <c r="AG15" i="2"/>
  <c r="L16" i="2"/>
  <c r="M16" i="2" s="1"/>
  <c r="N16" i="2" s="1"/>
  <c r="O16" i="2"/>
  <c r="P16" i="2" s="1"/>
  <c r="Q16" i="2"/>
  <c r="R16" i="2"/>
  <c r="T16" i="2"/>
  <c r="Y16" i="2" s="1"/>
  <c r="U16" i="2"/>
  <c r="V16" i="2"/>
  <c r="W16" i="2"/>
  <c r="AF16" i="2" s="1"/>
  <c r="X16" i="2"/>
  <c r="L17" i="2"/>
  <c r="O17" i="2" s="1"/>
  <c r="P17" i="2" s="1"/>
  <c r="Q17" i="2"/>
  <c r="R17" i="2"/>
  <c r="T17" i="2"/>
  <c r="U17" i="2"/>
  <c r="V17" i="2"/>
  <c r="W17" i="2"/>
  <c r="AF17" i="2" s="1"/>
  <c r="X17" i="2"/>
  <c r="Y17" i="2"/>
  <c r="Z17" i="2"/>
  <c r="L18" i="2"/>
  <c r="M18" i="2"/>
  <c r="N18" i="2"/>
  <c r="O18" i="2"/>
  <c r="P18" i="2" s="1"/>
  <c r="Q18" i="2"/>
  <c r="R18" i="2" s="1"/>
  <c r="T18" i="2"/>
  <c r="U18" i="2" s="1"/>
  <c r="V18" i="2"/>
  <c r="W18" i="2"/>
  <c r="AF18" i="2" s="1"/>
  <c r="X18" i="2"/>
  <c r="Y18" i="2"/>
  <c r="Z18" i="2"/>
  <c r="AA18" i="2"/>
  <c r="AC18" i="2"/>
  <c r="Q4" i="1"/>
  <c r="R4" i="1" s="1"/>
  <c r="T4" i="1"/>
  <c r="Q5" i="1"/>
  <c r="R5" i="1"/>
  <c r="T5" i="1"/>
  <c r="L6" i="1"/>
  <c r="M6" i="1" s="1"/>
  <c r="O6" i="1"/>
  <c r="Q6" i="1"/>
  <c r="R6" i="1" s="1"/>
  <c r="T6" i="1"/>
  <c r="U6" i="1"/>
  <c r="V6" i="1"/>
  <c r="W6" i="1"/>
  <c r="X6" i="1"/>
  <c r="Y6" i="1"/>
  <c r="Z6" i="1"/>
  <c r="L7" i="1"/>
  <c r="O7" i="1" s="1"/>
  <c r="P7" i="1" s="1"/>
  <c r="Q7" i="1"/>
  <c r="R7" i="1"/>
  <c r="T7" i="1"/>
  <c r="U7" i="1"/>
  <c r="V7" i="1"/>
  <c r="W7" i="1"/>
  <c r="AF7" i="1" s="1"/>
  <c r="X7" i="1"/>
  <c r="Y7" i="1"/>
  <c r="Z7" i="1"/>
  <c r="Q8" i="1"/>
  <c r="R8" i="1"/>
  <c r="T8" i="1"/>
  <c r="Q9" i="1"/>
  <c r="R9" i="1" s="1"/>
  <c r="T9" i="1"/>
  <c r="L10" i="1"/>
  <c r="M10" i="1" s="1"/>
  <c r="N10" i="1" s="1"/>
  <c r="O10" i="1"/>
  <c r="P10" i="1"/>
  <c r="AB10" i="1" s="1"/>
  <c r="Q10" i="1"/>
  <c r="R10" i="1"/>
  <c r="T10" i="1"/>
  <c r="Y10" i="1" s="1"/>
  <c r="U10" i="1"/>
  <c r="V10" i="1"/>
  <c r="W10" i="1"/>
  <c r="AF10" i="1" s="1"/>
  <c r="X10" i="1"/>
  <c r="AE10" i="1"/>
  <c r="Q11" i="1"/>
  <c r="R11" i="1" s="1"/>
  <c r="T11" i="1"/>
  <c r="Q12" i="1"/>
  <c r="R12" i="1" s="1"/>
  <c r="T12" i="1"/>
  <c r="Q13" i="1"/>
  <c r="R13" i="1"/>
  <c r="T13" i="1"/>
  <c r="Q14" i="1"/>
  <c r="R14" i="1"/>
  <c r="T14" i="1"/>
  <c r="Q15" i="1"/>
  <c r="R15" i="1" s="1"/>
  <c r="T15" i="1"/>
  <c r="Q16" i="1"/>
  <c r="R16" i="1" s="1"/>
  <c r="Q17" i="1"/>
  <c r="R17" i="1"/>
  <c r="Q18" i="1"/>
  <c r="R18" i="1"/>
  <c r="Q19" i="1"/>
  <c r="R19" i="1"/>
  <c r="Q20" i="1"/>
  <c r="R20" i="1"/>
  <c r="T20" i="1"/>
  <c r="Q21" i="1"/>
  <c r="R21" i="1" s="1"/>
  <c r="L22" i="1"/>
  <c r="M22" i="1"/>
  <c r="N22" i="1"/>
  <c r="AA22" i="1" s="1"/>
  <c r="O22" i="1"/>
  <c r="P22" i="1" s="1"/>
  <c r="Q22" i="1"/>
  <c r="R22" i="1"/>
  <c r="T22" i="1"/>
  <c r="X22" i="1" s="1"/>
  <c r="U22" i="1"/>
  <c r="V22" i="1"/>
  <c r="W22" i="1"/>
  <c r="AF22" i="1" s="1"/>
  <c r="L23" i="1"/>
  <c r="O23" i="1" s="1"/>
  <c r="P23" i="1" s="1"/>
  <c r="M23" i="1"/>
  <c r="N23" i="1" s="1"/>
  <c r="Q23" i="1"/>
  <c r="R23" i="1"/>
  <c r="T23" i="1"/>
  <c r="U23" i="1"/>
  <c r="V23" i="1"/>
  <c r="W23" i="1"/>
  <c r="AF23" i="1" s="1"/>
  <c r="X23" i="1"/>
  <c r="Y23" i="1"/>
  <c r="Z23" i="1"/>
  <c r="Q24" i="1"/>
  <c r="R24" i="1"/>
  <c r="T24" i="1"/>
  <c r="Q25" i="1"/>
  <c r="R25" i="1"/>
  <c r="T25" i="1"/>
  <c r="Q26" i="1"/>
  <c r="R26" i="1"/>
  <c r="Q27" i="1"/>
  <c r="R27" i="1"/>
  <c r="Q28" i="1"/>
  <c r="R28" i="1"/>
  <c r="Q29" i="1"/>
  <c r="R29" i="1"/>
  <c r="AA12" i="2" l="1"/>
  <c r="AC12" i="2"/>
  <c r="AE6" i="2"/>
  <c r="AG6" i="2" s="1"/>
  <c r="AB6" i="2"/>
  <c r="AD6" i="2"/>
  <c r="AB5" i="2"/>
  <c r="AD5" i="2"/>
  <c r="AE5" i="2"/>
  <c r="AG5" i="2" s="1"/>
  <c r="AE14" i="2"/>
  <c r="AG14" i="2" s="1"/>
  <c r="AB14" i="2"/>
  <c r="AD14" i="2"/>
  <c r="AB13" i="2"/>
  <c r="AD13" i="2"/>
  <c r="AE13" i="2"/>
  <c r="AG13" i="2" s="1"/>
  <c r="AA7" i="2"/>
  <c r="AC7" i="2"/>
  <c r="AB22" i="1"/>
  <c r="AE22" i="1"/>
  <c r="AD22" i="1"/>
  <c r="AA10" i="1"/>
  <c r="AC10" i="1"/>
  <c r="AG10" i="1" s="1"/>
  <c r="AB8" i="2"/>
  <c r="AD8" i="2"/>
  <c r="AE8" i="2"/>
  <c r="AG8" i="2" s="1"/>
  <c r="AB16" i="2"/>
  <c r="AD16" i="2"/>
  <c r="AE16" i="2"/>
  <c r="AG16" i="2" s="1"/>
  <c r="AA16" i="2"/>
  <c r="AC16" i="2"/>
  <c r="AA23" i="1"/>
  <c r="AC23" i="1"/>
  <c r="AG23" i="1" s="1"/>
  <c r="AE10" i="2"/>
  <c r="AG10" i="2" s="1"/>
  <c r="AD10" i="2"/>
  <c r="AB10" i="2"/>
  <c r="AD23" i="1"/>
  <c r="AE23" i="1"/>
  <c r="AB23" i="1"/>
  <c r="AE18" i="2"/>
  <c r="AG18" i="2" s="1"/>
  <c r="AD18" i="2"/>
  <c r="AB18" i="2"/>
  <c r="AB9" i="2"/>
  <c r="AD9" i="2"/>
  <c r="AE9" i="2"/>
  <c r="AG9" i="2" s="1"/>
  <c r="AB17" i="2"/>
  <c r="AD17" i="2"/>
  <c r="AE17" i="2"/>
  <c r="AG17" i="2" s="1"/>
  <c r="AA15" i="2"/>
  <c r="AC15" i="2"/>
  <c r="AA8" i="2"/>
  <c r="AC8" i="2"/>
  <c r="AB7" i="1"/>
  <c r="AE7" i="1"/>
  <c r="AD7" i="1"/>
  <c r="AA11" i="2"/>
  <c r="AC11" i="2"/>
  <c r="AB12" i="2"/>
  <c r="AD12" i="2"/>
  <c r="AE12" i="2"/>
  <c r="AG12" i="2" s="1"/>
  <c r="AA4" i="2"/>
  <c r="AC4" i="2"/>
  <c r="M7" i="1"/>
  <c r="N7" i="1" s="1"/>
  <c r="M17" i="2"/>
  <c r="N17" i="2" s="1"/>
  <c r="M13" i="2"/>
  <c r="N13" i="2" s="1"/>
  <c r="M9" i="2"/>
  <c r="N9" i="2" s="1"/>
  <c r="M5" i="2"/>
  <c r="N5" i="2" s="1"/>
  <c r="AD15" i="2"/>
  <c r="AD11" i="2"/>
  <c r="AD7" i="2"/>
  <c r="U4" i="2"/>
  <c r="AC22" i="1"/>
  <c r="AG22" i="1" s="1"/>
  <c r="AD10" i="1"/>
  <c r="AD4" i="2"/>
  <c r="Z15" i="2"/>
  <c r="Z11" i="2"/>
  <c r="Z7" i="2"/>
  <c r="Y15" i="2"/>
  <c r="Y11" i="2"/>
  <c r="Y7" i="2"/>
  <c r="Z22" i="1"/>
  <c r="X15" i="2"/>
  <c r="X11" i="2"/>
  <c r="X7" i="2"/>
  <c r="Y22" i="1"/>
  <c r="Z10" i="1"/>
  <c r="Z16" i="2"/>
  <c r="W15" i="2"/>
  <c r="AF15" i="2" s="1"/>
  <c r="Z12" i="2"/>
  <c r="W11" i="2"/>
  <c r="AF11" i="2" s="1"/>
  <c r="Z8" i="2"/>
  <c r="W7" i="2"/>
  <c r="AF7" i="2" s="1"/>
  <c r="Z4" i="2"/>
  <c r="AC9" i="2" l="1"/>
  <c r="AA9" i="2"/>
  <c r="AC13" i="2"/>
  <c r="AA13" i="2"/>
  <c r="AC5" i="2"/>
  <c r="AA5" i="2"/>
  <c r="AC17" i="2"/>
  <c r="AA17" i="2"/>
  <c r="AC7" i="1"/>
  <c r="AG7" i="1" s="1"/>
  <c r="AA7" i="1"/>
</calcChain>
</file>

<file path=xl/sharedStrings.xml><?xml version="1.0" encoding="utf-8"?>
<sst xmlns="http://schemas.openxmlformats.org/spreadsheetml/2006/main" count="101" uniqueCount="53">
  <si>
    <t>Salinity, dissolved oxygen, phosphate, aklinitey and pH are estimated from WOA 13</t>
  </si>
  <si>
    <t>%</t>
  </si>
  <si>
    <r>
      <t>Model calculated log log{C</t>
    </r>
    <r>
      <rPr>
        <vertAlign val="subscript"/>
        <sz val="10"/>
        <color rgb="FF000000"/>
        <rFont val="Arial"/>
        <family val="2"/>
      </rPr>
      <t>Ce</t>
    </r>
    <r>
      <rPr>
        <sz val="10"/>
        <color rgb="FF000000"/>
        <rFont val="Arial"/>
        <family val="2"/>
      </rPr>
      <t>}</t>
    </r>
  </si>
  <si>
    <t>(mol/L)</t>
  </si>
  <si>
    <t>mol/L</t>
  </si>
  <si>
    <t>µeq/L</t>
  </si>
  <si>
    <t>uM</t>
  </si>
  <si>
    <t>ml/l</t>
  </si>
  <si>
    <t>℃</t>
  </si>
  <si>
    <t>psu</t>
  </si>
  <si>
    <t>m</t>
  </si>
  <si>
    <t>P9 accuracy</t>
  </si>
  <si>
    <t>P3 accuracy</t>
  </si>
  <si>
    <t>P11</t>
  </si>
  <si>
    <t>P10</t>
  </si>
  <si>
    <t>P9</t>
  </si>
  <si>
    <t>P8</t>
  </si>
  <si>
    <t>P7</t>
  </si>
  <si>
    <t>P6</t>
  </si>
  <si>
    <t>P5</t>
  </si>
  <si>
    <t>P4</t>
  </si>
  <si>
    <t>P3</t>
  </si>
  <si>
    <t>P2</t>
  </si>
  <si>
    <t>P1</t>
  </si>
  <si>
    <r>
      <t>log(PO</t>
    </r>
    <r>
      <rPr>
        <vertAlign val="sub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</si>
  <si>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>pO</t>
    </r>
    <r>
      <rPr>
        <vertAlign val="subscript"/>
        <sz val="10"/>
        <color rgb="FF000000"/>
        <rFont val="Arial"/>
        <family val="2"/>
      </rPr>
      <t>2</t>
    </r>
  </si>
  <si>
    <r>
      <t>log{C</t>
    </r>
    <r>
      <rPr>
        <vertAlign val="subscript"/>
        <sz val="10"/>
        <color rgb="FF000000"/>
        <rFont val="Arial"/>
        <family val="2"/>
      </rPr>
      <t>Ce</t>
    </r>
    <r>
      <rPr>
        <sz val="10"/>
        <color rgb="FF000000"/>
        <rFont val="Arial"/>
        <family val="2"/>
      </rPr>
      <t>}</t>
    </r>
  </si>
  <si>
    <t>Ce</t>
  </si>
  <si>
    <r>
      <t>CO</t>
    </r>
    <r>
      <rPr>
        <vertAlign val="subscript"/>
        <sz val="10"/>
        <color rgb="FF000000"/>
        <rFont val="Arial"/>
        <family val="2"/>
      </rPr>
      <t>3</t>
    </r>
    <r>
      <rPr>
        <vertAlign val="superscript"/>
        <sz val="10"/>
        <color rgb="FF000000"/>
        <rFont val="Arial"/>
        <family val="2"/>
      </rPr>
      <t>2-</t>
    </r>
  </si>
  <si>
    <t>∂2</t>
  </si>
  <si>
    <r>
      <t>HCO</t>
    </r>
    <r>
      <rPr>
        <vertAlign val="subscript"/>
        <sz val="10"/>
        <color rgb="FF000000"/>
        <rFont val="Arial"/>
        <family val="2"/>
      </rPr>
      <t>3</t>
    </r>
    <r>
      <rPr>
        <vertAlign val="superscript"/>
        <sz val="10"/>
        <color rgb="FF000000"/>
        <rFont val="Arial"/>
        <family val="2"/>
      </rPr>
      <t>-</t>
    </r>
  </si>
  <si>
    <t>∂1</t>
  </si>
  <si>
    <t>H+</t>
  </si>
  <si>
    <t>pH</t>
  </si>
  <si>
    <t>Nd</t>
  </si>
  <si>
    <t>Alkalinity</t>
  </si>
  <si>
    <r>
      <t>PO</t>
    </r>
    <r>
      <rPr>
        <vertAlign val="subscript"/>
        <sz val="10"/>
        <color rgb="FF000000"/>
        <rFont val="Arial"/>
        <family val="2"/>
      </rPr>
      <t>4</t>
    </r>
  </si>
  <si>
    <t>Dissolved O2</t>
  </si>
  <si>
    <t>Temperature</t>
  </si>
  <si>
    <t>Salinity</t>
  </si>
  <si>
    <t>Depth</t>
  </si>
  <si>
    <t xml:space="preserve"> Station No. 32212</t>
  </si>
  <si>
    <t>Black Sea</t>
  </si>
  <si>
    <t>43°04N， 34E</t>
  </si>
  <si>
    <t xml:space="preserve">Table S2. Dissolved REY concentrations (pmol/kg) </t>
  </si>
  <si>
    <t>Dissolved oxygen is estimated from WOA 13</t>
  </si>
  <si>
    <t>pmol/kg</t>
  </si>
  <si>
    <t>P11 accuracy</t>
  </si>
  <si>
    <r>
      <t>log (PO</t>
    </r>
    <r>
      <rPr>
        <vertAlign val="sub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</si>
  <si>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Pr</t>
  </si>
  <si>
    <r>
      <t>SiO</t>
    </r>
    <r>
      <rPr>
        <vertAlign val="subscript"/>
        <sz val="10"/>
        <color rgb="FF000000"/>
        <rFont val="Arial"/>
        <family val="2"/>
      </rPr>
      <t>2</t>
    </r>
  </si>
  <si>
    <t>Temperatucre</t>
  </si>
  <si>
    <t>Table  S1.    Dissolved  Rare Earth  Elements and Hydrographic  Properties in the South China Seaa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</si>
</sst>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0.000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vertAlign val="subscript"/>
      <sz val="10"/>
      <color rgb="FF000000"/>
      <name val="Arial"/>
      <family val="2"/>
    </font>
    <font>
      <vertAlign val="superscript"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9">
    <xf numFmtId="0" fontId="0" fillId="0" borderId="0" xfId="0"/>
    <xf numFmtId="0" fontId="1" fillId="0" borderId="0" xfId="1" applyFont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164" fontId="4" fillId="2" borderId="1" xfId="2" applyNumberFormat="1" applyFont="1" applyFill="1" applyBorder="1" applyAlignment="1">
      <alignment horizontal="left" vertical="center"/>
    </xf>
    <xf numFmtId="2" fontId="4" fillId="2" borderId="1" xfId="2" applyNumberFormat="1" applyFont="1" applyFill="1" applyBorder="1" applyAlignment="1">
      <alignment horizontal="left" vertical="center"/>
    </xf>
    <xf numFmtId="165" fontId="4" fillId="2" borderId="1" xfId="2" applyNumberFormat="1" applyFont="1" applyFill="1" applyBorder="1" applyAlignment="1">
      <alignment horizontal="left" vertical="center"/>
    </xf>
    <xf numFmtId="11" fontId="4" fillId="2" borderId="1" xfId="2" applyNumberFormat="1" applyFont="1" applyFill="1" applyBorder="1" applyAlignment="1">
      <alignment horizontal="left" vertical="center"/>
    </xf>
    <xf numFmtId="0" fontId="1" fillId="2" borderId="0" xfId="1" applyFont="1" applyFill="1" applyAlignment="1">
      <alignment horizontal="left" vertical="center"/>
    </xf>
    <xf numFmtId="164" fontId="4" fillId="2" borderId="0" xfId="2" applyNumberFormat="1" applyFont="1" applyFill="1" applyAlignment="1">
      <alignment horizontal="left" vertical="center"/>
    </xf>
    <xf numFmtId="2" fontId="4" fillId="2" borderId="0" xfId="2" applyNumberFormat="1" applyFont="1" applyFill="1" applyAlignment="1">
      <alignment horizontal="left" vertical="center"/>
    </xf>
    <xf numFmtId="165" fontId="4" fillId="2" borderId="0" xfId="2" applyNumberFormat="1" applyFont="1" applyFill="1" applyAlignment="1">
      <alignment horizontal="left" vertical="center"/>
    </xf>
    <xf numFmtId="11" fontId="4" fillId="2" borderId="0" xfId="2" applyNumberFormat="1" applyFont="1" applyFill="1" applyAlignment="1">
      <alignment horizontal="left" vertical="center"/>
    </xf>
    <xf numFmtId="1" fontId="1" fillId="2" borderId="0" xfId="1" applyNumberFormat="1" applyFont="1" applyFill="1" applyAlignment="1">
      <alignment horizontal="left" vertical="center"/>
    </xf>
    <xf numFmtId="1" fontId="4" fillId="2" borderId="0" xfId="2" applyNumberFormat="1" applyFont="1" applyFill="1" applyAlignment="1">
      <alignment horizontal="left" vertical="center"/>
    </xf>
    <xf numFmtId="166" fontId="1" fillId="2" borderId="0" xfId="1" applyNumberFormat="1" applyFont="1" applyFill="1" applyAlignment="1">
      <alignment horizontal="left" vertical="center"/>
    </xf>
    <xf numFmtId="2" fontId="1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4" fillId="2" borderId="1" xfId="2" applyFont="1" applyFill="1" applyBorder="1" applyAlignment="1">
      <alignment horizontal="left" vertical="center"/>
    </xf>
    <xf numFmtId="2" fontId="4" fillId="2" borderId="1" xfId="2" applyNumberFormat="1" applyFont="1" applyFill="1" applyBorder="1" applyAlignment="1">
      <alignment horizontal="center" vertical="center"/>
    </xf>
    <xf numFmtId="2" fontId="4" fillId="2" borderId="2" xfId="2" applyNumberFormat="1" applyFont="1" applyFill="1" applyBorder="1" applyAlignment="1">
      <alignment horizontal="center" vertical="center"/>
    </xf>
    <xf numFmtId="0" fontId="4" fillId="2" borderId="1" xfId="2" quotePrefix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/>
    </xf>
    <xf numFmtId="0" fontId="4" fillId="2" borderId="3" xfId="2" applyFont="1" applyFill="1" applyBorder="1" applyAlignment="1">
      <alignment horizontal="left" vertical="center"/>
    </xf>
    <xf numFmtId="2" fontId="4" fillId="2" borderId="3" xfId="2" applyNumberFormat="1" applyFont="1" applyFill="1" applyBorder="1" applyAlignment="1">
      <alignment horizontal="left" vertical="center"/>
    </xf>
    <xf numFmtId="2" fontId="4" fillId="2" borderId="4" xfId="2" applyNumberFormat="1" applyFont="1" applyFill="1" applyBorder="1" applyAlignment="1">
      <alignment horizontal="left" vertical="center"/>
    </xf>
    <xf numFmtId="0" fontId="4" fillId="2" borderId="3" xfId="2" quotePrefix="1" applyFont="1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4" fillId="2" borderId="3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left" vertical="center"/>
    </xf>
    <xf numFmtId="0" fontId="4" fillId="2" borderId="3" xfId="2" applyFont="1" applyFill="1" applyBorder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4" fillId="0" borderId="0" xfId="2" applyFont="1" applyAlignment="1">
      <alignment horizontal="left" vertical="center"/>
    </xf>
    <xf numFmtId="1" fontId="4" fillId="2" borderId="1" xfId="2" applyNumberFormat="1" applyFont="1" applyFill="1" applyBorder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2" fontId="4" fillId="2" borderId="0" xfId="2" applyNumberFormat="1" applyFont="1" applyFill="1" applyAlignment="1">
      <alignment vertical="center"/>
    </xf>
    <xf numFmtId="0" fontId="4" fillId="2" borderId="0" xfId="2" applyFont="1" applyFill="1" applyAlignment="1">
      <alignment horizontal="center" vertical="center"/>
    </xf>
  </cellXfs>
  <cellStyles count="3">
    <cellStyle name="Normal" xfId="0" builtinId="0"/>
    <cellStyle name="Normal 2" xfId="2" xr:uid="{CE3B328B-A062-9146-98C6-C003F4B56E43}"/>
    <cellStyle name="Normal 3" xfId="1" xr:uid="{E747AA0C-BB9F-3A46-85E4-19FF209084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4F159-D316-4141-B322-1004D5A505DF}">
  <dimension ref="A1:AG31"/>
  <sheetViews>
    <sheetView tabSelected="1" workbookViewId="0">
      <selection activeCell="D43" sqref="D43"/>
    </sheetView>
  </sheetViews>
  <sheetFormatPr baseColWidth="10" defaultRowHeight="13" x14ac:dyDescent="0.15"/>
  <sheetData>
    <row r="1" spans="1:33" x14ac:dyDescent="0.15">
      <c r="A1" s="32" t="s">
        <v>44</v>
      </c>
      <c r="B1" s="1"/>
      <c r="C1" s="1"/>
      <c r="D1" s="32" t="s">
        <v>43</v>
      </c>
      <c r="E1" s="32" t="s">
        <v>42</v>
      </c>
      <c r="F1" s="1" t="s">
        <v>41</v>
      </c>
      <c r="G1" s="1"/>
      <c r="H1" s="1"/>
      <c r="I1" s="1"/>
      <c r="J1" s="1"/>
      <c r="K1" s="1"/>
      <c r="L1" s="32"/>
      <c r="M1" s="33"/>
      <c r="N1" s="1"/>
      <c r="O1" s="1"/>
      <c r="P1" s="32"/>
      <c r="Q1" s="3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x14ac:dyDescent="0.15">
      <c r="A2" s="30" t="s">
        <v>40</v>
      </c>
      <c r="B2" s="30" t="s">
        <v>39</v>
      </c>
      <c r="C2" s="30" t="s">
        <v>38</v>
      </c>
      <c r="D2" s="24" t="s">
        <v>37</v>
      </c>
      <c r="E2" s="30"/>
      <c r="F2" s="24" t="s">
        <v>36</v>
      </c>
      <c r="G2" s="31" t="s">
        <v>35</v>
      </c>
      <c r="H2" s="30" t="s">
        <v>27</v>
      </c>
      <c r="I2" s="30"/>
      <c r="J2" s="30" t="s">
        <v>34</v>
      </c>
      <c r="K2" s="29" t="s">
        <v>33</v>
      </c>
      <c r="L2" s="24" t="s">
        <v>32</v>
      </c>
      <c r="M2" s="28" t="s">
        <v>31</v>
      </c>
      <c r="N2" s="24" t="s">
        <v>30</v>
      </c>
      <c r="O2" s="28" t="s">
        <v>29</v>
      </c>
      <c r="P2" s="24" t="s">
        <v>28</v>
      </c>
      <c r="Q2" s="24" t="s">
        <v>27</v>
      </c>
      <c r="R2" s="24" t="s">
        <v>26</v>
      </c>
      <c r="S2" s="27" t="s">
        <v>25</v>
      </c>
      <c r="T2" s="27" t="s">
        <v>24</v>
      </c>
      <c r="U2" s="26" t="s">
        <v>23</v>
      </c>
      <c r="V2" s="25" t="s">
        <v>22</v>
      </c>
      <c r="W2" s="25" t="s">
        <v>21</v>
      </c>
      <c r="X2" s="25" t="s">
        <v>20</v>
      </c>
      <c r="Y2" s="25" t="s">
        <v>19</v>
      </c>
      <c r="Z2" s="25" t="s">
        <v>18</v>
      </c>
      <c r="AA2" s="24" t="s">
        <v>17</v>
      </c>
      <c r="AB2" s="24" t="s">
        <v>16</v>
      </c>
      <c r="AC2" s="24" t="s">
        <v>15</v>
      </c>
      <c r="AD2" s="24" t="s">
        <v>14</v>
      </c>
      <c r="AE2" s="24" t="s">
        <v>13</v>
      </c>
      <c r="AF2" s="24" t="s">
        <v>12</v>
      </c>
      <c r="AG2" s="23" t="s">
        <v>11</v>
      </c>
    </row>
    <row r="3" spans="1:33" ht="15" x14ac:dyDescent="0.15">
      <c r="A3" s="2" t="s">
        <v>10</v>
      </c>
      <c r="B3" s="2" t="s">
        <v>9</v>
      </c>
      <c r="C3" s="17" t="s">
        <v>8</v>
      </c>
      <c r="D3" s="2" t="s">
        <v>7</v>
      </c>
      <c r="E3" s="2"/>
      <c r="F3" s="17" t="s">
        <v>6</v>
      </c>
      <c r="G3" s="22" t="s">
        <v>5</v>
      </c>
      <c r="H3" s="2"/>
      <c r="I3" s="2"/>
      <c r="J3" s="2"/>
      <c r="K3" s="21"/>
      <c r="L3" s="17" t="s">
        <v>4</v>
      </c>
      <c r="M3" s="17"/>
      <c r="N3" s="17" t="s">
        <v>4</v>
      </c>
      <c r="O3" s="17"/>
      <c r="P3" s="17" t="s">
        <v>4</v>
      </c>
      <c r="Q3" s="17" t="s">
        <v>3</v>
      </c>
      <c r="R3" s="17"/>
      <c r="S3" s="20"/>
      <c r="T3" s="20"/>
      <c r="U3" s="19" t="s">
        <v>2</v>
      </c>
      <c r="V3" s="18"/>
      <c r="W3" s="18"/>
      <c r="X3" s="18"/>
      <c r="Y3" s="18"/>
      <c r="Z3" s="18"/>
      <c r="AA3" s="18"/>
      <c r="AB3" s="18"/>
      <c r="AC3" s="18"/>
      <c r="AD3" s="18"/>
      <c r="AE3" s="18"/>
      <c r="AF3" s="17" t="s">
        <v>1</v>
      </c>
      <c r="AG3" s="17" t="s">
        <v>1</v>
      </c>
    </row>
    <row r="4" spans="1:33" x14ac:dyDescent="0.15">
      <c r="A4" s="7">
        <v>6</v>
      </c>
      <c r="B4" s="14">
        <v>18.195601</v>
      </c>
      <c r="C4" s="15">
        <v>14.282299999999999</v>
      </c>
      <c r="D4" s="14">
        <v>6.5648</v>
      </c>
      <c r="E4" s="7"/>
      <c r="F4" s="7">
        <v>0.1807</v>
      </c>
      <c r="G4" s="7"/>
      <c r="H4" s="7">
        <v>22.2</v>
      </c>
      <c r="I4" s="7"/>
      <c r="J4" s="7">
        <v>18.600000000000001</v>
      </c>
      <c r="K4" s="7"/>
      <c r="L4" s="7"/>
      <c r="M4" s="11"/>
      <c r="N4" s="7"/>
      <c r="O4" s="11"/>
      <c r="P4" s="7"/>
      <c r="Q4" s="11">
        <f>H4*10^-12</f>
        <v>2.2199999999999998E-11</v>
      </c>
      <c r="R4" s="9">
        <f>LOG(Q4)</f>
        <v>-10.653647025549361</v>
      </c>
      <c r="S4" s="10">
        <v>0.21245690782608698</v>
      </c>
      <c r="T4" s="9">
        <f>LOG(S4)</f>
        <v>-0.67272914368964931</v>
      </c>
      <c r="U4" s="8"/>
      <c r="V4" s="8"/>
      <c r="W4" s="8"/>
      <c r="X4" s="8"/>
      <c r="Y4" s="8"/>
      <c r="Z4" s="8"/>
      <c r="AA4" s="9"/>
      <c r="AB4" s="9"/>
      <c r="AC4" s="8"/>
      <c r="AD4" s="8"/>
      <c r="AE4" s="8"/>
      <c r="AF4" s="7"/>
      <c r="AG4" s="7"/>
    </row>
    <row r="5" spans="1:33" x14ac:dyDescent="0.15">
      <c r="A5" s="7">
        <v>15</v>
      </c>
      <c r="B5" s="14">
        <v>18.231999999999999</v>
      </c>
      <c r="C5" s="15">
        <v>12.613799999999999</v>
      </c>
      <c r="D5" s="14">
        <v>6.7431999999999999</v>
      </c>
      <c r="E5" s="7"/>
      <c r="F5" s="7">
        <v>0.183</v>
      </c>
      <c r="G5" s="7">
        <v>2.99</v>
      </c>
      <c r="H5" s="7">
        <v>18.399999999999999</v>
      </c>
      <c r="I5" s="7"/>
      <c r="J5" s="7">
        <v>18.600000000000001</v>
      </c>
      <c r="K5" s="7"/>
      <c r="L5" s="7"/>
      <c r="M5" s="11"/>
      <c r="N5" s="11"/>
      <c r="O5" s="7"/>
      <c r="P5" s="7"/>
      <c r="Q5" s="11">
        <f>H5*10^-12</f>
        <v>1.8399999999999999E-11</v>
      </c>
      <c r="R5" s="9">
        <f>LOG(Q5)</f>
        <v>-10.735182176990463</v>
      </c>
      <c r="S5" s="10">
        <v>0.21823047478260871</v>
      </c>
      <c r="T5" s="9">
        <f>LOG(S5)</f>
        <v>-0.66108460248379686</v>
      </c>
      <c r="U5" s="8"/>
      <c r="V5" s="8"/>
      <c r="W5" s="8"/>
      <c r="X5" s="8"/>
      <c r="Y5" s="8"/>
      <c r="Z5" s="8"/>
      <c r="AA5" s="9"/>
      <c r="AB5" s="9"/>
      <c r="AC5" s="8"/>
      <c r="AD5" s="8"/>
      <c r="AE5" s="8"/>
      <c r="AF5" s="7"/>
      <c r="AG5" s="7"/>
    </row>
    <row r="6" spans="1:33" x14ac:dyDescent="0.15">
      <c r="A6" s="7">
        <v>31</v>
      </c>
      <c r="B6" s="14">
        <v>18.344601000000001</v>
      </c>
      <c r="C6" s="15">
        <v>9.4176000000000002</v>
      </c>
      <c r="D6" s="14">
        <v>6.7645</v>
      </c>
      <c r="E6" s="7"/>
      <c r="F6" s="7">
        <v>0.2084</v>
      </c>
      <c r="G6" s="7"/>
      <c r="H6" s="7">
        <v>16.8</v>
      </c>
      <c r="I6" s="7"/>
      <c r="J6" s="7">
        <v>19.100000000000001</v>
      </c>
      <c r="K6" s="7">
        <v>8.44</v>
      </c>
      <c r="L6" s="11">
        <f>10^-K6</f>
        <v>3.6307805477010094E-9</v>
      </c>
      <c r="M6" s="11">
        <f>1/(L6/(10^-6)+1+(10^-9.11)/L6)</f>
        <v>0.82140449376139391</v>
      </c>
      <c r="N6" s="7"/>
      <c r="O6" s="11">
        <f>1/(L6^2/(10^-15.11)+L6/(10^-9.11)+1)</f>
        <v>0.17561316678086314</v>
      </c>
      <c r="P6" s="7"/>
      <c r="Q6" s="11">
        <f>H6*10^-12</f>
        <v>1.68E-11</v>
      </c>
      <c r="R6" s="9">
        <f>LOG(Q6)</f>
        <v>-10.774690718274137</v>
      </c>
      <c r="S6" s="10">
        <v>0.21891980760869567</v>
      </c>
      <c r="T6" s="9">
        <f>LOG(S6)</f>
        <v>-0.65971494219643623</v>
      </c>
      <c r="U6" s="8">
        <f>24+LOG(H6*0.000001)-0.25*T6-3*K6</f>
        <v>-5.9297619827250294</v>
      </c>
      <c r="V6" s="8">
        <f>14.42+LOG(H6*0.000001)-0.25*T6-3*K6</f>
        <v>-15.509761982725029</v>
      </c>
      <c r="W6" s="8">
        <f>20.9+LOG(H6*0.000001)-0.25*T6-3*K6</f>
        <v>-9.0297619827250308</v>
      </c>
      <c r="X6" s="8">
        <f>27.9+LOG(H6*0.000001)-0.25*T6-3*K6</f>
        <v>-2.0297619827250308</v>
      </c>
      <c r="Y6" s="8">
        <f>25.6+LOG(H6*0.000001)-0.25*T6-3*K6</f>
        <v>-4.329761982725028</v>
      </c>
      <c r="Z6" s="8">
        <f>16.2-0.25*T6-3*K6</f>
        <v>-8.9550712644508934</v>
      </c>
      <c r="AA6" s="9"/>
      <c r="AB6" s="9"/>
      <c r="AC6" s="8"/>
      <c r="AD6" s="8"/>
      <c r="AE6" s="8"/>
      <c r="AF6" s="7"/>
      <c r="AG6" s="7"/>
    </row>
    <row r="7" spans="1:33" x14ac:dyDescent="0.15">
      <c r="A7" s="7">
        <v>50</v>
      </c>
      <c r="B7" s="14">
        <v>18.710899000000001</v>
      </c>
      <c r="C7" s="15">
        <v>7.7145999999999999</v>
      </c>
      <c r="D7" s="14">
        <v>5.4991000000000003</v>
      </c>
      <c r="E7" s="7"/>
      <c r="F7" s="7">
        <v>0.36759999999999998</v>
      </c>
      <c r="G7" s="7">
        <v>3.05</v>
      </c>
      <c r="H7" s="7">
        <v>5.8</v>
      </c>
      <c r="I7" s="7"/>
      <c r="J7" s="7">
        <v>18.600000000000001</v>
      </c>
      <c r="K7" s="7">
        <v>8.39</v>
      </c>
      <c r="L7" s="11">
        <f>10^-K7</f>
        <v>4.0738027780411214E-9</v>
      </c>
      <c r="M7" s="11">
        <f>1/(L7/(10^-6)+1+(10^-9.11)/L7)</f>
        <v>0.83708635799843245</v>
      </c>
      <c r="N7" s="11">
        <f>(10^-6)*G7/0.958*M7</f>
        <v>2.6650452942538817E-6</v>
      </c>
      <c r="O7" s="11">
        <f>1/(L7^2/(10^-15.11)+L7/(10^-9.11)+1)</f>
        <v>0.15950351727089324</v>
      </c>
      <c r="P7" s="11">
        <f>G7/0.958*(10^-6)*O7</f>
        <v>5.0781391197935727E-7</v>
      </c>
      <c r="Q7" s="11">
        <f>H7*10^-12</f>
        <v>5.7999999999999995E-12</v>
      </c>
      <c r="R7" s="9">
        <f>LOG(Q7)</f>
        <v>-11.236572006437063</v>
      </c>
      <c r="S7" s="10">
        <v>0.17796761239130438</v>
      </c>
      <c r="T7" s="9">
        <f>LOG(S7)</f>
        <v>-0.74965902600316436</v>
      </c>
      <c r="U7" s="8">
        <f>24+LOG(H7*0.000001)-0.25*T7-3*K7</f>
        <v>-6.2191572499362771</v>
      </c>
      <c r="V7" s="8">
        <f>14.42+LOG(H7*0.000001)-0.25*T7-3*K7</f>
        <v>-15.799157249936274</v>
      </c>
      <c r="W7" s="8">
        <f>20.9+LOG(H7*0.000001)-0.25*T7-3*K7</f>
        <v>-9.3191572499362749</v>
      </c>
      <c r="X7" s="8">
        <f>27.9+LOG(H7*0.000001)-0.25*T7-3*K7</f>
        <v>-2.3191572499362785</v>
      </c>
      <c r="Y7" s="8">
        <f>25.6+LOG(H7*0.000001)-0.25*T7-3*K7</f>
        <v>-4.6191572499362756</v>
      </c>
      <c r="Z7" s="8">
        <f>16.2-0.25*T7-3*K7</f>
        <v>-8.7825852434992129</v>
      </c>
      <c r="AA7" s="8">
        <f>2.94+LOG(N7)-2*K7-0.25*T7-LOG(0.449)</f>
        <v>-18.879126989947689</v>
      </c>
      <c r="AB7" s="8">
        <f>7.91+LOG(P7)-3*K7-0.25*T7-LOG(0.449)</f>
        <v>-23.01912698994769</v>
      </c>
      <c r="AC7" s="8">
        <f>8.38+2*LOG(N7)-0.25*T7-K7-LOG(0.157)</f>
        <v>-10.167075706798748</v>
      </c>
      <c r="AD7" s="8">
        <f>9.86+2*LOG(P7)-0.25*T7-3*K7-LOG(0.157)</f>
        <v>-26.907075706798754</v>
      </c>
      <c r="AE7" s="8">
        <f>18.13+2*LOG(P7)-3*K7-LOG(0.157)</f>
        <v>-18.824490463299544</v>
      </c>
      <c r="AF7" s="13">
        <f>(10^W7-Q7)/Q7*100</f>
        <v>8168.2720265691669</v>
      </c>
      <c r="AG7" s="12">
        <f>(10^AC7-Q7)/Q7*100</f>
        <v>1073.5356834580052</v>
      </c>
    </row>
    <row r="8" spans="1:33" x14ac:dyDescent="0.15">
      <c r="A8" s="7">
        <v>65</v>
      </c>
      <c r="B8" s="14">
        <v>19.152000000000001</v>
      </c>
      <c r="C8" s="15">
        <v>7.7117000000000004</v>
      </c>
      <c r="D8" s="14">
        <v>3.7804000000000002</v>
      </c>
      <c r="E8" s="7"/>
      <c r="F8" s="7">
        <v>0.60109999999999997</v>
      </c>
      <c r="G8" s="7"/>
      <c r="H8" s="7">
        <v>2.6</v>
      </c>
      <c r="I8" s="7"/>
      <c r="J8" s="7">
        <v>14.4</v>
      </c>
      <c r="K8" s="7"/>
      <c r="L8" s="7"/>
      <c r="M8" s="11"/>
      <c r="N8" s="7"/>
      <c r="O8" s="7"/>
      <c r="P8" s="7"/>
      <c r="Q8" s="11">
        <f>H8*10^-12</f>
        <v>2.6000000000000002E-12</v>
      </c>
      <c r="R8" s="9">
        <f>LOG(Q8)</f>
        <v>-11.585026652029182</v>
      </c>
      <c r="S8" s="10">
        <v>0.1223452495652174</v>
      </c>
      <c r="T8" s="9">
        <f>LOG(S8)</f>
        <v>-0.91241288881864968</v>
      </c>
      <c r="U8" s="8"/>
      <c r="V8" s="8"/>
      <c r="W8" s="8"/>
      <c r="X8" s="8"/>
      <c r="Y8" s="8"/>
      <c r="Z8" s="8"/>
      <c r="AA8" s="9"/>
      <c r="AB8" s="9"/>
      <c r="AC8" s="8"/>
      <c r="AD8" s="8"/>
      <c r="AE8" s="8"/>
      <c r="AF8" s="7"/>
      <c r="AG8" s="7"/>
    </row>
    <row r="9" spans="1:33" x14ac:dyDescent="0.15">
      <c r="A9" s="7">
        <v>70</v>
      </c>
      <c r="B9" s="14">
        <v>19.297899000000001</v>
      </c>
      <c r="C9" s="15">
        <v>7.7603</v>
      </c>
      <c r="D9" s="14">
        <v>3.2488999999999999</v>
      </c>
      <c r="E9" s="7"/>
      <c r="F9" s="7">
        <v>0.67720000000000002</v>
      </c>
      <c r="G9" s="7"/>
      <c r="H9" s="7">
        <v>2.8</v>
      </c>
      <c r="I9" s="7"/>
      <c r="J9" s="7">
        <v>14.7</v>
      </c>
      <c r="K9" s="7"/>
      <c r="L9" s="7"/>
      <c r="M9" s="11"/>
      <c r="N9" s="7"/>
      <c r="O9" s="7"/>
      <c r="P9" s="7"/>
      <c r="Q9" s="11">
        <f>H9*10^-12</f>
        <v>2.7999999999999998E-12</v>
      </c>
      <c r="R9" s="9">
        <f>LOG(Q9)</f>
        <v>-11.552841968657781</v>
      </c>
      <c r="S9" s="10">
        <v>0.10514429195652174</v>
      </c>
      <c r="T9" s="9">
        <f>LOG(S9)</f>
        <v>-0.97821429919328273</v>
      </c>
      <c r="U9" s="8"/>
      <c r="V9" s="8"/>
      <c r="W9" s="8"/>
      <c r="X9" s="8"/>
      <c r="Y9" s="8"/>
      <c r="Z9" s="8"/>
      <c r="AA9" s="9"/>
      <c r="AB9" s="9"/>
      <c r="AC9" s="8"/>
      <c r="AD9" s="8"/>
      <c r="AE9" s="8"/>
      <c r="AF9" s="7"/>
      <c r="AG9" s="7"/>
    </row>
    <row r="10" spans="1:33" x14ac:dyDescent="0.15">
      <c r="A10" s="7">
        <v>76</v>
      </c>
      <c r="B10" s="14">
        <v>19.433800000000002</v>
      </c>
      <c r="C10" s="15">
        <v>7.8071000000000002</v>
      </c>
      <c r="D10" s="14">
        <v>2.8195999999999999</v>
      </c>
      <c r="E10" s="7"/>
      <c r="F10" s="7">
        <v>0.73599999999999999</v>
      </c>
      <c r="G10" s="16">
        <v>3.07</v>
      </c>
      <c r="H10" s="7">
        <v>1.6</v>
      </c>
      <c r="I10" s="7"/>
      <c r="J10" s="7">
        <v>12.2</v>
      </c>
      <c r="K10" s="7">
        <v>8.3699999999999992</v>
      </c>
      <c r="L10" s="11">
        <f>10^-K10</f>
        <v>4.265795188015919E-9</v>
      </c>
      <c r="M10" s="11">
        <f>1/(L10/(10^-6)+1+(10^-9.11)/L10)</f>
        <v>0.84300265737677593</v>
      </c>
      <c r="N10" s="11">
        <f>(10^-6)*G10/0.958*M10</f>
        <v>2.7014803320946785E-6</v>
      </c>
      <c r="O10" s="11">
        <f>1/(L10^2/(10^-15.11)+L10/(10^-9.11)+1)</f>
        <v>0.15340126594390166</v>
      </c>
      <c r="P10" s="11">
        <f>G10/0.958*(10^-6)*O10</f>
        <v>4.9158860798306691E-7</v>
      </c>
      <c r="Q10" s="11">
        <f>H10*10^-12</f>
        <v>1.6E-12</v>
      </c>
      <c r="R10" s="9">
        <f>LOG(Q10)</f>
        <v>-11.795880017344075</v>
      </c>
      <c r="S10" s="10">
        <v>9.1250837391304365E-2</v>
      </c>
      <c r="T10" s="9">
        <f>LOG(S10)</f>
        <v>-1.0397631414166495</v>
      </c>
      <c r="U10" s="8">
        <f>24+LOG(H10*0.000001)-0.25*T10-3*K10</f>
        <v>-6.6459392319899138</v>
      </c>
      <c r="V10" s="8">
        <f>14.42+LOG(H10*0.000001)-0.25*T10-3*K10</f>
        <v>-16.225939231989912</v>
      </c>
      <c r="W10" s="8">
        <f>20.9+LOG(H10*0.000001)-0.25*T10-3*K10</f>
        <v>-9.7459392319899134</v>
      </c>
      <c r="X10" s="8">
        <f>27.9+LOG(H10*0.000001)-0.25*T10-3*K10</f>
        <v>-2.7459392319899152</v>
      </c>
      <c r="Y10" s="8">
        <f>25.6+LOG(H10*0.000001)-0.25*T10-3*K10</f>
        <v>-5.0459392319899123</v>
      </c>
      <c r="Z10" s="8">
        <f>16.2-0.25*T10-3*K10</f>
        <v>-8.6500592146458395</v>
      </c>
      <c r="AA10" s="8">
        <f>2.94+LOG(N10)-2*K10-0.25*T10-LOG(0.449)</f>
        <v>-18.760703745607685</v>
      </c>
      <c r="AB10" s="8">
        <f>7.91+LOG(P10)-3*K10-0.25*T10-LOG(0.449)</f>
        <v>-22.900703745607686</v>
      </c>
      <c r="AC10" s="8">
        <f>8.38+2*LOG(N10)-0.25*T10-K10-LOG(0.157)</f>
        <v>-10.062755246972117</v>
      </c>
      <c r="AD10" s="8">
        <f>9.86+2*LOG(P10)-0.25*T10-3*K10-LOG(0.157)</f>
        <v>-26.802755246972122</v>
      </c>
      <c r="AE10" s="8">
        <f>18.13+2*LOG(P10)-3*K10-LOG(0.157)</f>
        <v>-18.792696032326283</v>
      </c>
      <c r="AF10" s="13">
        <f>(10^W10-Q10)/Q10*100</f>
        <v>11118.654811491006</v>
      </c>
      <c r="AG10" s="12">
        <f>(10^AC10-Q10)/Q10*100</f>
        <v>5309.0970095208422</v>
      </c>
    </row>
    <row r="11" spans="1:33" x14ac:dyDescent="0.15">
      <c r="A11" s="7">
        <v>81</v>
      </c>
      <c r="B11" s="14">
        <v>19.552199999999999</v>
      </c>
      <c r="C11" s="15">
        <v>7.8644999999999996</v>
      </c>
      <c r="D11" s="14">
        <v>2.4765000000000001</v>
      </c>
      <c r="E11" s="7"/>
      <c r="F11" s="7">
        <v>0.78769999999999996</v>
      </c>
      <c r="G11" s="7"/>
      <c r="H11" s="7">
        <v>2.1</v>
      </c>
      <c r="I11" s="7"/>
      <c r="J11" s="7">
        <v>11.5</v>
      </c>
      <c r="K11" s="7"/>
      <c r="L11" s="7"/>
      <c r="M11" s="11"/>
      <c r="N11" s="7"/>
      <c r="O11" s="7"/>
      <c r="P11" s="7"/>
      <c r="Q11" s="11">
        <f>H11*10^-12</f>
        <v>2.0999999999999999E-12</v>
      </c>
      <c r="R11" s="9">
        <f>LOG(Q11)</f>
        <v>-11.67778070526608</v>
      </c>
      <c r="S11" s="10">
        <v>8.0147077173913062E-2</v>
      </c>
      <c r="T11" s="9">
        <f>LOG(S11)</f>
        <v>-1.0961123109940119</v>
      </c>
      <c r="U11" s="8"/>
      <c r="V11" s="8"/>
      <c r="W11" s="8"/>
      <c r="X11" s="8"/>
      <c r="Y11" s="8"/>
      <c r="Z11" s="8"/>
      <c r="AA11" s="9"/>
      <c r="AB11" s="9"/>
      <c r="AC11" s="8"/>
      <c r="AD11" s="8"/>
      <c r="AE11" s="8"/>
      <c r="AF11" s="7"/>
      <c r="AG11" s="12"/>
    </row>
    <row r="12" spans="1:33" x14ac:dyDescent="0.15">
      <c r="A12" s="7">
        <v>86</v>
      </c>
      <c r="B12" s="14">
        <v>19.700001</v>
      </c>
      <c r="C12" s="15">
        <v>7.9295</v>
      </c>
      <c r="D12" s="14">
        <v>2.1606999999999998</v>
      </c>
      <c r="E12" s="7"/>
      <c r="F12" s="7">
        <v>0.85240000000000005</v>
      </c>
      <c r="G12" s="7"/>
      <c r="H12" s="7">
        <v>3.1</v>
      </c>
      <c r="I12" s="7"/>
      <c r="J12" s="7">
        <v>11.9</v>
      </c>
      <c r="K12" s="7"/>
      <c r="L12" s="7"/>
      <c r="M12" s="11"/>
      <c r="N12" s="7"/>
      <c r="O12" s="7"/>
      <c r="P12" s="7"/>
      <c r="Q12" s="11">
        <f>H12*10^-12</f>
        <v>3.1000000000000001E-12</v>
      </c>
      <c r="R12" s="9">
        <f>LOG(Q12)</f>
        <v>-11.508638306165727</v>
      </c>
      <c r="S12" s="10">
        <v>6.9926828043478273E-2</v>
      </c>
      <c r="T12" s="9">
        <f>LOG(S12)</f>
        <v>-1.1553561713802045</v>
      </c>
      <c r="U12" s="8"/>
      <c r="V12" s="8"/>
      <c r="W12" s="8"/>
      <c r="X12" s="8"/>
      <c r="Y12" s="8"/>
      <c r="Z12" s="8"/>
      <c r="AA12" s="9"/>
      <c r="AB12" s="9"/>
      <c r="AC12" s="8"/>
      <c r="AD12" s="8"/>
      <c r="AE12" s="8"/>
      <c r="AF12" s="7"/>
      <c r="AG12" s="12"/>
    </row>
    <row r="13" spans="1:33" x14ac:dyDescent="0.15">
      <c r="A13" s="7">
        <v>91</v>
      </c>
      <c r="B13" s="14">
        <v>19.834800999999999</v>
      </c>
      <c r="C13" s="15">
        <v>7.9882999999999997</v>
      </c>
      <c r="D13" s="14">
        <v>1.8791</v>
      </c>
      <c r="E13" s="7"/>
      <c r="F13" s="7">
        <v>0.9294</v>
      </c>
      <c r="G13" s="7"/>
      <c r="H13" s="7">
        <v>9.6999999999999993</v>
      </c>
      <c r="I13" s="7"/>
      <c r="J13" s="7">
        <v>12.9</v>
      </c>
      <c r="K13" s="7"/>
      <c r="L13" s="7"/>
      <c r="M13" s="11"/>
      <c r="N13" s="7"/>
      <c r="O13" s="7"/>
      <c r="P13" s="7"/>
      <c r="Q13" s="11">
        <f>H13*10^-12</f>
        <v>9.6999999999999995E-12</v>
      </c>
      <c r="R13" s="9">
        <f>LOG(Q13)</f>
        <v>-11.013228265733755</v>
      </c>
      <c r="S13" s="10">
        <v>6.0813395000000006E-2</v>
      </c>
      <c r="T13" s="9">
        <f>LOG(S13)</f>
        <v>-1.2160007507624784</v>
      </c>
      <c r="U13" s="8"/>
      <c r="V13" s="8"/>
      <c r="W13" s="8"/>
      <c r="X13" s="8"/>
      <c r="Y13" s="8"/>
      <c r="Z13" s="8"/>
      <c r="AA13" s="9"/>
      <c r="AB13" s="9"/>
      <c r="AC13" s="8"/>
      <c r="AD13" s="8"/>
      <c r="AE13" s="8"/>
      <c r="AF13" s="7"/>
      <c r="AG13" s="12"/>
    </row>
    <row r="14" spans="1:33" x14ac:dyDescent="0.15">
      <c r="A14" s="7">
        <v>96</v>
      </c>
      <c r="B14" s="14">
        <v>19.960899000000001</v>
      </c>
      <c r="C14" s="15">
        <v>8.0469000000000008</v>
      </c>
      <c r="D14" s="14">
        <v>1.6057999999999999</v>
      </c>
      <c r="E14" s="7"/>
      <c r="F14" s="7">
        <v>1.1151</v>
      </c>
      <c r="G14" s="7"/>
      <c r="H14" s="7">
        <v>13.7</v>
      </c>
      <c r="I14" s="7"/>
      <c r="J14" s="7">
        <v>14.3</v>
      </c>
      <c r="K14" s="7"/>
      <c r="L14" s="7"/>
      <c r="M14" s="11"/>
      <c r="N14" s="7"/>
      <c r="O14" s="7"/>
      <c r="P14" s="7"/>
      <c r="Q14" s="11">
        <f>H14*10^-12</f>
        <v>1.3699999999999999E-11</v>
      </c>
      <c r="R14" s="9">
        <f>LOG(Q14)</f>
        <v>-10.863279432843592</v>
      </c>
      <c r="S14" s="10">
        <v>5.1968575217391309E-2</v>
      </c>
      <c r="T14" s="9">
        <f>LOG(S14)</f>
        <v>-1.2842591897329809</v>
      </c>
      <c r="U14" s="8"/>
      <c r="V14" s="8"/>
      <c r="W14" s="8"/>
      <c r="X14" s="8"/>
      <c r="Y14" s="8"/>
      <c r="Z14" s="8"/>
      <c r="AA14" s="9"/>
      <c r="AB14" s="9"/>
      <c r="AC14" s="8"/>
      <c r="AD14" s="8"/>
      <c r="AE14" s="8"/>
      <c r="AF14" s="7"/>
      <c r="AG14" s="12"/>
    </row>
    <row r="15" spans="1:33" x14ac:dyDescent="0.15">
      <c r="A15" s="7">
        <v>100</v>
      </c>
      <c r="B15" s="14">
        <v>20.076401000000001</v>
      </c>
      <c r="C15" s="15">
        <v>8.1069999999999993</v>
      </c>
      <c r="D15" s="14">
        <v>1.3980999999999999</v>
      </c>
      <c r="E15" s="7"/>
      <c r="F15" s="7">
        <v>1.3949</v>
      </c>
      <c r="G15" s="7"/>
      <c r="H15" s="7">
        <v>16.5</v>
      </c>
      <c r="I15" s="7"/>
      <c r="J15" s="7">
        <v>15.2</v>
      </c>
      <c r="K15" s="7"/>
      <c r="L15" s="7"/>
      <c r="M15" s="11"/>
      <c r="N15" s="7"/>
      <c r="O15" s="7"/>
      <c r="P15" s="7"/>
      <c r="Q15" s="11">
        <f>H15*10^-12</f>
        <v>1.6500000000000001E-11</v>
      </c>
      <c r="R15" s="9">
        <f>LOG(Q15)</f>
        <v>-10.782516055786093</v>
      </c>
      <c r="S15" s="10">
        <v>4.5246771086956523E-2</v>
      </c>
      <c r="T15" s="9">
        <f>LOG(S15)</f>
        <v>-1.3444124076002535</v>
      </c>
      <c r="U15" s="8"/>
      <c r="V15" s="8"/>
      <c r="W15" s="8"/>
      <c r="X15" s="8"/>
      <c r="Y15" s="8"/>
      <c r="Z15" s="8"/>
      <c r="AA15" s="9"/>
      <c r="AB15" s="9"/>
      <c r="AC15" s="8"/>
      <c r="AD15" s="8"/>
      <c r="AE15" s="8"/>
      <c r="AF15" s="7"/>
      <c r="AG15" s="12"/>
    </row>
    <row r="16" spans="1:33" x14ac:dyDescent="0.15">
      <c r="A16" s="7">
        <v>105</v>
      </c>
      <c r="B16" s="7"/>
      <c r="C16" s="7"/>
      <c r="D16" s="7"/>
      <c r="E16" s="7"/>
      <c r="F16" s="7"/>
      <c r="G16" s="7"/>
      <c r="H16" s="7">
        <v>18.8</v>
      </c>
      <c r="I16" s="7"/>
      <c r="J16" s="7">
        <v>15.5</v>
      </c>
      <c r="K16" s="7"/>
      <c r="L16" s="7"/>
      <c r="M16" s="11"/>
      <c r="N16" s="7"/>
      <c r="O16" s="7"/>
      <c r="P16" s="7"/>
      <c r="Q16" s="11">
        <f>H16*10^-12</f>
        <v>1.8799999999999999E-11</v>
      </c>
      <c r="R16" s="9">
        <f>LOG(Q16)</f>
        <v>-10.72584215073632</v>
      </c>
      <c r="S16" s="10"/>
      <c r="T16" s="9"/>
      <c r="U16" s="8"/>
      <c r="V16" s="8"/>
      <c r="W16" s="8"/>
      <c r="X16" s="8"/>
      <c r="Y16" s="8"/>
      <c r="Z16" s="8"/>
      <c r="AA16" s="9"/>
      <c r="AB16" s="9"/>
      <c r="AC16" s="8"/>
      <c r="AD16" s="8"/>
      <c r="AE16" s="8"/>
      <c r="AF16" s="7"/>
      <c r="AG16" s="12"/>
    </row>
    <row r="17" spans="1:33" x14ac:dyDescent="0.15">
      <c r="A17" s="7">
        <v>110</v>
      </c>
      <c r="B17" s="7"/>
      <c r="C17" s="7"/>
      <c r="D17" s="7"/>
      <c r="E17" s="7"/>
      <c r="F17" s="7"/>
      <c r="G17" s="7"/>
      <c r="H17" s="7">
        <v>27.5</v>
      </c>
      <c r="I17" s="7"/>
      <c r="J17" s="7">
        <v>18.399999999999999</v>
      </c>
      <c r="K17" s="7"/>
      <c r="L17" s="7"/>
      <c r="M17" s="11"/>
      <c r="N17" s="7"/>
      <c r="O17" s="7"/>
      <c r="P17" s="7"/>
      <c r="Q17" s="11">
        <f>H17*10^-12</f>
        <v>2.7499999999999999E-11</v>
      </c>
      <c r="R17" s="9">
        <f>LOG(Q17)</f>
        <v>-10.560667306169737</v>
      </c>
      <c r="S17" s="10"/>
      <c r="T17" s="9"/>
      <c r="U17" s="8"/>
      <c r="V17" s="8"/>
      <c r="W17" s="8"/>
      <c r="X17" s="8"/>
      <c r="Y17" s="8"/>
      <c r="Z17" s="8"/>
      <c r="AA17" s="9"/>
      <c r="AB17" s="9"/>
      <c r="AC17" s="8"/>
      <c r="AD17" s="8"/>
      <c r="AE17" s="8"/>
      <c r="AF17" s="7"/>
      <c r="AG17" s="12"/>
    </row>
    <row r="18" spans="1:33" x14ac:dyDescent="0.15">
      <c r="A18" s="7">
        <v>115</v>
      </c>
      <c r="B18" s="7"/>
      <c r="C18" s="7"/>
      <c r="D18" s="7"/>
      <c r="E18" s="7"/>
      <c r="F18" s="7"/>
      <c r="G18" s="7"/>
      <c r="H18" s="7">
        <v>31.1</v>
      </c>
      <c r="I18" s="7"/>
      <c r="J18" s="7">
        <v>19.3</v>
      </c>
      <c r="K18" s="7"/>
      <c r="L18" s="7"/>
      <c r="M18" s="11"/>
      <c r="N18" s="7"/>
      <c r="O18" s="7"/>
      <c r="P18" s="7"/>
      <c r="Q18" s="11">
        <f>H18*10^-12</f>
        <v>3.1100000000000001E-11</v>
      </c>
      <c r="R18" s="9">
        <f>LOG(Q18)</f>
        <v>-10.507239610973162</v>
      </c>
      <c r="S18" s="10"/>
      <c r="T18" s="9"/>
      <c r="U18" s="8"/>
      <c r="V18" s="8"/>
      <c r="W18" s="8"/>
      <c r="X18" s="8"/>
      <c r="Y18" s="8"/>
      <c r="Z18" s="8"/>
      <c r="AA18" s="9"/>
      <c r="AB18" s="9"/>
      <c r="AC18" s="8"/>
      <c r="AD18" s="8"/>
      <c r="AE18" s="8"/>
      <c r="AF18" s="7"/>
      <c r="AG18" s="12"/>
    </row>
    <row r="19" spans="1:33" x14ac:dyDescent="0.15">
      <c r="A19" s="7">
        <v>120</v>
      </c>
      <c r="B19" s="7"/>
      <c r="C19" s="7"/>
      <c r="D19" s="7"/>
      <c r="E19" s="7"/>
      <c r="F19" s="7"/>
      <c r="G19" s="7"/>
      <c r="H19" s="7">
        <v>55.1</v>
      </c>
      <c r="I19" s="7"/>
      <c r="J19" s="7">
        <v>27.1</v>
      </c>
      <c r="K19" s="7"/>
      <c r="L19" s="7"/>
      <c r="M19" s="11"/>
      <c r="N19" s="7"/>
      <c r="O19" s="7"/>
      <c r="P19" s="7"/>
      <c r="Q19" s="11">
        <f>H19*10^-12</f>
        <v>5.5100000000000002E-11</v>
      </c>
      <c r="R19" s="9">
        <f>LOG(Q19)</f>
        <v>-10.258848401148216</v>
      </c>
      <c r="S19" s="10"/>
      <c r="T19" s="9"/>
      <c r="U19" s="8"/>
      <c r="V19" s="8"/>
      <c r="W19" s="8"/>
      <c r="X19" s="8"/>
      <c r="Y19" s="8"/>
      <c r="Z19" s="8"/>
      <c r="AA19" s="9"/>
      <c r="AB19" s="9"/>
      <c r="AC19" s="8"/>
      <c r="AD19" s="8"/>
      <c r="AE19" s="8"/>
      <c r="AF19" s="7"/>
      <c r="AG19" s="12"/>
    </row>
    <row r="20" spans="1:33" x14ac:dyDescent="0.15">
      <c r="A20" s="7">
        <v>125</v>
      </c>
      <c r="B20" s="7">
        <v>20.529699000000001</v>
      </c>
      <c r="C20" s="7">
        <v>8.3178000000000001</v>
      </c>
      <c r="D20" s="7">
        <v>0.65249999999999997</v>
      </c>
      <c r="E20" s="7"/>
      <c r="F20" s="7">
        <v>2.7881</v>
      </c>
      <c r="G20" s="7"/>
      <c r="H20" s="7">
        <v>63.1</v>
      </c>
      <c r="I20" s="7"/>
      <c r="J20" s="7">
        <v>29.9</v>
      </c>
      <c r="K20" s="7"/>
      <c r="L20" s="7"/>
      <c r="M20" s="11"/>
      <c r="N20" s="7"/>
      <c r="O20" s="7"/>
      <c r="P20" s="7"/>
      <c r="Q20" s="11">
        <f>H20*10^-12</f>
        <v>6.3099999999999994E-11</v>
      </c>
      <c r="R20" s="9">
        <f>LOG(Q20)</f>
        <v>-10.199970640755867</v>
      </c>
      <c r="S20" s="10">
        <v>2.111688586956522E-2</v>
      </c>
      <c r="T20" s="9">
        <f>LOG(S20)</f>
        <v>-1.6753701273021682</v>
      </c>
      <c r="U20" s="8"/>
      <c r="V20" s="8"/>
      <c r="W20" s="8"/>
      <c r="X20" s="8"/>
      <c r="Y20" s="8"/>
      <c r="Z20" s="8"/>
      <c r="AA20" s="9"/>
      <c r="AB20" s="9"/>
      <c r="AC20" s="8"/>
      <c r="AD20" s="8"/>
      <c r="AE20" s="8"/>
      <c r="AF20" s="7"/>
      <c r="AG20" s="12"/>
    </row>
    <row r="21" spans="1:33" x14ac:dyDescent="0.15">
      <c r="A21" s="7">
        <v>130</v>
      </c>
      <c r="B21" s="7"/>
      <c r="C21" s="7"/>
      <c r="D21" s="7"/>
      <c r="E21" s="7"/>
      <c r="F21" s="7"/>
      <c r="G21" s="7"/>
      <c r="H21" s="7">
        <v>57.4</v>
      </c>
      <c r="I21" s="7"/>
      <c r="J21" s="7">
        <v>29.2</v>
      </c>
      <c r="K21" s="7"/>
      <c r="L21" s="7"/>
      <c r="M21" s="11"/>
      <c r="N21" s="7"/>
      <c r="O21" s="7"/>
      <c r="P21" s="7"/>
      <c r="Q21" s="11">
        <f>H21*10^-12</f>
        <v>5.7399999999999997E-11</v>
      </c>
      <c r="R21" s="9">
        <f>LOG(Q21)</f>
        <v>-10.241088107602026</v>
      </c>
      <c r="S21" s="10"/>
      <c r="T21" s="9"/>
      <c r="U21" s="8"/>
      <c r="V21" s="8"/>
      <c r="W21" s="8"/>
      <c r="X21" s="8"/>
      <c r="Y21" s="8"/>
      <c r="Z21" s="8"/>
      <c r="AA21" s="9"/>
      <c r="AB21" s="9"/>
      <c r="AC21" s="8"/>
      <c r="AD21" s="8"/>
      <c r="AE21" s="8"/>
      <c r="AF21" s="7"/>
      <c r="AG21" s="12"/>
    </row>
    <row r="22" spans="1:33" x14ac:dyDescent="0.15">
      <c r="A22" s="7">
        <v>150</v>
      </c>
      <c r="B22" s="7">
        <v>20.910999</v>
      </c>
      <c r="C22" s="7">
        <v>8.4902999999999995</v>
      </c>
      <c r="D22" s="7">
        <v>0.33950000000000002</v>
      </c>
      <c r="E22" s="7"/>
      <c r="F22" s="7">
        <v>3.6160000000000001</v>
      </c>
      <c r="G22" s="7">
        <v>3.07</v>
      </c>
      <c r="H22" s="7">
        <v>106</v>
      </c>
      <c r="I22" s="7"/>
      <c r="J22" s="7">
        <v>47.8</v>
      </c>
      <c r="K22" s="7">
        <v>8.08</v>
      </c>
      <c r="L22" s="11">
        <f>10^-K22</f>
        <v>8.3176377110267021E-9</v>
      </c>
      <c r="M22" s="11">
        <f>1/(L22/(10^-6)+1+(10^-9.11)/L22)</f>
        <v>0.90773502710404697</v>
      </c>
      <c r="N22" s="11">
        <f>(10^-6)*G22/0.958*M22</f>
        <v>2.9089212246444927E-6</v>
      </c>
      <c r="O22" s="11">
        <f>1/(L22^2/(10^-15.11)+L22/(10^-9.11)+1)</f>
        <v>8.471476180289246E-2</v>
      </c>
      <c r="P22" s="11">
        <f>G22/0.958*(10^-6)*O22</f>
        <v>2.7147632435791218E-7</v>
      </c>
      <c r="Q22" s="11">
        <f>H22*10^-12</f>
        <v>1.06E-10</v>
      </c>
      <c r="R22" s="9">
        <f>LOG(Q22)</f>
        <v>-9.9746941347352305</v>
      </c>
      <c r="S22" s="10">
        <v>1.0987253260869568E-2</v>
      </c>
      <c r="T22" s="9">
        <f>LOG(S22)</f>
        <v>-1.9591108646959661</v>
      </c>
      <c r="U22" s="8">
        <f>24+LOG(H22*0.000001)-0.25*T22-3*K22</f>
        <v>-3.7249164185612393</v>
      </c>
      <c r="V22" s="8">
        <f>14.42+LOG(H22*0.000001)-0.25*T22-3*K22</f>
        <v>-13.304916418561239</v>
      </c>
      <c r="W22" s="8">
        <f>20.9+LOG(H22*0.000001)-0.25*T22-3*K22</f>
        <v>-6.8249164185612408</v>
      </c>
      <c r="X22" s="8">
        <f>27.9+LOG(H22*0.000001)-0.25*T22-3*K22</f>
        <v>0.17508358143875924</v>
      </c>
      <c r="Y22" s="8">
        <f>25.6+LOG(H22*0.000001)-0.25*T22-3*K22</f>
        <v>-2.1249164185612379</v>
      </c>
      <c r="Z22" s="8">
        <f>16.2-0.25*T22-3*K22</f>
        <v>-7.5502222838260096</v>
      </c>
      <c r="AA22" s="8">
        <f>2.94+LOG(N22)-2*K22-0.25*T22-LOG(0.449)</f>
        <v>-17.918736664381665</v>
      </c>
      <c r="AB22" s="8">
        <f>7.91+LOG(P22)-3*K22-0.25*T22-LOG(0.449)</f>
        <v>-22.058736664381669</v>
      </c>
      <c r="AC22" s="8">
        <f>8.38+2*LOG(N22)-0.25*T22-K22-LOG(0.157)</f>
        <v>-9.4786580153399118</v>
      </c>
      <c r="AD22" s="8">
        <f>9.86+2*LOG(P22)-0.25*T22-3*K22-LOG(0.157)</f>
        <v>-26.218658015339916</v>
      </c>
      <c r="AE22" s="8">
        <f>18.13+2*LOG(P22)-3*K22-LOG(0.157)</f>
        <v>-18.438435731513909</v>
      </c>
      <c r="AF22" s="13">
        <f>(10^W22-Q22)/Q22*100</f>
        <v>141081.47541574921</v>
      </c>
      <c r="AG22" s="12">
        <f>(10^AC22-Q22)/Q22*100</f>
        <v>213.35463242005105</v>
      </c>
    </row>
    <row r="23" spans="1:33" x14ac:dyDescent="0.15">
      <c r="A23" s="7">
        <v>180</v>
      </c>
      <c r="B23" s="7">
        <v>21.183800000000002</v>
      </c>
      <c r="C23" s="7">
        <v>8.5883000000000003</v>
      </c>
      <c r="D23" s="7">
        <v>0.25919999999999999</v>
      </c>
      <c r="E23" s="7"/>
      <c r="F23" s="7">
        <v>4.306</v>
      </c>
      <c r="G23" s="7">
        <v>3.13</v>
      </c>
      <c r="H23" s="7">
        <v>144.6</v>
      </c>
      <c r="I23" s="7"/>
      <c r="J23" s="7">
        <v>59.3</v>
      </c>
      <c r="K23" s="7">
        <v>8.1199999999999992</v>
      </c>
      <c r="L23" s="11">
        <f>10^-K23</f>
        <v>7.585775750291834E-9</v>
      </c>
      <c r="M23" s="11">
        <f>1/(L23/(10^-6)+1+(10^-9.11)/L23)</f>
        <v>0.90096983322754731</v>
      </c>
      <c r="N23" s="11">
        <f>(10^-6)*G23/0.958*M23</f>
        <v>2.9436697056390635E-6</v>
      </c>
      <c r="O23" s="11">
        <f>1/(L23^2/(10^-15.11)+L23/(10^-9.11)+1)</f>
        <v>9.2195611659810772E-2</v>
      </c>
      <c r="P23" s="11">
        <f>G23/0.958*(10^-6)*O23</f>
        <v>3.0122365813696001E-7</v>
      </c>
      <c r="Q23" s="11">
        <f>H23*10^-12</f>
        <v>1.446E-10</v>
      </c>
      <c r="R23" s="9">
        <f>LOG(Q23)</f>
        <v>-9.8398317070414887</v>
      </c>
      <c r="S23" s="10">
        <v>8.3885008695652168E-3</v>
      </c>
      <c r="T23" s="9">
        <f>LOG(S23)</f>
        <v>-2.0763156461139309</v>
      </c>
      <c r="U23" s="8">
        <f>24+LOG(H23*0.000001)-0.25*T23-3*K23</f>
        <v>-3.6807527955130048</v>
      </c>
      <c r="V23" s="8">
        <f>14.42+LOG(H23*0.000001)-0.25*T23-3*K23</f>
        <v>-13.260752795513005</v>
      </c>
      <c r="W23" s="8">
        <f>20.9+LOG(H23*0.000001)-0.25*T23-3*K23</f>
        <v>-6.7807527955130062</v>
      </c>
      <c r="X23" s="8">
        <f>27.9+LOG(H23*0.000001)-0.25*T23-3*K23</f>
        <v>0.21924720448699375</v>
      </c>
      <c r="Y23" s="8">
        <f>25.6+LOG(H23*0.000001)-0.25*T23-3*K23</f>
        <v>-2.0807527955130034</v>
      </c>
      <c r="Z23" s="8">
        <f>16.2-0.25*T23-3*K23</f>
        <v>-7.6409210884715186</v>
      </c>
      <c r="AA23" s="8">
        <f>2.94+LOG(N23)-2*K23-0.25*T23-LOG(0.449)</f>
        <v>-17.964278351073535</v>
      </c>
      <c r="AB23" s="8">
        <f>7.91+LOG(P23)-3*K23-0.25*T23-LOG(0.449)</f>
        <v>-22.104278351073539</v>
      </c>
      <c r="AC23" s="8">
        <f>8.38+2*LOG(N23)-0.25*T23-K23-LOG(0.157)</f>
        <v>-9.4790425840781403</v>
      </c>
      <c r="AD23" s="8">
        <f>9.86+2*LOG(P23)-0.25*T23-3*K23-LOG(0.157)</f>
        <v>-26.219042584078146</v>
      </c>
      <c r="AE23" s="8">
        <f>18.13+2*LOG(P23)-3*K23-LOG(0.157)</f>
        <v>-18.468121495606628</v>
      </c>
      <c r="AF23" s="13">
        <f>(10^W23-Q23)/Q23*100</f>
        <v>114472.11006409735</v>
      </c>
      <c r="AG23" s="12">
        <f>(10^AC23-Q23)/Q23*100</f>
        <v>129.50339954838645</v>
      </c>
    </row>
    <row r="24" spans="1:33" x14ac:dyDescent="0.15">
      <c r="A24" s="7">
        <v>500</v>
      </c>
      <c r="B24" s="7">
        <v>22.024699999999999</v>
      </c>
      <c r="C24" s="7">
        <v>8.8819999999999997</v>
      </c>
      <c r="D24" s="7">
        <v>0.1845</v>
      </c>
      <c r="E24" s="7"/>
      <c r="F24" s="7">
        <v>6.1443000000000003</v>
      </c>
      <c r="G24" s="7">
        <v>3.69</v>
      </c>
      <c r="H24" s="7">
        <v>180.9</v>
      </c>
      <c r="I24" s="7"/>
      <c r="J24" s="7">
        <v>76.599999999999994</v>
      </c>
      <c r="K24" s="7"/>
      <c r="L24" s="7"/>
      <c r="M24" s="11"/>
      <c r="N24" s="7"/>
      <c r="O24" s="7"/>
      <c r="P24" s="7"/>
      <c r="Q24" s="11">
        <f>H24*10^-12</f>
        <v>1.8089999999999999E-10</v>
      </c>
      <c r="R24" s="9">
        <f>LOG(Q24)</f>
        <v>-9.7425614331401871</v>
      </c>
      <c r="S24" s="10">
        <v>5.9709815217391313E-3</v>
      </c>
      <c r="T24" s="9">
        <f>LOG(S24)</f>
        <v>-2.2239542728174073</v>
      </c>
      <c r="U24" s="8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x14ac:dyDescent="0.15">
      <c r="A25" s="7">
        <v>800</v>
      </c>
      <c r="B25" s="7">
        <v>22.219100999999998</v>
      </c>
      <c r="C25" s="7">
        <v>8.9178999999999995</v>
      </c>
      <c r="D25" s="7">
        <v>3.1899999999999998E-2</v>
      </c>
      <c r="E25" s="7"/>
      <c r="F25" s="7">
        <v>6.7069000000000001</v>
      </c>
      <c r="G25" s="7">
        <v>3.8</v>
      </c>
      <c r="H25" s="7">
        <v>141.80000000000001</v>
      </c>
      <c r="I25" s="7"/>
      <c r="J25" s="7">
        <v>64.099999999999994</v>
      </c>
      <c r="K25" s="7"/>
      <c r="L25" s="7"/>
      <c r="M25" s="11"/>
      <c r="N25" s="7"/>
      <c r="O25" s="7"/>
      <c r="P25" s="7"/>
      <c r="Q25" s="11">
        <f>H25*10^-12</f>
        <v>1.4180000000000002E-10</v>
      </c>
      <c r="R25" s="9">
        <f>LOG(Q25)</f>
        <v>-9.8483237691529517</v>
      </c>
      <c r="S25" s="10">
        <v>1.0323810869565218E-3</v>
      </c>
      <c r="T25" s="9">
        <f>LOG(S25)</f>
        <v>-2.9861599602553057</v>
      </c>
      <c r="U25" s="8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 x14ac:dyDescent="0.15">
      <c r="A26" s="7">
        <v>1500</v>
      </c>
      <c r="B26" s="7">
        <v>22.317101000000001</v>
      </c>
      <c r="C26" s="7">
        <v>9.0266999999999999</v>
      </c>
      <c r="D26" s="7">
        <v>0</v>
      </c>
      <c r="E26" s="7"/>
      <c r="F26" s="7">
        <v>6.9324000000000003</v>
      </c>
      <c r="G26" s="7"/>
      <c r="H26" s="7">
        <v>104.9</v>
      </c>
      <c r="I26" s="7"/>
      <c r="J26" s="7">
        <v>50.5</v>
      </c>
      <c r="K26" s="7"/>
      <c r="L26" s="7"/>
      <c r="M26" s="11"/>
      <c r="N26" s="7"/>
      <c r="O26" s="7"/>
      <c r="P26" s="7"/>
      <c r="Q26" s="11">
        <f>H26*10^-12</f>
        <v>1.0490000000000001E-10</v>
      </c>
      <c r="R26" s="9">
        <f>LOG(Q26)</f>
        <v>-9.9792245118064429</v>
      </c>
      <c r="S26" s="10"/>
      <c r="T26" s="9"/>
      <c r="U26" s="8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3" x14ac:dyDescent="0.15">
      <c r="A27" s="7">
        <v>2153</v>
      </c>
      <c r="B27" s="7">
        <v>22.329599000000002</v>
      </c>
      <c r="C27" s="7">
        <v>9.0936000000000003</v>
      </c>
      <c r="D27" s="7">
        <v>0</v>
      </c>
      <c r="E27" s="7"/>
      <c r="F27" s="7">
        <v>8.4893999999999998</v>
      </c>
      <c r="G27" s="7"/>
      <c r="H27" s="7">
        <v>96.3</v>
      </c>
      <c r="I27" s="7"/>
      <c r="J27" s="7">
        <v>48.1</v>
      </c>
      <c r="K27" s="7"/>
      <c r="L27" s="7"/>
      <c r="M27" s="11"/>
      <c r="N27" s="7"/>
      <c r="O27" s="7"/>
      <c r="P27" s="7"/>
      <c r="Q27" s="11">
        <f>H27*10^-12</f>
        <v>9.6299999999999993E-11</v>
      </c>
      <c r="R27" s="9">
        <f>LOG(Q27)</f>
        <v>-10.016373712875465</v>
      </c>
      <c r="S27" s="10"/>
      <c r="T27" s="9"/>
      <c r="U27" s="8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3" x14ac:dyDescent="0.15">
      <c r="A28" s="7">
        <v>2174</v>
      </c>
      <c r="B28" s="7"/>
      <c r="C28" s="7"/>
      <c r="D28" s="7"/>
      <c r="E28" s="7"/>
      <c r="F28" s="7"/>
      <c r="G28" s="7"/>
      <c r="H28" s="7">
        <v>89.6</v>
      </c>
      <c r="I28" s="7"/>
      <c r="J28" s="7">
        <v>45.3</v>
      </c>
      <c r="K28" s="7"/>
      <c r="L28" s="7"/>
      <c r="M28" s="11"/>
      <c r="N28" s="7"/>
      <c r="O28" s="7"/>
      <c r="P28" s="7"/>
      <c r="Q28" s="11">
        <f>H28*10^-12</f>
        <v>8.9599999999999993E-11</v>
      </c>
      <c r="R28" s="9">
        <f>LOG(Q28)</f>
        <v>-10.047691990337874</v>
      </c>
      <c r="S28" s="10"/>
      <c r="T28" s="9"/>
      <c r="U28" s="8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 x14ac:dyDescent="0.15">
      <c r="A29" s="2">
        <v>2185</v>
      </c>
      <c r="B29" s="2">
        <v>22.334900000000001</v>
      </c>
      <c r="C29" s="2">
        <v>9.1012000000000004</v>
      </c>
      <c r="D29" s="2">
        <v>0</v>
      </c>
      <c r="E29" s="2"/>
      <c r="F29" s="2">
        <v>8.4876000000000005</v>
      </c>
      <c r="G29" s="2"/>
      <c r="H29" s="2">
        <v>52.9</v>
      </c>
      <c r="I29" s="2"/>
      <c r="J29" s="2">
        <v>47.6</v>
      </c>
      <c r="K29" s="2"/>
      <c r="L29" s="2"/>
      <c r="M29" s="6"/>
      <c r="N29" s="2"/>
      <c r="O29" s="2"/>
      <c r="P29" s="2"/>
      <c r="Q29" s="6">
        <f>H29*10^-12</f>
        <v>5.29E-11</v>
      </c>
      <c r="R29" s="4">
        <f>LOG(Q29)</f>
        <v>-10.276544327964814</v>
      </c>
      <c r="S29" s="5"/>
      <c r="T29" s="4"/>
      <c r="U29" s="3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15">
      <c r="A31" s="1" t="s">
        <v>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</sheetData>
  <mergeCells count="1">
    <mergeCell ref="U3:A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0D015-693F-C546-8984-A1EA29ADB16C}">
  <dimension ref="A1:AH19"/>
  <sheetViews>
    <sheetView workbookViewId="0">
      <selection sqref="A1:XFD31"/>
    </sheetView>
  </sheetViews>
  <sheetFormatPr baseColWidth="10" defaultRowHeight="13" x14ac:dyDescent="0.15"/>
  <sheetData>
    <row r="1" spans="1:34" s="34" customFormat="1" ht="21" customHeight="1" x14ac:dyDescent="0.15">
      <c r="A1" s="36" t="s">
        <v>52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8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4" s="34" customFormat="1" ht="21" customHeight="1" x14ac:dyDescent="0.15">
      <c r="A2" s="24" t="s">
        <v>40</v>
      </c>
      <c r="B2" s="24" t="s">
        <v>39</v>
      </c>
      <c r="C2" s="24" t="s">
        <v>51</v>
      </c>
      <c r="D2" s="24" t="s">
        <v>37</v>
      </c>
      <c r="E2" s="24" t="s">
        <v>50</v>
      </c>
      <c r="F2" s="24" t="s">
        <v>36</v>
      </c>
      <c r="G2" s="31" t="s">
        <v>35</v>
      </c>
      <c r="H2" s="24" t="s">
        <v>27</v>
      </c>
      <c r="I2" s="24" t="s">
        <v>49</v>
      </c>
      <c r="J2" s="24" t="s">
        <v>34</v>
      </c>
      <c r="K2" s="24" t="s">
        <v>33</v>
      </c>
      <c r="L2" s="24" t="s">
        <v>32</v>
      </c>
      <c r="M2" s="28" t="s">
        <v>31</v>
      </c>
      <c r="N2" s="24" t="s">
        <v>30</v>
      </c>
      <c r="O2" s="28" t="s">
        <v>29</v>
      </c>
      <c r="P2" s="24" t="s">
        <v>28</v>
      </c>
      <c r="Q2" s="24" t="s">
        <v>27</v>
      </c>
      <c r="R2" s="24" t="s">
        <v>26</v>
      </c>
      <c r="S2" s="27" t="s">
        <v>25</v>
      </c>
      <c r="T2" s="27" t="s">
        <v>48</v>
      </c>
      <c r="U2" s="26" t="s">
        <v>23</v>
      </c>
      <c r="V2" s="25" t="s">
        <v>22</v>
      </c>
      <c r="W2" s="25" t="s">
        <v>21</v>
      </c>
      <c r="X2" s="25" t="s">
        <v>20</v>
      </c>
      <c r="Y2" s="25" t="s">
        <v>19</v>
      </c>
      <c r="Z2" s="25" t="s">
        <v>18</v>
      </c>
      <c r="AA2" s="24" t="s">
        <v>17</v>
      </c>
      <c r="AB2" s="24" t="s">
        <v>16</v>
      </c>
      <c r="AC2" s="24" t="s">
        <v>15</v>
      </c>
      <c r="AD2" s="24" t="s">
        <v>14</v>
      </c>
      <c r="AE2" s="24" t="s">
        <v>13</v>
      </c>
      <c r="AF2" s="24" t="s">
        <v>12</v>
      </c>
      <c r="AG2" s="24" t="s">
        <v>47</v>
      </c>
      <c r="AH2" s="23"/>
    </row>
    <row r="3" spans="1:34" s="34" customFormat="1" ht="15" x14ac:dyDescent="0.15">
      <c r="A3" s="17" t="s">
        <v>10</v>
      </c>
      <c r="B3" s="17" t="s">
        <v>9</v>
      </c>
      <c r="C3" s="17" t="s">
        <v>8</v>
      </c>
      <c r="D3" s="17" t="s">
        <v>7</v>
      </c>
      <c r="E3" s="17" t="s">
        <v>6</v>
      </c>
      <c r="F3" s="17" t="s">
        <v>6</v>
      </c>
      <c r="G3" s="22" t="s">
        <v>5</v>
      </c>
      <c r="H3" s="17" t="s">
        <v>46</v>
      </c>
      <c r="I3" s="17" t="s">
        <v>46</v>
      </c>
      <c r="J3" s="17" t="s">
        <v>46</v>
      </c>
      <c r="K3" s="17"/>
      <c r="L3" s="17" t="s">
        <v>4</v>
      </c>
      <c r="M3" s="17"/>
      <c r="N3" s="17" t="s">
        <v>4</v>
      </c>
      <c r="O3" s="17"/>
      <c r="P3" s="17" t="s">
        <v>4</v>
      </c>
      <c r="Q3" s="17" t="s">
        <v>3</v>
      </c>
      <c r="R3" s="17"/>
      <c r="S3" s="20"/>
      <c r="T3" s="20"/>
      <c r="U3" s="19" t="s">
        <v>2</v>
      </c>
      <c r="V3" s="18"/>
      <c r="W3" s="18"/>
      <c r="X3" s="18"/>
      <c r="Y3" s="18"/>
      <c r="Z3" s="18"/>
      <c r="AA3" s="18"/>
      <c r="AB3" s="18"/>
      <c r="AC3" s="18"/>
      <c r="AD3" s="18"/>
      <c r="AE3" s="18"/>
      <c r="AF3" s="17" t="s">
        <v>1</v>
      </c>
      <c r="AG3" s="17" t="s">
        <v>1</v>
      </c>
      <c r="AH3" s="17"/>
    </row>
    <row r="4" spans="1:34" s="34" customFormat="1" ht="16" customHeight="1" x14ac:dyDescent="0.15">
      <c r="A4" s="36">
        <v>0</v>
      </c>
      <c r="B4" s="36">
        <v>33.067</v>
      </c>
      <c r="C4" s="36">
        <v>26.8</v>
      </c>
      <c r="D4" s="36">
        <v>4.5368000000000004</v>
      </c>
      <c r="E4" s="36">
        <v>1.9</v>
      </c>
      <c r="F4" s="36">
        <v>0.15</v>
      </c>
      <c r="G4" s="36">
        <v>2204</v>
      </c>
      <c r="H4" s="36">
        <v>8.09</v>
      </c>
      <c r="I4" s="36">
        <v>2.95</v>
      </c>
      <c r="J4" s="36">
        <v>13.9</v>
      </c>
      <c r="K4" s="36">
        <v>8.2530000000000001</v>
      </c>
      <c r="L4" s="11">
        <f>10^-K4</f>
        <v>5.5847019473682994E-9</v>
      </c>
      <c r="M4" s="11">
        <f>1/(L4/(10^-6)+1+(10^-9.11)/L4)</f>
        <v>0.87368294965740978</v>
      </c>
      <c r="N4" s="11">
        <f>(10^-6)*G4/0.958*M4</f>
        <v>2.0100179760385501E-3</v>
      </c>
      <c r="O4" s="11">
        <f>1/(L4^2/(10^-15.11)+L4/(10^-9.11)+1)</f>
        <v>0.12143779147225603</v>
      </c>
      <c r="P4" s="11">
        <f>G4/0.958*(10^-6)*O4</f>
        <v>2.7938297745809217E-4</v>
      </c>
      <c r="Q4" s="11">
        <f>H4*10^-12</f>
        <v>8.0899999999999997E-12</v>
      </c>
      <c r="R4" s="9">
        <f>LOG(Q4)</f>
        <v>-11.092051478387727</v>
      </c>
      <c r="S4" s="10">
        <v>0.34057971014492761</v>
      </c>
      <c r="T4" s="9">
        <f>LOG(S4)</f>
        <v>-0.46778122846551895</v>
      </c>
      <c r="U4" s="8">
        <f>24+LOG(H4*0.000001)-0.25*T4-3*K4</f>
        <v>-5.7341061712713497</v>
      </c>
      <c r="V4" s="8">
        <f>14.42+LOG(H4*0.000001)-0.25*T4-3*K4</f>
        <v>-15.31410617127135</v>
      </c>
      <c r="W4" s="8">
        <f>20.9+LOG(H4*0.000001)-0.25*T4-3*K4</f>
        <v>-8.8341061712713493</v>
      </c>
      <c r="X4" s="8">
        <f>27.9+LOG(H4*0.000001)-0.25*T4-3*K4</f>
        <v>-1.8341061712713511</v>
      </c>
      <c r="Y4" s="8">
        <f>25.6+LOG(H4*0.000001)-0.25*T4-3*K4</f>
        <v>-4.1341061712713483</v>
      </c>
      <c r="Z4" s="8">
        <f>16.2-0.25*T4-3*K4</f>
        <v>-8.4420546928836231</v>
      </c>
      <c r="AA4" s="9">
        <f>2.94+LOG(N4)-2*K4-0.25*T4-LOG(0.449)</f>
        <v>-15.798101092456786</v>
      </c>
      <c r="AB4" s="9">
        <f>7.91+LOG(P4)-3*K4-0.25*T4-LOG(0.449)</f>
        <v>-19.93810109245678</v>
      </c>
      <c r="AC4" s="8">
        <f>8.38+2*LOG(N4)-0.25*T4-K4-LOG(0.157)</f>
        <v>-4.3455544624325331</v>
      </c>
      <c r="AD4" s="8">
        <f>9.86+2*LOG(P4)-0.25*T4-3*K4-LOG(0.157)</f>
        <v>-21.085554462432537</v>
      </c>
      <c r="AE4" s="9">
        <f>18.13+2*LOG(P4)-3*K4-LOG(0.157)</f>
        <v>-12.932499769548913</v>
      </c>
      <c r="AF4" s="13">
        <f>(10^W4-Q4)/Q4*100</f>
        <v>18011.119958344774</v>
      </c>
      <c r="AG4" s="13">
        <f>(10^AE4-Q4)/Q4*100</f>
        <v>-98.556051483655523</v>
      </c>
      <c r="AH4" s="13"/>
    </row>
    <row r="5" spans="1:34" s="34" customFormat="1" x14ac:dyDescent="0.15">
      <c r="A5" s="36">
        <v>50</v>
      </c>
      <c r="B5" s="36">
        <v>33.207999999999998</v>
      </c>
      <c r="C5" s="36">
        <v>26.21</v>
      </c>
      <c r="D5" s="36">
        <v>4.5789999999999997</v>
      </c>
      <c r="E5" s="36">
        <v>1.7</v>
      </c>
      <c r="F5" s="36">
        <v>0.1</v>
      </c>
      <c r="G5" s="36">
        <v>2282</v>
      </c>
      <c r="H5" s="36">
        <v>9.31</v>
      </c>
      <c r="I5" s="36">
        <v>3.09</v>
      </c>
      <c r="J5" s="36">
        <v>14.2</v>
      </c>
      <c r="K5" s="36">
        <v>8.2729999999999997</v>
      </c>
      <c r="L5" s="11">
        <f>10^-K5</f>
        <v>5.3333489548762025E-9</v>
      </c>
      <c r="M5" s="11">
        <f>1/(L5/(10^-6)+1+(10^-9.11)/L5)</f>
        <v>0.86890088070172</v>
      </c>
      <c r="N5" s="11">
        <f>(10^-6)*G5/0.958*M5</f>
        <v>2.0697618055963729E-3</v>
      </c>
      <c r="O5" s="11">
        <f>1/(L5^2/(10^-15.11)+L5/(10^-9.11)+1)</f>
        <v>0.12646496769429855</v>
      </c>
      <c r="P5" s="11">
        <f>G5/0.958*(10^-6)*O5</f>
        <v>3.0124536145969654E-4</v>
      </c>
      <c r="Q5" s="11">
        <f>H5*10^-12</f>
        <v>9.3099999999999997E-12</v>
      </c>
      <c r="R5" s="9">
        <f>LOG(Q5)</f>
        <v>-11.031050319018657</v>
      </c>
      <c r="S5" s="10">
        <v>0.34782608695652173</v>
      </c>
      <c r="T5" s="9">
        <f>LOG(S5)</f>
        <v>-0.4586378490256493</v>
      </c>
      <c r="U5" s="8">
        <f>24+LOG(H5*0.000001)-0.25*T5-3*K5</f>
        <v>-5.735390856762244</v>
      </c>
      <c r="V5" s="8">
        <f>14.42+LOG(H5*0.000001)-0.25*T5-3*K5</f>
        <v>-15.315390856762244</v>
      </c>
      <c r="W5" s="8">
        <f>20.9+LOG(H5*0.000001)-0.25*T5-3*K5</f>
        <v>-8.8353908567622454</v>
      </c>
      <c r="X5" s="8">
        <f>27.9+LOG(H5*0.000001)-0.25*T5-3*K5</f>
        <v>-1.8353908567622454</v>
      </c>
      <c r="Y5" s="8">
        <f>25.6+LOG(H5*0.000001)-0.25*T5-3*K5</f>
        <v>-4.1353908567622426</v>
      </c>
      <c r="Z5" s="8">
        <f>16.2-0.25*T5-3*K5</f>
        <v>-8.5043405377435874</v>
      </c>
      <c r="AA5" s="9">
        <f>2.94+LOG(N5)-2*K5-0.25*T5-LOG(0.449)</f>
        <v>-15.827666510327361</v>
      </c>
      <c r="AB5" s="9">
        <f>7.91+LOG(P5)-3*K5-0.25*T5-LOG(0.449)</f>
        <v>-19.967666510327362</v>
      </c>
      <c r="AC5" s="8">
        <f>8.38+2*LOG(N5)-0.25*T5-K5-LOG(0.157)</f>
        <v>-4.3423994533137238</v>
      </c>
      <c r="AD5" s="8">
        <f>9.86+2*LOG(P5)-0.25*T5-3*K5-LOG(0.157)</f>
        <v>-21.082399453313727</v>
      </c>
      <c r="AE5" s="9">
        <f>18.13+2*LOG(P5)-3*K5-LOG(0.157)</f>
        <v>-12.927058915570138</v>
      </c>
      <c r="AF5" s="13">
        <f>(10^W5-Q5)/Q5*100</f>
        <v>15591.319385897572</v>
      </c>
      <c r="AG5" s="13">
        <f>(10^AE5-Q5)/Q5*100</f>
        <v>-98.729451044656486</v>
      </c>
      <c r="AH5" s="13"/>
    </row>
    <row r="6" spans="1:34" s="34" customFormat="1" x14ac:dyDescent="0.15">
      <c r="A6" s="36">
        <v>100</v>
      </c>
      <c r="B6" s="36">
        <v>34.579000000000001</v>
      </c>
      <c r="C6" s="36">
        <v>18.61</v>
      </c>
      <c r="D6" s="36">
        <v>3.4630000000000001</v>
      </c>
      <c r="E6" s="36">
        <v>13.3</v>
      </c>
      <c r="F6" s="36">
        <v>0.87</v>
      </c>
      <c r="G6" s="36">
        <v>2290</v>
      </c>
      <c r="H6" s="36">
        <v>6.61</v>
      </c>
      <c r="I6" s="36">
        <v>2.2599999999999998</v>
      </c>
      <c r="J6" s="36">
        <v>10.4</v>
      </c>
      <c r="K6" s="36">
        <v>8.1219999999999999</v>
      </c>
      <c r="L6" s="11">
        <f>10^-K6</f>
        <v>7.5509222766543237E-9</v>
      </c>
      <c r="M6" s="11">
        <f>1/(L6/(10^-6)+1+(10^-9.11)/L6)</f>
        <v>0.90061485256943297</v>
      </c>
      <c r="N6" s="11">
        <f>(10^-6)*G6/0.958*M6</f>
        <v>2.1528267352651374E-3</v>
      </c>
      <c r="O6" s="11">
        <f>1/(L6^2/(10^-15.11)+L6/(10^-9.11)+1)</f>
        <v>9.2584674677614831E-2</v>
      </c>
      <c r="P6" s="11">
        <f>G6/0.958*(10^-6)*O6</f>
        <v>2.2131409708949683E-4</v>
      </c>
      <c r="Q6" s="11">
        <f>H6*10^-12</f>
        <v>6.6100000000000003E-12</v>
      </c>
      <c r="R6" s="9">
        <f>LOG(Q6)</f>
        <v>-11.17979854051436</v>
      </c>
      <c r="S6" s="10">
        <v>0.27536231884057971</v>
      </c>
      <c r="T6" s="9">
        <f>LOG(S6)</f>
        <v>-0.56009548978442636</v>
      </c>
      <c r="U6" s="8">
        <f>24+LOG(H6*0.000001)-0.25*T6-3*K6</f>
        <v>-5.4057746680682506</v>
      </c>
      <c r="V6" s="8">
        <f>14.42+LOG(H6*0.000001)-0.25*T6-3*K6</f>
        <v>-14.985774668068254</v>
      </c>
      <c r="W6" s="8">
        <f>20.9+LOG(H6*0.000001)-0.25*T6-3*K6</f>
        <v>-8.5057746680682538</v>
      </c>
      <c r="X6" s="8">
        <f>27.9+LOG(H6*0.000001)-0.25*T6-3*K6</f>
        <v>-1.505774668068252</v>
      </c>
      <c r="Y6" s="8">
        <f>25.6+LOG(H6*0.000001)-0.25*T6-3*K6</f>
        <v>-3.8057746680682492</v>
      </c>
      <c r="Z6" s="8">
        <f>16.2-0.25*T6-3*K6</f>
        <v>-8.0259761275538928</v>
      </c>
      <c r="AA6" s="9">
        <f>2.94+LOG(N6)-2*K6-0.25*T6-LOG(0.449)</f>
        <v>-15.483213390404073</v>
      </c>
      <c r="AB6" s="9">
        <f>7.91+LOG(P6)-3*K6-0.25*T6-LOG(0.449)</f>
        <v>-19.623213390404072</v>
      </c>
      <c r="AC6" s="8">
        <f>8.38+2*LOG(N6)-0.25*T6-K6-LOG(0.157)</f>
        <v>-4.1318576236568356</v>
      </c>
      <c r="AD6" s="8">
        <f>9.86+2*LOG(P6)-0.25*T6-3*K6-LOG(0.157)</f>
        <v>-20.871857623656837</v>
      </c>
      <c r="AE6" s="9">
        <f>18.13+2*LOG(P6)-3*K6-LOG(0.157)</f>
        <v>-12.741881496102943</v>
      </c>
      <c r="AF6" s="13">
        <f>(10^W6-Q6)/Q6*100</f>
        <v>47108.899049783904</v>
      </c>
      <c r="AG6" s="13">
        <f>(10^AE6-Q6)/Q6*100</f>
        <v>-97.258949452453919</v>
      </c>
      <c r="AH6" s="13"/>
    </row>
    <row r="7" spans="1:34" s="34" customFormat="1" x14ac:dyDescent="0.15">
      <c r="A7" s="36">
        <v>297</v>
      </c>
      <c r="B7" s="36">
        <v>34.475999999999999</v>
      </c>
      <c r="C7" s="36">
        <v>11.82</v>
      </c>
      <c r="D7" s="36">
        <v>2.6915</v>
      </c>
      <c r="E7" s="36">
        <v>39.200000000000003</v>
      </c>
      <c r="F7" s="36">
        <v>1.58</v>
      </c>
      <c r="G7" s="36">
        <v>2326</v>
      </c>
      <c r="H7" s="36">
        <v>3.2</v>
      </c>
      <c r="I7" s="36">
        <v>2.54</v>
      </c>
      <c r="J7" s="36">
        <v>11.7</v>
      </c>
      <c r="K7" s="36">
        <v>7.9219999999999997</v>
      </c>
      <c r="L7" s="11">
        <f>10^-K7</f>
        <v>1.1967405313072431E-8</v>
      </c>
      <c r="M7" s="11">
        <f>1/(L7/(10^-6)+1+(10^-9.11)/L7)</f>
        <v>0.92865095872490977</v>
      </c>
      <c r="N7" s="11">
        <f>(10^-6)*G7/0.958*M7</f>
        <v>2.2547412630418997E-3</v>
      </c>
      <c r="O7" s="11">
        <f>1/(L7^2/(10^-15.11)+L7/(10^-9.11)+1)</f>
        <v>6.0235498857655952E-2</v>
      </c>
      <c r="P7" s="11">
        <f>G7/0.958*(10^-6)*O7</f>
        <v>1.4625028219510203E-4</v>
      </c>
      <c r="Q7" s="11">
        <f>H7*10^-12</f>
        <v>3.2000000000000001E-12</v>
      </c>
      <c r="R7" s="9">
        <f>LOG(Q7)</f>
        <v>-11.494850021680094</v>
      </c>
      <c r="S7" s="10">
        <v>0.18840579710144931</v>
      </c>
      <c r="T7" s="9">
        <f>LOG(S7)</f>
        <v>-0.7249057384304185</v>
      </c>
      <c r="U7" s="8">
        <f>24+LOG(H7*0.000001)-0.25*T7-3*K7</f>
        <v>-5.0796235870724864</v>
      </c>
      <c r="V7" s="8">
        <f>14.42+LOG(H7*0.000001)-0.25*T7-3*K7</f>
        <v>-14.659623587072488</v>
      </c>
      <c r="W7" s="8">
        <f>20.9+LOG(H7*0.000001)-0.25*T7-3*K7</f>
        <v>-8.1796235870724896</v>
      </c>
      <c r="X7" s="8">
        <f>27.9+LOG(H7*0.000001)-0.25*T7-3*K7</f>
        <v>-1.1796235870724878</v>
      </c>
      <c r="Y7" s="8">
        <f>25.6+LOG(H7*0.000001)-0.25*T7-3*K7</f>
        <v>-3.479623587072485</v>
      </c>
      <c r="Z7" s="8">
        <f>16.2-0.25*T7-3*K7</f>
        <v>-7.3847735653923934</v>
      </c>
      <c r="AA7" s="9">
        <f>2.94+LOG(N7)-2*K7-0.25*T7-LOG(0.449)</f>
        <v>-15.021923193654098</v>
      </c>
      <c r="AB7" s="9">
        <f>7.91+LOG(P7)-3*K7-0.25*T7-LOG(0.449)</f>
        <v>-19.161923193654097</v>
      </c>
      <c r="AC7" s="8">
        <f>8.38+2*LOG(N7)-0.25*T7-K7-LOG(0.157)</f>
        <v>-3.8504797923183887</v>
      </c>
      <c r="AD7" s="8">
        <f>9.86+2*LOG(P7)-0.25*T7-3*K7-LOG(0.157)</f>
        <v>-20.590479792318391</v>
      </c>
      <c r="AE7" s="9">
        <f>18.13+2*LOG(P7)-3*K7-LOG(0.157)</f>
        <v>-12.501706226925995</v>
      </c>
      <c r="AF7" s="13">
        <f>(10^W7-Q7)/Q7*100</f>
        <v>206545.72947215533</v>
      </c>
      <c r="AG7" s="13">
        <f>(10^AE7-Q7)/Q7*100</f>
        <v>-90.156630345559932</v>
      </c>
      <c r="AH7" s="13"/>
    </row>
    <row r="8" spans="1:34" s="34" customFormat="1" x14ac:dyDescent="0.15">
      <c r="A8" s="36">
        <v>398</v>
      </c>
      <c r="B8" s="36">
        <v>34.436999999999998</v>
      </c>
      <c r="C8" s="36">
        <v>10.119999999999999</v>
      </c>
      <c r="D8" s="36">
        <v>2.3610000000000002</v>
      </c>
      <c r="E8" s="36">
        <v>52.5</v>
      </c>
      <c r="F8" s="36">
        <v>1.83</v>
      </c>
      <c r="G8" s="36">
        <v>2312</v>
      </c>
      <c r="H8" s="36">
        <v>3.01</v>
      </c>
      <c r="I8" s="36">
        <v>2.78</v>
      </c>
      <c r="J8" s="36">
        <v>12.9</v>
      </c>
      <c r="K8" s="36">
        <v>7.85</v>
      </c>
      <c r="L8" s="11">
        <f>10^-K8</f>
        <v>1.4125375446227547E-8</v>
      </c>
      <c r="M8" s="11">
        <f>1/(L8/(10^-6)+1+(10^-9.11)/L8)</f>
        <v>0.93538416438288086</v>
      </c>
      <c r="N8" s="11">
        <f>(10^-6)*G8/0.958*M8</f>
        <v>2.2574198205148441E-3</v>
      </c>
      <c r="O8" s="11">
        <f>1/(L8^2/(10^-15.11)+L8/(10^-9.11)+1)</f>
        <v>5.1403183108755114E-2</v>
      </c>
      <c r="P8" s="11">
        <f>G8/0.958*(10^-6)*O8</f>
        <v>1.2405444608292466E-4</v>
      </c>
      <c r="Q8" s="11">
        <f>H8*10^-12</f>
        <v>3.0099999999999999E-12</v>
      </c>
      <c r="R8" s="9">
        <f>LOG(Q8)</f>
        <v>-11.521433504406156</v>
      </c>
      <c r="S8" s="10">
        <v>0.17753623188405798</v>
      </c>
      <c r="T8" s="9">
        <f>LOG(S8)</f>
        <v>-0.75071300203670399</v>
      </c>
      <c r="U8" s="8">
        <f>24+LOG(H8*0.000001)-0.25*T8-3*K8</f>
        <v>-4.8837552538969788</v>
      </c>
      <c r="V8" s="8">
        <f>14.42+LOG(H8*0.000001)-0.25*T8-3*K8</f>
        <v>-14.463755253896977</v>
      </c>
      <c r="W8" s="8">
        <f>20.9+LOG(H8*0.000001)-0.25*T8-3*K8</f>
        <v>-7.9837552538969803</v>
      </c>
      <c r="X8" s="8">
        <f>27.9+LOG(H8*0.000001)-0.25*T8-3*K8</f>
        <v>-0.98375525389698026</v>
      </c>
      <c r="Y8" s="8">
        <f>25.6+LOG(H8*0.000001)-0.25*T8-3*K8</f>
        <v>-3.2837552538969774</v>
      </c>
      <c r="Z8" s="8">
        <f>16.2-0.25*T8-3*K8</f>
        <v>-7.1623217494908218</v>
      </c>
      <c r="AA8" s="9">
        <f>2.94+LOG(N8)-2*K8-0.25*T8-LOG(0.449)</f>
        <v>-14.870955756592259</v>
      </c>
      <c r="AB8" s="9">
        <f>7.91+LOG(P8)-3*K8-0.25*T8-LOG(0.449)</f>
        <v>-19.01095575659226</v>
      </c>
      <c r="AC8" s="8">
        <f>8.38+2*LOG(N8)-0.25*T8-K8-LOG(0.157)</f>
        <v>-3.7709967340962844</v>
      </c>
      <c r="AD8" s="8">
        <f>9.86+2*LOG(P8)-0.25*T8-3*K8-LOG(0.157)</f>
        <v>-20.510996734096285</v>
      </c>
      <c r="AE8" s="9">
        <f>18.13+2*LOG(P8)-3*K8-LOG(0.157)</f>
        <v>-12.428674984605461</v>
      </c>
      <c r="AF8" s="13">
        <f>(10^W8-Q8)/Q8*100</f>
        <v>344788.13236585149</v>
      </c>
      <c r="AG8" s="13">
        <f>(10^AE8-Q8)/Q8*100</f>
        <v>-87.618920284714946</v>
      </c>
      <c r="AH8" s="13"/>
    </row>
    <row r="9" spans="1:34" s="34" customFormat="1" x14ac:dyDescent="0.15">
      <c r="A9" s="36">
        <v>495</v>
      </c>
      <c r="B9" s="36">
        <v>34.426000000000002</v>
      </c>
      <c r="C9" s="36">
        <v>8.75</v>
      </c>
      <c r="D9" s="36">
        <v>2.1429</v>
      </c>
      <c r="E9" s="36">
        <v>67</v>
      </c>
      <c r="F9" s="36">
        <v>2.08</v>
      </c>
      <c r="G9" s="36">
        <v>2362</v>
      </c>
      <c r="H9" s="36">
        <v>3.31</v>
      </c>
      <c r="I9" s="36">
        <v>3</v>
      </c>
      <c r="J9" s="36">
        <v>14.3</v>
      </c>
      <c r="K9" s="36">
        <v>7.8650000000000002</v>
      </c>
      <c r="L9" s="11">
        <f>10^-K9</f>
        <v>1.3645831365889203E-8</v>
      </c>
      <c r="M9" s="11">
        <f>1/(L9/(10^-6)+1+(10^-9.11)/L9)</f>
        <v>0.93411576474575497</v>
      </c>
      <c r="N9" s="11">
        <f>(10^-6)*G9/0.958*M9</f>
        <v>2.3031121464817048E-3</v>
      </c>
      <c r="O9" s="11">
        <f>1/(L9^2/(10^-15.11)+L9/(10^-9.11)+1)</f>
        <v>5.3137449052305954E-2</v>
      </c>
      <c r="P9" s="11">
        <f>G9/0.958*(10^-6)*O9</f>
        <v>1.3101320945881699E-4</v>
      </c>
      <c r="Q9" s="11">
        <f>H9*10^-12</f>
        <v>3.3099999999999998E-12</v>
      </c>
      <c r="R9" s="9">
        <f>LOG(Q9)</f>
        <v>-11.480172006224281</v>
      </c>
      <c r="S9" s="10">
        <v>0.1630434782608696</v>
      </c>
      <c r="T9" s="9">
        <f>LOG(S9)</f>
        <v>-0.787696568289874</v>
      </c>
      <c r="U9" s="8">
        <f>24+LOG(H9*0.000001)-0.25*T9-3*K9</f>
        <v>-4.8782478641518097</v>
      </c>
      <c r="V9" s="8">
        <f>14.42+LOG(H9*0.000001)-0.25*T9-3*K9</f>
        <v>-14.458247864151812</v>
      </c>
      <c r="W9" s="8">
        <f>20.9+LOG(H9*0.000001)-0.25*T9-3*K9</f>
        <v>-7.9782478641518129</v>
      </c>
      <c r="X9" s="8">
        <f>27.9+LOG(H9*0.000001)-0.25*T9-3*K9</f>
        <v>-0.97824786415181109</v>
      </c>
      <c r="Y9" s="8">
        <f>25.6+LOG(H9*0.000001)-0.25*T9-3*K9</f>
        <v>-3.2782478641518082</v>
      </c>
      <c r="Z9" s="8">
        <f>16.2-0.25*T9-3*K9</f>
        <v>-7.198075857927531</v>
      </c>
      <c r="AA9" s="9">
        <f>2.94+LOG(N9)-2*K9-0.25*T9-LOG(0.449)</f>
        <v>-14.883007113154052</v>
      </c>
      <c r="AB9" s="9">
        <f>7.91+LOG(P9)-3*K9-0.25*T9-LOG(0.449)</f>
        <v>-19.023007113154051</v>
      </c>
      <c r="AC9" s="8">
        <f>8.38+2*LOG(N9)-0.25*T9-K9-LOG(0.157)</f>
        <v>-3.7593453387831595</v>
      </c>
      <c r="AD9" s="8">
        <f>9.86+2*LOG(P9)-0.25*T9-3*K9-LOG(0.157)</f>
        <v>-20.499345338783161</v>
      </c>
      <c r="AE9" s="9">
        <f>18.13+2*LOG(P9)-3*K9-LOG(0.157)</f>
        <v>-12.426269480855627</v>
      </c>
      <c r="AF9" s="13">
        <f>(10^W9-Q9)/Q9*100</f>
        <v>317531.92166338419</v>
      </c>
      <c r="AG9" s="13">
        <f>(10^AE9-Q9)/Q9*100</f>
        <v>-88.678537682959046</v>
      </c>
      <c r="AH9" s="13"/>
    </row>
    <row r="10" spans="1:34" s="34" customFormat="1" x14ac:dyDescent="0.15">
      <c r="A10" s="36">
        <v>795</v>
      </c>
      <c r="B10" s="36">
        <v>34.475999999999999</v>
      </c>
      <c r="C10" s="36">
        <v>5.75</v>
      </c>
      <c r="D10" s="36">
        <v>1.9388000000000001</v>
      </c>
      <c r="E10" s="36">
        <v>106.1</v>
      </c>
      <c r="F10" s="36">
        <v>2.46</v>
      </c>
      <c r="G10" s="36">
        <v>2428</v>
      </c>
      <c r="H10" s="36">
        <v>5.51</v>
      </c>
      <c r="I10" s="36">
        <v>3.12</v>
      </c>
      <c r="J10" s="36">
        <v>14.6</v>
      </c>
      <c r="K10" s="36">
        <v>7.6680000000000001</v>
      </c>
      <c r="L10" s="11">
        <f>10^-K10</f>
        <v>2.1478304741305266E-8</v>
      </c>
      <c r="M10" s="11">
        <f>1/(L10/(10^-6)+1+(10^-9.11)/L10)</f>
        <v>0.9455198184306004</v>
      </c>
      <c r="N10" s="11">
        <f>(10^-6)*G10/0.958*M10</f>
        <v>2.3963696442061565E-3</v>
      </c>
      <c r="O10" s="11">
        <f>1/(L10^2/(10^-15.11)+L10/(10^-9.11)+1)</f>
        <v>3.4172018770203594E-2</v>
      </c>
      <c r="P10" s="11">
        <f>G10/0.958*(10^-6)*O10</f>
        <v>8.6607162394628729E-5</v>
      </c>
      <c r="Q10" s="11">
        <f>H10*10^-12</f>
        <v>5.5099999999999997E-12</v>
      </c>
      <c r="R10" s="9">
        <f>LOG(Q10)</f>
        <v>-11.258848401148216</v>
      </c>
      <c r="S10" s="10">
        <v>0.14492753623188409</v>
      </c>
      <c r="T10" s="9">
        <f>LOG(S10)</f>
        <v>-0.83884909073725522</v>
      </c>
      <c r="U10" s="8">
        <f>24+LOG(H10*0.000001)-0.25*T10-3*K10</f>
        <v>-4.0531361284639011</v>
      </c>
      <c r="V10" s="8">
        <f>14.42+LOG(H10*0.000001)-0.25*T10-3*K10</f>
        <v>-13.633136128463903</v>
      </c>
      <c r="W10" s="8">
        <f>20.9+LOG(H10*0.000001)-0.25*T10-3*K10</f>
        <v>-7.1531361284639026</v>
      </c>
      <c r="X10" s="8">
        <f>27.9+LOG(H10*0.000001)-0.25*T10-3*K10</f>
        <v>-0.15313612846390257</v>
      </c>
      <c r="Y10" s="8">
        <f>25.6+LOG(H10*0.000001)-0.25*T10-3*K10</f>
        <v>-2.4531361284638997</v>
      </c>
      <c r="Z10" s="8">
        <f>16.2-0.25*T10-3*K10</f>
        <v>-6.5942877273156881</v>
      </c>
      <c r="AA10" s="9">
        <f>2.94+LOG(N10)-2*K10-0.25*T10-LOG(0.449)</f>
        <v>-14.458980258751566</v>
      </c>
      <c r="AB10" s="9">
        <f>7.91+LOG(P10)-3*K10-0.25*T10-LOG(0.449)</f>
        <v>-18.598980258751567</v>
      </c>
      <c r="AC10" s="8">
        <f>8.38+2*LOG(N10)-0.25*T10-K10-LOG(0.157)</f>
        <v>-3.5150797605900337</v>
      </c>
      <c r="AD10" s="8">
        <f>9.86+2*LOG(P10)-0.25*T10-3*K10-LOG(0.157)</f>
        <v>-20.255079760590036</v>
      </c>
      <c r="AE10" s="9">
        <f>18.13+2*LOG(P10)-3*K10-LOG(0.157)</f>
        <v>-12.194792033274348</v>
      </c>
      <c r="AF10" s="13">
        <f>(10^W10-Q10)/Q10*100</f>
        <v>1275493.4269466389</v>
      </c>
      <c r="AG10" s="13">
        <f>(10^AE10-Q10)/Q10*100</f>
        <v>-88.410722342550358</v>
      </c>
      <c r="AH10" s="13"/>
    </row>
    <row r="11" spans="1:34" s="34" customFormat="1" x14ac:dyDescent="0.15">
      <c r="A11" s="36">
        <v>997</v>
      </c>
      <c r="B11" s="36">
        <v>34.526000000000003</v>
      </c>
      <c r="C11" s="36">
        <v>4.53</v>
      </c>
      <c r="D11" s="36">
        <v>2.0173000000000001</v>
      </c>
      <c r="E11" s="36">
        <v>127.1</v>
      </c>
      <c r="F11" s="36">
        <v>2.62</v>
      </c>
      <c r="G11" s="36">
        <v>2406</v>
      </c>
      <c r="H11" s="36">
        <v>8.0299999999999994</v>
      </c>
      <c r="I11" s="36">
        <v>4.26</v>
      </c>
      <c r="J11" s="36">
        <v>19.8</v>
      </c>
      <c r="K11" s="36">
        <v>7.673</v>
      </c>
      <c r="L11" s="11">
        <f>10^-K11</f>
        <v>2.1232444620002121E-8</v>
      </c>
      <c r="M11" s="11">
        <f>1/(L11/(10^-6)+1+(10^-9.11)/L11)</f>
        <v>0.94536550858251545</v>
      </c>
      <c r="N11" s="11">
        <f>(10^-6)*G11/0.958*M11</f>
        <v>2.3742686990078621E-3</v>
      </c>
      <c r="O11" s="11">
        <f>1/(L11^2/(10^-15.11)+L11/(10^-9.11)+1)</f>
        <v>3.4562070610846117E-2</v>
      </c>
      <c r="P11" s="11">
        <f>G11/0.958*(10^-6)*O11</f>
        <v>8.6802027024734609E-5</v>
      </c>
      <c r="Q11" s="11">
        <f>H11*10^-12</f>
        <v>8.0299999999999987E-12</v>
      </c>
      <c r="R11" s="9">
        <f>LOG(Q11)</f>
        <v>-11.09528445472132</v>
      </c>
      <c r="S11" s="10">
        <v>0.14130434782608697</v>
      </c>
      <c r="T11" s="9">
        <f>LOG(S11)</f>
        <v>-0.84984447503871841</v>
      </c>
      <c r="U11" s="8">
        <f>24+LOG(H11*0.000001)-0.25*T11-3*K11</f>
        <v>-3.9018233359616374</v>
      </c>
      <c r="V11" s="8">
        <f>14.42+LOG(H11*0.000001)-0.25*T11-3*K11</f>
        <v>-13.481823335961638</v>
      </c>
      <c r="W11" s="8">
        <f>20.9+LOG(H11*0.000001)-0.25*T11-3*K11</f>
        <v>-7.0018233359616389</v>
      </c>
      <c r="X11" s="8">
        <f>27.9+LOG(H11*0.000001)-0.25*T11-3*K11</f>
        <v>-1.8233359616388611E-3</v>
      </c>
      <c r="Y11" s="8">
        <f>25.6+LOG(H11*0.000001)-0.25*T11-3*K11</f>
        <v>-2.301823335961636</v>
      </c>
      <c r="Z11" s="8">
        <f>16.2-0.25*T11-3*K11</f>
        <v>-6.6065388812403185</v>
      </c>
      <c r="AA11" s="9">
        <f>2.94+LOG(N11)-2*K11-0.25*T11-LOG(0.449)</f>
        <v>-14.470255355184918</v>
      </c>
      <c r="AB11" s="9">
        <f>7.91+LOG(P11)-3*K11-0.25*T11-LOG(0.449)</f>
        <v>-18.610255355184915</v>
      </c>
      <c r="AC11" s="8">
        <f>8.38+2*LOG(N11)-0.25*T11-K11-LOG(0.157)</f>
        <v>-3.5253787995321009</v>
      </c>
      <c r="AD11" s="8">
        <f>9.86+2*LOG(P11)-0.25*T11-3*K11-LOG(0.157)</f>
        <v>-20.265378799532101</v>
      </c>
      <c r="AE11" s="9">
        <f>18.13+2*LOG(P11)-3*K11-LOG(0.157)</f>
        <v>-12.207839918291779</v>
      </c>
      <c r="AF11" s="13">
        <f>(10^W11-Q11)/Q11*100</f>
        <v>1240012.5961366543</v>
      </c>
      <c r="AG11" s="13">
        <f>(10^AE11-Q11)/Q11*100</f>
        <v>-92.2830704329984</v>
      </c>
      <c r="AH11" s="13"/>
    </row>
    <row r="12" spans="1:34" s="34" customFormat="1" x14ac:dyDescent="0.15">
      <c r="A12" s="36">
        <v>1488</v>
      </c>
      <c r="B12" s="36">
        <v>34.594999999999999</v>
      </c>
      <c r="C12" s="36">
        <v>2.93</v>
      </c>
      <c r="D12" s="36">
        <v>2.2296999999999998</v>
      </c>
      <c r="E12" s="36">
        <v>152.6</v>
      </c>
      <c r="F12" s="36">
        <v>2.7</v>
      </c>
      <c r="G12" s="36">
        <v>2417</v>
      </c>
      <c r="H12" s="36">
        <v>8.9600000000000009</v>
      </c>
      <c r="I12" s="36">
        <v>5.38</v>
      </c>
      <c r="J12" s="36">
        <v>24.7</v>
      </c>
      <c r="K12" s="36">
        <v>7.657</v>
      </c>
      <c r="L12" s="11">
        <f>10^-K12</f>
        <v>2.2029264630534499E-8</v>
      </c>
      <c r="M12" s="11">
        <f>1/(L12/(10^-6)+1+(10^-9.11)/L12)</f>
        <v>0.94583545419674109</v>
      </c>
      <c r="N12" s="11">
        <f>(10^-6)*G12/0.958*M12</f>
        <v>2.3863092826654731E-3</v>
      </c>
      <c r="O12" s="11">
        <f>1/(L12^2/(10^-15.11)+L12/(10^-9.11)+1)</f>
        <v>3.3328486285817242E-2</v>
      </c>
      <c r="P12" s="11">
        <f>G12/0.958*(10^-6)*O12</f>
        <v>8.4086588050960608E-5</v>
      </c>
      <c r="Q12" s="11">
        <f>H12*10^-12</f>
        <v>8.9600000000000006E-12</v>
      </c>
      <c r="R12" s="9">
        <f>LOG(Q12)</f>
        <v>-11.047691990337874</v>
      </c>
      <c r="S12" s="10">
        <v>0.1630434782608696</v>
      </c>
      <c r="T12" s="9">
        <f>LOG(S12)</f>
        <v>-0.787696568289874</v>
      </c>
      <c r="U12" s="8">
        <f>24+LOG(H12*0.000001)-0.25*T12-3*K12</f>
        <v>-3.8217678482654058</v>
      </c>
      <c r="V12" s="8">
        <f>14.42+LOG(H12*0.000001)-0.25*T12-3*K12</f>
        <v>-13.401767848265408</v>
      </c>
      <c r="W12" s="8">
        <f>20.9+LOG(H12*0.000001)-0.25*T12-3*K12</f>
        <v>-6.9217678482654073</v>
      </c>
      <c r="X12" s="8">
        <f>27.9+LOG(H12*0.000001)-0.25*T12-3*K12</f>
        <v>7.8232151734592748E-2</v>
      </c>
      <c r="Y12" s="8">
        <f>25.6+LOG(H12*0.000001)-0.25*T12-3*K12</f>
        <v>-2.2217678482654044</v>
      </c>
      <c r="Z12" s="8">
        <f>16.2-0.25*T12-3*K12</f>
        <v>-6.5740758579275322</v>
      </c>
      <c r="AA12" s="9">
        <f>2.94+LOG(N12)-2*K12-0.25*T12-LOG(0.449)</f>
        <v>-14.451595468293016</v>
      </c>
      <c r="AB12" s="9">
        <f>7.91+LOG(P12)-3*K12-0.25*T12-LOG(0.449)</f>
        <v>-18.591595468293015</v>
      </c>
      <c r="AC12" s="8">
        <f>8.38+2*LOG(N12)-0.25*T12-K12-LOG(0.157)</f>
        <v>-3.5205220490610865</v>
      </c>
      <c r="AD12" s="8">
        <f>9.86+2*LOG(P12)-0.25*T12-3*K12-LOG(0.157)</f>
        <v>-20.260522049061088</v>
      </c>
      <c r="AE12" s="9">
        <f>18.13+2*LOG(P12)-3*K12-LOG(0.157)</f>
        <v>-12.187446191133555</v>
      </c>
      <c r="AF12" s="13">
        <f>(10^W12-Q12)/Q12*100</f>
        <v>1336262.0746870714</v>
      </c>
      <c r="AG12" s="13">
        <f>(10^AE12-Q12)/Q12*100</f>
        <v>-92.751539122587346</v>
      </c>
      <c r="AH12" s="13"/>
    </row>
    <row r="13" spans="1:34" s="34" customFormat="1" x14ac:dyDescent="0.15">
      <c r="A13" s="36">
        <v>1981</v>
      </c>
      <c r="B13" s="36">
        <v>34.61</v>
      </c>
      <c r="C13" s="36">
        <v>2.52</v>
      </c>
      <c r="D13" s="36">
        <v>2.3085</v>
      </c>
      <c r="E13" s="36">
        <v>155.80000000000001</v>
      </c>
      <c r="F13" s="36">
        <v>2.66</v>
      </c>
      <c r="G13" s="36">
        <v>2457</v>
      </c>
      <c r="H13" s="36">
        <v>11.95</v>
      </c>
      <c r="I13" s="36">
        <v>6.58</v>
      </c>
      <c r="J13" s="36">
        <v>29.6</v>
      </c>
      <c r="K13" s="36">
        <v>7.665</v>
      </c>
      <c r="L13" s="11">
        <f>10^-K13</f>
        <v>2.1627185237270173E-8</v>
      </c>
      <c r="M13" s="11">
        <f>1/(L13/(10^-6)+1+(10^-9.11)/L13)</f>
        <v>0.94560914924095052</v>
      </c>
      <c r="N13" s="11">
        <f>(10^-6)*G13/0.958*M13</f>
        <v>2.4252209600052355E-3</v>
      </c>
      <c r="O13" s="11">
        <f>1/(L13^2/(10^-15.11)+L13/(10^-9.11)+1)</f>
        <v>3.3939986526357928E-2</v>
      </c>
      <c r="P13" s="11">
        <f>G13/0.958*(10^-6)*O13</f>
        <v>8.7046499890669555E-5</v>
      </c>
      <c r="Q13" s="11">
        <f>H13*10^-12</f>
        <v>1.195E-11</v>
      </c>
      <c r="R13" s="9">
        <f>LOG(Q13)</f>
        <v>-10.922632094715844</v>
      </c>
      <c r="S13" s="10">
        <v>0.17391304347826086</v>
      </c>
      <c r="T13" s="9">
        <f>LOG(S13)</f>
        <v>-0.75966784468963056</v>
      </c>
      <c r="U13" s="8">
        <f>24+LOG(H13*0.000001)-0.25*T13-3*K13</f>
        <v>-3.7277151335434375</v>
      </c>
      <c r="V13" s="8">
        <f>14.42+LOG(H13*0.000001)-0.25*T13-3*K13</f>
        <v>-13.307715133543436</v>
      </c>
      <c r="W13" s="8">
        <f>20.9+LOG(H13*0.000001)-0.25*T13-3*K13</f>
        <v>-6.827715133543439</v>
      </c>
      <c r="X13" s="8">
        <f>27.9+LOG(H13*0.000001)-0.25*T13-3*K13</f>
        <v>0.17228486645656105</v>
      </c>
      <c r="Y13" s="8">
        <f>25.6+LOG(H13*0.000001)-0.25*T13-3*K13</f>
        <v>-2.1277151335434361</v>
      </c>
      <c r="Z13" s="8">
        <f>16.2-0.25*T13-3*K13</f>
        <v>-6.6050830388275941</v>
      </c>
      <c r="AA13" s="9">
        <f>2.94+LOG(N13)-2*K13-0.25*T13-LOG(0.449)</f>
        <v>-14.467578066855783</v>
      </c>
      <c r="AB13" s="9">
        <f>7.91+LOG(P13)-3*K13-0.25*T13-LOG(0.449)</f>
        <v>-18.607578066855783</v>
      </c>
      <c r="AC13" s="8">
        <f>8.38+2*LOG(N13)-0.25*T13-K13-LOG(0.157)</f>
        <v>-3.5214800652865588</v>
      </c>
      <c r="AD13" s="8">
        <f>9.86+2*LOG(P13)-0.25*T13-3*K13-LOG(0.157)</f>
        <v>-20.261480065286563</v>
      </c>
      <c r="AE13" s="9">
        <f>18.13+2*LOG(P13)-3*K13-LOG(0.157)</f>
        <v>-12.181397026458969</v>
      </c>
      <c r="AF13" s="13">
        <f>(10^W13-Q13)/Q13*100</f>
        <v>1244176.6783887986</v>
      </c>
      <c r="AG13" s="13">
        <f>(10^AE13-Q13)/Q13*100</f>
        <v>-94.48894090152892</v>
      </c>
      <c r="AH13" s="13"/>
    </row>
    <row r="14" spans="1:34" s="34" customFormat="1" x14ac:dyDescent="0.15">
      <c r="A14" s="36">
        <v>2473</v>
      </c>
      <c r="B14" s="36">
        <v>34.618000000000002</v>
      </c>
      <c r="C14" s="36">
        <v>2.39</v>
      </c>
      <c r="D14" s="36">
        <v>2.5015999999999998</v>
      </c>
      <c r="E14" s="36">
        <v>156.30000000000001</v>
      </c>
      <c r="F14" s="36">
        <v>2.65</v>
      </c>
      <c r="G14" s="36">
        <v>2455</v>
      </c>
      <c r="H14" s="36">
        <v>12.85</v>
      </c>
      <c r="I14" s="36">
        <v>7.21</v>
      </c>
      <c r="J14" s="36">
        <v>32.9</v>
      </c>
      <c r="K14" s="36">
        <v>7.6689999999999996</v>
      </c>
      <c r="L14" s="11">
        <f>10^-K14</f>
        <v>2.1428906011200571E-8</v>
      </c>
      <c r="M14" s="11">
        <f>1/(L14/(10^-6)+1+(10^-9.11)/L14)</f>
        <v>0.94548949926703063</v>
      </c>
      <c r="N14" s="11">
        <f>(10^-6)*G14/0.958*M14</f>
        <v>2.4229402094995407E-3</v>
      </c>
      <c r="O14" s="11">
        <f>1/(L14^2/(10^-15.11)+L14/(10^-9.11)+1)</f>
        <v>3.4249695118599176E-2</v>
      </c>
      <c r="P14" s="11">
        <f>G14/0.958*(10^-6)*O14</f>
        <v>8.7769312647349666E-5</v>
      </c>
      <c r="Q14" s="11">
        <f>H14*10^-12</f>
        <v>1.285E-11</v>
      </c>
      <c r="R14" s="9">
        <f>LOG(Q14)</f>
        <v>-10.891096872332687</v>
      </c>
      <c r="S14" s="10">
        <v>0.1811594202898551</v>
      </c>
      <c r="T14" s="9">
        <f>LOG(S14)</f>
        <v>-0.74193907772919887</v>
      </c>
      <c r="U14" s="8">
        <f>24+LOG(H14*0.000001)-0.25*T14-3*K14</f>
        <v>-3.7126121029003869</v>
      </c>
      <c r="V14" s="8">
        <f>14.42+LOG(H14*0.000001)-0.25*T14-3*K14</f>
        <v>-13.292612102900385</v>
      </c>
      <c r="W14" s="8">
        <f>20.9+LOG(H14*0.000001)-0.25*T14-3*K14</f>
        <v>-6.8126121029003883</v>
      </c>
      <c r="X14" s="8">
        <f>27.9+LOG(H14*0.000001)-0.25*T14-3*K14</f>
        <v>0.18738789709961168</v>
      </c>
      <c r="Y14" s="8">
        <f>25.6+LOG(H14*0.000001)-0.25*T14-3*K14</f>
        <v>-2.1126121029003855</v>
      </c>
      <c r="Z14" s="8">
        <f>16.2-0.25*T14-3*K14</f>
        <v>-6.6215152305676988</v>
      </c>
      <c r="AA14" s="9">
        <f>2.94+LOG(N14)-2*K14-0.25*T14-LOG(0.449)</f>
        <v>-14.480418874315401</v>
      </c>
      <c r="AB14" s="9">
        <f>7.91+LOG(P14)-3*K14-0.25*T14-LOG(0.449)</f>
        <v>-18.620418874315401</v>
      </c>
      <c r="AC14" s="8">
        <f>8.38+2*LOG(N14)-0.25*T14-K14-LOG(0.157)</f>
        <v>-3.5307294884656883</v>
      </c>
      <c r="AD14" s="8">
        <f>9.86+2*LOG(P14)-0.25*T14-3*K14-LOG(0.157)</f>
        <v>-20.27072948846569</v>
      </c>
      <c r="AE14" s="9">
        <f>18.13+2*LOG(P14)-3*K14-LOG(0.157)</f>
        <v>-12.186214257897989</v>
      </c>
      <c r="AF14" s="13">
        <f>(10^W14-Q14)/Q14*100</f>
        <v>1197977.1062747627</v>
      </c>
      <c r="AG14" s="13">
        <f>(10^AE14-Q14)/Q14*100</f>
        <v>-94.931463078541071</v>
      </c>
      <c r="AH14" s="13"/>
    </row>
    <row r="15" spans="1:34" s="34" customFormat="1" x14ac:dyDescent="0.15">
      <c r="A15" s="36">
        <v>2963</v>
      </c>
      <c r="B15" s="36">
        <v>34.619999999999997</v>
      </c>
      <c r="C15" s="36">
        <v>2.37</v>
      </c>
      <c r="D15" s="36">
        <v>2.5402</v>
      </c>
      <c r="E15" s="36">
        <v>155.19999999999999</v>
      </c>
      <c r="F15" s="36">
        <v>2.6</v>
      </c>
      <c r="G15" s="36">
        <v>2458</v>
      </c>
      <c r="H15" s="36">
        <v>5.99</v>
      </c>
      <c r="I15" s="36">
        <v>6.48</v>
      </c>
      <c r="J15" s="36">
        <v>30.6</v>
      </c>
      <c r="K15" s="36">
        <v>7.6760000000000002</v>
      </c>
      <c r="L15" s="11">
        <f>10^-K15</f>
        <v>2.1086281499332852E-8</v>
      </c>
      <c r="M15" s="11">
        <f>1/(L15/(10^-6)+1+(10^-9.11)/L15)</f>
        <v>0.9452696627236421</v>
      </c>
      <c r="N15" s="11">
        <f>(10^-6)*G15/0.958*M15</f>
        <v>2.425336984315983E-3</v>
      </c>
      <c r="O15" s="11">
        <f>1/(L15^2/(10^-15.11)+L15/(10^-9.11)+1)</f>
        <v>3.4798115075387631E-2</v>
      </c>
      <c r="P15" s="11">
        <f>G15/0.958*(10^-6)*O15</f>
        <v>8.9283681477351552E-5</v>
      </c>
      <c r="Q15" s="11">
        <f>H15*10^-12</f>
        <v>5.9900000000000001E-12</v>
      </c>
      <c r="R15" s="9">
        <f>LOG(Q15)</f>
        <v>-11.222573177610689</v>
      </c>
      <c r="S15" s="10">
        <v>0.19420289855072467</v>
      </c>
      <c r="T15" s="9">
        <f>LOG(S15)</f>
        <v>-0.71174429237244763</v>
      </c>
      <c r="U15" s="8">
        <f>24+LOG(H15*0.000001)-0.25*T15-3*K15</f>
        <v>-4.0726371045175753</v>
      </c>
      <c r="V15" s="8">
        <f>14.42+LOG(H15*0.000001)-0.25*T15-3*K15</f>
        <v>-13.652637104517575</v>
      </c>
      <c r="W15" s="8">
        <f>20.9+LOG(H15*0.000001)-0.25*T15-3*K15</f>
        <v>-7.172637104517575</v>
      </c>
      <c r="X15" s="8">
        <f>27.9+LOG(H15*0.000001)-0.25*T15-3*K15</f>
        <v>-0.17263710451757674</v>
      </c>
      <c r="Y15" s="8">
        <f>25.6+LOG(H15*0.000001)-0.25*T15-3*K15</f>
        <v>-2.4726371045175739</v>
      </c>
      <c r="Z15" s="8">
        <f>16.2-0.25*T15-3*K15</f>
        <v>-6.6500639269068884</v>
      </c>
      <c r="AA15" s="9">
        <f>2.94+LOG(N15)-2*K15-0.25*T15-LOG(0.449)</f>
        <v>-14.501538178472446</v>
      </c>
      <c r="AB15" s="9">
        <f>7.91+LOG(P15)-3*K15-0.25*T15-LOG(0.449)</f>
        <v>-18.641538178472445</v>
      </c>
      <c r="AC15" s="8">
        <f>8.38+2*LOG(N15)-0.25*T15-K15-LOG(0.157)</f>
        <v>-3.5444194004405931</v>
      </c>
      <c r="AD15" s="8">
        <f>9.86+2*LOG(P15)-0.25*T15-3*K15-LOG(0.157)</f>
        <v>-20.284419400440594</v>
      </c>
      <c r="AE15" s="9">
        <f>18.13+2*LOG(P15)-3*K15-LOG(0.157)</f>
        <v>-12.192355473533704</v>
      </c>
      <c r="AF15" s="13">
        <f>(10^W15-Q15)/Q15*100</f>
        <v>1121753.3085460654</v>
      </c>
      <c r="AG15" s="13">
        <f>(10^AE15-Q15)/Q15*100</f>
        <v>-89.27943426597848</v>
      </c>
      <c r="AH15" s="13"/>
    </row>
    <row r="16" spans="1:34" s="34" customFormat="1" x14ac:dyDescent="0.15">
      <c r="A16" s="36">
        <v>3941</v>
      </c>
      <c r="B16" s="36">
        <v>34.613</v>
      </c>
      <c r="C16" s="36">
        <v>2.4300000000000002</v>
      </c>
      <c r="D16" s="36">
        <v>2.6435</v>
      </c>
      <c r="E16" s="36">
        <v>154.30000000000001</v>
      </c>
      <c r="F16" s="36">
        <v>2.61</v>
      </c>
      <c r="G16" s="36">
        <v>2455</v>
      </c>
      <c r="H16" s="36">
        <v>5.58</v>
      </c>
      <c r="I16" s="36">
        <v>6.37</v>
      </c>
      <c r="J16" s="36">
        <v>30</v>
      </c>
      <c r="K16" s="36">
        <v>7.6769999999999996</v>
      </c>
      <c r="L16" s="11">
        <f>10^-K16</f>
        <v>2.1037784397664773E-8</v>
      </c>
      <c r="M16" s="11">
        <f>1/(L16/(10^-6)+1+(10^-9.11)/L16)</f>
        <v>0.94523717010047581</v>
      </c>
      <c r="N16" s="11">
        <f>(10^-6)*G16/0.958*M16</f>
        <v>2.4222935830862922E-3</v>
      </c>
      <c r="O16" s="11">
        <f>1/(L16^2/(10^-15.11)+L16/(10^-9.11)+1)</f>
        <v>3.4877134110291724E-2</v>
      </c>
      <c r="P16" s="11">
        <f>G16/0.958*(10^-6)*O16</f>
        <v>8.9377206931906257E-5</v>
      </c>
      <c r="Q16" s="11">
        <f>H16*10^-12</f>
        <v>5.5800000000000001E-12</v>
      </c>
      <c r="R16" s="9">
        <f>LOG(Q16)</f>
        <v>-11.25336580106242</v>
      </c>
      <c r="S16" s="10">
        <v>0.19565217391304351</v>
      </c>
      <c r="T16" s="9">
        <f>LOG(S16)</f>
        <v>-0.70851532224224911</v>
      </c>
      <c r="U16" s="8">
        <f>24+LOG(H16*0.000001)-0.25*T16-3*K16</f>
        <v>-4.1072369705018588</v>
      </c>
      <c r="V16" s="8">
        <f>14.42+LOG(H16*0.000001)-0.25*T16-3*K16</f>
        <v>-13.687236970501857</v>
      </c>
      <c r="W16" s="8">
        <f>20.9+LOG(H16*0.000001)-0.25*T16-3*K16</f>
        <v>-7.2072369705018602</v>
      </c>
      <c r="X16" s="8">
        <f>27.9+LOG(H16*0.000001)-0.25*T16-3*K16</f>
        <v>-0.20723697050186018</v>
      </c>
      <c r="Y16" s="8">
        <f>25.6+LOG(H16*0.000001)-0.25*T16-3*K16</f>
        <v>-2.5072369705018573</v>
      </c>
      <c r="Z16" s="8">
        <f>16.2-0.25*T16-3*K16</f>
        <v>-6.6538711694394372</v>
      </c>
      <c r="AA16" s="9">
        <f>2.94+LOG(N16)-2*K16-0.25*T16-LOG(0.449)</f>
        <v>-14.504890731756525</v>
      </c>
      <c r="AB16" s="9">
        <f>7.91+LOG(P16)-3*K16-0.25*T16-LOG(0.449)</f>
        <v>-18.644890731756526</v>
      </c>
      <c r="AC16" s="8">
        <f>8.38+2*LOG(N16)-0.25*T16-K16-LOG(0.157)</f>
        <v>-3.5473172644762023</v>
      </c>
      <c r="AD16" s="8">
        <f>9.86+2*LOG(P16)-0.25*T16-3*K16-LOG(0.157)</f>
        <v>-20.287317264476204</v>
      </c>
      <c r="AE16" s="9">
        <f>18.13+2*LOG(P16)-3*K16-LOG(0.157)</f>
        <v>-12.194446095036767</v>
      </c>
      <c r="AF16" s="13">
        <f>(10^W16-Q16)/Q16*100</f>
        <v>1111961.5640008268</v>
      </c>
      <c r="AG16" s="13">
        <f>(10^AE16-Q16)/Q16*100</f>
        <v>-88.54698825658339</v>
      </c>
      <c r="AH16" s="13"/>
    </row>
    <row r="17" spans="1:34" s="34" customFormat="1" x14ac:dyDescent="0.15">
      <c r="A17" s="36">
        <v>4182</v>
      </c>
      <c r="B17" s="36">
        <v>34.621000000000002</v>
      </c>
      <c r="C17" s="36">
        <v>2.46</v>
      </c>
      <c r="D17" s="36">
        <v>2.6495000000000002</v>
      </c>
      <c r="E17" s="36">
        <v>152.80000000000001</v>
      </c>
      <c r="F17" s="36">
        <v>2.63</v>
      </c>
      <c r="G17" s="36">
        <v>2456</v>
      </c>
      <c r="H17" s="36">
        <v>6.25</v>
      </c>
      <c r="I17" s="36">
        <v>6.6</v>
      </c>
      <c r="J17" s="36">
        <v>30.9</v>
      </c>
      <c r="K17" s="36">
        <v>7.68</v>
      </c>
      <c r="L17" s="11">
        <f>10^-K17</f>
        <v>2.0892961308540368E-8</v>
      </c>
      <c r="M17" s="11">
        <f>1/(L17/(10^-6)+1+(10^-9.11)/L17)</f>
        <v>0.94513805859754296</v>
      </c>
      <c r="N17" s="11">
        <f>(10^-6)*G17/0.958*M17</f>
        <v>2.4230261711018428E-3</v>
      </c>
      <c r="O17" s="11">
        <f>1/(L17^2/(10^-15.11)+L17/(10^-9.11)+1)</f>
        <v>3.5115208512949483E-2</v>
      </c>
      <c r="P17" s="11">
        <f>G17/0.958*(10^-6)*O17</f>
        <v>9.0023958358876756E-5</v>
      </c>
      <c r="Q17" s="11">
        <f>H17*10^-12</f>
        <v>6.2500000000000002E-12</v>
      </c>
      <c r="R17" s="9">
        <f>LOG(Q17)</f>
        <v>-11.204119982655925</v>
      </c>
      <c r="S17" s="10">
        <v>0.19565217391304351</v>
      </c>
      <c r="T17" s="9">
        <f>LOG(S17)</f>
        <v>-0.70851532224224911</v>
      </c>
      <c r="U17" s="8">
        <f>24+LOG(H17*0.000001)-0.25*T17-3*K17</f>
        <v>-4.0669911520953619</v>
      </c>
      <c r="V17" s="8">
        <f>14.42+LOG(H17*0.000001)-0.25*T17-3*K17</f>
        <v>-13.646991152095362</v>
      </c>
      <c r="W17" s="8">
        <f>20.9+LOG(H17*0.000001)-0.25*T17-3*K17</f>
        <v>-7.1669911520953633</v>
      </c>
      <c r="X17" s="8">
        <f>27.9+LOG(H17*0.000001)-0.25*T17-3*K17</f>
        <v>-0.1669911520953633</v>
      </c>
      <c r="Y17" s="8">
        <f>25.6+LOG(H17*0.000001)-0.25*T17-3*K17</f>
        <v>-2.4669911520953605</v>
      </c>
      <c r="Z17" s="8">
        <f>16.2-0.25*T17-3*K17</f>
        <v>-6.6628711694394376</v>
      </c>
      <c r="AA17" s="9">
        <f>2.94+LOG(N17)-2*K17-0.25*T17-LOG(0.449)</f>
        <v>-14.510759405465908</v>
      </c>
      <c r="AB17" s="9">
        <f>7.91+LOG(P17)-3*K17-0.25*T17-LOG(0.449)</f>
        <v>-18.650759405465909</v>
      </c>
      <c r="AC17" s="8">
        <f>8.38+2*LOG(N17)-0.25*T17-K17-LOG(0.157)</f>
        <v>-3.5500546118949678</v>
      </c>
      <c r="AD17" s="8">
        <f>9.86+2*LOG(P17)-0.25*T17-3*K17-LOG(0.157)</f>
        <v>-20.29005461189497</v>
      </c>
      <c r="AE17" s="9">
        <f>18.13+2*LOG(P17)-3*K17-LOG(0.157)</f>
        <v>-12.197183442455531</v>
      </c>
      <c r="AF17" s="13">
        <f>(10^W17-Q17)/Q17*100</f>
        <v>1089153.1650967463</v>
      </c>
      <c r="AG17" s="13">
        <f>(10^AE17-Q17)/Q17*100</f>
        <v>-89.838997921539999</v>
      </c>
      <c r="AH17" s="13"/>
    </row>
    <row r="18" spans="1:34" s="34" customFormat="1" x14ac:dyDescent="0.15">
      <c r="A18" s="17">
        <v>4231</v>
      </c>
      <c r="B18" s="17">
        <v>34.622999999999998</v>
      </c>
      <c r="C18" s="17">
        <v>2.46</v>
      </c>
      <c r="D18" s="17">
        <v>2.5004</v>
      </c>
      <c r="E18" s="17">
        <v>153.5</v>
      </c>
      <c r="F18" s="17">
        <v>2.65</v>
      </c>
      <c r="G18" s="17">
        <v>2436</v>
      </c>
      <c r="H18" s="17">
        <v>6.02</v>
      </c>
      <c r="I18" s="17">
        <v>6.37</v>
      </c>
      <c r="J18" s="17">
        <v>30.3</v>
      </c>
      <c r="K18" s="17">
        <v>7.6909999999999998</v>
      </c>
      <c r="L18" s="6">
        <f>10^-K18</f>
        <v>2.0370420777057145E-8</v>
      </c>
      <c r="M18" s="6">
        <f>1/(L18/(10^-6)+1+(10^-9.11)/L18)</f>
        <v>0.94475363853511896</v>
      </c>
      <c r="N18" s="6">
        <f>(10^-6)*G18/0.958*M18</f>
        <v>2.4023171852521393E-3</v>
      </c>
      <c r="O18" s="6">
        <f>1/(L18^2/(10^-15.11)+L18/(10^-9.11)+1)</f>
        <v>3.6001332317264816E-2</v>
      </c>
      <c r="P18" s="6">
        <f>G18/0.958*(10^-6)*O18</f>
        <v>9.1544097625111787E-5</v>
      </c>
      <c r="Q18" s="6">
        <f>H18*10^-12</f>
        <v>6.0199999999999998E-12</v>
      </c>
      <c r="R18" s="4">
        <f>LOG(Q18)</f>
        <v>-11.220403508742175</v>
      </c>
      <c r="S18" s="5">
        <v>0.19565217391304351</v>
      </c>
      <c r="T18" s="4">
        <f>LOG(S18)</f>
        <v>-0.70851532224224911</v>
      </c>
      <c r="U18" s="3">
        <f>24+LOG(H18*0.000001)-0.25*T18-3*K18</f>
        <v>-4.1162746781816146</v>
      </c>
      <c r="V18" s="3">
        <f>14.42+LOG(H18*0.000001)-0.25*T18-3*K18</f>
        <v>-13.696274678181613</v>
      </c>
      <c r="W18" s="3">
        <f>20.9+LOG(H18*0.000001)-0.25*T18-3*K18</f>
        <v>-7.2162746781816161</v>
      </c>
      <c r="X18" s="3">
        <f>27.9+LOG(H18*0.000001)-0.25*T18-3*K18</f>
        <v>-0.21627467818161605</v>
      </c>
      <c r="Y18" s="3">
        <f>25.6+LOG(H18*0.000001)-0.25*T18-3*K18</f>
        <v>-2.5162746781816132</v>
      </c>
      <c r="Z18" s="3">
        <f>16.2-0.25*T18-3*K18</f>
        <v>-6.6958711694394388</v>
      </c>
      <c r="AA18" s="4">
        <f>2.94+LOG(N18)-2*K18-0.25*T18-LOG(0.449)</f>
        <v>-14.53648716236736</v>
      </c>
      <c r="AB18" s="4">
        <f>7.91+LOG(P18)-3*K18-0.25*T18-LOG(0.449)</f>
        <v>-18.676487162367362</v>
      </c>
      <c r="AC18" s="3">
        <f>8.38+2*LOG(N18)-0.25*T18-K18-LOG(0.157)</f>
        <v>-3.5685101256978689</v>
      </c>
      <c r="AD18" s="3">
        <f>9.86+2*LOG(P18)-0.25*T18-3*K18-LOG(0.157)</f>
        <v>-20.308510125697872</v>
      </c>
      <c r="AE18" s="4">
        <f>18.13+2*LOG(P18)-3*K18-LOG(0.157)</f>
        <v>-12.215638956258433</v>
      </c>
      <c r="AF18" s="35">
        <f>(10^W18-Q18)/Q18*100</f>
        <v>1009452.3186220083</v>
      </c>
      <c r="AG18" s="35">
        <f>(10^AE18-Q18)/Q18*100</f>
        <v>-89.889688127111214</v>
      </c>
      <c r="AH18" s="35"/>
    </row>
    <row r="19" spans="1:34" s="34" customFormat="1" x14ac:dyDescent="0.15">
      <c r="A19" s="34" t="s">
        <v>45</v>
      </c>
    </row>
  </sheetData>
  <mergeCells count="1">
    <mergeCell ref="U3:A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S2</vt:lpstr>
      <vt:lpstr>Table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Cao, Cheng</dc:creator>
  <cp:lastModifiedBy>Cao, Cheng</cp:lastModifiedBy>
  <dcterms:created xsi:type="dcterms:W3CDTF">2022-04-24T08:09:49Z</dcterms:created>
  <dcterms:modified xsi:type="dcterms:W3CDTF">2022-04-24T08:10:17Z</dcterms:modified>
</cp:coreProperties>
</file>